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MY DATA FOLDER\Projects\Java-Book-Shop-Manage-with-File-Handling-main\src\"/>
    </mc:Choice>
  </mc:AlternateContent>
  <xr:revisionPtr revIDLastSave="0" documentId="13_ncr:1_{AA463499-047B-417C-A9F8-56515999F467}" xr6:coauthVersionLast="47" xr6:coauthVersionMax="47" xr10:uidLastSave="{00000000-0000-0000-0000-000000000000}"/>
  <bookViews>
    <workbookView xWindow="20370" yWindow="-120" windowWidth="15600" windowHeight="11310" xr2:uid="{00000000-000D-0000-FFFF-FFFF00000000}"/>
  </bookViews>
  <sheets>
    <sheet name="Emp Info"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61" i="1" l="1"/>
  <c r="E1561" i="1"/>
  <c r="D1561" i="1"/>
  <c r="C1561" i="1"/>
  <c r="F1560" i="1"/>
  <c r="E1560" i="1"/>
  <c r="D1560" i="1"/>
  <c r="C1560" i="1"/>
  <c r="F1559" i="1"/>
  <c r="E1559" i="1"/>
  <c r="D1559" i="1"/>
  <c r="C1559" i="1"/>
  <c r="F1558" i="1"/>
  <c r="E1558" i="1"/>
  <c r="D1558" i="1"/>
  <c r="C1558" i="1"/>
  <c r="F1557" i="1"/>
  <c r="E1557" i="1"/>
  <c r="D1557" i="1"/>
  <c r="C1557" i="1"/>
  <c r="F1556" i="1"/>
  <c r="E1556" i="1"/>
  <c r="D1556" i="1"/>
  <c r="C1556" i="1"/>
  <c r="F1555" i="1"/>
  <c r="E1555" i="1"/>
  <c r="D1555" i="1"/>
  <c r="C1555" i="1"/>
  <c r="F1554" i="1"/>
  <c r="E1554" i="1"/>
  <c r="D1554" i="1"/>
  <c r="C1554" i="1"/>
  <c r="F1553" i="1"/>
  <c r="E1553" i="1"/>
  <c r="D1553" i="1"/>
  <c r="C1553" i="1"/>
  <c r="F1552" i="1"/>
  <c r="E1552" i="1"/>
  <c r="D1552" i="1"/>
  <c r="C1552" i="1"/>
  <c r="F1551" i="1"/>
  <c r="E1551" i="1"/>
  <c r="D1551" i="1"/>
  <c r="C1551" i="1"/>
  <c r="F1550" i="1"/>
  <c r="E1550" i="1"/>
  <c r="D1550" i="1"/>
  <c r="C1550" i="1"/>
  <c r="F1549" i="1"/>
  <c r="E1549" i="1"/>
  <c r="D1549" i="1"/>
  <c r="C1549" i="1"/>
  <c r="F1548" i="1"/>
  <c r="E1548" i="1"/>
  <c r="D1548" i="1"/>
  <c r="C1548" i="1"/>
  <c r="F1547" i="1"/>
  <c r="E1547" i="1"/>
  <c r="D1547" i="1"/>
  <c r="C1547" i="1"/>
  <c r="F1546" i="1"/>
  <c r="E1546" i="1"/>
  <c r="D1546" i="1"/>
  <c r="C1546" i="1"/>
  <c r="F1545" i="1"/>
  <c r="E1545" i="1"/>
  <c r="D1545" i="1"/>
  <c r="C1545" i="1"/>
  <c r="F1544" i="1"/>
  <c r="E1544" i="1"/>
  <c r="D1544" i="1"/>
  <c r="C1544" i="1"/>
  <c r="F1543" i="1"/>
  <c r="E1543" i="1"/>
  <c r="D1543" i="1"/>
  <c r="C1543" i="1"/>
  <c r="F1542" i="1"/>
  <c r="E1542" i="1"/>
  <c r="D1542" i="1"/>
  <c r="C1542" i="1"/>
  <c r="F1541" i="1"/>
  <c r="E1541" i="1"/>
  <c r="D1541" i="1"/>
  <c r="C1541" i="1"/>
  <c r="F1540" i="1"/>
  <c r="E1540" i="1"/>
  <c r="D1540" i="1"/>
  <c r="C1540" i="1"/>
  <c r="F1539" i="1"/>
  <c r="E1539" i="1"/>
  <c r="D1539" i="1"/>
  <c r="C1539" i="1"/>
  <c r="F1538" i="1"/>
  <c r="E1538" i="1"/>
  <c r="D1538" i="1"/>
  <c r="C1538" i="1"/>
  <c r="F1537" i="1"/>
  <c r="E1537" i="1"/>
  <c r="D1537" i="1"/>
  <c r="C1537" i="1"/>
  <c r="F1536" i="1"/>
  <c r="E1536" i="1"/>
  <c r="D1536" i="1"/>
  <c r="C1536" i="1"/>
  <c r="F1535" i="1"/>
  <c r="E1535" i="1"/>
  <c r="D1535" i="1"/>
  <c r="C1535" i="1"/>
  <c r="F1534" i="1"/>
  <c r="E1534" i="1"/>
  <c r="D1534" i="1"/>
  <c r="C1534" i="1"/>
  <c r="F1533" i="1"/>
  <c r="E1533" i="1"/>
  <c r="D1533" i="1"/>
  <c r="C1533" i="1"/>
  <c r="F1532" i="1"/>
  <c r="E1532" i="1"/>
  <c r="D1532" i="1"/>
  <c r="C1532" i="1"/>
  <c r="F1531" i="1"/>
  <c r="E1531" i="1"/>
  <c r="D1531" i="1"/>
  <c r="C1531" i="1"/>
  <c r="F1530" i="1"/>
  <c r="E1530" i="1"/>
  <c r="D1530" i="1"/>
  <c r="C1530" i="1"/>
  <c r="F1529" i="1"/>
  <c r="E1529" i="1"/>
  <c r="D1529" i="1"/>
  <c r="C1529" i="1"/>
  <c r="F1528" i="1"/>
  <c r="E1528" i="1"/>
  <c r="D1528" i="1"/>
  <c r="C1528" i="1"/>
  <c r="F1527" i="1"/>
  <c r="E1527" i="1"/>
  <c r="D1527" i="1"/>
  <c r="C1527" i="1"/>
  <c r="F1526" i="1"/>
  <c r="E1526" i="1"/>
  <c r="D1526" i="1"/>
  <c r="C1526" i="1"/>
  <c r="F1525" i="1"/>
  <c r="E1525" i="1"/>
  <c r="D1525" i="1"/>
  <c r="C1525" i="1"/>
  <c r="F1524" i="1"/>
  <c r="E1524" i="1"/>
  <c r="D1524" i="1"/>
  <c r="C1524" i="1"/>
  <c r="F1523" i="1"/>
  <c r="E1523" i="1"/>
  <c r="D1523" i="1"/>
  <c r="C1523" i="1"/>
  <c r="F1522" i="1"/>
  <c r="E1522" i="1"/>
  <c r="D1522" i="1"/>
  <c r="C1522" i="1"/>
  <c r="F1521" i="1"/>
  <c r="E1521" i="1"/>
  <c r="D1521" i="1"/>
  <c r="C1521" i="1"/>
  <c r="F1520" i="1"/>
  <c r="E1520" i="1"/>
  <c r="D1520" i="1"/>
  <c r="C1520" i="1"/>
  <c r="F1519" i="1"/>
  <c r="E1519" i="1"/>
  <c r="D1519" i="1"/>
  <c r="C1519" i="1"/>
  <c r="F1518" i="1"/>
  <c r="E1518" i="1"/>
  <c r="D1518" i="1"/>
  <c r="C1518" i="1"/>
  <c r="F1517" i="1"/>
  <c r="E1517" i="1"/>
  <c r="D1517" i="1"/>
  <c r="C1517" i="1"/>
  <c r="F1516" i="1"/>
  <c r="E1516" i="1"/>
  <c r="D1516" i="1"/>
  <c r="C1516" i="1"/>
  <c r="F1515" i="1"/>
  <c r="E1515" i="1"/>
  <c r="D1515" i="1"/>
  <c r="C1515" i="1"/>
  <c r="F1514" i="1"/>
  <c r="E1514" i="1"/>
  <c r="D1514" i="1"/>
  <c r="C1514" i="1"/>
  <c r="F1513" i="1"/>
  <c r="E1513" i="1"/>
  <c r="D1513" i="1"/>
  <c r="C1513" i="1"/>
  <c r="F1512" i="1"/>
  <c r="E1512" i="1"/>
  <c r="D1512" i="1"/>
  <c r="C1512" i="1"/>
  <c r="F1511" i="1"/>
  <c r="E1511" i="1"/>
  <c r="D1511" i="1"/>
  <c r="C1511" i="1"/>
  <c r="F1510" i="1"/>
  <c r="E1510" i="1"/>
  <c r="D1510" i="1"/>
  <c r="C1510" i="1"/>
  <c r="F1509" i="1"/>
  <c r="E1509" i="1"/>
  <c r="D1509" i="1"/>
  <c r="C1509" i="1"/>
  <c r="F1508" i="1"/>
  <c r="E1508" i="1"/>
  <c r="D1508" i="1"/>
  <c r="C1508" i="1"/>
  <c r="F1507" i="1"/>
  <c r="E1507" i="1"/>
  <c r="D1507" i="1"/>
  <c r="C1507" i="1"/>
  <c r="F1506" i="1"/>
  <c r="E1506" i="1"/>
  <c r="D1506" i="1"/>
  <c r="C1506" i="1"/>
  <c r="F1505" i="1"/>
  <c r="E1505" i="1"/>
  <c r="D1505" i="1"/>
  <c r="C1505" i="1"/>
  <c r="F1504" i="1"/>
  <c r="E1504" i="1"/>
  <c r="D1504" i="1"/>
  <c r="C1504" i="1"/>
  <c r="F1503" i="1"/>
  <c r="E1503" i="1"/>
  <c r="D1503" i="1"/>
  <c r="C1503" i="1"/>
  <c r="F1502" i="1"/>
  <c r="E1502" i="1"/>
  <c r="D1502" i="1"/>
  <c r="C1502" i="1"/>
  <c r="F1501" i="1"/>
  <c r="E1501" i="1"/>
  <c r="D1501" i="1"/>
  <c r="C1501" i="1"/>
  <c r="F1500" i="1"/>
  <c r="E1500" i="1"/>
  <c r="D1500" i="1"/>
  <c r="C1500" i="1"/>
  <c r="F1499" i="1"/>
  <c r="E1499" i="1"/>
  <c r="D1499" i="1"/>
  <c r="C1499" i="1"/>
  <c r="F1498" i="1"/>
  <c r="E1498" i="1"/>
  <c r="D1498" i="1"/>
  <c r="C1498" i="1"/>
  <c r="F1497" i="1"/>
  <c r="E1497" i="1"/>
  <c r="D1497" i="1"/>
  <c r="C1497" i="1"/>
  <c r="F1496" i="1"/>
  <c r="E1496" i="1"/>
  <c r="D1496" i="1"/>
  <c r="C1496" i="1"/>
  <c r="F1495" i="1"/>
  <c r="E1495" i="1"/>
  <c r="D1495" i="1"/>
  <c r="C1495" i="1"/>
  <c r="F1494" i="1"/>
  <c r="E1494" i="1"/>
  <c r="D1494" i="1"/>
  <c r="C1494" i="1"/>
  <c r="F1493" i="1"/>
  <c r="E1493" i="1"/>
  <c r="D1493" i="1"/>
  <c r="C1493" i="1"/>
  <c r="F1492" i="1"/>
  <c r="E1492" i="1"/>
  <c r="D1492" i="1"/>
  <c r="C1492" i="1"/>
  <c r="F1491" i="1"/>
  <c r="E1491" i="1"/>
  <c r="D1491" i="1"/>
  <c r="C1491" i="1"/>
  <c r="F1490" i="1"/>
  <c r="E1490" i="1"/>
  <c r="D1490" i="1"/>
  <c r="C1490" i="1"/>
  <c r="F1489" i="1"/>
  <c r="E1489" i="1"/>
  <c r="D1489" i="1"/>
  <c r="C1489" i="1"/>
  <c r="F1488" i="1"/>
  <c r="E1488" i="1"/>
  <c r="D1488" i="1"/>
  <c r="C1488" i="1"/>
  <c r="F1487" i="1"/>
  <c r="E1487" i="1"/>
  <c r="D1487" i="1"/>
  <c r="C1487" i="1"/>
  <c r="F1486" i="1"/>
  <c r="E1486" i="1"/>
  <c r="D1486" i="1"/>
  <c r="C1486" i="1"/>
  <c r="F1485" i="1"/>
  <c r="E1485" i="1"/>
  <c r="D1485" i="1"/>
  <c r="C1485" i="1"/>
  <c r="F1484" i="1"/>
  <c r="E1484" i="1"/>
  <c r="D1484" i="1"/>
  <c r="C1484" i="1"/>
  <c r="F1483" i="1"/>
  <c r="E1483" i="1"/>
  <c r="D1483" i="1"/>
  <c r="C1483" i="1"/>
  <c r="F1482" i="1"/>
  <c r="E1482" i="1"/>
  <c r="D1482" i="1"/>
  <c r="C1482" i="1"/>
  <c r="F1481" i="1"/>
  <c r="E1481" i="1"/>
  <c r="D1481" i="1"/>
  <c r="C1481" i="1"/>
  <c r="F1480" i="1"/>
  <c r="E1480" i="1"/>
  <c r="D1480" i="1"/>
  <c r="C1480" i="1"/>
  <c r="F1479" i="1"/>
  <c r="E1479" i="1"/>
  <c r="D1479" i="1"/>
  <c r="C1479" i="1"/>
  <c r="F1478" i="1"/>
  <c r="E1478" i="1"/>
  <c r="D1478" i="1"/>
  <c r="C1478" i="1"/>
  <c r="F1477" i="1"/>
  <c r="E1477" i="1"/>
  <c r="D1477" i="1"/>
  <c r="C1477" i="1"/>
  <c r="F1476" i="1"/>
  <c r="E1476" i="1"/>
  <c r="D1476" i="1"/>
  <c r="C1476" i="1"/>
  <c r="F1475" i="1"/>
  <c r="E1475" i="1"/>
  <c r="D1475" i="1"/>
  <c r="C1475" i="1"/>
  <c r="F1474" i="1"/>
  <c r="E1474" i="1"/>
  <c r="D1474" i="1"/>
  <c r="C1474" i="1"/>
  <c r="F1473" i="1"/>
  <c r="E1473" i="1"/>
  <c r="D1473" i="1"/>
  <c r="C1473" i="1"/>
  <c r="F1472" i="1"/>
  <c r="E1472" i="1"/>
  <c r="D1472" i="1"/>
  <c r="C1472" i="1"/>
  <c r="F1471" i="1"/>
  <c r="E1471" i="1"/>
  <c r="D1471" i="1"/>
  <c r="C1471" i="1"/>
  <c r="F1470" i="1"/>
  <c r="E1470" i="1"/>
  <c r="D1470" i="1"/>
  <c r="C1470" i="1"/>
  <c r="F1469" i="1"/>
  <c r="E1469" i="1"/>
  <c r="D1469" i="1"/>
  <c r="C1469" i="1"/>
  <c r="F1468" i="1"/>
  <c r="E1468" i="1"/>
  <c r="D1468" i="1"/>
  <c r="C1468" i="1"/>
  <c r="F1467" i="1"/>
  <c r="E1467" i="1"/>
  <c r="D1467" i="1"/>
  <c r="C1467" i="1"/>
  <c r="F1466" i="1"/>
  <c r="E1466" i="1"/>
  <c r="D1466" i="1"/>
  <c r="C1466" i="1"/>
  <c r="F1465" i="1"/>
  <c r="E1465" i="1"/>
  <c r="D1465" i="1"/>
  <c r="C1465" i="1"/>
  <c r="F1464" i="1"/>
  <c r="E1464" i="1"/>
  <c r="D1464" i="1"/>
  <c r="C1464" i="1"/>
  <c r="F1463" i="1"/>
  <c r="E1463" i="1"/>
  <c r="D1463" i="1"/>
  <c r="C1463" i="1"/>
  <c r="F1462" i="1"/>
  <c r="E1462" i="1"/>
  <c r="D1462" i="1"/>
  <c r="C1462" i="1"/>
  <c r="F1461" i="1"/>
  <c r="E1461" i="1"/>
  <c r="D1461" i="1"/>
  <c r="C1461" i="1"/>
  <c r="F1460" i="1"/>
  <c r="E1460" i="1"/>
  <c r="D1460" i="1"/>
  <c r="C1460" i="1"/>
  <c r="F1459" i="1"/>
  <c r="E1459" i="1"/>
  <c r="D1459" i="1"/>
  <c r="C1459" i="1"/>
  <c r="F1458" i="1"/>
  <c r="E1458" i="1"/>
  <c r="D1458" i="1"/>
  <c r="C1458" i="1"/>
  <c r="F1457" i="1"/>
  <c r="E1457" i="1"/>
  <c r="D1457" i="1"/>
  <c r="C1457" i="1"/>
  <c r="F1456" i="1"/>
  <c r="E1456" i="1"/>
  <c r="D1456" i="1"/>
  <c r="C1456" i="1"/>
  <c r="F1455" i="1"/>
  <c r="E1455" i="1"/>
  <c r="D1455" i="1"/>
  <c r="C1455" i="1"/>
  <c r="F1454" i="1"/>
  <c r="E1454" i="1"/>
  <c r="D1454" i="1"/>
  <c r="C1454" i="1"/>
  <c r="F1453" i="1"/>
  <c r="E1453" i="1"/>
  <c r="D1453" i="1"/>
  <c r="C1453" i="1"/>
  <c r="F1452" i="1"/>
  <c r="E1452" i="1"/>
  <c r="D1452" i="1"/>
  <c r="C1452" i="1"/>
  <c r="F1451" i="1"/>
  <c r="E1451" i="1"/>
  <c r="D1451" i="1"/>
  <c r="C1451" i="1"/>
  <c r="F1450" i="1"/>
  <c r="E1450" i="1"/>
  <c r="D1450" i="1"/>
  <c r="C1450" i="1"/>
  <c r="F1449" i="1"/>
  <c r="E1449" i="1"/>
  <c r="D1449" i="1"/>
  <c r="C1449" i="1"/>
  <c r="F1448" i="1"/>
  <c r="E1448" i="1"/>
  <c r="D1448" i="1"/>
  <c r="C1448" i="1"/>
  <c r="F1447" i="1"/>
  <c r="E1447" i="1"/>
  <c r="D1447" i="1"/>
  <c r="C1447" i="1"/>
  <c r="F1446" i="1"/>
  <c r="E1446" i="1"/>
  <c r="D1446" i="1"/>
  <c r="C1446" i="1"/>
  <c r="F1445" i="1"/>
  <c r="E1445" i="1"/>
  <c r="D1445" i="1"/>
  <c r="C1445" i="1"/>
  <c r="F1444" i="1"/>
  <c r="E1444" i="1"/>
  <c r="D1444" i="1"/>
  <c r="C1444" i="1"/>
  <c r="F1443" i="1"/>
  <c r="E1443" i="1"/>
  <c r="D1443" i="1"/>
  <c r="C1443" i="1"/>
  <c r="F1442" i="1"/>
  <c r="E1442" i="1"/>
  <c r="D1442" i="1"/>
  <c r="C1442" i="1"/>
  <c r="F1441" i="1"/>
  <c r="E1441" i="1"/>
  <c r="D1441" i="1"/>
  <c r="C1441" i="1"/>
  <c r="F1440" i="1"/>
  <c r="E1440" i="1"/>
  <c r="D1440" i="1"/>
  <c r="C1440" i="1"/>
  <c r="F1439" i="1"/>
  <c r="E1439" i="1"/>
  <c r="D1439" i="1"/>
  <c r="C1439" i="1"/>
  <c r="F1438" i="1"/>
  <c r="E1438" i="1"/>
  <c r="D1438" i="1"/>
  <c r="C1438" i="1"/>
  <c r="F1437" i="1"/>
  <c r="E1437" i="1"/>
  <c r="D1437" i="1"/>
  <c r="C1437" i="1"/>
  <c r="F1436" i="1"/>
  <c r="E1436" i="1"/>
  <c r="D1436" i="1"/>
  <c r="C1436" i="1"/>
  <c r="F1435" i="1"/>
  <c r="E1435" i="1"/>
  <c r="D1435" i="1"/>
  <c r="C1435" i="1"/>
  <c r="F1434" i="1"/>
  <c r="E1434" i="1"/>
  <c r="D1434" i="1"/>
  <c r="C1434" i="1"/>
  <c r="F1433" i="1"/>
  <c r="E1433" i="1"/>
  <c r="D1433" i="1"/>
  <c r="C1433" i="1"/>
  <c r="F1432" i="1"/>
  <c r="E1432" i="1"/>
  <c r="D1432" i="1"/>
  <c r="C1432" i="1"/>
  <c r="F1431" i="1"/>
  <c r="E1431" i="1"/>
  <c r="D1431" i="1"/>
  <c r="C1431" i="1"/>
  <c r="F1430" i="1"/>
  <c r="E1430" i="1"/>
  <c r="D1430" i="1"/>
  <c r="C1430" i="1"/>
  <c r="F1429" i="1"/>
  <c r="E1429" i="1"/>
  <c r="D1429" i="1"/>
  <c r="C1429" i="1"/>
  <c r="F1428" i="1"/>
  <c r="E1428" i="1"/>
  <c r="D1428" i="1"/>
  <c r="C1428" i="1"/>
  <c r="F1427" i="1"/>
  <c r="E1427" i="1"/>
  <c r="D1427" i="1"/>
  <c r="C1427" i="1"/>
  <c r="F1426" i="1"/>
  <c r="E1426" i="1"/>
  <c r="D1426" i="1"/>
  <c r="C1426" i="1"/>
  <c r="F1425" i="1"/>
  <c r="E1425" i="1"/>
  <c r="D1425" i="1"/>
  <c r="C1425" i="1"/>
  <c r="F1424" i="1"/>
  <c r="E1424" i="1"/>
  <c r="D1424" i="1"/>
  <c r="C1424" i="1"/>
  <c r="F1423" i="1"/>
  <c r="E1423" i="1"/>
  <c r="D1423" i="1"/>
  <c r="C1423" i="1"/>
  <c r="F1422" i="1"/>
  <c r="E1422" i="1"/>
  <c r="D1422" i="1"/>
  <c r="C1422" i="1"/>
  <c r="F1421" i="1"/>
  <c r="E1421" i="1"/>
  <c r="D1421" i="1"/>
  <c r="C1421" i="1"/>
  <c r="F1420" i="1"/>
  <c r="E1420" i="1"/>
  <c r="D1420" i="1"/>
  <c r="C1420" i="1"/>
  <c r="F1419" i="1"/>
  <c r="E1419" i="1"/>
  <c r="D1419" i="1"/>
  <c r="C1419" i="1"/>
  <c r="F1418" i="1"/>
  <c r="E1418" i="1"/>
  <c r="D1418" i="1"/>
  <c r="C1418" i="1"/>
  <c r="F1417" i="1"/>
  <c r="E1417" i="1"/>
  <c r="D1417" i="1"/>
  <c r="C1417" i="1"/>
  <c r="F1416" i="1"/>
  <c r="E1416" i="1"/>
  <c r="D1416" i="1"/>
  <c r="C1416" i="1"/>
  <c r="F1415" i="1"/>
  <c r="E1415" i="1"/>
  <c r="D1415" i="1"/>
  <c r="C1415" i="1"/>
  <c r="F1414" i="1"/>
  <c r="E1414" i="1"/>
  <c r="D1414" i="1"/>
  <c r="C1414" i="1"/>
  <c r="F1413" i="1"/>
  <c r="E1413" i="1"/>
  <c r="D1413" i="1"/>
  <c r="C1413" i="1"/>
  <c r="F1412" i="1"/>
  <c r="E1412" i="1"/>
  <c r="D1412" i="1"/>
  <c r="C1412" i="1"/>
  <c r="F1411" i="1"/>
  <c r="E1411" i="1"/>
  <c r="D1411" i="1"/>
  <c r="C1411" i="1"/>
  <c r="F1410" i="1"/>
  <c r="E1410" i="1"/>
  <c r="D1410" i="1"/>
  <c r="C1410" i="1"/>
  <c r="F1409" i="1"/>
  <c r="E1409" i="1"/>
  <c r="D1409" i="1"/>
  <c r="C1409" i="1"/>
  <c r="F1408" i="1"/>
  <c r="E1408" i="1"/>
  <c r="D1408" i="1"/>
  <c r="C1408" i="1"/>
  <c r="F1407" i="1"/>
  <c r="E1407" i="1"/>
  <c r="D1407" i="1"/>
  <c r="C1407" i="1"/>
  <c r="F1406" i="1"/>
  <c r="E1406" i="1"/>
  <c r="D1406" i="1"/>
  <c r="C1406" i="1"/>
  <c r="F1405" i="1"/>
  <c r="E1405" i="1"/>
  <c r="D1405" i="1"/>
  <c r="C1405" i="1"/>
  <c r="F1404" i="1"/>
  <c r="E1404" i="1"/>
  <c r="D1404" i="1"/>
  <c r="C1404" i="1"/>
  <c r="F1403" i="1"/>
  <c r="E1403" i="1"/>
  <c r="D1403" i="1"/>
  <c r="C1403" i="1"/>
  <c r="F1402" i="1"/>
  <c r="E1402" i="1"/>
  <c r="D1402" i="1"/>
  <c r="C1402" i="1"/>
  <c r="F1401" i="1"/>
  <c r="E1401" i="1"/>
  <c r="D1401" i="1"/>
  <c r="C1401" i="1"/>
  <c r="F1400" i="1"/>
  <c r="E1400" i="1"/>
  <c r="D1400" i="1"/>
  <c r="C1400" i="1"/>
  <c r="F1399" i="1"/>
  <c r="E1399" i="1"/>
  <c r="D1399" i="1"/>
  <c r="C1399" i="1"/>
  <c r="F1398" i="1"/>
  <c r="E1398" i="1"/>
  <c r="D1398" i="1"/>
  <c r="C1398" i="1"/>
  <c r="F1397" i="1"/>
  <c r="E1397" i="1"/>
  <c r="D1397" i="1"/>
  <c r="C1397" i="1"/>
  <c r="F1396" i="1"/>
  <c r="E1396" i="1"/>
  <c r="D1396" i="1"/>
  <c r="C1396" i="1"/>
  <c r="F1395" i="1"/>
  <c r="E1395" i="1"/>
  <c r="D1395" i="1"/>
  <c r="C1395" i="1"/>
  <c r="F1394" i="1"/>
  <c r="E1394" i="1"/>
  <c r="D1394" i="1"/>
  <c r="C1394" i="1"/>
  <c r="F1393" i="1"/>
  <c r="E1393" i="1"/>
  <c r="D1393" i="1"/>
  <c r="C1393" i="1"/>
  <c r="F1392" i="1"/>
  <c r="E1392" i="1"/>
  <c r="D1392" i="1"/>
  <c r="C1392" i="1"/>
  <c r="F1391" i="1"/>
  <c r="E1391" i="1"/>
  <c r="D1391" i="1"/>
  <c r="C1391" i="1"/>
  <c r="F1390" i="1"/>
  <c r="E1390" i="1"/>
  <c r="D1390" i="1"/>
  <c r="C1390" i="1"/>
  <c r="F1389" i="1"/>
  <c r="E1389" i="1"/>
  <c r="D1389" i="1"/>
  <c r="C1389" i="1"/>
  <c r="F1388" i="1"/>
  <c r="E1388" i="1"/>
  <c r="D1388" i="1"/>
  <c r="C1388" i="1"/>
  <c r="F1387" i="1"/>
  <c r="E1387" i="1"/>
  <c r="D1387" i="1"/>
  <c r="C1387" i="1"/>
  <c r="F1386" i="1"/>
  <c r="E1386" i="1"/>
  <c r="D1386" i="1"/>
  <c r="C1386" i="1"/>
  <c r="F1385" i="1"/>
  <c r="E1385" i="1"/>
  <c r="D1385" i="1"/>
  <c r="C1385" i="1"/>
  <c r="F1384" i="1"/>
  <c r="E1384" i="1"/>
  <c r="D1384" i="1"/>
  <c r="C1384" i="1"/>
  <c r="F1383" i="1"/>
  <c r="E1383" i="1"/>
  <c r="D1383" i="1"/>
  <c r="C1383" i="1"/>
  <c r="F1382" i="1"/>
  <c r="E1382" i="1"/>
  <c r="D1382" i="1"/>
  <c r="C1382" i="1"/>
  <c r="F1381" i="1"/>
  <c r="E1381" i="1"/>
  <c r="D1381" i="1"/>
  <c r="C1381" i="1"/>
  <c r="F1380" i="1"/>
  <c r="E1380" i="1"/>
  <c r="D1380" i="1"/>
  <c r="C1380" i="1"/>
  <c r="F1379" i="1"/>
  <c r="E1379" i="1"/>
  <c r="D1379" i="1"/>
  <c r="C1379" i="1"/>
  <c r="F1378" i="1"/>
  <c r="E1378" i="1"/>
  <c r="D1378" i="1"/>
  <c r="C1378" i="1"/>
  <c r="F1377" i="1"/>
  <c r="E1377" i="1"/>
  <c r="D1377" i="1"/>
  <c r="C1377" i="1"/>
  <c r="F1376" i="1"/>
  <c r="E1376" i="1"/>
  <c r="D1376" i="1"/>
  <c r="C1376" i="1"/>
  <c r="F1375" i="1"/>
  <c r="E1375" i="1"/>
  <c r="D1375" i="1"/>
  <c r="C1375" i="1"/>
  <c r="F1374" i="1"/>
  <c r="E1374" i="1"/>
  <c r="D1374" i="1"/>
  <c r="C1374" i="1"/>
  <c r="F1373" i="1"/>
  <c r="E1373" i="1"/>
  <c r="D1373" i="1"/>
  <c r="C1373" i="1"/>
  <c r="F1372" i="1"/>
  <c r="E1372" i="1"/>
  <c r="D1372" i="1"/>
  <c r="C1372" i="1"/>
  <c r="F1371" i="1"/>
  <c r="E1371" i="1"/>
  <c r="D1371" i="1"/>
  <c r="C1371" i="1"/>
  <c r="F1370" i="1"/>
  <c r="E1370" i="1"/>
  <c r="D1370" i="1"/>
  <c r="C1370" i="1"/>
  <c r="F1369" i="1"/>
  <c r="E1369" i="1"/>
  <c r="D1369" i="1"/>
  <c r="C1369" i="1"/>
  <c r="F1368" i="1"/>
  <c r="E1368" i="1"/>
  <c r="D1368" i="1"/>
  <c r="C1368" i="1"/>
  <c r="F1367" i="1"/>
  <c r="E1367" i="1"/>
  <c r="D1367" i="1"/>
  <c r="C1367" i="1"/>
  <c r="F1366" i="1"/>
  <c r="E1366" i="1"/>
  <c r="D1366" i="1"/>
  <c r="C1366" i="1"/>
  <c r="F1365" i="1"/>
  <c r="E1365" i="1"/>
  <c r="D1365" i="1"/>
  <c r="C1365" i="1"/>
  <c r="F1364" i="1"/>
  <c r="E1364" i="1"/>
  <c r="D1364" i="1"/>
  <c r="C1364" i="1"/>
  <c r="F1363" i="1"/>
  <c r="E1363" i="1"/>
  <c r="D1363" i="1"/>
  <c r="C1363" i="1"/>
  <c r="F1362" i="1"/>
  <c r="E1362" i="1"/>
  <c r="D1362" i="1"/>
  <c r="C1362" i="1"/>
  <c r="F1361" i="1"/>
  <c r="E1361" i="1"/>
  <c r="D1361" i="1"/>
  <c r="C1361" i="1"/>
  <c r="F1360" i="1"/>
  <c r="E1360" i="1"/>
  <c r="D1360" i="1"/>
  <c r="C1360" i="1"/>
  <c r="F1359" i="1"/>
  <c r="E1359" i="1"/>
  <c r="D1359" i="1"/>
  <c r="C1359" i="1"/>
  <c r="F1358" i="1"/>
  <c r="E1358" i="1"/>
  <c r="D1358" i="1"/>
  <c r="C1358" i="1"/>
  <c r="F1357" i="1"/>
  <c r="E1357" i="1"/>
  <c r="D1357" i="1"/>
  <c r="C1357" i="1"/>
  <c r="F1356" i="1"/>
  <c r="E1356" i="1"/>
  <c r="D1356" i="1"/>
  <c r="C1356" i="1"/>
  <c r="F1355" i="1"/>
  <c r="E1355" i="1"/>
  <c r="D1355" i="1"/>
  <c r="C1355" i="1"/>
  <c r="F1354" i="1"/>
  <c r="E1354" i="1"/>
  <c r="D1354" i="1"/>
  <c r="C1354" i="1"/>
  <c r="F1353" i="1"/>
  <c r="E1353" i="1"/>
  <c r="D1353" i="1"/>
  <c r="C1353" i="1"/>
  <c r="F1352" i="1"/>
  <c r="E1352" i="1"/>
  <c r="D1352" i="1"/>
  <c r="C1352" i="1"/>
  <c r="F1351" i="1"/>
  <c r="E1351" i="1"/>
  <c r="D1351" i="1"/>
  <c r="C1351" i="1"/>
  <c r="F1350" i="1"/>
  <c r="E1350" i="1"/>
  <c r="D1350" i="1"/>
  <c r="C1350" i="1"/>
  <c r="F1349" i="1"/>
  <c r="E1349" i="1"/>
  <c r="D1349" i="1"/>
  <c r="C1349" i="1"/>
  <c r="F1348" i="1"/>
  <c r="E1348" i="1"/>
  <c r="D1348" i="1"/>
  <c r="C1348" i="1"/>
  <c r="F1347" i="1"/>
  <c r="E1347" i="1"/>
  <c r="D1347" i="1"/>
  <c r="C1347" i="1"/>
  <c r="F1346" i="1"/>
  <c r="E1346" i="1"/>
  <c r="D1346" i="1"/>
  <c r="C1346" i="1"/>
  <c r="F1345" i="1"/>
  <c r="E1345" i="1"/>
  <c r="D1345" i="1"/>
  <c r="C1345" i="1"/>
  <c r="F1344" i="1"/>
  <c r="E1344" i="1"/>
  <c r="D1344" i="1"/>
  <c r="C1344" i="1"/>
  <c r="F1343" i="1"/>
  <c r="E1343" i="1"/>
  <c r="D1343" i="1"/>
  <c r="C1343" i="1"/>
  <c r="F1342" i="1"/>
  <c r="E1342" i="1"/>
  <c r="D1342" i="1"/>
  <c r="C1342" i="1"/>
  <c r="F1341" i="1"/>
  <c r="E1341" i="1"/>
  <c r="D1341" i="1"/>
  <c r="C1341" i="1"/>
  <c r="F1340" i="1"/>
  <c r="E1340" i="1"/>
  <c r="D1340" i="1"/>
  <c r="C1340" i="1"/>
  <c r="F1339" i="1"/>
  <c r="E1339" i="1"/>
  <c r="D1339" i="1"/>
  <c r="C1339" i="1"/>
  <c r="F1338" i="1"/>
  <c r="E1338" i="1"/>
  <c r="D1338" i="1"/>
  <c r="C1338" i="1"/>
  <c r="F1337" i="1"/>
  <c r="E1337" i="1"/>
  <c r="D1337" i="1"/>
  <c r="C1337" i="1"/>
  <c r="F1336" i="1"/>
  <c r="E1336" i="1"/>
  <c r="D1336" i="1"/>
  <c r="C1336" i="1"/>
  <c r="F1335" i="1"/>
  <c r="E1335" i="1"/>
  <c r="D1335" i="1"/>
  <c r="C1335" i="1"/>
  <c r="F1334" i="1"/>
  <c r="E1334" i="1"/>
  <c r="D1334" i="1"/>
  <c r="C1334" i="1"/>
  <c r="F1333" i="1"/>
  <c r="E1333" i="1"/>
  <c r="D1333" i="1"/>
  <c r="C1333" i="1"/>
  <c r="F1332" i="1"/>
  <c r="E1332" i="1"/>
  <c r="D1332" i="1"/>
  <c r="C1332" i="1"/>
  <c r="F1331" i="1"/>
  <c r="E1331" i="1"/>
  <c r="D1331" i="1"/>
  <c r="C1331" i="1"/>
  <c r="F1330" i="1"/>
  <c r="E1330" i="1"/>
  <c r="D1330" i="1"/>
  <c r="C1330" i="1"/>
  <c r="F1329" i="1"/>
  <c r="E1329" i="1"/>
  <c r="D1329" i="1"/>
  <c r="C1329" i="1"/>
  <c r="F1328" i="1"/>
  <c r="E1328" i="1"/>
  <c r="D1328" i="1"/>
  <c r="C1328" i="1"/>
  <c r="F1327" i="1"/>
  <c r="E1327" i="1"/>
  <c r="D1327" i="1"/>
  <c r="C1327" i="1"/>
  <c r="F1326" i="1"/>
  <c r="E1326" i="1"/>
  <c r="D1326" i="1"/>
  <c r="C1326" i="1"/>
  <c r="F1325" i="1"/>
  <c r="E1325" i="1"/>
  <c r="D1325" i="1"/>
  <c r="C1325" i="1"/>
  <c r="F1324" i="1"/>
  <c r="E1324" i="1"/>
  <c r="D1324" i="1"/>
  <c r="C1324" i="1"/>
  <c r="F1323" i="1"/>
  <c r="E1323" i="1"/>
  <c r="D1323" i="1"/>
  <c r="C1323" i="1"/>
  <c r="F1322" i="1"/>
  <c r="E1322" i="1"/>
  <c r="D1322" i="1"/>
  <c r="C1322" i="1"/>
  <c r="F1321" i="1"/>
  <c r="E1321" i="1"/>
  <c r="D1321" i="1"/>
  <c r="C1321" i="1"/>
  <c r="F1320" i="1"/>
  <c r="E1320" i="1"/>
  <c r="D1320" i="1"/>
  <c r="C1320" i="1"/>
  <c r="F1319" i="1"/>
  <c r="E1319" i="1"/>
  <c r="D1319" i="1"/>
  <c r="C1319" i="1"/>
  <c r="F1318" i="1"/>
  <c r="E1318" i="1"/>
  <c r="D1318" i="1"/>
  <c r="C1318" i="1"/>
  <c r="F1317" i="1"/>
  <c r="E1317" i="1"/>
  <c r="D1317" i="1"/>
  <c r="C1317" i="1"/>
  <c r="F1316" i="1"/>
  <c r="E1316" i="1"/>
  <c r="D1316" i="1"/>
  <c r="C1316" i="1"/>
  <c r="F1315" i="1"/>
  <c r="E1315" i="1"/>
  <c r="D1315" i="1"/>
  <c r="C1315" i="1"/>
  <c r="F1314" i="1"/>
  <c r="E1314" i="1"/>
  <c r="D1314" i="1"/>
  <c r="C1314" i="1"/>
  <c r="F1313" i="1"/>
  <c r="E1313" i="1"/>
  <c r="D1313" i="1"/>
  <c r="C1313" i="1"/>
  <c r="F1312" i="1"/>
  <c r="E1312" i="1"/>
  <c r="D1312" i="1"/>
  <c r="C1312" i="1"/>
  <c r="F1311" i="1"/>
  <c r="E1311" i="1"/>
  <c r="D1311" i="1"/>
  <c r="C1311" i="1"/>
  <c r="F1310" i="1"/>
  <c r="E1310" i="1"/>
  <c r="D1310" i="1"/>
  <c r="C1310" i="1"/>
  <c r="F1309" i="1"/>
  <c r="E1309" i="1"/>
  <c r="D1309" i="1"/>
  <c r="C1309" i="1"/>
  <c r="F1308" i="1"/>
  <c r="E1308" i="1"/>
  <c r="D1308" i="1"/>
  <c r="C1308" i="1"/>
  <c r="F1307" i="1"/>
  <c r="E1307" i="1"/>
  <c r="D1307" i="1"/>
  <c r="C1307" i="1"/>
  <c r="F1306" i="1"/>
  <c r="E1306" i="1"/>
  <c r="D1306" i="1"/>
  <c r="C1306" i="1"/>
  <c r="F1305" i="1"/>
  <c r="E1305" i="1"/>
  <c r="D1305" i="1"/>
  <c r="C1305" i="1"/>
  <c r="F1304" i="1"/>
  <c r="E1304" i="1"/>
  <c r="D1304" i="1"/>
  <c r="C1304" i="1"/>
  <c r="F1303" i="1"/>
  <c r="E1303" i="1"/>
  <c r="D1303" i="1"/>
  <c r="C1303" i="1"/>
  <c r="F1302" i="1"/>
  <c r="E1302" i="1"/>
  <c r="D1302" i="1"/>
  <c r="C1302" i="1"/>
  <c r="F1301" i="1"/>
  <c r="E1301" i="1"/>
  <c r="D1301" i="1"/>
  <c r="C1301" i="1"/>
  <c r="F1300" i="1"/>
  <c r="E1300" i="1"/>
  <c r="D1300" i="1"/>
  <c r="C1300" i="1"/>
  <c r="F1299" i="1"/>
  <c r="E1299" i="1"/>
  <c r="D1299" i="1"/>
  <c r="C1299" i="1"/>
  <c r="F1298" i="1"/>
  <c r="E1298" i="1"/>
  <c r="D1298" i="1"/>
  <c r="C1298" i="1"/>
  <c r="F1297" i="1"/>
  <c r="E1297" i="1"/>
  <c r="D1297" i="1"/>
  <c r="C1297" i="1"/>
  <c r="F1296" i="1"/>
  <c r="E1296" i="1"/>
  <c r="D1296" i="1"/>
  <c r="C1296" i="1"/>
  <c r="F1295" i="1"/>
  <c r="E1295" i="1"/>
  <c r="D1295" i="1"/>
  <c r="C1295" i="1"/>
  <c r="F1294" i="1"/>
  <c r="E1294" i="1"/>
  <c r="D1294" i="1"/>
  <c r="C1294" i="1"/>
  <c r="F1293" i="1"/>
  <c r="E1293" i="1"/>
  <c r="D1293" i="1"/>
  <c r="C1293" i="1"/>
  <c r="F1292" i="1"/>
  <c r="E1292" i="1"/>
  <c r="D1292" i="1"/>
  <c r="C1292" i="1"/>
  <c r="F1291" i="1"/>
  <c r="E1291" i="1"/>
  <c r="D1291" i="1"/>
  <c r="C1291" i="1"/>
  <c r="F1290" i="1"/>
  <c r="E1290" i="1"/>
  <c r="D1290" i="1"/>
  <c r="C1290" i="1"/>
  <c r="F1289" i="1"/>
  <c r="E1289" i="1"/>
  <c r="D1289" i="1"/>
  <c r="C1289" i="1"/>
  <c r="F1288" i="1"/>
  <c r="E1288" i="1"/>
  <c r="D1288" i="1"/>
  <c r="C1288" i="1"/>
  <c r="F1287" i="1"/>
  <c r="E1287" i="1"/>
  <c r="D1287" i="1"/>
  <c r="C1287" i="1"/>
  <c r="F1286" i="1"/>
  <c r="E1286" i="1"/>
  <c r="D1286" i="1"/>
  <c r="C1286" i="1"/>
  <c r="F1285" i="1"/>
  <c r="E1285" i="1"/>
  <c r="D1285" i="1"/>
  <c r="C1285" i="1"/>
  <c r="F1284" i="1"/>
  <c r="E1284" i="1"/>
  <c r="D1284" i="1"/>
  <c r="C1284" i="1"/>
  <c r="F1283" i="1"/>
  <c r="E1283" i="1"/>
  <c r="D1283" i="1"/>
  <c r="C1283" i="1"/>
  <c r="F1282" i="1"/>
  <c r="E1282" i="1"/>
  <c r="D1282" i="1"/>
  <c r="C1282" i="1"/>
  <c r="F1281" i="1"/>
  <c r="E1281" i="1"/>
  <c r="D1281" i="1"/>
  <c r="C1281" i="1"/>
  <c r="F1280" i="1"/>
  <c r="E1280" i="1"/>
  <c r="D1280" i="1"/>
  <c r="C1280" i="1"/>
  <c r="F1279" i="1"/>
  <c r="E1279" i="1"/>
  <c r="D1279" i="1"/>
  <c r="C1279" i="1"/>
  <c r="F1278" i="1"/>
  <c r="E1278" i="1"/>
  <c r="D1278" i="1"/>
  <c r="C1278" i="1"/>
  <c r="F1277" i="1"/>
  <c r="E1277" i="1"/>
  <c r="D1277" i="1"/>
  <c r="C1277" i="1"/>
  <c r="F1276" i="1"/>
  <c r="E1276" i="1"/>
  <c r="D1276" i="1"/>
  <c r="C1276" i="1"/>
  <c r="F1275" i="1"/>
  <c r="E1275" i="1"/>
  <c r="D1275" i="1"/>
  <c r="C1275" i="1"/>
  <c r="F1274" i="1"/>
  <c r="E1274" i="1"/>
  <c r="D1274" i="1"/>
  <c r="C1274" i="1"/>
  <c r="F1273" i="1"/>
  <c r="E1273" i="1"/>
  <c r="D1273" i="1"/>
  <c r="C1273" i="1"/>
  <c r="F1272" i="1"/>
  <c r="E1272" i="1"/>
  <c r="D1272" i="1"/>
  <c r="C1272" i="1"/>
  <c r="F1271" i="1"/>
  <c r="E1271" i="1"/>
  <c r="D1271" i="1"/>
  <c r="C1271" i="1"/>
  <c r="F1270" i="1"/>
  <c r="E1270" i="1"/>
  <c r="D1270" i="1"/>
  <c r="C1270" i="1"/>
  <c r="F1269" i="1"/>
  <c r="E1269" i="1"/>
  <c r="D1269" i="1"/>
  <c r="C1269" i="1"/>
  <c r="F1268" i="1"/>
  <c r="E1268" i="1"/>
  <c r="D1268" i="1"/>
  <c r="C1268" i="1"/>
  <c r="F1267" i="1"/>
  <c r="E1267" i="1"/>
  <c r="D1267" i="1"/>
  <c r="C1267" i="1"/>
  <c r="F1266" i="1"/>
  <c r="E1266" i="1"/>
  <c r="D1266" i="1"/>
  <c r="C1266" i="1"/>
  <c r="F1265" i="1"/>
  <c r="E1265" i="1"/>
  <c r="D1265" i="1"/>
  <c r="C1265" i="1"/>
  <c r="F1264" i="1"/>
  <c r="E1264" i="1"/>
  <c r="D1264" i="1"/>
  <c r="C1264" i="1"/>
  <c r="F1263" i="1"/>
  <c r="E1263" i="1"/>
  <c r="D1263" i="1"/>
  <c r="C1263" i="1"/>
  <c r="F1262" i="1"/>
  <c r="E1262" i="1"/>
  <c r="D1262" i="1"/>
  <c r="C1262" i="1"/>
  <c r="F1261" i="1"/>
  <c r="E1261" i="1"/>
  <c r="D1261" i="1"/>
  <c r="C1261" i="1"/>
  <c r="F1260" i="1"/>
  <c r="E1260" i="1"/>
  <c r="D1260" i="1"/>
  <c r="C1260" i="1"/>
  <c r="F1259" i="1"/>
  <c r="E1259" i="1"/>
  <c r="D1259" i="1"/>
  <c r="C1259" i="1"/>
  <c r="F1258" i="1"/>
  <c r="E1258" i="1"/>
  <c r="D1258" i="1"/>
  <c r="C1258" i="1"/>
  <c r="F1257" i="1"/>
  <c r="E1257" i="1"/>
  <c r="D1257" i="1"/>
  <c r="C1257" i="1"/>
  <c r="F1256" i="1"/>
  <c r="E1256" i="1"/>
  <c r="D1256" i="1"/>
  <c r="C1256" i="1"/>
  <c r="F1255" i="1"/>
  <c r="E1255" i="1"/>
  <c r="D1255" i="1"/>
  <c r="C1255" i="1"/>
  <c r="F1254" i="1"/>
  <c r="E1254" i="1"/>
  <c r="D1254" i="1"/>
  <c r="C1254" i="1"/>
  <c r="F1253" i="1"/>
  <c r="E1253" i="1"/>
  <c r="D1253" i="1"/>
  <c r="C1253" i="1"/>
  <c r="F1252" i="1"/>
  <c r="E1252" i="1"/>
  <c r="D1252" i="1"/>
  <c r="C1252" i="1"/>
  <c r="F1251" i="1"/>
  <c r="E1251" i="1"/>
  <c r="D1251" i="1"/>
  <c r="C1251" i="1"/>
  <c r="F1250" i="1"/>
  <c r="E1250" i="1"/>
  <c r="D1250" i="1"/>
  <c r="C1250" i="1"/>
  <c r="F1249" i="1"/>
  <c r="E1249" i="1"/>
  <c r="D1249" i="1"/>
  <c r="C1249" i="1"/>
  <c r="F1248" i="1"/>
  <c r="E1248" i="1"/>
  <c r="D1248" i="1"/>
  <c r="C1248" i="1"/>
  <c r="F1247" i="1"/>
  <c r="E1247" i="1"/>
  <c r="D1247" i="1"/>
  <c r="C1247" i="1"/>
  <c r="F1246" i="1"/>
  <c r="E1246" i="1"/>
  <c r="D1246" i="1"/>
  <c r="C1246" i="1"/>
  <c r="F1245" i="1"/>
  <c r="E1245" i="1"/>
  <c r="D1245" i="1"/>
  <c r="C1245" i="1"/>
  <c r="F1244" i="1"/>
  <c r="E1244" i="1"/>
  <c r="D1244" i="1"/>
  <c r="C1244" i="1"/>
  <c r="F1243" i="1"/>
  <c r="E1243" i="1"/>
  <c r="D1243" i="1"/>
  <c r="C1243" i="1"/>
  <c r="F1242" i="1"/>
  <c r="E1242" i="1"/>
  <c r="D1242" i="1"/>
  <c r="C1242" i="1"/>
  <c r="F1241" i="1"/>
  <c r="E1241" i="1"/>
  <c r="D1241" i="1"/>
  <c r="C1241" i="1"/>
  <c r="F1240" i="1"/>
  <c r="E1240" i="1"/>
  <c r="D1240" i="1"/>
  <c r="C1240" i="1"/>
  <c r="F1239" i="1"/>
  <c r="E1239" i="1"/>
  <c r="D1239" i="1"/>
  <c r="C1239" i="1"/>
  <c r="F1238" i="1"/>
  <c r="E1238" i="1"/>
  <c r="D1238" i="1"/>
  <c r="C1238" i="1"/>
  <c r="F1237" i="1"/>
  <c r="E1237" i="1"/>
  <c r="D1237" i="1"/>
  <c r="C1237" i="1"/>
  <c r="F1236" i="1"/>
  <c r="E1236" i="1"/>
  <c r="D1236" i="1"/>
  <c r="C1236" i="1"/>
  <c r="F1235" i="1"/>
  <c r="E1235" i="1"/>
  <c r="D1235" i="1"/>
  <c r="C1235" i="1"/>
  <c r="F1234" i="1"/>
  <c r="E1234" i="1"/>
  <c r="D1234" i="1"/>
  <c r="C1234" i="1"/>
  <c r="F1233" i="1"/>
  <c r="E1233" i="1"/>
  <c r="D1233" i="1"/>
  <c r="C1233" i="1"/>
  <c r="F1232" i="1"/>
  <c r="E1232" i="1"/>
  <c r="D1232" i="1"/>
  <c r="C1232" i="1"/>
  <c r="F1231" i="1"/>
  <c r="E1231" i="1"/>
  <c r="D1231" i="1"/>
  <c r="C1231" i="1"/>
  <c r="F1230" i="1"/>
  <c r="E1230" i="1"/>
  <c r="D1230" i="1"/>
  <c r="C1230" i="1"/>
  <c r="F1229" i="1"/>
  <c r="E1229" i="1"/>
  <c r="D1229" i="1"/>
  <c r="C1229" i="1"/>
  <c r="F1228" i="1"/>
  <c r="E1228" i="1"/>
  <c r="D1228" i="1"/>
  <c r="C1228" i="1"/>
  <c r="F1227" i="1"/>
  <c r="E1227" i="1"/>
  <c r="D1227" i="1"/>
  <c r="C1227" i="1"/>
  <c r="F1226" i="1"/>
  <c r="E1226" i="1"/>
  <c r="D1226" i="1"/>
  <c r="C1226" i="1"/>
  <c r="F1225" i="1"/>
  <c r="E1225" i="1"/>
  <c r="D1225" i="1"/>
  <c r="C1225" i="1"/>
  <c r="F1224" i="1"/>
  <c r="E1224" i="1"/>
  <c r="D1224" i="1"/>
  <c r="C1224" i="1"/>
  <c r="F1223" i="1"/>
  <c r="E1223" i="1"/>
  <c r="D1223" i="1"/>
  <c r="C1223" i="1"/>
  <c r="F1222" i="1"/>
  <c r="E1222" i="1"/>
  <c r="D1222" i="1"/>
  <c r="C1222" i="1"/>
  <c r="F1221" i="1"/>
  <c r="E1221" i="1"/>
  <c r="D1221" i="1"/>
  <c r="C1221" i="1"/>
  <c r="F1220" i="1"/>
  <c r="E1220" i="1"/>
  <c r="D1220" i="1"/>
  <c r="C1220" i="1"/>
  <c r="F1219" i="1"/>
  <c r="E1219" i="1"/>
  <c r="D1219" i="1"/>
  <c r="C1219" i="1"/>
  <c r="F1218" i="1"/>
  <c r="E1218" i="1"/>
  <c r="D1218" i="1"/>
  <c r="C1218" i="1"/>
  <c r="F1217" i="1"/>
  <c r="E1217" i="1"/>
  <c r="D1217" i="1"/>
  <c r="C1217" i="1"/>
  <c r="F1216" i="1"/>
  <c r="E1216" i="1"/>
  <c r="D1216" i="1"/>
  <c r="C1216" i="1"/>
  <c r="F1215" i="1"/>
  <c r="E1215" i="1"/>
  <c r="D1215" i="1"/>
  <c r="C1215" i="1"/>
  <c r="F1214" i="1"/>
  <c r="E1214" i="1"/>
  <c r="D1214" i="1"/>
  <c r="C1214" i="1"/>
  <c r="F1213" i="1"/>
  <c r="E1213" i="1"/>
  <c r="D1213" i="1"/>
  <c r="C1213" i="1"/>
  <c r="F1212" i="1"/>
  <c r="E1212" i="1"/>
  <c r="D1212" i="1"/>
  <c r="C1212" i="1"/>
  <c r="F1211" i="1"/>
  <c r="E1211" i="1"/>
  <c r="D1211" i="1"/>
  <c r="C1211" i="1"/>
  <c r="F1210" i="1"/>
  <c r="E1210" i="1"/>
  <c r="D1210" i="1"/>
  <c r="C1210" i="1"/>
  <c r="F1209" i="1"/>
  <c r="E1209" i="1"/>
  <c r="D1209" i="1"/>
  <c r="C1209" i="1"/>
  <c r="F1208" i="1"/>
  <c r="E1208" i="1"/>
  <c r="D1208" i="1"/>
  <c r="C1208" i="1"/>
  <c r="F1207" i="1"/>
  <c r="E1207" i="1"/>
  <c r="D1207" i="1"/>
  <c r="C1207" i="1"/>
  <c r="F1206" i="1"/>
  <c r="E1206" i="1"/>
  <c r="D1206" i="1"/>
  <c r="C1206" i="1"/>
  <c r="F1205" i="1"/>
  <c r="E1205" i="1"/>
  <c r="D1205" i="1"/>
  <c r="C1205" i="1"/>
  <c r="F1204" i="1"/>
  <c r="E1204" i="1"/>
  <c r="D1204" i="1"/>
  <c r="C1204" i="1"/>
  <c r="F1203" i="1"/>
  <c r="E1203" i="1"/>
  <c r="D1203" i="1"/>
  <c r="C1203" i="1"/>
  <c r="F1202" i="1"/>
  <c r="E1202" i="1"/>
  <c r="D1202" i="1"/>
  <c r="C1202" i="1"/>
  <c r="F1201" i="1"/>
  <c r="E1201" i="1"/>
  <c r="D1201" i="1"/>
  <c r="C1201" i="1"/>
  <c r="F1200" i="1"/>
  <c r="E1200" i="1"/>
  <c r="D1200" i="1"/>
  <c r="C1200" i="1"/>
  <c r="F1199" i="1"/>
  <c r="E1199" i="1"/>
  <c r="D1199" i="1"/>
  <c r="C1199" i="1"/>
  <c r="F1198" i="1"/>
  <c r="E1198" i="1"/>
  <c r="D1198" i="1"/>
  <c r="C1198" i="1"/>
  <c r="F1197" i="1"/>
  <c r="E1197" i="1"/>
  <c r="D1197" i="1"/>
  <c r="C1197" i="1"/>
  <c r="F1196" i="1"/>
  <c r="E1196" i="1"/>
  <c r="D1196" i="1"/>
  <c r="C1196" i="1"/>
  <c r="F1195" i="1"/>
  <c r="E1195" i="1"/>
  <c r="D1195" i="1"/>
  <c r="C1195" i="1"/>
  <c r="F1194" i="1"/>
  <c r="E1194" i="1"/>
  <c r="D1194" i="1"/>
  <c r="C1194" i="1"/>
  <c r="F1193" i="1"/>
  <c r="E1193" i="1"/>
  <c r="D1193" i="1"/>
  <c r="C1193" i="1"/>
  <c r="F1192" i="1"/>
  <c r="E1192" i="1"/>
  <c r="D1192" i="1"/>
  <c r="C1192" i="1"/>
  <c r="F1191" i="1"/>
  <c r="E1191" i="1"/>
  <c r="D1191" i="1"/>
  <c r="C1191" i="1"/>
  <c r="F1190" i="1"/>
  <c r="E1190" i="1"/>
  <c r="D1190" i="1"/>
  <c r="C1190" i="1"/>
  <c r="F1189" i="1"/>
  <c r="E1189" i="1"/>
  <c r="D1189" i="1"/>
  <c r="C1189" i="1"/>
  <c r="F1188" i="1"/>
  <c r="E1188" i="1"/>
  <c r="D1188" i="1"/>
  <c r="C1188" i="1"/>
  <c r="F1187" i="1"/>
  <c r="E1187" i="1"/>
  <c r="D1187" i="1"/>
  <c r="C1187" i="1"/>
  <c r="F1186" i="1"/>
  <c r="E1186" i="1"/>
  <c r="D1186" i="1"/>
  <c r="C1186" i="1"/>
  <c r="F1185" i="1"/>
  <c r="E1185" i="1"/>
  <c r="D1185" i="1"/>
  <c r="C1185" i="1"/>
  <c r="F1184" i="1"/>
  <c r="E1184" i="1"/>
  <c r="D1184" i="1"/>
  <c r="C1184" i="1"/>
  <c r="F1183" i="1"/>
  <c r="E1183" i="1"/>
  <c r="D1183" i="1"/>
  <c r="C1183" i="1"/>
  <c r="F1182" i="1"/>
  <c r="E1182" i="1"/>
  <c r="D1182" i="1"/>
  <c r="C1182" i="1"/>
  <c r="F1181" i="1"/>
  <c r="E1181" i="1"/>
  <c r="D1181" i="1"/>
  <c r="C1181" i="1"/>
  <c r="F1180" i="1"/>
  <c r="E1180" i="1"/>
  <c r="D1180" i="1"/>
  <c r="C1180" i="1"/>
  <c r="F1179" i="1"/>
  <c r="E1179" i="1"/>
  <c r="D1179" i="1"/>
  <c r="C1179" i="1"/>
  <c r="F1178" i="1"/>
  <c r="E1178" i="1"/>
  <c r="D1178" i="1"/>
  <c r="C1178" i="1"/>
  <c r="F1177" i="1"/>
  <c r="E1177" i="1"/>
  <c r="D1177" i="1"/>
  <c r="C1177" i="1"/>
  <c r="F1176" i="1"/>
  <c r="E1176" i="1"/>
  <c r="D1176" i="1"/>
  <c r="C1176" i="1"/>
  <c r="F1175" i="1"/>
  <c r="E1175" i="1"/>
  <c r="D1175" i="1"/>
  <c r="C1175" i="1"/>
  <c r="F1174" i="1"/>
  <c r="E1174" i="1"/>
  <c r="D1174" i="1"/>
  <c r="C1174" i="1"/>
  <c r="F1173" i="1"/>
  <c r="E1173" i="1"/>
  <c r="D1173" i="1"/>
  <c r="C1173" i="1"/>
  <c r="F1172" i="1"/>
  <c r="E1172" i="1"/>
  <c r="D1172" i="1"/>
  <c r="C1172" i="1"/>
  <c r="F1171" i="1"/>
  <c r="E1171" i="1"/>
  <c r="D1171" i="1"/>
  <c r="C1171" i="1"/>
  <c r="F1170" i="1"/>
  <c r="E1170" i="1"/>
  <c r="D1170" i="1"/>
  <c r="C1170" i="1"/>
  <c r="F1169" i="1"/>
  <c r="E1169" i="1"/>
  <c r="D1169" i="1"/>
  <c r="C1169" i="1"/>
  <c r="F1168" i="1"/>
  <c r="E1168" i="1"/>
  <c r="D1168" i="1"/>
  <c r="C1168" i="1"/>
  <c r="F1167" i="1"/>
  <c r="E1167" i="1"/>
  <c r="D1167" i="1"/>
  <c r="C1167" i="1"/>
  <c r="F1166" i="1"/>
  <c r="E1166" i="1"/>
  <c r="D1166" i="1"/>
  <c r="C1166" i="1"/>
  <c r="F1165" i="1"/>
  <c r="E1165" i="1"/>
  <c r="D1165" i="1"/>
  <c r="C1165" i="1"/>
  <c r="F1164" i="1"/>
  <c r="E1164" i="1"/>
  <c r="D1164" i="1"/>
  <c r="C1164" i="1"/>
  <c r="F1163" i="1"/>
  <c r="E1163" i="1"/>
  <c r="D1163" i="1"/>
  <c r="C1163" i="1"/>
  <c r="F1162" i="1"/>
  <c r="E1162" i="1"/>
  <c r="D1162" i="1"/>
  <c r="C1162" i="1"/>
  <c r="F1161" i="1"/>
  <c r="E1161" i="1"/>
  <c r="D1161" i="1"/>
  <c r="C1161" i="1"/>
  <c r="F1160" i="1"/>
  <c r="E1160" i="1"/>
  <c r="D1160" i="1"/>
  <c r="C1160" i="1"/>
  <c r="F1159" i="1"/>
  <c r="E1159" i="1"/>
  <c r="D1159" i="1"/>
  <c r="C1159" i="1"/>
  <c r="F1158" i="1"/>
  <c r="E1158" i="1"/>
  <c r="D1158" i="1"/>
  <c r="C1158" i="1"/>
  <c r="F1157" i="1"/>
  <c r="E1157" i="1"/>
  <c r="D1157" i="1"/>
  <c r="C1157" i="1"/>
  <c r="F1156" i="1"/>
  <c r="E1156" i="1"/>
  <c r="D1156" i="1"/>
  <c r="C1156" i="1"/>
  <c r="F1155" i="1"/>
  <c r="E1155" i="1"/>
  <c r="D1155" i="1"/>
  <c r="C1155" i="1"/>
  <c r="F1154" i="1"/>
  <c r="E1154" i="1"/>
  <c r="D1154" i="1"/>
  <c r="C1154" i="1"/>
  <c r="F1153" i="1"/>
  <c r="E1153" i="1"/>
  <c r="D1153" i="1"/>
  <c r="C1153" i="1"/>
  <c r="F1152" i="1"/>
  <c r="E1152" i="1"/>
  <c r="D1152" i="1"/>
  <c r="C1152" i="1"/>
  <c r="F1151" i="1"/>
  <c r="E1151" i="1"/>
  <c r="D1151" i="1"/>
  <c r="C1151" i="1"/>
  <c r="F1150" i="1"/>
  <c r="E1150" i="1"/>
  <c r="D1150" i="1"/>
  <c r="C1150" i="1"/>
  <c r="F1149" i="1"/>
  <c r="E1149" i="1"/>
  <c r="D1149" i="1"/>
  <c r="C1149" i="1"/>
  <c r="F1148" i="1"/>
  <c r="E1148" i="1"/>
  <c r="D1148" i="1"/>
  <c r="C1148" i="1"/>
  <c r="F1147" i="1"/>
  <c r="E1147" i="1"/>
  <c r="D1147" i="1"/>
  <c r="C1147" i="1"/>
  <c r="F1146" i="1"/>
  <c r="E1146" i="1"/>
  <c r="D1146" i="1"/>
  <c r="C1146" i="1"/>
  <c r="F1145" i="1"/>
  <c r="E1145" i="1"/>
  <c r="D1145" i="1"/>
  <c r="C1145" i="1"/>
  <c r="F1144" i="1"/>
  <c r="E1144" i="1"/>
  <c r="D1144" i="1"/>
  <c r="C1144" i="1"/>
  <c r="F1143" i="1"/>
  <c r="E1143" i="1"/>
  <c r="D1143" i="1"/>
  <c r="C1143" i="1"/>
  <c r="F1142" i="1"/>
  <c r="E1142" i="1"/>
  <c r="D1142" i="1"/>
  <c r="C1142" i="1"/>
  <c r="F1141" i="1"/>
  <c r="E1141" i="1"/>
  <c r="D1141" i="1"/>
  <c r="C1141" i="1"/>
  <c r="F1140" i="1"/>
  <c r="E1140" i="1"/>
  <c r="D1140" i="1"/>
  <c r="C1140" i="1"/>
  <c r="F1139" i="1"/>
  <c r="E1139" i="1"/>
  <c r="D1139" i="1"/>
  <c r="C1139" i="1"/>
  <c r="F1138" i="1"/>
  <c r="E1138" i="1"/>
  <c r="D1138" i="1"/>
  <c r="C1138" i="1"/>
  <c r="F1137" i="1"/>
  <c r="E1137" i="1"/>
  <c r="D1137" i="1"/>
  <c r="C1137" i="1"/>
  <c r="F1136" i="1"/>
  <c r="E1136" i="1"/>
  <c r="D1136" i="1"/>
  <c r="C1136" i="1"/>
  <c r="F1135" i="1"/>
  <c r="E1135" i="1"/>
  <c r="D1135" i="1"/>
  <c r="C1135" i="1"/>
  <c r="F1134" i="1"/>
  <c r="E1134" i="1"/>
  <c r="D1134" i="1"/>
  <c r="C1134" i="1"/>
  <c r="F1133" i="1"/>
  <c r="E1133" i="1"/>
  <c r="D1133" i="1"/>
  <c r="C1133" i="1"/>
  <c r="F1132" i="1"/>
  <c r="E1132" i="1"/>
  <c r="D1132" i="1"/>
  <c r="C1132" i="1"/>
  <c r="F1131" i="1"/>
  <c r="E1131" i="1"/>
  <c r="D1131" i="1"/>
  <c r="C1131" i="1"/>
  <c r="F1130" i="1"/>
  <c r="E1130" i="1"/>
  <c r="D1130" i="1"/>
  <c r="C1130" i="1"/>
  <c r="F1129" i="1"/>
  <c r="E1129" i="1"/>
  <c r="D1129" i="1"/>
  <c r="C1129" i="1"/>
  <c r="F1128" i="1"/>
  <c r="E1128" i="1"/>
  <c r="D1128" i="1"/>
  <c r="C1128" i="1"/>
  <c r="F1127" i="1"/>
  <c r="E1127" i="1"/>
  <c r="D1127" i="1"/>
  <c r="C1127" i="1"/>
  <c r="F1126" i="1"/>
  <c r="E1126" i="1"/>
  <c r="D1126" i="1"/>
  <c r="C1126" i="1"/>
  <c r="F1125" i="1"/>
  <c r="E1125" i="1"/>
  <c r="D1125" i="1"/>
  <c r="C1125" i="1"/>
  <c r="F1124" i="1"/>
  <c r="E1124" i="1"/>
  <c r="D1124" i="1"/>
  <c r="C1124" i="1"/>
  <c r="F1123" i="1"/>
  <c r="E1123" i="1"/>
  <c r="D1123" i="1"/>
  <c r="C1123" i="1"/>
  <c r="F1122" i="1"/>
  <c r="E1122" i="1"/>
  <c r="D1122" i="1"/>
  <c r="C1122" i="1"/>
  <c r="F1121" i="1"/>
  <c r="E1121" i="1"/>
  <c r="D1121" i="1"/>
  <c r="C1121" i="1"/>
  <c r="F1120" i="1"/>
  <c r="E1120" i="1"/>
  <c r="D1120" i="1"/>
  <c r="C1120" i="1"/>
  <c r="F1119" i="1"/>
  <c r="E1119" i="1"/>
  <c r="D1119" i="1"/>
  <c r="C1119" i="1"/>
  <c r="F1118" i="1"/>
  <c r="E1118" i="1"/>
  <c r="D1118" i="1"/>
  <c r="C1118" i="1"/>
  <c r="F1117" i="1"/>
  <c r="E1117" i="1"/>
  <c r="D1117" i="1"/>
  <c r="C1117" i="1"/>
  <c r="F1116" i="1"/>
  <c r="E1116" i="1"/>
  <c r="D1116" i="1"/>
  <c r="C1116" i="1"/>
  <c r="F1115" i="1"/>
  <c r="E1115" i="1"/>
  <c r="D1115" i="1"/>
  <c r="C1115" i="1"/>
  <c r="F1114" i="1"/>
  <c r="E1114" i="1"/>
  <c r="D1114" i="1"/>
  <c r="C1114" i="1"/>
  <c r="F1113" i="1"/>
  <c r="E1113" i="1"/>
  <c r="D1113" i="1"/>
  <c r="C1113" i="1"/>
  <c r="F1112" i="1"/>
  <c r="E1112" i="1"/>
  <c r="D1112" i="1"/>
  <c r="C1112" i="1"/>
  <c r="F1111" i="1"/>
  <c r="E1111" i="1"/>
  <c r="D1111" i="1"/>
  <c r="C1111" i="1"/>
  <c r="F1110" i="1"/>
  <c r="E1110" i="1"/>
  <c r="D1110" i="1"/>
  <c r="C1110" i="1"/>
  <c r="F1109" i="1"/>
  <c r="E1109" i="1"/>
  <c r="D1109" i="1"/>
  <c r="C1109" i="1"/>
  <c r="F1108" i="1"/>
  <c r="E1108" i="1"/>
  <c r="D1108" i="1"/>
  <c r="C1108" i="1"/>
  <c r="F1107" i="1"/>
  <c r="E1107" i="1"/>
  <c r="D1107" i="1"/>
  <c r="C1107" i="1"/>
  <c r="F1106" i="1"/>
  <c r="E1106" i="1"/>
  <c r="D1106" i="1"/>
  <c r="C1106" i="1"/>
  <c r="F1105" i="1"/>
  <c r="E1105" i="1"/>
  <c r="D1105" i="1"/>
  <c r="C1105" i="1"/>
  <c r="F1104" i="1"/>
  <c r="E1104" i="1"/>
  <c r="D1104" i="1"/>
  <c r="C1104" i="1"/>
  <c r="F1103" i="1"/>
  <c r="E1103" i="1"/>
  <c r="D1103" i="1"/>
  <c r="C1103" i="1"/>
  <c r="F1102" i="1"/>
  <c r="E1102" i="1"/>
  <c r="D1102" i="1"/>
  <c r="C1102" i="1"/>
  <c r="F1101" i="1"/>
  <c r="E1101" i="1"/>
  <c r="D1101" i="1"/>
  <c r="C1101" i="1"/>
  <c r="F1100" i="1"/>
  <c r="E1100" i="1"/>
  <c r="D1100" i="1"/>
  <c r="C1100" i="1"/>
  <c r="F1099" i="1"/>
  <c r="E1099" i="1"/>
  <c r="D1099" i="1"/>
  <c r="C1099" i="1"/>
  <c r="F1098" i="1"/>
  <c r="E1098" i="1"/>
  <c r="D1098" i="1"/>
  <c r="C1098" i="1"/>
  <c r="F1097" i="1"/>
  <c r="E1097" i="1"/>
  <c r="D1097" i="1"/>
  <c r="C1097" i="1"/>
  <c r="F1096" i="1"/>
  <c r="E1096" i="1"/>
  <c r="D1096" i="1"/>
  <c r="C1096" i="1"/>
  <c r="F1095" i="1"/>
  <c r="E1095" i="1"/>
  <c r="D1095" i="1"/>
  <c r="C1095" i="1"/>
  <c r="F1094" i="1"/>
  <c r="E1094" i="1"/>
  <c r="D1094" i="1"/>
  <c r="C1094" i="1"/>
  <c r="F1093" i="1"/>
  <c r="E1093" i="1"/>
  <c r="D1093" i="1"/>
  <c r="C1093" i="1"/>
  <c r="F1092" i="1"/>
  <c r="E1092" i="1"/>
  <c r="D1092" i="1"/>
  <c r="C1092" i="1"/>
  <c r="F1091" i="1"/>
  <c r="E1091" i="1"/>
  <c r="D1091" i="1"/>
  <c r="C1091" i="1"/>
  <c r="F1090" i="1"/>
  <c r="E1090" i="1"/>
  <c r="D1090" i="1"/>
  <c r="C1090" i="1"/>
  <c r="F1089" i="1"/>
  <c r="E1089" i="1"/>
  <c r="D1089" i="1"/>
  <c r="C1089" i="1"/>
  <c r="F1088" i="1"/>
  <c r="E1088" i="1"/>
  <c r="D1088" i="1"/>
  <c r="C1088" i="1"/>
  <c r="F1087" i="1"/>
  <c r="E1087" i="1"/>
  <c r="D1087" i="1"/>
  <c r="C1087" i="1"/>
  <c r="F1086" i="1"/>
  <c r="E1086" i="1"/>
  <c r="D1086" i="1"/>
  <c r="C1086" i="1"/>
  <c r="F1085" i="1"/>
  <c r="E1085" i="1"/>
  <c r="D1085" i="1"/>
  <c r="C1085" i="1"/>
  <c r="F1084" i="1"/>
  <c r="E1084" i="1"/>
  <c r="D1084" i="1"/>
  <c r="C1084" i="1"/>
  <c r="F1083" i="1"/>
  <c r="E1083" i="1"/>
  <c r="D1083" i="1"/>
  <c r="C1083" i="1"/>
  <c r="F1082" i="1"/>
  <c r="E1082" i="1"/>
  <c r="D1082" i="1"/>
  <c r="C1082" i="1"/>
  <c r="F1081" i="1"/>
  <c r="E1081" i="1"/>
  <c r="D1081" i="1"/>
  <c r="C1081" i="1"/>
  <c r="F1080" i="1"/>
  <c r="E1080" i="1"/>
  <c r="D1080" i="1"/>
  <c r="C1080" i="1"/>
  <c r="F1079" i="1"/>
  <c r="E1079" i="1"/>
  <c r="D1079" i="1"/>
  <c r="C1079" i="1"/>
  <c r="F1078" i="1"/>
  <c r="E1078" i="1"/>
  <c r="D1078" i="1"/>
  <c r="C1078" i="1"/>
  <c r="F1077" i="1"/>
  <c r="E1077" i="1"/>
  <c r="D1077" i="1"/>
  <c r="C1077" i="1"/>
  <c r="F1076" i="1"/>
  <c r="E1076" i="1"/>
  <c r="D1076" i="1"/>
  <c r="C1076" i="1"/>
  <c r="F1075" i="1"/>
  <c r="E1075" i="1"/>
  <c r="D1075" i="1"/>
  <c r="C1075" i="1"/>
  <c r="F1074" i="1"/>
  <c r="E1074" i="1"/>
  <c r="D1074" i="1"/>
  <c r="C1074" i="1"/>
  <c r="F1073" i="1"/>
  <c r="E1073" i="1"/>
  <c r="D1073" i="1"/>
  <c r="C1073" i="1"/>
  <c r="F1072" i="1"/>
  <c r="E1072" i="1"/>
  <c r="D1072" i="1"/>
  <c r="C1072" i="1"/>
  <c r="F1071" i="1"/>
  <c r="E1071" i="1"/>
  <c r="D1071" i="1"/>
  <c r="C1071" i="1"/>
  <c r="F1070" i="1"/>
  <c r="E1070" i="1"/>
  <c r="D1070" i="1"/>
  <c r="C1070" i="1"/>
  <c r="F1069" i="1"/>
  <c r="E1069" i="1"/>
  <c r="D1069" i="1"/>
  <c r="C1069" i="1"/>
  <c r="F1068" i="1"/>
  <c r="E1068" i="1"/>
  <c r="D1068" i="1"/>
  <c r="C1068" i="1"/>
  <c r="F1067" i="1"/>
  <c r="E1067" i="1"/>
  <c r="D1067" i="1"/>
  <c r="C1067" i="1"/>
  <c r="F1066" i="1"/>
  <c r="E1066" i="1"/>
  <c r="D1066" i="1"/>
  <c r="C1066" i="1"/>
  <c r="F1065" i="1"/>
  <c r="E1065" i="1"/>
  <c r="D1065" i="1"/>
  <c r="C1065" i="1"/>
  <c r="F1064" i="1"/>
  <c r="E1064" i="1"/>
  <c r="D1064" i="1"/>
  <c r="C1064" i="1"/>
  <c r="F1063" i="1"/>
  <c r="E1063" i="1"/>
  <c r="D1063" i="1"/>
  <c r="C1063" i="1"/>
  <c r="F1062" i="1"/>
  <c r="E1062" i="1"/>
  <c r="D1062" i="1"/>
  <c r="C1062" i="1"/>
  <c r="F1061" i="1"/>
  <c r="E1061" i="1"/>
  <c r="D1061" i="1"/>
  <c r="C1061" i="1"/>
  <c r="F1060" i="1"/>
  <c r="E1060" i="1"/>
  <c r="D1060" i="1"/>
  <c r="C1060" i="1"/>
  <c r="F1059" i="1"/>
  <c r="E1059" i="1"/>
  <c r="D1059" i="1"/>
  <c r="C1059" i="1"/>
  <c r="F1058" i="1"/>
  <c r="E1058" i="1"/>
  <c r="D1058" i="1"/>
  <c r="C1058" i="1"/>
  <c r="F1057" i="1"/>
  <c r="E1057" i="1"/>
  <c r="D1057" i="1"/>
  <c r="C1057" i="1"/>
  <c r="F1056" i="1"/>
  <c r="E1056" i="1"/>
  <c r="D1056" i="1"/>
  <c r="C1056" i="1"/>
  <c r="F1055" i="1"/>
  <c r="E1055" i="1"/>
  <c r="D1055" i="1"/>
  <c r="C1055" i="1"/>
  <c r="F1054" i="1"/>
  <c r="E1054" i="1"/>
  <c r="D1054" i="1"/>
  <c r="C1054" i="1"/>
  <c r="F1053" i="1"/>
  <c r="E1053" i="1"/>
  <c r="D1053" i="1"/>
  <c r="C1053" i="1"/>
  <c r="F1052" i="1"/>
  <c r="E1052" i="1"/>
  <c r="D1052" i="1"/>
  <c r="C1052" i="1"/>
  <c r="F1051" i="1"/>
  <c r="E1051" i="1"/>
  <c r="D1051" i="1"/>
  <c r="C1051" i="1"/>
  <c r="F1050" i="1"/>
  <c r="E1050" i="1"/>
  <c r="D1050" i="1"/>
  <c r="C1050" i="1"/>
  <c r="F1049" i="1"/>
  <c r="E1049" i="1"/>
  <c r="D1049" i="1"/>
  <c r="C1049" i="1"/>
  <c r="F1048" i="1"/>
  <c r="E1048" i="1"/>
  <c r="D1048" i="1"/>
  <c r="C1048" i="1"/>
  <c r="F1047" i="1"/>
  <c r="E1047" i="1"/>
  <c r="D1047" i="1"/>
  <c r="C1047" i="1"/>
  <c r="F1046" i="1"/>
  <c r="E1046" i="1"/>
  <c r="D1046" i="1"/>
  <c r="C1046" i="1"/>
  <c r="F1045" i="1"/>
  <c r="E1045" i="1"/>
  <c r="D1045" i="1"/>
  <c r="C1045" i="1"/>
  <c r="F1044" i="1"/>
  <c r="E1044" i="1"/>
  <c r="D1044" i="1"/>
  <c r="C1044" i="1"/>
  <c r="F1043" i="1"/>
  <c r="E1043" i="1"/>
  <c r="D1043" i="1"/>
  <c r="C1043" i="1"/>
  <c r="F1042" i="1"/>
  <c r="E1042" i="1"/>
  <c r="D1042" i="1"/>
  <c r="C1042" i="1"/>
  <c r="F1041" i="1"/>
  <c r="E1041" i="1"/>
  <c r="D1041" i="1"/>
  <c r="C1041" i="1"/>
  <c r="F1040" i="1"/>
  <c r="E1040" i="1"/>
  <c r="D1040" i="1"/>
  <c r="C1040" i="1"/>
  <c r="F1039" i="1"/>
  <c r="E1039" i="1"/>
  <c r="D1039" i="1"/>
  <c r="C1039" i="1"/>
  <c r="F1038" i="1"/>
  <c r="E1038" i="1"/>
  <c r="D1038" i="1"/>
  <c r="C1038" i="1"/>
  <c r="F1037" i="1"/>
  <c r="E1037" i="1"/>
  <c r="D1037" i="1"/>
  <c r="C1037" i="1"/>
  <c r="F1036" i="1"/>
  <c r="E1036" i="1"/>
  <c r="D1036" i="1"/>
  <c r="C1036" i="1"/>
  <c r="F1035" i="1"/>
  <c r="E1035" i="1"/>
  <c r="D1035" i="1"/>
  <c r="C1035" i="1"/>
  <c r="F1034" i="1"/>
  <c r="E1034" i="1"/>
  <c r="D1034" i="1"/>
  <c r="C1034" i="1"/>
  <c r="F1033" i="1"/>
  <c r="E1033" i="1"/>
  <c r="D1033" i="1"/>
  <c r="C1033" i="1"/>
  <c r="F1032" i="1"/>
  <c r="E1032" i="1"/>
  <c r="D1032" i="1"/>
  <c r="C1032" i="1"/>
  <c r="F1031" i="1"/>
  <c r="E1031" i="1"/>
  <c r="D1031" i="1"/>
  <c r="C1031" i="1"/>
  <c r="F1030" i="1"/>
  <c r="E1030" i="1"/>
  <c r="D1030" i="1"/>
  <c r="C1030" i="1"/>
  <c r="F1029" i="1"/>
  <c r="E1029" i="1"/>
  <c r="D1029" i="1"/>
  <c r="C1029" i="1"/>
  <c r="F1028" i="1"/>
  <c r="E1028" i="1"/>
  <c r="D1028" i="1"/>
  <c r="C1028" i="1"/>
  <c r="F1027" i="1"/>
  <c r="E1027" i="1"/>
  <c r="D1027" i="1"/>
  <c r="C1027" i="1"/>
  <c r="F1026" i="1"/>
  <c r="E1026" i="1"/>
  <c r="D1026" i="1"/>
  <c r="C1026" i="1"/>
  <c r="F1025" i="1"/>
  <c r="E1025" i="1"/>
  <c r="D1025" i="1"/>
  <c r="C1025" i="1"/>
  <c r="F1024" i="1"/>
  <c r="E1024" i="1"/>
  <c r="D1024" i="1"/>
  <c r="C1024" i="1"/>
  <c r="F1023" i="1"/>
  <c r="E1023" i="1"/>
  <c r="D1023" i="1"/>
  <c r="C1023" i="1"/>
  <c r="F1022" i="1"/>
  <c r="E1022" i="1"/>
  <c r="D1022" i="1"/>
  <c r="C1022" i="1"/>
  <c r="F1021" i="1"/>
  <c r="E1021" i="1"/>
  <c r="D1021" i="1"/>
  <c r="C1021" i="1"/>
  <c r="F1020" i="1"/>
  <c r="E1020" i="1"/>
  <c r="D1020" i="1"/>
  <c r="C1020" i="1"/>
  <c r="F1019" i="1"/>
  <c r="E1019" i="1"/>
  <c r="D1019" i="1"/>
  <c r="C1019" i="1"/>
  <c r="F1018" i="1"/>
  <c r="E1018" i="1"/>
  <c r="D1018" i="1"/>
  <c r="C1018" i="1"/>
  <c r="F1017" i="1"/>
  <c r="E1017" i="1"/>
  <c r="D1017" i="1"/>
  <c r="C1017" i="1"/>
  <c r="F1016" i="1"/>
  <c r="E1016" i="1"/>
  <c r="D1016" i="1"/>
  <c r="C1016" i="1"/>
  <c r="F1015" i="1"/>
  <c r="E1015" i="1"/>
  <c r="D1015" i="1"/>
  <c r="C1015" i="1"/>
  <c r="F1014" i="1"/>
  <c r="E1014" i="1"/>
  <c r="D1014" i="1"/>
  <c r="C1014" i="1"/>
  <c r="F1013" i="1"/>
  <c r="E1013" i="1"/>
  <c r="D1013" i="1"/>
  <c r="C1013" i="1"/>
  <c r="F1012" i="1"/>
  <c r="E1012" i="1"/>
  <c r="D1012" i="1"/>
  <c r="C1012" i="1"/>
  <c r="F1011" i="1"/>
  <c r="E1011" i="1"/>
  <c r="D1011" i="1"/>
  <c r="C1011" i="1"/>
  <c r="F1010" i="1"/>
  <c r="E1010" i="1"/>
  <c r="D1010" i="1"/>
  <c r="C1010" i="1"/>
  <c r="F1009" i="1"/>
  <c r="E1009" i="1"/>
  <c r="D1009" i="1"/>
  <c r="C1009" i="1"/>
  <c r="F1008" i="1"/>
  <c r="E1008" i="1"/>
  <c r="D1008" i="1"/>
  <c r="C1008" i="1"/>
  <c r="F1007" i="1"/>
  <c r="E1007" i="1"/>
  <c r="D1007" i="1"/>
  <c r="C1007" i="1"/>
  <c r="F1006" i="1"/>
  <c r="E1006" i="1"/>
  <c r="D1006" i="1"/>
  <c r="C1006" i="1"/>
  <c r="F1005" i="1"/>
  <c r="E1005" i="1"/>
  <c r="D1005" i="1"/>
  <c r="C1005" i="1"/>
  <c r="F1004" i="1"/>
  <c r="E1004" i="1"/>
  <c r="D1004" i="1"/>
  <c r="C1004" i="1"/>
  <c r="F1003" i="1"/>
  <c r="E1003" i="1"/>
  <c r="D1003" i="1"/>
  <c r="C1003" i="1"/>
  <c r="F1002" i="1"/>
  <c r="E1002" i="1"/>
  <c r="D1002" i="1"/>
  <c r="C1002" i="1"/>
  <c r="F1001" i="1"/>
  <c r="E1001" i="1"/>
  <c r="D1001" i="1"/>
  <c r="C1001" i="1"/>
  <c r="F1000" i="1"/>
  <c r="E1000" i="1"/>
  <c r="D1000" i="1"/>
  <c r="C1000" i="1"/>
  <c r="F999" i="1"/>
  <c r="E999" i="1"/>
  <c r="D999" i="1"/>
  <c r="C999" i="1"/>
  <c r="F998" i="1"/>
  <c r="E998" i="1"/>
  <c r="D998" i="1"/>
  <c r="C998" i="1"/>
  <c r="F997" i="1"/>
  <c r="E997" i="1"/>
  <c r="D997" i="1"/>
  <c r="C997" i="1"/>
  <c r="F996" i="1"/>
  <c r="E996" i="1"/>
  <c r="D996" i="1"/>
  <c r="C996" i="1"/>
  <c r="F995" i="1"/>
  <c r="E995" i="1"/>
  <c r="D995" i="1"/>
  <c r="C995" i="1"/>
  <c r="F994" i="1"/>
  <c r="E994" i="1"/>
  <c r="D994" i="1"/>
  <c r="C994" i="1"/>
  <c r="F993" i="1"/>
  <c r="E993" i="1"/>
  <c r="D993" i="1"/>
  <c r="C993" i="1"/>
  <c r="F992" i="1"/>
  <c r="E992" i="1"/>
  <c r="D992" i="1"/>
  <c r="C992" i="1"/>
  <c r="F991" i="1"/>
  <c r="E991" i="1"/>
  <c r="D991" i="1"/>
  <c r="C991" i="1"/>
  <c r="F990" i="1"/>
  <c r="E990" i="1"/>
  <c r="D990" i="1"/>
  <c r="C990" i="1"/>
  <c r="F989" i="1"/>
  <c r="E989" i="1"/>
  <c r="D989" i="1"/>
  <c r="C989" i="1"/>
  <c r="F988" i="1"/>
  <c r="E988" i="1"/>
  <c r="D988" i="1"/>
  <c r="C988" i="1"/>
  <c r="F987" i="1"/>
  <c r="E987" i="1"/>
  <c r="D987" i="1"/>
  <c r="C987" i="1"/>
  <c r="F986" i="1"/>
  <c r="E986" i="1"/>
  <c r="D986" i="1"/>
  <c r="C986" i="1"/>
  <c r="F985" i="1"/>
  <c r="E985" i="1"/>
  <c r="D985" i="1"/>
  <c r="C985" i="1"/>
  <c r="F984" i="1"/>
  <c r="E984" i="1"/>
  <c r="D984" i="1"/>
  <c r="C984" i="1"/>
  <c r="F983" i="1"/>
  <c r="E983" i="1"/>
  <c r="D983" i="1"/>
  <c r="C983" i="1"/>
  <c r="F982" i="1"/>
  <c r="E982" i="1"/>
  <c r="D982" i="1"/>
  <c r="C982" i="1"/>
  <c r="F981" i="1"/>
  <c r="E981" i="1"/>
  <c r="D981" i="1"/>
  <c r="C981" i="1"/>
  <c r="F980" i="1"/>
  <c r="E980" i="1"/>
  <c r="D980" i="1"/>
  <c r="C980" i="1"/>
  <c r="F979" i="1"/>
  <c r="E979" i="1"/>
  <c r="D979" i="1"/>
  <c r="C979" i="1"/>
  <c r="F978" i="1"/>
  <c r="E978" i="1"/>
  <c r="D978" i="1"/>
  <c r="C978" i="1"/>
  <c r="F977" i="1"/>
  <c r="E977" i="1"/>
  <c r="D977" i="1"/>
  <c r="C977" i="1"/>
  <c r="F976" i="1"/>
  <c r="E976" i="1"/>
  <c r="D976" i="1"/>
  <c r="C976" i="1"/>
  <c r="F975" i="1"/>
  <c r="E975" i="1"/>
  <c r="D975" i="1"/>
  <c r="C975" i="1"/>
  <c r="F974" i="1"/>
  <c r="E974" i="1"/>
  <c r="D974" i="1"/>
  <c r="C974" i="1"/>
  <c r="F973" i="1"/>
  <c r="E973" i="1"/>
  <c r="D973" i="1"/>
  <c r="C973" i="1"/>
  <c r="F972" i="1"/>
  <c r="E972" i="1"/>
  <c r="D972" i="1"/>
  <c r="C972" i="1"/>
  <c r="F971" i="1"/>
  <c r="E971" i="1"/>
  <c r="D971" i="1"/>
  <c r="C971" i="1"/>
  <c r="F970" i="1"/>
  <c r="E970" i="1"/>
  <c r="D970" i="1"/>
  <c r="C970" i="1"/>
  <c r="F969" i="1"/>
  <c r="E969" i="1"/>
  <c r="D969" i="1"/>
  <c r="C969" i="1"/>
  <c r="F968" i="1"/>
  <c r="E968" i="1"/>
  <c r="D968" i="1"/>
  <c r="C968" i="1"/>
  <c r="F967" i="1"/>
  <c r="E967" i="1"/>
  <c r="D967" i="1"/>
  <c r="C967" i="1"/>
  <c r="F966" i="1"/>
  <c r="E966" i="1"/>
  <c r="D966" i="1"/>
  <c r="C966" i="1"/>
  <c r="F965" i="1"/>
  <c r="E965" i="1"/>
  <c r="D965" i="1"/>
  <c r="C965" i="1"/>
  <c r="F964" i="1"/>
  <c r="E964" i="1"/>
  <c r="D964" i="1"/>
  <c r="C964" i="1"/>
  <c r="F963" i="1"/>
  <c r="E963" i="1"/>
  <c r="D963" i="1"/>
  <c r="C963" i="1"/>
  <c r="F962" i="1"/>
  <c r="E962" i="1"/>
  <c r="D962" i="1"/>
  <c r="C962" i="1"/>
  <c r="F961" i="1"/>
  <c r="E961" i="1"/>
  <c r="D961" i="1"/>
  <c r="C961" i="1"/>
  <c r="F960" i="1"/>
  <c r="E960" i="1"/>
  <c r="D960" i="1"/>
  <c r="C960" i="1"/>
  <c r="F959" i="1"/>
  <c r="E959" i="1"/>
  <c r="D959" i="1"/>
  <c r="C959" i="1"/>
  <c r="F958" i="1"/>
  <c r="E958" i="1"/>
  <c r="D958" i="1"/>
  <c r="C958" i="1"/>
  <c r="F957" i="1"/>
  <c r="E957" i="1"/>
  <c r="D957" i="1"/>
  <c r="C957" i="1"/>
  <c r="F956" i="1"/>
  <c r="E956" i="1"/>
  <c r="D956" i="1"/>
  <c r="C956" i="1"/>
  <c r="F955" i="1"/>
  <c r="E955" i="1"/>
  <c r="D955" i="1"/>
  <c r="C955" i="1"/>
  <c r="F954" i="1"/>
  <c r="E954" i="1"/>
  <c r="D954" i="1"/>
  <c r="C954" i="1"/>
  <c r="F953" i="1"/>
  <c r="E953" i="1"/>
  <c r="D953" i="1"/>
  <c r="C953" i="1"/>
  <c r="F952" i="1"/>
  <c r="E952" i="1"/>
  <c r="D952" i="1"/>
  <c r="C952" i="1"/>
  <c r="F951" i="1"/>
  <c r="E951" i="1"/>
  <c r="D951" i="1"/>
  <c r="C951" i="1"/>
  <c r="F950" i="1"/>
  <c r="E950" i="1"/>
  <c r="D950" i="1"/>
  <c r="C950" i="1"/>
  <c r="F949" i="1"/>
  <c r="E949" i="1"/>
  <c r="D949" i="1"/>
  <c r="C949" i="1"/>
  <c r="F948" i="1"/>
  <c r="E948" i="1"/>
  <c r="D948" i="1"/>
  <c r="C948" i="1"/>
  <c r="F947" i="1"/>
  <c r="E947" i="1"/>
  <c r="D947" i="1"/>
  <c r="C947" i="1"/>
  <c r="F946" i="1"/>
  <c r="E946" i="1"/>
  <c r="D946" i="1"/>
  <c r="C946" i="1"/>
  <c r="F945" i="1"/>
  <c r="E945" i="1"/>
  <c r="D945" i="1"/>
  <c r="C945" i="1"/>
  <c r="F944" i="1"/>
  <c r="E944" i="1"/>
  <c r="D944" i="1"/>
  <c r="C944" i="1"/>
  <c r="F943" i="1"/>
  <c r="E943" i="1"/>
  <c r="D943" i="1"/>
  <c r="C943" i="1"/>
  <c r="F942" i="1"/>
  <c r="E942" i="1"/>
  <c r="D942" i="1"/>
  <c r="C942" i="1"/>
  <c r="F941" i="1"/>
  <c r="E941" i="1"/>
  <c r="D941" i="1"/>
  <c r="C941" i="1"/>
  <c r="F940" i="1"/>
  <c r="E940" i="1"/>
  <c r="D940" i="1"/>
  <c r="C940" i="1"/>
  <c r="F939" i="1"/>
  <c r="E939" i="1"/>
  <c r="D939" i="1"/>
  <c r="C939" i="1"/>
  <c r="F938" i="1"/>
  <c r="E938" i="1"/>
  <c r="D938" i="1"/>
  <c r="C938" i="1"/>
  <c r="F937" i="1"/>
  <c r="E937" i="1"/>
  <c r="D937" i="1"/>
  <c r="C937" i="1"/>
  <c r="F936" i="1"/>
  <c r="E936" i="1"/>
  <c r="D936" i="1"/>
  <c r="C936" i="1"/>
  <c r="F935" i="1"/>
  <c r="E935" i="1"/>
  <c r="D935" i="1"/>
  <c r="C935" i="1"/>
  <c r="F934" i="1"/>
  <c r="E934" i="1"/>
  <c r="D934" i="1"/>
  <c r="C934" i="1"/>
  <c r="F933" i="1"/>
  <c r="E933" i="1"/>
  <c r="D933" i="1"/>
  <c r="C933" i="1"/>
  <c r="F932" i="1"/>
  <c r="E932" i="1"/>
  <c r="D932" i="1"/>
  <c r="C932" i="1"/>
  <c r="F931" i="1"/>
  <c r="E931" i="1"/>
  <c r="D931" i="1"/>
  <c r="C931" i="1"/>
  <c r="F930" i="1"/>
  <c r="E930" i="1"/>
  <c r="D930" i="1"/>
  <c r="C930" i="1"/>
  <c r="F929" i="1"/>
  <c r="E929" i="1"/>
  <c r="D929" i="1"/>
  <c r="C929" i="1"/>
  <c r="F928" i="1"/>
  <c r="E928" i="1"/>
  <c r="D928" i="1"/>
  <c r="C928" i="1"/>
  <c r="F927" i="1"/>
  <c r="E927" i="1"/>
  <c r="D927" i="1"/>
  <c r="C927" i="1"/>
  <c r="F926" i="1"/>
  <c r="E926" i="1"/>
  <c r="D926" i="1"/>
  <c r="C926" i="1"/>
  <c r="F925" i="1"/>
  <c r="E925" i="1"/>
  <c r="D925" i="1"/>
  <c r="C925" i="1"/>
  <c r="F924" i="1"/>
  <c r="E924" i="1"/>
  <c r="D924" i="1"/>
  <c r="C924" i="1"/>
  <c r="F923" i="1"/>
  <c r="E923" i="1"/>
  <c r="D923" i="1"/>
  <c r="C923" i="1"/>
  <c r="F922" i="1"/>
  <c r="E922" i="1"/>
  <c r="D922" i="1"/>
  <c r="C922" i="1"/>
  <c r="F921" i="1"/>
  <c r="E921" i="1"/>
  <c r="D921" i="1"/>
  <c r="C921" i="1"/>
  <c r="F920" i="1"/>
  <c r="E920" i="1"/>
  <c r="D920" i="1"/>
  <c r="C920" i="1"/>
  <c r="F919" i="1"/>
  <c r="E919" i="1"/>
  <c r="D919" i="1"/>
  <c r="C919" i="1"/>
  <c r="F918" i="1"/>
  <c r="E918" i="1"/>
  <c r="D918" i="1"/>
  <c r="C918" i="1"/>
  <c r="F917" i="1"/>
  <c r="E917" i="1"/>
  <c r="D917" i="1"/>
  <c r="C917" i="1"/>
  <c r="F916" i="1"/>
  <c r="E916" i="1"/>
  <c r="D916" i="1"/>
  <c r="C916" i="1"/>
  <c r="F915" i="1"/>
  <c r="E915" i="1"/>
  <c r="D915" i="1"/>
  <c r="C915" i="1"/>
  <c r="F914" i="1"/>
  <c r="E914" i="1"/>
  <c r="D914" i="1"/>
  <c r="C914" i="1"/>
  <c r="F913" i="1"/>
  <c r="E913" i="1"/>
  <c r="D913" i="1"/>
  <c r="C913" i="1"/>
  <c r="F912" i="1"/>
  <c r="E912" i="1"/>
  <c r="D912" i="1"/>
  <c r="C912" i="1"/>
  <c r="F911" i="1"/>
  <c r="E911" i="1"/>
  <c r="D911" i="1"/>
  <c r="C911" i="1"/>
  <c r="F910" i="1"/>
  <c r="E910" i="1"/>
  <c r="D910" i="1"/>
  <c r="C910" i="1"/>
  <c r="F909" i="1"/>
  <c r="E909" i="1"/>
  <c r="D909" i="1"/>
  <c r="C909" i="1"/>
  <c r="F908" i="1"/>
  <c r="E908" i="1"/>
  <c r="D908" i="1"/>
  <c r="C908" i="1"/>
  <c r="F907" i="1"/>
  <c r="E907" i="1"/>
  <c r="D907" i="1"/>
  <c r="C907" i="1"/>
  <c r="F906" i="1"/>
  <c r="E906" i="1"/>
  <c r="D906" i="1"/>
  <c r="C906" i="1"/>
  <c r="F905" i="1"/>
  <c r="E905" i="1"/>
  <c r="D905" i="1"/>
  <c r="C905" i="1"/>
  <c r="F904" i="1"/>
  <c r="E904" i="1"/>
  <c r="D904" i="1"/>
  <c r="C904" i="1"/>
  <c r="F903" i="1"/>
  <c r="E903" i="1"/>
  <c r="D903" i="1"/>
  <c r="C903" i="1"/>
  <c r="F902" i="1"/>
  <c r="E902" i="1"/>
  <c r="D902" i="1"/>
  <c r="C902" i="1"/>
  <c r="F901" i="1"/>
  <c r="E901" i="1"/>
  <c r="D901" i="1"/>
  <c r="C901" i="1"/>
  <c r="F900" i="1"/>
  <c r="E900" i="1"/>
  <c r="D900" i="1"/>
  <c r="C900" i="1"/>
  <c r="F899" i="1"/>
  <c r="E899" i="1"/>
  <c r="D899" i="1"/>
  <c r="C899" i="1"/>
  <c r="F898" i="1"/>
  <c r="E898" i="1"/>
  <c r="D898" i="1"/>
  <c r="C898" i="1"/>
  <c r="F897" i="1"/>
  <c r="E897" i="1"/>
  <c r="D897" i="1"/>
  <c r="C897" i="1"/>
  <c r="F896" i="1"/>
  <c r="E896" i="1"/>
  <c r="D896" i="1"/>
  <c r="C896" i="1"/>
  <c r="F895" i="1"/>
  <c r="E895" i="1"/>
  <c r="D895" i="1"/>
  <c r="C895" i="1"/>
  <c r="F894" i="1"/>
  <c r="E894" i="1"/>
  <c r="D894" i="1"/>
  <c r="C894" i="1"/>
  <c r="F893" i="1"/>
  <c r="E893" i="1"/>
  <c r="D893" i="1"/>
  <c r="C893" i="1"/>
  <c r="F892" i="1"/>
  <c r="E892" i="1"/>
  <c r="D892" i="1"/>
  <c r="C892" i="1"/>
  <c r="F891" i="1"/>
  <c r="E891" i="1"/>
  <c r="D891" i="1"/>
  <c r="C891" i="1"/>
  <c r="F890" i="1"/>
  <c r="E890" i="1"/>
  <c r="D890" i="1"/>
  <c r="C890" i="1"/>
  <c r="F889" i="1"/>
  <c r="E889" i="1"/>
  <c r="D889" i="1"/>
  <c r="C889" i="1"/>
  <c r="F888" i="1"/>
  <c r="E888" i="1"/>
  <c r="D888" i="1"/>
  <c r="C888" i="1"/>
  <c r="F887" i="1"/>
  <c r="E887" i="1"/>
  <c r="D887" i="1"/>
  <c r="C887" i="1"/>
  <c r="F886" i="1"/>
  <c r="E886" i="1"/>
  <c r="D886" i="1"/>
  <c r="C886" i="1"/>
  <c r="F885" i="1"/>
  <c r="E885" i="1"/>
  <c r="D885" i="1"/>
  <c r="C885" i="1"/>
  <c r="F884" i="1"/>
  <c r="E884" i="1"/>
  <c r="D884" i="1"/>
  <c r="C884" i="1"/>
  <c r="F883" i="1"/>
  <c r="E883" i="1"/>
  <c r="D883" i="1"/>
  <c r="C883" i="1"/>
  <c r="F882" i="1"/>
  <c r="E882" i="1"/>
  <c r="D882" i="1"/>
  <c r="C882" i="1"/>
  <c r="F881" i="1"/>
  <c r="E881" i="1"/>
  <c r="D881" i="1"/>
  <c r="C881" i="1"/>
  <c r="F880" i="1"/>
  <c r="E880" i="1"/>
  <c r="D880" i="1"/>
  <c r="C880" i="1"/>
  <c r="F879" i="1"/>
  <c r="E879" i="1"/>
  <c r="D879" i="1"/>
  <c r="C879" i="1"/>
  <c r="F878" i="1"/>
  <c r="E878" i="1"/>
  <c r="D878" i="1"/>
  <c r="C878" i="1"/>
  <c r="F877" i="1"/>
  <c r="E877" i="1"/>
  <c r="D877" i="1"/>
  <c r="C877" i="1"/>
  <c r="F876" i="1"/>
  <c r="E876" i="1"/>
  <c r="D876" i="1"/>
  <c r="C876" i="1"/>
  <c r="F875" i="1"/>
  <c r="E875" i="1"/>
  <c r="D875" i="1"/>
  <c r="C875" i="1"/>
  <c r="F874" i="1"/>
  <c r="E874" i="1"/>
  <c r="D874" i="1"/>
  <c r="C874" i="1"/>
  <c r="F873" i="1"/>
  <c r="E873" i="1"/>
  <c r="D873" i="1"/>
  <c r="C873" i="1"/>
  <c r="F872" i="1"/>
  <c r="E872" i="1"/>
  <c r="D872" i="1"/>
  <c r="C872" i="1"/>
  <c r="F871" i="1"/>
  <c r="E871" i="1"/>
  <c r="D871" i="1"/>
  <c r="C871" i="1"/>
  <c r="F870" i="1"/>
  <c r="E870" i="1"/>
  <c r="D870" i="1"/>
  <c r="C870" i="1"/>
  <c r="F869" i="1"/>
  <c r="E869" i="1"/>
  <c r="D869" i="1"/>
  <c r="C869" i="1"/>
  <c r="F868" i="1"/>
  <c r="E868" i="1"/>
  <c r="D868" i="1"/>
  <c r="C868" i="1"/>
  <c r="F867" i="1"/>
  <c r="E867" i="1"/>
  <c r="D867" i="1"/>
  <c r="C867" i="1"/>
  <c r="F866" i="1"/>
  <c r="E866" i="1"/>
  <c r="D866" i="1"/>
  <c r="C866" i="1"/>
  <c r="F865" i="1"/>
  <c r="E865" i="1"/>
  <c r="D865" i="1"/>
  <c r="C865" i="1"/>
  <c r="F864" i="1"/>
  <c r="E864" i="1"/>
  <c r="D864" i="1"/>
  <c r="C864" i="1"/>
  <c r="F863" i="1"/>
  <c r="E863" i="1"/>
  <c r="D863" i="1"/>
  <c r="C863" i="1"/>
  <c r="F862" i="1"/>
  <c r="E862" i="1"/>
  <c r="D862" i="1"/>
  <c r="C862" i="1"/>
  <c r="F861" i="1"/>
  <c r="E861" i="1"/>
  <c r="D861" i="1"/>
  <c r="C861" i="1"/>
  <c r="F860" i="1"/>
  <c r="E860" i="1"/>
  <c r="D860" i="1"/>
  <c r="C860" i="1"/>
  <c r="F859" i="1"/>
  <c r="E859" i="1"/>
  <c r="D859" i="1"/>
  <c r="C859" i="1"/>
  <c r="F858" i="1"/>
  <c r="E858" i="1"/>
  <c r="D858" i="1"/>
  <c r="C858" i="1"/>
  <c r="F857" i="1"/>
  <c r="E857" i="1"/>
  <c r="D857" i="1"/>
  <c r="C857" i="1"/>
  <c r="F856" i="1"/>
  <c r="E856" i="1"/>
  <c r="D856" i="1"/>
  <c r="C856" i="1"/>
  <c r="F855" i="1"/>
  <c r="E855" i="1"/>
  <c r="D855" i="1"/>
  <c r="C855" i="1"/>
  <c r="F854" i="1"/>
  <c r="E854" i="1"/>
  <c r="D854" i="1"/>
  <c r="C854" i="1"/>
  <c r="F853" i="1"/>
  <c r="E853" i="1"/>
  <c r="D853" i="1"/>
  <c r="C853" i="1"/>
  <c r="F852" i="1"/>
  <c r="E852" i="1"/>
  <c r="D852" i="1"/>
  <c r="C852" i="1"/>
  <c r="F851" i="1"/>
  <c r="E851" i="1"/>
  <c r="D851" i="1"/>
  <c r="C851" i="1"/>
  <c r="F850" i="1"/>
  <c r="E850" i="1"/>
  <c r="D850" i="1"/>
  <c r="C850" i="1"/>
  <c r="F849" i="1"/>
  <c r="E849" i="1"/>
  <c r="D849" i="1"/>
  <c r="C849" i="1"/>
  <c r="F848" i="1"/>
  <c r="E848" i="1"/>
  <c r="D848" i="1"/>
  <c r="C848" i="1"/>
  <c r="F847" i="1"/>
  <c r="E847" i="1"/>
  <c r="D847" i="1"/>
  <c r="C847" i="1"/>
  <c r="F846" i="1"/>
  <c r="E846" i="1"/>
  <c r="D846" i="1"/>
  <c r="C846" i="1"/>
  <c r="F845" i="1"/>
  <c r="E845" i="1"/>
  <c r="D845" i="1"/>
  <c r="C845" i="1"/>
  <c r="F844" i="1"/>
  <c r="E844" i="1"/>
  <c r="D844" i="1"/>
  <c r="C844" i="1"/>
  <c r="F843" i="1"/>
  <c r="E843" i="1"/>
  <c r="D843" i="1"/>
  <c r="C843" i="1"/>
  <c r="F842" i="1"/>
  <c r="E842" i="1"/>
  <c r="D842" i="1"/>
  <c r="C842" i="1"/>
  <c r="F841" i="1"/>
  <c r="E841" i="1"/>
  <c r="D841" i="1"/>
  <c r="C841" i="1"/>
  <c r="F840" i="1"/>
  <c r="E840" i="1"/>
  <c r="D840" i="1"/>
  <c r="C840" i="1"/>
  <c r="F839" i="1"/>
  <c r="E839" i="1"/>
  <c r="D839" i="1"/>
  <c r="C839" i="1"/>
  <c r="F838" i="1"/>
  <c r="E838" i="1"/>
  <c r="D838" i="1"/>
  <c r="C838" i="1"/>
  <c r="F837" i="1"/>
  <c r="E837" i="1"/>
  <c r="D837" i="1"/>
  <c r="C837" i="1"/>
  <c r="F836" i="1"/>
  <c r="E836" i="1"/>
  <c r="D836" i="1"/>
  <c r="C836" i="1"/>
  <c r="F835" i="1"/>
  <c r="E835" i="1"/>
  <c r="D835" i="1"/>
  <c r="C835" i="1"/>
  <c r="F834" i="1"/>
  <c r="E834" i="1"/>
  <c r="D834" i="1"/>
  <c r="C834" i="1"/>
  <c r="F833" i="1"/>
  <c r="E833" i="1"/>
  <c r="D833" i="1"/>
  <c r="C833" i="1"/>
  <c r="F832" i="1"/>
  <c r="E832" i="1"/>
  <c r="D832" i="1"/>
  <c r="C832" i="1"/>
  <c r="F831" i="1"/>
  <c r="E831" i="1"/>
  <c r="D831" i="1"/>
  <c r="C831" i="1"/>
  <c r="F830" i="1"/>
  <c r="E830" i="1"/>
  <c r="D830" i="1"/>
  <c r="C830" i="1"/>
  <c r="F829" i="1"/>
  <c r="E829" i="1"/>
  <c r="D829" i="1"/>
  <c r="C829" i="1"/>
  <c r="F828" i="1"/>
  <c r="E828" i="1"/>
  <c r="D828" i="1"/>
  <c r="C828" i="1"/>
  <c r="F827" i="1"/>
  <c r="E827" i="1"/>
  <c r="D827" i="1"/>
  <c r="C827" i="1"/>
  <c r="F826" i="1"/>
  <c r="E826" i="1"/>
  <c r="D826" i="1"/>
  <c r="C826" i="1"/>
  <c r="F825" i="1"/>
  <c r="E825" i="1"/>
  <c r="D825" i="1"/>
  <c r="C825" i="1"/>
  <c r="F824" i="1"/>
  <c r="E824" i="1"/>
  <c r="D824" i="1"/>
  <c r="C824" i="1"/>
  <c r="F823" i="1"/>
  <c r="E823" i="1"/>
  <c r="D823" i="1"/>
  <c r="C823" i="1"/>
  <c r="F822" i="1"/>
  <c r="E822" i="1"/>
  <c r="D822" i="1"/>
  <c r="C822" i="1"/>
  <c r="F821" i="1"/>
  <c r="E821" i="1"/>
  <c r="D821" i="1"/>
  <c r="C821" i="1"/>
  <c r="F820" i="1"/>
  <c r="E820" i="1"/>
  <c r="D820" i="1"/>
  <c r="C820" i="1"/>
  <c r="F819" i="1"/>
  <c r="E819" i="1"/>
  <c r="D819" i="1"/>
  <c r="C819" i="1"/>
  <c r="F818" i="1"/>
  <c r="E818" i="1"/>
  <c r="D818" i="1"/>
  <c r="C818" i="1"/>
  <c r="F817" i="1"/>
  <c r="E817" i="1"/>
  <c r="D817" i="1"/>
  <c r="C817" i="1"/>
  <c r="F816" i="1"/>
  <c r="E816" i="1"/>
  <c r="D816" i="1"/>
  <c r="C816" i="1"/>
  <c r="F815" i="1"/>
  <c r="E815" i="1"/>
  <c r="D815" i="1"/>
  <c r="C815" i="1"/>
  <c r="F814" i="1"/>
  <c r="E814" i="1"/>
  <c r="D814" i="1"/>
  <c r="C814" i="1"/>
  <c r="F813" i="1"/>
  <c r="E813" i="1"/>
  <c r="D813" i="1"/>
  <c r="C813" i="1"/>
  <c r="F812" i="1"/>
  <c r="E812" i="1"/>
  <c r="D812" i="1"/>
  <c r="C812" i="1"/>
  <c r="F811" i="1"/>
  <c r="E811" i="1"/>
  <c r="D811" i="1"/>
  <c r="C811" i="1"/>
  <c r="F810" i="1"/>
  <c r="E810" i="1"/>
  <c r="D810" i="1"/>
  <c r="C810" i="1"/>
  <c r="F809" i="1"/>
  <c r="E809" i="1"/>
  <c r="D809" i="1"/>
  <c r="C809" i="1"/>
  <c r="F808" i="1"/>
  <c r="E808" i="1"/>
  <c r="D808" i="1"/>
  <c r="C808" i="1"/>
  <c r="F807" i="1"/>
  <c r="E807" i="1"/>
  <c r="D807" i="1"/>
  <c r="C807" i="1"/>
  <c r="F806" i="1"/>
  <c r="E806" i="1"/>
  <c r="D806" i="1"/>
  <c r="C806" i="1"/>
  <c r="F805" i="1"/>
  <c r="E805" i="1"/>
  <c r="D805" i="1"/>
  <c r="C805" i="1"/>
  <c r="F804" i="1"/>
  <c r="E804" i="1"/>
  <c r="D804" i="1"/>
  <c r="C804" i="1"/>
  <c r="F803" i="1"/>
  <c r="E803" i="1"/>
  <c r="D803" i="1"/>
  <c r="C803" i="1"/>
  <c r="F802" i="1"/>
  <c r="E802" i="1"/>
  <c r="D802" i="1"/>
  <c r="C802" i="1"/>
  <c r="F801" i="1"/>
  <c r="E801" i="1"/>
  <c r="D801" i="1"/>
  <c r="C801" i="1"/>
  <c r="F800" i="1"/>
  <c r="E800" i="1"/>
  <c r="D800" i="1"/>
  <c r="C800" i="1"/>
  <c r="F799" i="1"/>
  <c r="E799" i="1"/>
  <c r="D799" i="1"/>
  <c r="C799" i="1"/>
  <c r="F798" i="1"/>
  <c r="E798" i="1"/>
  <c r="D798" i="1"/>
  <c r="C798" i="1"/>
  <c r="F797" i="1"/>
  <c r="E797" i="1"/>
  <c r="D797" i="1"/>
  <c r="C797" i="1"/>
  <c r="F796" i="1"/>
  <c r="E796" i="1"/>
  <c r="D796" i="1"/>
  <c r="C796" i="1"/>
  <c r="F795" i="1"/>
  <c r="E795" i="1"/>
  <c r="D795" i="1"/>
  <c r="C795" i="1"/>
  <c r="F794" i="1"/>
  <c r="E794" i="1"/>
  <c r="D794" i="1"/>
  <c r="C794" i="1"/>
  <c r="F793" i="1"/>
  <c r="E793" i="1"/>
  <c r="D793" i="1"/>
  <c r="C793" i="1"/>
  <c r="F792" i="1"/>
  <c r="E792" i="1"/>
  <c r="D792" i="1"/>
  <c r="C792" i="1"/>
  <c r="F791" i="1"/>
  <c r="E791" i="1"/>
  <c r="D791" i="1"/>
  <c r="C791" i="1"/>
  <c r="F790" i="1"/>
  <c r="E790" i="1"/>
  <c r="D790" i="1"/>
  <c r="C790" i="1"/>
  <c r="F789" i="1"/>
  <c r="E789" i="1"/>
  <c r="D789" i="1"/>
  <c r="C789" i="1"/>
  <c r="F788" i="1"/>
  <c r="E788" i="1"/>
  <c r="D788" i="1"/>
  <c r="C788" i="1"/>
  <c r="F787" i="1"/>
  <c r="E787" i="1"/>
  <c r="D787" i="1"/>
  <c r="C787" i="1"/>
  <c r="F786" i="1"/>
  <c r="E786" i="1"/>
  <c r="D786" i="1"/>
  <c r="C786" i="1"/>
  <c r="F785" i="1"/>
  <c r="E785" i="1"/>
  <c r="D785" i="1"/>
  <c r="C785" i="1"/>
  <c r="F784" i="1"/>
  <c r="E784" i="1"/>
  <c r="D784" i="1"/>
  <c r="C784" i="1"/>
  <c r="F783" i="1"/>
  <c r="E783" i="1"/>
  <c r="D783" i="1"/>
  <c r="C783" i="1"/>
  <c r="F782" i="1"/>
  <c r="E782" i="1"/>
  <c r="D782" i="1"/>
  <c r="C782" i="1"/>
  <c r="F781" i="1"/>
  <c r="E781" i="1"/>
  <c r="D781" i="1"/>
  <c r="C781" i="1"/>
  <c r="F780" i="1"/>
  <c r="E780" i="1"/>
  <c r="D780" i="1"/>
  <c r="C780" i="1"/>
  <c r="F779" i="1"/>
  <c r="E779" i="1"/>
  <c r="D779" i="1"/>
  <c r="C779" i="1"/>
  <c r="F778" i="1"/>
  <c r="E778" i="1"/>
  <c r="D778" i="1"/>
  <c r="C778" i="1"/>
  <c r="F777" i="1"/>
  <c r="E777" i="1"/>
  <c r="D777" i="1"/>
  <c r="C777" i="1"/>
  <c r="F776" i="1"/>
  <c r="E776" i="1"/>
  <c r="D776" i="1"/>
  <c r="C776" i="1"/>
  <c r="F775" i="1"/>
  <c r="E775" i="1"/>
  <c r="D775" i="1"/>
  <c r="C775" i="1"/>
  <c r="F774" i="1"/>
  <c r="E774" i="1"/>
  <c r="D774" i="1"/>
  <c r="C774" i="1"/>
  <c r="F773" i="1"/>
  <c r="E773" i="1"/>
  <c r="D773" i="1"/>
  <c r="C773" i="1"/>
  <c r="F772" i="1"/>
  <c r="E772" i="1"/>
  <c r="D772" i="1"/>
  <c r="C772" i="1"/>
  <c r="F771" i="1"/>
  <c r="E771" i="1"/>
  <c r="D771" i="1"/>
  <c r="C771" i="1"/>
  <c r="F770" i="1"/>
  <c r="E770" i="1"/>
  <c r="D770" i="1"/>
  <c r="C770" i="1"/>
  <c r="F769" i="1"/>
  <c r="E769" i="1"/>
  <c r="D769" i="1"/>
  <c r="C769" i="1"/>
  <c r="F768" i="1"/>
  <c r="E768" i="1"/>
  <c r="D768" i="1"/>
  <c r="C768" i="1"/>
  <c r="F767" i="1"/>
  <c r="E767" i="1"/>
  <c r="D767" i="1"/>
  <c r="C767" i="1"/>
  <c r="F766" i="1"/>
  <c r="E766" i="1"/>
  <c r="D766" i="1"/>
  <c r="C766" i="1"/>
  <c r="F765" i="1"/>
  <c r="E765" i="1"/>
  <c r="D765" i="1"/>
  <c r="C765" i="1"/>
  <c r="F764" i="1"/>
  <c r="E764" i="1"/>
  <c r="D764" i="1"/>
  <c r="C764" i="1"/>
  <c r="F763" i="1"/>
  <c r="E763" i="1"/>
  <c r="D763" i="1"/>
  <c r="C763" i="1"/>
  <c r="F762" i="1"/>
  <c r="E762" i="1"/>
  <c r="D762" i="1"/>
  <c r="C762" i="1"/>
  <c r="F761" i="1"/>
  <c r="E761" i="1"/>
  <c r="D761" i="1"/>
  <c r="C761" i="1"/>
  <c r="F760" i="1"/>
  <c r="E760" i="1"/>
  <c r="D760" i="1"/>
  <c r="C760" i="1"/>
  <c r="F759" i="1"/>
  <c r="E759" i="1"/>
  <c r="D759" i="1"/>
  <c r="C759" i="1"/>
  <c r="F758" i="1"/>
  <c r="E758" i="1"/>
  <c r="D758" i="1"/>
  <c r="C758" i="1"/>
  <c r="F757" i="1"/>
  <c r="E757" i="1"/>
  <c r="D757" i="1"/>
  <c r="C757" i="1"/>
  <c r="F756" i="1"/>
  <c r="E756" i="1"/>
  <c r="D756" i="1"/>
  <c r="C756" i="1"/>
  <c r="F755" i="1"/>
  <c r="E755" i="1"/>
  <c r="D755" i="1"/>
  <c r="C755" i="1"/>
  <c r="F754" i="1"/>
  <c r="E754" i="1"/>
  <c r="D754" i="1"/>
  <c r="C754" i="1"/>
  <c r="F753" i="1"/>
  <c r="E753" i="1"/>
  <c r="D753" i="1"/>
  <c r="C753" i="1"/>
  <c r="F752" i="1"/>
  <c r="E752" i="1"/>
  <c r="D752" i="1"/>
  <c r="C752" i="1"/>
  <c r="F751" i="1"/>
  <c r="E751" i="1"/>
  <c r="D751" i="1"/>
  <c r="C751" i="1"/>
  <c r="F750" i="1"/>
  <c r="E750" i="1"/>
  <c r="D750" i="1"/>
  <c r="C750" i="1"/>
  <c r="F749" i="1"/>
  <c r="E749" i="1"/>
  <c r="D749" i="1"/>
  <c r="C749" i="1"/>
  <c r="F748" i="1"/>
  <c r="E748" i="1"/>
  <c r="D748" i="1"/>
  <c r="C748" i="1"/>
  <c r="F747" i="1"/>
  <c r="E747" i="1"/>
  <c r="D747" i="1"/>
  <c r="C747" i="1"/>
  <c r="F746" i="1"/>
  <c r="E746" i="1"/>
  <c r="D746" i="1"/>
  <c r="C746" i="1"/>
  <c r="F745" i="1"/>
  <c r="E745" i="1"/>
  <c r="D745" i="1"/>
  <c r="C745" i="1"/>
  <c r="F744" i="1"/>
  <c r="E744" i="1"/>
  <c r="D744" i="1"/>
  <c r="C744" i="1"/>
  <c r="F743" i="1"/>
  <c r="E743" i="1"/>
  <c r="D743" i="1"/>
  <c r="C743" i="1"/>
  <c r="F742" i="1"/>
  <c r="E742" i="1"/>
  <c r="D742" i="1"/>
  <c r="C742" i="1"/>
  <c r="F741" i="1"/>
  <c r="E741" i="1"/>
  <c r="D741" i="1"/>
  <c r="C741" i="1"/>
  <c r="F740" i="1"/>
  <c r="E740" i="1"/>
  <c r="D740" i="1"/>
  <c r="C740" i="1"/>
  <c r="F739" i="1"/>
  <c r="E739" i="1"/>
  <c r="D739" i="1"/>
  <c r="C739" i="1"/>
  <c r="F738" i="1"/>
  <c r="E738" i="1"/>
  <c r="D738" i="1"/>
  <c r="C738" i="1"/>
  <c r="F737" i="1"/>
  <c r="E737" i="1"/>
  <c r="D737" i="1"/>
  <c r="C737" i="1"/>
  <c r="F736" i="1"/>
  <c r="E736" i="1"/>
  <c r="D736" i="1"/>
  <c r="C736" i="1"/>
  <c r="F735" i="1"/>
  <c r="E735" i="1"/>
  <c r="D735" i="1"/>
  <c r="C735" i="1"/>
  <c r="F734" i="1"/>
  <c r="E734" i="1"/>
  <c r="D734" i="1"/>
  <c r="C734" i="1"/>
  <c r="F733" i="1"/>
  <c r="E733" i="1"/>
  <c r="D733" i="1"/>
  <c r="C733" i="1"/>
  <c r="F732" i="1"/>
  <c r="E732" i="1"/>
  <c r="D732" i="1"/>
  <c r="C732" i="1"/>
  <c r="F731" i="1"/>
  <c r="E731" i="1"/>
  <c r="D731" i="1"/>
  <c r="C731" i="1"/>
  <c r="F730" i="1"/>
  <c r="E730" i="1"/>
  <c r="D730" i="1"/>
  <c r="C730" i="1"/>
  <c r="F729" i="1"/>
  <c r="E729" i="1"/>
  <c r="D729" i="1"/>
  <c r="C729" i="1"/>
  <c r="F728" i="1"/>
  <c r="E728" i="1"/>
  <c r="D728" i="1"/>
  <c r="C728" i="1"/>
  <c r="F727" i="1"/>
  <c r="E727" i="1"/>
  <c r="D727" i="1"/>
  <c r="C727" i="1"/>
  <c r="F726" i="1"/>
  <c r="E726" i="1"/>
  <c r="D726" i="1"/>
  <c r="C726" i="1"/>
  <c r="F725" i="1"/>
  <c r="E725" i="1"/>
  <c r="D725" i="1"/>
  <c r="C725" i="1"/>
  <c r="F724" i="1"/>
  <c r="E724" i="1"/>
  <c r="D724" i="1"/>
  <c r="C724" i="1"/>
  <c r="F723" i="1"/>
  <c r="E723" i="1"/>
  <c r="D723" i="1"/>
  <c r="C723" i="1"/>
  <c r="F722" i="1"/>
  <c r="E722" i="1"/>
  <c r="D722" i="1"/>
  <c r="C722" i="1"/>
  <c r="F721" i="1"/>
  <c r="E721" i="1"/>
  <c r="D721" i="1"/>
  <c r="C721" i="1"/>
  <c r="F720" i="1"/>
  <c r="E720" i="1"/>
  <c r="D720" i="1"/>
  <c r="C720" i="1"/>
  <c r="F719" i="1"/>
  <c r="E719" i="1"/>
  <c r="D719" i="1"/>
  <c r="C719" i="1"/>
  <c r="F718" i="1"/>
  <c r="E718" i="1"/>
  <c r="D718" i="1"/>
  <c r="C718" i="1"/>
  <c r="F717" i="1"/>
  <c r="E717" i="1"/>
  <c r="D717" i="1"/>
  <c r="C717" i="1"/>
  <c r="F716" i="1"/>
  <c r="E716" i="1"/>
  <c r="D716" i="1"/>
  <c r="C716" i="1"/>
  <c r="F715" i="1"/>
  <c r="E715" i="1"/>
  <c r="D715" i="1"/>
  <c r="C715" i="1"/>
  <c r="F714" i="1"/>
  <c r="E714" i="1"/>
  <c r="D714" i="1"/>
  <c r="C714" i="1"/>
  <c r="F713" i="1"/>
  <c r="E713" i="1"/>
  <c r="D713" i="1"/>
  <c r="C713" i="1"/>
  <c r="F712" i="1"/>
  <c r="E712" i="1"/>
  <c r="D712" i="1"/>
  <c r="C712" i="1"/>
  <c r="F711" i="1"/>
  <c r="E711" i="1"/>
  <c r="D711" i="1"/>
  <c r="C711" i="1"/>
  <c r="F710" i="1"/>
  <c r="E710" i="1"/>
  <c r="D710" i="1"/>
  <c r="C710" i="1"/>
  <c r="F709" i="1"/>
  <c r="E709" i="1"/>
  <c r="D709" i="1"/>
  <c r="C709" i="1"/>
  <c r="F708" i="1"/>
  <c r="E708" i="1"/>
  <c r="D708" i="1"/>
  <c r="C708" i="1"/>
  <c r="F707" i="1"/>
  <c r="E707" i="1"/>
  <c r="D707" i="1"/>
  <c r="C707" i="1"/>
  <c r="F706" i="1"/>
  <c r="E706" i="1"/>
  <c r="D706" i="1"/>
  <c r="C706" i="1"/>
  <c r="F705" i="1"/>
  <c r="E705" i="1"/>
  <c r="D705" i="1"/>
  <c r="C705" i="1"/>
  <c r="F704" i="1"/>
  <c r="E704" i="1"/>
  <c r="D704" i="1"/>
  <c r="C704" i="1"/>
  <c r="F703" i="1"/>
  <c r="E703" i="1"/>
  <c r="D703" i="1"/>
  <c r="C703" i="1"/>
  <c r="F702" i="1"/>
  <c r="E702" i="1"/>
  <c r="D702" i="1"/>
  <c r="C702" i="1"/>
  <c r="F701" i="1"/>
  <c r="E701" i="1"/>
  <c r="D701" i="1"/>
  <c r="C701" i="1"/>
  <c r="F700" i="1"/>
  <c r="E700" i="1"/>
  <c r="D700" i="1"/>
  <c r="C700" i="1"/>
  <c r="F699" i="1"/>
  <c r="E699" i="1"/>
  <c r="D699" i="1"/>
  <c r="C699" i="1"/>
  <c r="F698" i="1"/>
  <c r="E698" i="1"/>
  <c r="D698" i="1"/>
  <c r="C698" i="1"/>
  <c r="F697" i="1"/>
  <c r="E697" i="1"/>
  <c r="D697" i="1"/>
  <c r="C697" i="1"/>
  <c r="F696" i="1"/>
  <c r="E696" i="1"/>
  <c r="D696" i="1"/>
  <c r="C696" i="1"/>
  <c r="F695" i="1"/>
  <c r="E695" i="1"/>
  <c r="D695" i="1"/>
  <c r="C695" i="1"/>
  <c r="F694" i="1"/>
  <c r="E694" i="1"/>
  <c r="D694" i="1"/>
  <c r="C694" i="1"/>
  <c r="F693" i="1"/>
  <c r="E693" i="1"/>
  <c r="D693" i="1"/>
  <c r="C693" i="1"/>
  <c r="F692" i="1"/>
  <c r="E692" i="1"/>
  <c r="D692" i="1"/>
  <c r="C692" i="1"/>
  <c r="F691" i="1"/>
  <c r="E691" i="1"/>
  <c r="D691" i="1"/>
  <c r="C691" i="1"/>
  <c r="F690" i="1"/>
  <c r="E690" i="1"/>
  <c r="D690" i="1"/>
  <c r="C690" i="1"/>
  <c r="F689" i="1"/>
  <c r="E689" i="1"/>
  <c r="D689" i="1"/>
  <c r="C689" i="1"/>
  <c r="F688" i="1"/>
  <c r="E688" i="1"/>
  <c r="D688" i="1"/>
  <c r="C688" i="1"/>
  <c r="F687" i="1"/>
  <c r="E687" i="1"/>
  <c r="D687" i="1"/>
  <c r="C687" i="1"/>
  <c r="F686" i="1"/>
  <c r="E686" i="1"/>
  <c r="D686" i="1"/>
  <c r="C686" i="1"/>
  <c r="F685" i="1"/>
  <c r="E685" i="1"/>
  <c r="D685" i="1"/>
  <c r="C685" i="1"/>
  <c r="F684" i="1"/>
  <c r="E684" i="1"/>
  <c r="D684" i="1"/>
  <c r="C684" i="1"/>
  <c r="F683" i="1"/>
  <c r="E683" i="1"/>
  <c r="D683" i="1"/>
  <c r="C683" i="1"/>
  <c r="F682" i="1"/>
  <c r="E682" i="1"/>
  <c r="D682" i="1"/>
  <c r="C682" i="1"/>
  <c r="F681" i="1"/>
  <c r="E681" i="1"/>
  <c r="D681" i="1"/>
  <c r="C681" i="1"/>
  <c r="F680" i="1"/>
  <c r="E680" i="1"/>
  <c r="D680" i="1"/>
  <c r="C680" i="1"/>
  <c r="F679" i="1"/>
  <c r="E679" i="1"/>
  <c r="D679" i="1"/>
  <c r="C679" i="1"/>
  <c r="F678" i="1"/>
  <c r="E678" i="1"/>
  <c r="D678" i="1"/>
  <c r="C678" i="1"/>
  <c r="F677" i="1"/>
  <c r="E677" i="1"/>
  <c r="D677" i="1"/>
  <c r="C677" i="1"/>
  <c r="F676" i="1"/>
  <c r="E676" i="1"/>
  <c r="D676" i="1"/>
  <c r="C676" i="1"/>
  <c r="F675" i="1"/>
  <c r="E675" i="1"/>
  <c r="D675" i="1"/>
  <c r="C675" i="1"/>
  <c r="F674" i="1"/>
  <c r="E674" i="1"/>
  <c r="D674" i="1"/>
  <c r="C674" i="1"/>
  <c r="F673" i="1"/>
  <c r="E673" i="1"/>
  <c r="D673" i="1"/>
  <c r="C673" i="1"/>
  <c r="F672" i="1"/>
  <c r="E672" i="1"/>
  <c r="D672" i="1"/>
  <c r="C672" i="1"/>
  <c r="F671" i="1"/>
  <c r="E671" i="1"/>
  <c r="D671" i="1"/>
  <c r="C671" i="1"/>
  <c r="F670" i="1"/>
  <c r="E670" i="1"/>
  <c r="D670" i="1"/>
  <c r="C670" i="1"/>
  <c r="F669" i="1"/>
  <c r="E669" i="1"/>
  <c r="D669" i="1"/>
  <c r="C669" i="1"/>
  <c r="F668" i="1"/>
  <c r="E668" i="1"/>
  <c r="D668" i="1"/>
  <c r="C668" i="1"/>
  <c r="F667" i="1"/>
  <c r="E667" i="1"/>
  <c r="D667" i="1"/>
  <c r="C667" i="1"/>
  <c r="F666" i="1"/>
  <c r="E666" i="1"/>
  <c r="D666" i="1"/>
  <c r="C666" i="1"/>
  <c r="F665" i="1"/>
  <c r="E665" i="1"/>
  <c r="D665" i="1"/>
  <c r="C665" i="1"/>
  <c r="F664" i="1"/>
  <c r="E664" i="1"/>
  <c r="D664" i="1"/>
  <c r="C664" i="1"/>
  <c r="F663" i="1"/>
  <c r="E663" i="1"/>
  <c r="D663" i="1"/>
  <c r="C663" i="1"/>
  <c r="F662" i="1"/>
  <c r="E662" i="1"/>
  <c r="D662" i="1"/>
  <c r="C662" i="1"/>
  <c r="F661" i="1"/>
  <c r="E661" i="1"/>
  <c r="D661" i="1"/>
  <c r="C661" i="1"/>
  <c r="F660" i="1"/>
  <c r="E660" i="1"/>
  <c r="D660" i="1"/>
  <c r="C660" i="1"/>
  <c r="F659" i="1"/>
  <c r="E659" i="1"/>
  <c r="D659" i="1"/>
  <c r="C659" i="1"/>
  <c r="F658" i="1"/>
  <c r="E658" i="1"/>
  <c r="D658" i="1"/>
  <c r="C658" i="1"/>
  <c r="F657" i="1"/>
  <c r="E657" i="1"/>
  <c r="D657" i="1"/>
  <c r="C657" i="1"/>
  <c r="F656" i="1"/>
  <c r="E656" i="1"/>
  <c r="D656" i="1"/>
  <c r="C656" i="1"/>
  <c r="F655" i="1"/>
  <c r="E655" i="1"/>
  <c r="D655" i="1"/>
  <c r="C655" i="1"/>
  <c r="F654" i="1"/>
  <c r="E654" i="1"/>
  <c r="D654" i="1"/>
  <c r="C654" i="1"/>
  <c r="F653" i="1"/>
  <c r="E653" i="1"/>
  <c r="D653" i="1"/>
  <c r="C653" i="1"/>
  <c r="F652" i="1"/>
  <c r="E652" i="1"/>
  <c r="D652" i="1"/>
  <c r="C652" i="1"/>
  <c r="F651" i="1"/>
  <c r="E651" i="1"/>
  <c r="D651" i="1"/>
  <c r="C651" i="1"/>
  <c r="F650" i="1"/>
  <c r="E650" i="1"/>
  <c r="D650" i="1"/>
  <c r="C650" i="1"/>
  <c r="F649" i="1"/>
  <c r="E649" i="1"/>
  <c r="D649" i="1"/>
  <c r="C649" i="1"/>
  <c r="F648" i="1"/>
  <c r="E648" i="1"/>
  <c r="D648" i="1"/>
  <c r="C648" i="1"/>
  <c r="F647" i="1"/>
  <c r="E647" i="1"/>
  <c r="D647" i="1"/>
  <c r="C647" i="1"/>
  <c r="F646" i="1"/>
  <c r="E646" i="1"/>
  <c r="D646" i="1"/>
  <c r="C646" i="1"/>
  <c r="F645" i="1"/>
  <c r="E645" i="1"/>
  <c r="D645" i="1"/>
  <c r="C645" i="1"/>
  <c r="F644" i="1"/>
  <c r="E644" i="1"/>
  <c r="D644" i="1"/>
  <c r="C644" i="1"/>
  <c r="F643" i="1"/>
  <c r="E643" i="1"/>
  <c r="D643" i="1"/>
  <c r="C643" i="1"/>
  <c r="F642" i="1"/>
  <c r="E642" i="1"/>
  <c r="D642" i="1"/>
  <c r="C642" i="1"/>
  <c r="F641" i="1"/>
  <c r="E641" i="1"/>
  <c r="D641" i="1"/>
  <c r="C641" i="1"/>
  <c r="F640" i="1"/>
  <c r="E640" i="1"/>
  <c r="D640" i="1"/>
  <c r="C640" i="1"/>
  <c r="F639" i="1"/>
  <c r="E639" i="1"/>
  <c r="D639" i="1"/>
  <c r="C639" i="1"/>
  <c r="F638" i="1"/>
  <c r="E638" i="1"/>
  <c r="D638" i="1"/>
  <c r="C638" i="1"/>
  <c r="F637" i="1"/>
  <c r="E637" i="1"/>
  <c r="D637" i="1"/>
  <c r="C637" i="1"/>
  <c r="F636" i="1"/>
  <c r="E636" i="1"/>
  <c r="D636" i="1"/>
  <c r="C636" i="1"/>
  <c r="F635" i="1"/>
  <c r="E635" i="1"/>
  <c r="D635" i="1"/>
  <c r="C635" i="1"/>
  <c r="F634" i="1"/>
  <c r="E634" i="1"/>
  <c r="D634" i="1"/>
  <c r="C634" i="1"/>
  <c r="F633" i="1"/>
  <c r="E633" i="1"/>
  <c r="D633" i="1"/>
  <c r="C633" i="1"/>
  <c r="F632" i="1"/>
  <c r="E632" i="1"/>
  <c r="D632" i="1"/>
  <c r="C632" i="1"/>
  <c r="F631" i="1"/>
  <c r="E631" i="1"/>
  <c r="D631" i="1"/>
  <c r="C631" i="1"/>
  <c r="F630" i="1"/>
  <c r="E630" i="1"/>
  <c r="D630" i="1"/>
  <c r="C630" i="1"/>
  <c r="F629" i="1"/>
  <c r="E629" i="1"/>
  <c r="D629" i="1"/>
  <c r="C629" i="1"/>
  <c r="F628" i="1"/>
  <c r="E628" i="1"/>
  <c r="D628" i="1"/>
  <c r="C628" i="1"/>
  <c r="F627" i="1"/>
  <c r="E627" i="1"/>
  <c r="D627" i="1"/>
  <c r="C627" i="1"/>
  <c r="F626" i="1"/>
  <c r="E626" i="1"/>
  <c r="D626" i="1"/>
  <c r="C626" i="1"/>
  <c r="F625" i="1"/>
  <c r="E625" i="1"/>
  <c r="D625" i="1"/>
  <c r="C625" i="1"/>
  <c r="F624" i="1"/>
  <c r="E624" i="1"/>
  <c r="D624" i="1"/>
  <c r="C624" i="1"/>
  <c r="F623" i="1"/>
  <c r="E623" i="1"/>
  <c r="D623" i="1"/>
  <c r="C623" i="1"/>
  <c r="F622" i="1"/>
  <c r="E622" i="1"/>
  <c r="D622" i="1"/>
  <c r="C622" i="1"/>
  <c r="F621" i="1"/>
  <c r="E621" i="1"/>
  <c r="D621" i="1"/>
  <c r="C621" i="1"/>
  <c r="F620" i="1"/>
  <c r="E620" i="1"/>
  <c r="D620" i="1"/>
  <c r="C620" i="1"/>
  <c r="F619" i="1"/>
  <c r="E619" i="1"/>
  <c r="D619" i="1"/>
  <c r="C619" i="1"/>
  <c r="F618" i="1"/>
  <c r="E618" i="1"/>
  <c r="D618" i="1"/>
  <c r="C618" i="1"/>
  <c r="F617" i="1"/>
  <c r="E617" i="1"/>
  <c r="D617" i="1"/>
  <c r="C617" i="1"/>
  <c r="F616" i="1"/>
  <c r="E616" i="1"/>
  <c r="D616" i="1"/>
  <c r="C616" i="1"/>
  <c r="F615" i="1"/>
  <c r="E615" i="1"/>
  <c r="D615" i="1"/>
  <c r="C615" i="1"/>
  <c r="F614" i="1"/>
  <c r="E614" i="1"/>
  <c r="D614" i="1"/>
  <c r="C614" i="1"/>
  <c r="F613" i="1"/>
  <c r="E613" i="1"/>
  <c r="D613" i="1"/>
  <c r="C613" i="1"/>
  <c r="F612" i="1"/>
  <c r="E612" i="1"/>
  <c r="D612" i="1"/>
  <c r="C612" i="1"/>
  <c r="F611" i="1"/>
  <c r="E611" i="1"/>
  <c r="D611" i="1"/>
  <c r="C611" i="1"/>
  <c r="F610" i="1"/>
  <c r="E610" i="1"/>
  <c r="D610" i="1"/>
  <c r="C610" i="1"/>
  <c r="F609" i="1"/>
  <c r="E609" i="1"/>
  <c r="D609" i="1"/>
  <c r="C609" i="1"/>
  <c r="F608" i="1"/>
  <c r="E608" i="1"/>
  <c r="D608" i="1"/>
  <c r="C608" i="1"/>
  <c r="F607" i="1"/>
  <c r="E607" i="1"/>
  <c r="D607" i="1"/>
  <c r="C607" i="1"/>
  <c r="F606" i="1"/>
  <c r="E606" i="1"/>
  <c r="D606" i="1"/>
  <c r="C606" i="1"/>
  <c r="F605" i="1"/>
  <c r="E605" i="1"/>
  <c r="D605" i="1"/>
  <c r="C605" i="1"/>
  <c r="F604" i="1"/>
  <c r="E604" i="1"/>
  <c r="D604" i="1"/>
  <c r="C604" i="1"/>
  <c r="F603" i="1"/>
  <c r="E603" i="1"/>
  <c r="D603" i="1"/>
  <c r="C603" i="1"/>
  <c r="F602" i="1"/>
  <c r="E602" i="1"/>
  <c r="D602" i="1"/>
  <c r="C602" i="1"/>
  <c r="F601" i="1"/>
  <c r="E601" i="1"/>
  <c r="D601" i="1"/>
  <c r="C601" i="1"/>
  <c r="F600" i="1"/>
  <c r="E600" i="1"/>
  <c r="D600" i="1"/>
  <c r="C600" i="1"/>
  <c r="F599" i="1"/>
  <c r="E599" i="1"/>
  <c r="D599" i="1"/>
  <c r="C599" i="1"/>
  <c r="F598" i="1"/>
  <c r="E598" i="1"/>
  <c r="D598" i="1"/>
  <c r="C598" i="1"/>
  <c r="F597" i="1"/>
  <c r="E597" i="1"/>
  <c r="D597" i="1"/>
  <c r="C597" i="1"/>
  <c r="F596" i="1"/>
  <c r="E596" i="1"/>
  <c r="D596" i="1"/>
  <c r="C596" i="1"/>
  <c r="F595" i="1"/>
  <c r="E595" i="1"/>
  <c r="D595" i="1"/>
  <c r="C595" i="1"/>
  <c r="F594" i="1"/>
  <c r="E594" i="1"/>
  <c r="D594" i="1"/>
  <c r="C594" i="1"/>
  <c r="F593" i="1"/>
  <c r="E593" i="1"/>
  <c r="D593" i="1"/>
  <c r="C593" i="1"/>
  <c r="F592" i="1"/>
  <c r="E592" i="1"/>
  <c r="D592" i="1"/>
  <c r="C592" i="1"/>
  <c r="F591" i="1"/>
  <c r="E591" i="1"/>
  <c r="D591" i="1"/>
  <c r="C591" i="1"/>
  <c r="F590" i="1"/>
  <c r="E590" i="1"/>
  <c r="D590" i="1"/>
  <c r="C590" i="1"/>
  <c r="F589" i="1"/>
  <c r="E589" i="1"/>
  <c r="D589" i="1"/>
  <c r="C589" i="1"/>
  <c r="F588" i="1"/>
  <c r="E588" i="1"/>
  <c r="D588" i="1"/>
  <c r="C588" i="1"/>
  <c r="F587" i="1"/>
  <c r="E587" i="1"/>
  <c r="D587" i="1"/>
  <c r="C587" i="1"/>
  <c r="F586" i="1"/>
  <c r="E586" i="1"/>
  <c r="D586" i="1"/>
  <c r="C586" i="1"/>
  <c r="F585" i="1"/>
  <c r="E585" i="1"/>
  <c r="D585" i="1"/>
  <c r="C585" i="1"/>
  <c r="F584" i="1"/>
  <c r="E584" i="1"/>
  <c r="D584" i="1"/>
  <c r="C584" i="1"/>
  <c r="F583" i="1"/>
  <c r="E583" i="1"/>
  <c r="D583" i="1"/>
  <c r="C583" i="1"/>
  <c r="F582" i="1"/>
  <c r="E582" i="1"/>
  <c r="D582" i="1"/>
  <c r="C582" i="1"/>
  <c r="F581" i="1"/>
  <c r="E581" i="1"/>
  <c r="D581" i="1"/>
  <c r="C581" i="1"/>
  <c r="F580" i="1"/>
  <c r="E580" i="1"/>
  <c r="D580" i="1"/>
  <c r="C580" i="1"/>
  <c r="F579" i="1"/>
  <c r="E579" i="1"/>
  <c r="D579" i="1"/>
  <c r="C579" i="1"/>
  <c r="F578" i="1"/>
  <c r="E578" i="1"/>
  <c r="D578" i="1"/>
  <c r="C578" i="1"/>
  <c r="F577" i="1"/>
  <c r="E577" i="1"/>
  <c r="D577" i="1"/>
  <c r="C577" i="1"/>
  <c r="F576" i="1"/>
  <c r="E576" i="1"/>
  <c r="D576" i="1"/>
  <c r="C576" i="1"/>
  <c r="F575" i="1"/>
  <c r="E575" i="1"/>
  <c r="D575" i="1"/>
  <c r="C575" i="1"/>
  <c r="F574" i="1"/>
  <c r="E574" i="1"/>
  <c r="D574" i="1"/>
  <c r="C574" i="1"/>
  <c r="F573" i="1"/>
  <c r="E573" i="1"/>
  <c r="D573" i="1"/>
  <c r="C573" i="1"/>
  <c r="F572" i="1"/>
  <c r="E572" i="1"/>
  <c r="D572" i="1"/>
  <c r="C572" i="1"/>
  <c r="F571" i="1"/>
  <c r="E571" i="1"/>
  <c r="D571" i="1"/>
  <c r="C571" i="1"/>
  <c r="F570" i="1"/>
  <c r="E570" i="1"/>
  <c r="D570" i="1"/>
  <c r="C570" i="1"/>
  <c r="F569" i="1"/>
  <c r="E569" i="1"/>
  <c r="D569" i="1"/>
  <c r="C569" i="1"/>
  <c r="F568" i="1"/>
  <c r="E568" i="1"/>
  <c r="D568" i="1"/>
  <c r="C568" i="1"/>
  <c r="F567" i="1"/>
  <c r="E567" i="1"/>
  <c r="D567" i="1"/>
  <c r="C567" i="1"/>
  <c r="F566" i="1"/>
  <c r="E566" i="1"/>
  <c r="D566" i="1"/>
  <c r="C566" i="1"/>
  <c r="F565" i="1"/>
  <c r="E565" i="1"/>
  <c r="D565" i="1"/>
  <c r="C565" i="1"/>
  <c r="F564" i="1"/>
  <c r="E564" i="1"/>
  <c r="D564" i="1"/>
  <c r="C564" i="1"/>
  <c r="F563" i="1"/>
  <c r="E563" i="1"/>
  <c r="D563" i="1"/>
  <c r="C563" i="1"/>
  <c r="F562" i="1"/>
  <c r="E562" i="1"/>
  <c r="D562" i="1"/>
  <c r="C562" i="1"/>
  <c r="F561" i="1"/>
  <c r="E561" i="1"/>
  <c r="D561" i="1"/>
  <c r="C561" i="1"/>
  <c r="F560" i="1"/>
  <c r="E560" i="1"/>
  <c r="D560" i="1"/>
  <c r="C560" i="1"/>
  <c r="F559" i="1"/>
  <c r="E559" i="1"/>
  <c r="D559" i="1"/>
  <c r="C559" i="1"/>
  <c r="F558" i="1"/>
  <c r="E558" i="1"/>
  <c r="D558" i="1"/>
  <c r="C558" i="1"/>
  <c r="F557" i="1"/>
  <c r="E557" i="1"/>
  <c r="D557" i="1"/>
  <c r="C557" i="1"/>
  <c r="F556" i="1"/>
  <c r="E556" i="1"/>
  <c r="D556" i="1"/>
  <c r="C556" i="1"/>
  <c r="F555" i="1"/>
  <c r="E555" i="1"/>
  <c r="D555" i="1"/>
  <c r="C555" i="1"/>
  <c r="F554" i="1"/>
  <c r="E554" i="1"/>
  <c r="D554" i="1"/>
  <c r="C554" i="1"/>
  <c r="F553" i="1"/>
  <c r="E553" i="1"/>
  <c r="D553" i="1"/>
  <c r="C553" i="1"/>
  <c r="F552" i="1"/>
  <c r="E552" i="1"/>
  <c r="D552" i="1"/>
  <c r="C552" i="1"/>
  <c r="F551" i="1"/>
  <c r="E551" i="1"/>
  <c r="D551" i="1"/>
  <c r="C551" i="1"/>
  <c r="F550" i="1"/>
  <c r="E550" i="1"/>
  <c r="D550" i="1"/>
  <c r="C550" i="1"/>
  <c r="F549" i="1"/>
  <c r="E549" i="1"/>
  <c r="D549" i="1"/>
  <c r="C549" i="1"/>
  <c r="F548" i="1"/>
  <c r="E548" i="1"/>
  <c r="D548" i="1"/>
  <c r="C548" i="1"/>
  <c r="F547" i="1"/>
  <c r="E547" i="1"/>
  <c r="D547" i="1"/>
  <c r="C547" i="1"/>
  <c r="F546" i="1"/>
  <c r="E546" i="1"/>
  <c r="D546" i="1"/>
  <c r="C546" i="1"/>
  <c r="F545" i="1"/>
  <c r="E545" i="1"/>
  <c r="D545" i="1"/>
  <c r="C545" i="1"/>
  <c r="F544" i="1"/>
  <c r="E544" i="1"/>
  <c r="D544" i="1"/>
  <c r="C544" i="1"/>
  <c r="F543" i="1"/>
  <c r="E543" i="1"/>
  <c r="D543" i="1"/>
  <c r="C543" i="1"/>
  <c r="F542" i="1"/>
  <c r="E542" i="1"/>
  <c r="D542" i="1"/>
  <c r="C542" i="1"/>
  <c r="F541" i="1"/>
  <c r="E541" i="1"/>
  <c r="D541" i="1"/>
  <c r="C541" i="1"/>
  <c r="F540" i="1"/>
  <c r="E540" i="1"/>
  <c r="D540" i="1"/>
  <c r="C540" i="1"/>
  <c r="F539" i="1"/>
  <c r="E539" i="1"/>
  <c r="D539" i="1"/>
  <c r="C539" i="1"/>
  <c r="F538" i="1"/>
  <c r="E538" i="1"/>
  <c r="D538" i="1"/>
  <c r="C538" i="1"/>
  <c r="F537" i="1"/>
  <c r="E537" i="1"/>
  <c r="D537" i="1"/>
  <c r="C537" i="1"/>
  <c r="F536" i="1"/>
  <c r="E536" i="1"/>
  <c r="D536" i="1"/>
  <c r="C536" i="1"/>
  <c r="F535" i="1"/>
  <c r="E535" i="1"/>
  <c r="D535" i="1"/>
  <c r="C535" i="1"/>
  <c r="F534" i="1"/>
  <c r="E534" i="1"/>
  <c r="D534" i="1"/>
  <c r="C534" i="1"/>
  <c r="F533" i="1"/>
  <c r="E533" i="1"/>
  <c r="D533" i="1"/>
  <c r="C533" i="1"/>
  <c r="F532" i="1"/>
  <c r="E532" i="1"/>
  <c r="D532" i="1"/>
  <c r="C532" i="1"/>
  <c r="F531" i="1"/>
  <c r="E531" i="1"/>
  <c r="D531" i="1"/>
  <c r="C531" i="1"/>
  <c r="F530" i="1"/>
  <c r="E530" i="1"/>
  <c r="D530" i="1"/>
  <c r="C530" i="1"/>
  <c r="F529" i="1"/>
  <c r="E529" i="1"/>
  <c r="D529" i="1"/>
  <c r="C529" i="1"/>
  <c r="F528" i="1"/>
  <c r="E528" i="1"/>
  <c r="D528" i="1"/>
  <c r="C528" i="1"/>
  <c r="F527" i="1"/>
  <c r="E527" i="1"/>
  <c r="D527" i="1"/>
  <c r="C527" i="1"/>
  <c r="F526" i="1"/>
  <c r="E526" i="1"/>
  <c r="D526" i="1"/>
  <c r="C526" i="1"/>
  <c r="F525" i="1"/>
  <c r="E525" i="1"/>
  <c r="D525" i="1"/>
  <c r="C525" i="1"/>
  <c r="F524" i="1"/>
  <c r="E524" i="1"/>
  <c r="D524" i="1"/>
  <c r="C524" i="1"/>
  <c r="F523" i="1"/>
  <c r="E523" i="1"/>
  <c r="D523" i="1"/>
  <c r="C523" i="1"/>
  <c r="F522" i="1"/>
  <c r="E522" i="1"/>
  <c r="D522" i="1"/>
  <c r="C522" i="1"/>
  <c r="F521" i="1"/>
  <c r="E521" i="1"/>
  <c r="D521" i="1"/>
  <c r="C521" i="1"/>
  <c r="F520" i="1"/>
  <c r="E520" i="1"/>
  <c r="D520" i="1"/>
  <c r="C520" i="1"/>
  <c r="F519" i="1"/>
  <c r="E519" i="1"/>
  <c r="D519" i="1"/>
  <c r="C519" i="1"/>
  <c r="F518" i="1"/>
  <c r="E518" i="1"/>
  <c r="D518" i="1"/>
  <c r="C518" i="1"/>
  <c r="F517" i="1"/>
  <c r="E517" i="1"/>
  <c r="D517" i="1"/>
  <c r="C517" i="1"/>
  <c r="F516" i="1"/>
  <c r="E516" i="1"/>
  <c r="D516" i="1"/>
  <c r="C516" i="1"/>
  <c r="F515" i="1"/>
  <c r="E515" i="1"/>
  <c r="D515" i="1"/>
  <c r="C515" i="1"/>
  <c r="F514" i="1"/>
  <c r="E514" i="1"/>
  <c r="D514" i="1"/>
  <c r="C514" i="1"/>
  <c r="F513" i="1"/>
  <c r="E513" i="1"/>
  <c r="D513" i="1"/>
  <c r="C513" i="1"/>
  <c r="F512" i="1"/>
  <c r="E512" i="1"/>
  <c r="D512" i="1"/>
  <c r="C512" i="1"/>
  <c r="F511" i="1"/>
  <c r="E511" i="1"/>
  <c r="D511" i="1"/>
  <c r="C511" i="1"/>
  <c r="F510" i="1"/>
  <c r="E510" i="1"/>
  <c r="D510" i="1"/>
  <c r="C510" i="1"/>
  <c r="F509" i="1"/>
  <c r="E509" i="1"/>
  <c r="D509" i="1"/>
  <c r="C509" i="1"/>
  <c r="F508" i="1"/>
  <c r="E508" i="1"/>
  <c r="D508" i="1"/>
  <c r="C508" i="1"/>
  <c r="F507" i="1"/>
  <c r="E507" i="1"/>
  <c r="D507" i="1"/>
  <c r="C507" i="1"/>
  <c r="F506" i="1"/>
  <c r="E506" i="1"/>
  <c r="D506" i="1"/>
  <c r="C506" i="1"/>
  <c r="F505" i="1"/>
  <c r="E505" i="1"/>
  <c r="D505" i="1"/>
  <c r="C505" i="1"/>
  <c r="F504" i="1"/>
  <c r="E504" i="1"/>
  <c r="D504" i="1"/>
  <c r="C504" i="1"/>
  <c r="F503" i="1"/>
  <c r="E503" i="1"/>
  <c r="D503" i="1"/>
  <c r="C503" i="1"/>
  <c r="F502" i="1"/>
  <c r="E502" i="1"/>
  <c r="D502" i="1"/>
  <c r="C502" i="1"/>
  <c r="F501" i="1"/>
  <c r="E501" i="1"/>
  <c r="D501" i="1"/>
  <c r="C501" i="1"/>
  <c r="F500" i="1"/>
  <c r="E500" i="1"/>
  <c r="D500" i="1"/>
  <c r="C500" i="1"/>
  <c r="F499" i="1"/>
  <c r="E499" i="1"/>
  <c r="D499" i="1"/>
  <c r="C499" i="1"/>
  <c r="F498" i="1"/>
  <c r="E498" i="1"/>
  <c r="D498" i="1"/>
  <c r="C498" i="1"/>
  <c r="F497" i="1"/>
  <c r="E497" i="1"/>
  <c r="D497" i="1"/>
  <c r="C497" i="1"/>
  <c r="F496" i="1"/>
  <c r="E496" i="1"/>
  <c r="D496" i="1"/>
  <c r="C496" i="1"/>
  <c r="F495" i="1"/>
  <c r="E495" i="1"/>
  <c r="D495" i="1"/>
  <c r="C495" i="1"/>
  <c r="F494" i="1"/>
  <c r="E494" i="1"/>
  <c r="D494" i="1"/>
  <c r="C494" i="1"/>
  <c r="F493" i="1"/>
  <c r="E493" i="1"/>
  <c r="D493" i="1"/>
  <c r="C493" i="1"/>
  <c r="F492" i="1"/>
  <c r="E492" i="1"/>
  <c r="D492" i="1"/>
  <c r="C492" i="1"/>
  <c r="F491" i="1"/>
  <c r="E491" i="1"/>
  <c r="D491" i="1"/>
  <c r="C491" i="1"/>
  <c r="F490" i="1"/>
  <c r="E490" i="1"/>
  <c r="D490" i="1"/>
  <c r="C490" i="1"/>
  <c r="F489" i="1"/>
  <c r="E489" i="1"/>
  <c r="D489" i="1"/>
  <c r="C489" i="1"/>
  <c r="F488" i="1"/>
  <c r="E488" i="1"/>
  <c r="D488" i="1"/>
  <c r="C488" i="1"/>
  <c r="F487" i="1"/>
  <c r="E487" i="1"/>
  <c r="D487" i="1"/>
  <c r="C487" i="1"/>
  <c r="F486" i="1"/>
  <c r="E486" i="1"/>
  <c r="D486" i="1"/>
  <c r="C486" i="1"/>
  <c r="F485" i="1"/>
  <c r="E485" i="1"/>
  <c r="D485" i="1"/>
  <c r="C485" i="1"/>
  <c r="F484" i="1"/>
  <c r="E484" i="1"/>
  <c r="D484" i="1"/>
  <c r="C484" i="1"/>
  <c r="F483" i="1"/>
  <c r="E483" i="1"/>
  <c r="D483" i="1"/>
  <c r="C483" i="1"/>
  <c r="F482" i="1"/>
  <c r="E482" i="1"/>
  <c r="D482" i="1"/>
  <c r="C482" i="1"/>
  <c r="F481" i="1"/>
  <c r="E481" i="1"/>
  <c r="D481" i="1"/>
  <c r="C481" i="1"/>
  <c r="F480" i="1"/>
  <c r="E480" i="1"/>
  <c r="D480" i="1"/>
  <c r="C480" i="1"/>
  <c r="F479" i="1"/>
  <c r="E479" i="1"/>
  <c r="D479" i="1"/>
  <c r="C479" i="1"/>
  <c r="F478" i="1"/>
  <c r="E478" i="1"/>
  <c r="D478" i="1"/>
  <c r="C478" i="1"/>
  <c r="F477" i="1"/>
  <c r="E477" i="1"/>
  <c r="D477" i="1"/>
  <c r="C477" i="1"/>
  <c r="F476" i="1"/>
  <c r="E476" i="1"/>
  <c r="D476" i="1"/>
  <c r="C476" i="1"/>
  <c r="F475" i="1"/>
  <c r="E475" i="1"/>
  <c r="D475" i="1"/>
  <c r="C475" i="1"/>
  <c r="F474" i="1"/>
  <c r="E474" i="1"/>
  <c r="D474" i="1"/>
  <c r="C474" i="1"/>
  <c r="F473" i="1"/>
  <c r="E473" i="1"/>
  <c r="D473" i="1"/>
  <c r="C473" i="1"/>
  <c r="F472" i="1"/>
  <c r="E472" i="1"/>
  <c r="D472" i="1"/>
  <c r="C472" i="1"/>
  <c r="F471" i="1"/>
  <c r="E471" i="1"/>
  <c r="D471" i="1"/>
  <c r="C471" i="1"/>
  <c r="F470" i="1"/>
  <c r="E470" i="1"/>
  <c r="D470" i="1"/>
  <c r="C470" i="1"/>
  <c r="F469" i="1"/>
  <c r="E469" i="1"/>
  <c r="D469" i="1"/>
  <c r="C469" i="1"/>
  <c r="F468" i="1"/>
  <c r="E468" i="1"/>
  <c r="D468" i="1"/>
  <c r="C468" i="1"/>
  <c r="F467" i="1"/>
  <c r="E467" i="1"/>
  <c r="D467" i="1"/>
  <c r="C467" i="1"/>
  <c r="F466" i="1"/>
  <c r="E466" i="1"/>
  <c r="D466" i="1"/>
  <c r="C466" i="1"/>
  <c r="F465" i="1"/>
  <c r="E465" i="1"/>
  <c r="D465" i="1"/>
  <c r="C465" i="1"/>
  <c r="F464" i="1"/>
  <c r="E464" i="1"/>
  <c r="D464" i="1"/>
  <c r="C464" i="1"/>
  <c r="F463" i="1"/>
  <c r="E463" i="1"/>
  <c r="D463" i="1"/>
  <c r="C463" i="1"/>
  <c r="F462" i="1"/>
  <c r="E462" i="1"/>
  <c r="D462" i="1"/>
  <c r="C462" i="1"/>
  <c r="F461" i="1"/>
  <c r="E461" i="1"/>
  <c r="D461" i="1"/>
  <c r="C461" i="1"/>
  <c r="F460" i="1"/>
  <c r="E460" i="1"/>
  <c r="D460" i="1"/>
  <c r="C460" i="1"/>
  <c r="F459" i="1"/>
  <c r="E459" i="1"/>
  <c r="D459" i="1"/>
  <c r="C459" i="1"/>
  <c r="F458" i="1"/>
  <c r="E458" i="1"/>
  <c r="D458" i="1"/>
  <c r="C458" i="1"/>
  <c r="F457" i="1"/>
  <c r="E457" i="1"/>
  <c r="D457" i="1"/>
  <c r="C457" i="1"/>
  <c r="F456" i="1"/>
  <c r="E456" i="1"/>
  <c r="D456" i="1"/>
  <c r="C456" i="1"/>
  <c r="F455" i="1"/>
  <c r="E455" i="1"/>
  <c r="D455" i="1"/>
  <c r="C455" i="1"/>
  <c r="F454" i="1"/>
  <c r="E454" i="1"/>
  <c r="D454" i="1"/>
  <c r="C454" i="1"/>
  <c r="F453" i="1"/>
  <c r="E453" i="1"/>
  <c r="D453" i="1"/>
  <c r="C453" i="1"/>
  <c r="F452" i="1"/>
  <c r="E452" i="1"/>
  <c r="D452" i="1"/>
  <c r="C452" i="1"/>
  <c r="F451" i="1"/>
  <c r="E451" i="1"/>
  <c r="D451" i="1"/>
  <c r="C451" i="1"/>
  <c r="F450" i="1"/>
  <c r="E450" i="1"/>
  <c r="D450" i="1"/>
  <c r="C450" i="1"/>
  <c r="F449" i="1"/>
  <c r="E449" i="1"/>
  <c r="D449" i="1"/>
  <c r="C449" i="1"/>
  <c r="F448" i="1"/>
  <c r="E448" i="1"/>
  <c r="D448" i="1"/>
  <c r="C448" i="1"/>
  <c r="F447" i="1"/>
  <c r="E447" i="1"/>
  <c r="D447" i="1"/>
  <c r="C447" i="1"/>
  <c r="F446" i="1"/>
  <c r="E446" i="1"/>
  <c r="D446" i="1"/>
  <c r="C446" i="1"/>
  <c r="F445" i="1"/>
  <c r="E445" i="1"/>
  <c r="D445" i="1"/>
  <c r="C445" i="1"/>
  <c r="F444" i="1"/>
  <c r="E444" i="1"/>
  <c r="D444" i="1"/>
  <c r="C444" i="1"/>
  <c r="F443" i="1"/>
  <c r="E443" i="1"/>
  <c r="D443" i="1"/>
  <c r="C443" i="1"/>
  <c r="F442" i="1"/>
  <c r="E442" i="1"/>
  <c r="D442" i="1"/>
  <c r="C442" i="1"/>
  <c r="F441" i="1"/>
  <c r="E441" i="1"/>
  <c r="D441" i="1"/>
  <c r="C441" i="1"/>
  <c r="F440" i="1"/>
  <c r="E440" i="1"/>
  <c r="D440" i="1"/>
  <c r="C440" i="1"/>
  <c r="F439" i="1"/>
  <c r="E439" i="1"/>
  <c r="D439" i="1"/>
  <c r="C439" i="1"/>
  <c r="F438" i="1"/>
  <c r="E438" i="1"/>
  <c r="D438" i="1"/>
  <c r="C438" i="1"/>
  <c r="F437" i="1"/>
  <c r="E437" i="1"/>
  <c r="D437" i="1"/>
  <c r="C437" i="1"/>
  <c r="F436" i="1"/>
  <c r="E436" i="1"/>
  <c r="D436" i="1"/>
  <c r="C436" i="1"/>
  <c r="F435" i="1"/>
  <c r="E435" i="1"/>
  <c r="D435" i="1"/>
  <c r="C435" i="1"/>
  <c r="F434" i="1"/>
  <c r="E434" i="1"/>
  <c r="D434" i="1"/>
  <c r="C434" i="1"/>
  <c r="F433" i="1"/>
  <c r="E433" i="1"/>
  <c r="D433" i="1"/>
  <c r="C433" i="1"/>
  <c r="F432" i="1"/>
  <c r="E432" i="1"/>
  <c r="D432" i="1"/>
  <c r="C432" i="1"/>
  <c r="F431" i="1"/>
  <c r="E431" i="1"/>
  <c r="D431" i="1"/>
  <c r="C431" i="1"/>
  <c r="F430" i="1"/>
  <c r="E430" i="1"/>
  <c r="D430" i="1"/>
  <c r="C430" i="1"/>
  <c r="F429" i="1"/>
  <c r="E429" i="1"/>
  <c r="D429" i="1"/>
  <c r="C429" i="1"/>
  <c r="F428" i="1"/>
  <c r="E428" i="1"/>
  <c r="D428" i="1"/>
  <c r="C428" i="1"/>
  <c r="F427" i="1"/>
  <c r="E427" i="1"/>
  <c r="D427" i="1"/>
  <c r="C427" i="1"/>
  <c r="F426" i="1"/>
  <c r="E426" i="1"/>
  <c r="D426" i="1"/>
  <c r="C426" i="1"/>
  <c r="F425" i="1"/>
  <c r="E425" i="1"/>
  <c r="D425" i="1"/>
  <c r="C425" i="1"/>
  <c r="F424" i="1"/>
  <c r="E424" i="1"/>
  <c r="D424" i="1"/>
  <c r="C424" i="1"/>
  <c r="F423" i="1"/>
  <c r="E423" i="1"/>
  <c r="D423" i="1"/>
  <c r="C423" i="1"/>
  <c r="F422" i="1"/>
  <c r="E422" i="1"/>
  <c r="D422" i="1"/>
  <c r="C422" i="1"/>
  <c r="F421" i="1"/>
  <c r="E421" i="1"/>
  <c r="D421" i="1"/>
  <c r="C421" i="1"/>
  <c r="F420" i="1"/>
  <c r="E420" i="1"/>
  <c r="D420" i="1"/>
  <c r="C420" i="1"/>
  <c r="F419" i="1"/>
  <c r="E419" i="1"/>
  <c r="D419" i="1"/>
  <c r="C419" i="1"/>
  <c r="F418" i="1"/>
  <c r="E418" i="1"/>
  <c r="D418" i="1"/>
  <c r="C418" i="1"/>
  <c r="F417" i="1"/>
  <c r="E417" i="1"/>
  <c r="D417" i="1"/>
  <c r="C417" i="1"/>
  <c r="F416" i="1"/>
  <c r="E416" i="1"/>
  <c r="D416" i="1"/>
  <c r="C416" i="1"/>
  <c r="F415" i="1"/>
  <c r="E415" i="1"/>
  <c r="D415" i="1"/>
  <c r="C415" i="1"/>
  <c r="F414" i="1"/>
  <c r="E414" i="1"/>
  <c r="D414" i="1"/>
  <c r="C414" i="1"/>
  <c r="F413" i="1"/>
  <c r="E413" i="1"/>
  <c r="D413" i="1"/>
  <c r="C413" i="1"/>
  <c r="F412" i="1"/>
  <c r="E412" i="1"/>
  <c r="D412" i="1"/>
  <c r="C412" i="1"/>
  <c r="F411" i="1"/>
  <c r="E411" i="1"/>
  <c r="D411" i="1"/>
  <c r="C411" i="1"/>
  <c r="F410" i="1"/>
  <c r="E410" i="1"/>
  <c r="D410" i="1"/>
  <c r="C410" i="1"/>
  <c r="F409" i="1"/>
  <c r="E409" i="1"/>
  <c r="D409" i="1"/>
  <c r="C409" i="1"/>
  <c r="F408" i="1"/>
  <c r="E408" i="1"/>
  <c r="D408" i="1"/>
  <c r="C408" i="1"/>
  <c r="F407" i="1"/>
  <c r="E407" i="1"/>
  <c r="D407" i="1"/>
  <c r="C407" i="1"/>
  <c r="F406" i="1"/>
  <c r="E406" i="1"/>
  <c r="D406" i="1"/>
  <c r="C406" i="1"/>
  <c r="F405" i="1"/>
  <c r="E405" i="1"/>
  <c r="D405" i="1"/>
  <c r="C405" i="1"/>
  <c r="F404" i="1"/>
  <c r="E404" i="1"/>
  <c r="D404" i="1"/>
  <c r="C404" i="1"/>
  <c r="F403" i="1"/>
  <c r="E403" i="1"/>
  <c r="D403" i="1"/>
  <c r="C403" i="1"/>
  <c r="F402" i="1"/>
  <c r="E402" i="1"/>
  <c r="D402" i="1"/>
  <c r="C402" i="1"/>
  <c r="F401" i="1"/>
  <c r="E401" i="1"/>
  <c r="D401" i="1"/>
  <c r="C401" i="1"/>
  <c r="F400" i="1"/>
  <c r="E400" i="1"/>
  <c r="D400" i="1"/>
  <c r="C400" i="1"/>
  <c r="F399" i="1"/>
  <c r="E399" i="1"/>
  <c r="D399" i="1"/>
  <c r="C399" i="1"/>
  <c r="F398" i="1"/>
  <c r="E398" i="1"/>
  <c r="D398" i="1"/>
  <c r="C398" i="1"/>
  <c r="F397" i="1"/>
  <c r="E397" i="1"/>
  <c r="D397" i="1"/>
  <c r="C397" i="1"/>
  <c r="F396" i="1"/>
  <c r="E396" i="1"/>
  <c r="D396" i="1"/>
  <c r="C396" i="1"/>
  <c r="F395" i="1"/>
  <c r="E395" i="1"/>
  <c r="D395" i="1"/>
  <c r="C395" i="1"/>
  <c r="F394" i="1"/>
  <c r="E394" i="1"/>
  <c r="D394" i="1"/>
  <c r="C394" i="1"/>
  <c r="F393" i="1"/>
  <c r="E393" i="1"/>
  <c r="D393" i="1"/>
  <c r="C393" i="1"/>
  <c r="F392" i="1"/>
  <c r="E392" i="1"/>
  <c r="D392" i="1"/>
  <c r="C392" i="1"/>
  <c r="F391" i="1"/>
  <c r="E391" i="1"/>
  <c r="D391" i="1"/>
  <c r="C391" i="1"/>
  <c r="F390" i="1"/>
  <c r="E390" i="1"/>
  <c r="D390" i="1"/>
  <c r="C390" i="1"/>
  <c r="F389" i="1"/>
  <c r="E389" i="1"/>
  <c r="D389" i="1"/>
  <c r="C389" i="1"/>
  <c r="F388" i="1"/>
  <c r="E388" i="1"/>
  <c r="D388" i="1"/>
  <c r="C388" i="1"/>
  <c r="F387" i="1"/>
  <c r="E387" i="1"/>
  <c r="D387" i="1"/>
  <c r="C387" i="1"/>
  <c r="F386" i="1"/>
  <c r="E386" i="1"/>
  <c r="D386" i="1"/>
  <c r="C386" i="1"/>
  <c r="F385" i="1"/>
  <c r="E385" i="1"/>
  <c r="D385" i="1"/>
  <c r="C385" i="1"/>
  <c r="F384" i="1"/>
  <c r="E384" i="1"/>
  <c r="D384" i="1"/>
  <c r="C384" i="1"/>
  <c r="F383" i="1"/>
  <c r="E383" i="1"/>
  <c r="D383" i="1"/>
  <c r="C383" i="1"/>
  <c r="F382" i="1"/>
  <c r="E382" i="1"/>
  <c r="D382" i="1"/>
  <c r="C382" i="1"/>
  <c r="F381" i="1"/>
  <c r="E381" i="1"/>
  <c r="D381" i="1"/>
  <c r="C381" i="1"/>
  <c r="F380" i="1"/>
  <c r="E380" i="1"/>
  <c r="D380" i="1"/>
  <c r="C380" i="1"/>
  <c r="F379" i="1"/>
  <c r="E379" i="1"/>
  <c r="D379" i="1"/>
  <c r="C379" i="1"/>
  <c r="F378" i="1"/>
  <c r="E378" i="1"/>
  <c r="D378" i="1"/>
  <c r="C378" i="1"/>
  <c r="F377" i="1"/>
  <c r="E377" i="1"/>
  <c r="D377" i="1"/>
  <c r="C377" i="1"/>
  <c r="F376" i="1"/>
  <c r="E376" i="1"/>
  <c r="D376" i="1"/>
  <c r="C376" i="1"/>
  <c r="F375" i="1"/>
  <c r="E375" i="1"/>
  <c r="D375" i="1"/>
  <c r="C375" i="1"/>
  <c r="F374" i="1"/>
  <c r="E374" i="1"/>
  <c r="D374" i="1"/>
  <c r="C374" i="1"/>
  <c r="F373" i="1"/>
  <c r="E373" i="1"/>
  <c r="D373" i="1"/>
  <c r="C373" i="1"/>
  <c r="F372" i="1"/>
  <c r="E372" i="1"/>
  <c r="D372" i="1"/>
  <c r="C372" i="1"/>
  <c r="F371" i="1"/>
  <c r="E371" i="1"/>
  <c r="D371" i="1"/>
  <c r="C371" i="1"/>
  <c r="F370" i="1"/>
  <c r="E370" i="1"/>
  <c r="D370" i="1"/>
  <c r="C370" i="1"/>
  <c r="F369" i="1"/>
  <c r="E369" i="1"/>
  <c r="D369" i="1"/>
  <c r="C369" i="1"/>
  <c r="F368" i="1"/>
  <c r="E368" i="1"/>
  <c r="D368" i="1"/>
  <c r="C368" i="1"/>
  <c r="F367" i="1"/>
  <c r="E367" i="1"/>
  <c r="D367" i="1"/>
  <c r="C367" i="1"/>
  <c r="F366" i="1"/>
  <c r="E366" i="1"/>
  <c r="D366" i="1"/>
  <c r="C366" i="1"/>
  <c r="F365" i="1"/>
  <c r="E365" i="1"/>
  <c r="D365" i="1"/>
  <c r="C365" i="1"/>
  <c r="F364" i="1"/>
  <c r="E364" i="1"/>
  <c r="D364" i="1"/>
  <c r="C364" i="1"/>
  <c r="F363" i="1"/>
  <c r="E363" i="1"/>
  <c r="D363" i="1"/>
  <c r="C363" i="1"/>
  <c r="F362" i="1"/>
  <c r="E362" i="1"/>
  <c r="D362" i="1"/>
  <c r="C362" i="1"/>
  <c r="F361" i="1"/>
  <c r="E361" i="1"/>
  <c r="D361" i="1"/>
  <c r="C361" i="1"/>
  <c r="F360" i="1"/>
  <c r="E360" i="1"/>
  <c r="D360" i="1"/>
  <c r="C360" i="1"/>
  <c r="F359" i="1"/>
  <c r="E359" i="1"/>
  <c r="D359" i="1"/>
  <c r="C359" i="1"/>
  <c r="F358" i="1"/>
  <c r="E358" i="1"/>
  <c r="D358" i="1"/>
  <c r="C358" i="1"/>
  <c r="F357" i="1"/>
  <c r="E357" i="1"/>
  <c r="D357" i="1"/>
  <c r="C357" i="1"/>
  <c r="F356" i="1"/>
  <c r="E356" i="1"/>
  <c r="D356" i="1"/>
  <c r="C356" i="1"/>
  <c r="F355" i="1"/>
  <c r="E355" i="1"/>
  <c r="D355" i="1"/>
  <c r="C355" i="1"/>
  <c r="F354" i="1"/>
  <c r="E354" i="1"/>
  <c r="D354" i="1"/>
  <c r="C354" i="1"/>
  <c r="F353" i="1"/>
  <c r="E353" i="1"/>
  <c r="D353" i="1"/>
  <c r="C353" i="1"/>
  <c r="F352" i="1"/>
  <c r="E352" i="1"/>
  <c r="D352" i="1"/>
  <c r="C352" i="1"/>
  <c r="F351" i="1"/>
  <c r="E351" i="1"/>
  <c r="D351" i="1"/>
  <c r="C351" i="1"/>
  <c r="F350" i="1"/>
  <c r="E350" i="1"/>
  <c r="D350" i="1"/>
  <c r="C350" i="1"/>
  <c r="F349" i="1"/>
  <c r="E349" i="1"/>
  <c r="D349" i="1"/>
  <c r="C349" i="1"/>
  <c r="F348" i="1"/>
  <c r="E348" i="1"/>
  <c r="D348" i="1"/>
  <c r="C348" i="1"/>
  <c r="F347" i="1"/>
  <c r="E347" i="1"/>
  <c r="D347" i="1"/>
  <c r="C347" i="1"/>
  <c r="F346" i="1"/>
  <c r="E346" i="1"/>
  <c r="D346" i="1"/>
  <c r="C346" i="1"/>
  <c r="F345" i="1"/>
  <c r="E345" i="1"/>
  <c r="D345" i="1"/>
  <c r="C345" i="1"/>
  <c r="F344" i="1"/>
  <c r="E344" i="1"/>
  <c r="D344" i="1"/>
  <c r="C344" i="1"/>
  <c r="F343" i="1"/>
  <c r="E343" i="1"/>
  <c r="D343" i="1"/>
  <c r="C343" i="1"/>
  <c r="F342" i="1"/>
  <c r="E342" i="1"/>
  <c r="D342" i="1"/>
  <c r="C342" i="1"/>
  <c r="F341" i="1"/>
  <c r="E341" i="1"/>
  <c r="D341" i="1"/>
  <c r="C341" i="1"/>
  <c r="F340" i="1"/>
  <c r="E340" i="1"/>
  <c r="D340" i="1"/>
  <c r="C340" i="1"/>
  <c r="F339" i="1"/>
  <c r="E339" i="1"/>
  <c r="D339" i="1"/>
  <c r="C339" i="1"/>
  <c r="F338" i="1"/>
  <c r="E338" i="1"/>
  <c r="D338" i="1"/>
  <c r="C338" i="1"/>
  <c r="F337" i="1"/>
  <c r="E337" i="1"/>
  <c r="D337" i="1"/>
  <c r="C337" i="1"/>
  <c r="F336" i="1"/>
  <c r="E336" i="1"/>
  <c r="D336" i="1"/>
  <c r="C336" i="1"/>
  <c r="F335" i="1"/>
  <c r="E335" i="1"/>
  <c r="D335" i="1"/>
  <c r="C335" i="1"/>
  <c r="F334" i="1"/>
  <c r="E334" i="1"/>
  <c r="D334" i="1"/>
  <c r="C334" i="1"/>
  <c r="F333" i="1"/>
  <c r="E333" i="1"/>
  <c r="D333" i="1"/>
  <c r="C333" i="1"/>
  <c r="F332" i="1"/>
  <c r="E332" i="1"/>
  <c r="D332" i="1"/>
  <c r="C332" i="1"/>
  <c r="F331" i="1"/>
  <c r="E331" i="1"/>
  <c r="D331" i="1"/>
  <c r="C331" i="1"/>
  <c r="F330" i="1"/>
  <c r="E330" i="1"/>
  <c r="D330" i="1"/>
  <c r="C330" i="1"/>
  <c r="F329" i="1"/>
  <c r="E329" i="1"/>
  <c r="D329" i="1"/>
  <c r="C329" i="1"/>
  <c r="F328" i="1"/>
  <c r="E328" i="1"/>
  <c r="D328" i="1"/>
  <c r="C328" i="1"/>
  <c r="F327" i="1"/>
  <c r="E327" i="1"/>
  <c r="D327" i="1"/>
  <c r="C327" i="1"/>
  <c r="F326" i="1"/>
  <c r="E326" i="1"/>
  <c r="D326" i="1"/>
  <c r="C326" i="1"/>
  <c r="F325" i="1"/>
  <c r="E325" i="1"/>
  <c r="D325" i="1"/>
  <c r="C325" i="1"/>
  <c r="F324" i="1"/>
  <c r="E324" i="1"/>
  <c r="D324" i="1"/>
  <c r="C324" i="1"/>
  <c r="F323" i="1"/>
  <c r="E323" i="1"/>
  <c r="D323" i="1"/>
  <c r="C323" i="1"/>
  <c r="F322" i="1"/>
  <c r="E322" i="1"/>
  <c r="D322" i="1"/>
  <c r="C322" i="1"/>
  <c r="F321" i="1"/>
  <c r="E321" i="1"/>
  <c r="D321" i="1"/>
  <c r="C321" i="1"/>
  <c r="F320" i="1"/>
  <c r="E320" i="1"/>
  <c r="D320" i="1"/>
  <c r="C320" i="1"/>
  <c r="F319" i="1"/>
  <c r="E319" i="1"/>
  <c r="D319" i="1"/>
  <c r="C319" i="1"/>
  <c r="F318" i="1"/>
  <c r="E318" i="1"/>
  <c r="D318" i="1"/>
  <c r="C318" i="1"/>
  <c r="F317" i="1"/>
  <c r="E317" i="1"/>
  <c r="D317" i="1"/>
  <c r="C317" i="1"/>
  <c r="F316" i="1"/>
  <c r="E316" i="1"/>
  <c r="D316" i="1"/>
  <c r="C316" i="1"/>
  <c r="F315" i="1"/>
  <c r="E315" i="1"/>
  <c r="D315" i="1"/>
  <c r="C315" i="1"/>
  <c r="F314" i="1"/>
  <c r="E314" i="1"/>
  <c r="D314" i="1"/>
  <c r="C314" i="1"/>
  <c r="F313" i="1"/>
  <c r="E313" i="1"/>
  <c r="D313" i="1"/>
  <c r="C313" i="1"/>
  <c r="F312" i="1"/>
  <c r="E312" i="1"/>
  <c r="D312" i="1"/>
  <c r="C312" i="1"/>
  <c r="F311" i="1"/>
  <c r="E311" i="1"/>
  <c r="D311" i="1"/>
  <c r="C311" i="1"/>
  <c r="F310" i="1"/>
  <c r="E310" i="1"/>
  <c r="D310" i="1"/>
  <c r="C310" i="1"/>
  <c r="F309" i="1"/>
  <c r="E309" i="1"/>
  <c r="D309" i="1"/>
  <c r="C309" i="1"/>
  <c r="F308" i="1"/>
  <c r="E308" i="1"/>
  <c r="D308" i="1"/>
  <c r="C308" i="1"/>
  <c r="F307" i="1"/>
  <c r="E307" i="1"/>
  <c r="D307" i="1"/>
  <c r="C307" i="1"/>
  <c r="F306" i="1"/>
  <c r="E306" i="1"/>
  <c r="D306" i="1"/>
  <c r="C306" i="1"/>
  <c r="F305" i="1"/>
  <c r="E305" i="1"/>
  <c r="D305" i="1"/>
  <c r="C305" i="1"/>
  <c r="F304" i="1"/>
  <c r="E304" i="1"/>
  <c r="D304" i="1"/>
  <c r="C304" i="1"/>
  <c r="F303" i="1"/>
  <c r="E303" i="1"/>
  <c r="D303" i="1"/>
  <c r="C303" i="1"/>
  <c r="F302" i="1"/>
  <c r="E302" i="1"/>
  <c r="D302" i="1"/>
  <c r="C302" i="1"/>
  <c r="F301" i="1"/>
  <c r="E301" i="1"/>
  <c r="D301" i="1"/>
  <c r="C301" i="1"/>
  <c r="F300" i="1"/>
  <c r="E300" i="1"/>
  <c r="D300" i="1"/>
  <c r="C300" i="1"/>
  <c r="F299" i="1"/>
  <c r="E299" i="1"/>
  <c r="D299" i="1"/>
  <c r="C299" i="1"/>
  <c r="F298" i="1"/>
  <c r="E298" i="1"/>
  <c r="D298" i="1"/>
  <c r="C298" i="1"/>
  <c r="F297" i="1"/>
  <c r="E297" i="1"/>
  <c r="D297" i="1"/>
  <c r="C297" i="1"/>
  <c r="F296" i="1"/>
  <c r="E296" i="1"/>
  <c r="D296" i="1"/>
  <c r="C296" i="1"/>
  <c r="F295" i="1"/>
  <c r="E295" i="1"/>
  <c r="D295" i="1"/>
  <c r="C295" i="1"/>
  <c r="F294" i="1"/>
  <c r="E294" i="1"/>
  <c r="D294" i="1"/>
  <c r="C294" i="1"/>
  <c r="F293" i="1"/>
  <c r="E293" i="1"/>
  <c r="D293" i="1"/>
  <c r="C293" i="1"/>
  <c r="F292" i="1"/>
  <c r="E292" i="1"/>
  <c r="D292" i="1"/>
  <c r="C292" i="1"/>
  <c r="F291" i="1"/>
  <c r="E291" i="1"/>
  <c r="D291" i="1"/>
  <c r="C291" i="1"/>
  <c r="F290" i="1"/>
  <c r="E290" i="1"/>
  <c r="D290" i="1"/>
  <c r="C290" i="1"/>
  <c r="F289" i="1"/>
  <c r="E289" i="1"/>
  <c r="D289" i="1"/>
  <c r="C289" i="1"/>
  <c r="F288" i="1"/>
  <c r="E288" i="1"/>
  <c r="D288" i="1"/>
  <c r="C288" i="1"/>
  <c r="F287" i="1"/>
  <c r="E287" i="1"/>
  <c r="D287" i="1"/>
  <c r="C287" i="1"/>
  <c r="F286" i="1"/>
  <c r="E286" i="1"/>
  <c r="D286" i="1"/>
  <c r="C286" i="1"/>
  <c r="F285" i="1"/>
  <c r="E285" i="1"/>
  <c r="D285" i="1"/>
  <c r="C285" i="1"/>
  <c r="F284" i="1"/>
  <c r="E284" i="1"/>
  <c r="D284" i="1"/>
  <c r="C284" i="1"/>
  <c r="F283" i="1"/>
  <c r="E283" i="1"/>
  <c r="D283" i="1"/>
  <c r="C283" i="1"/>
  <c r="F282" i="1"/>
  <c r="E282" i="1"/>
  <c r="D282" i="1"/>
  <c r="C282" i="1"/>
  <c r="F281" i="1"/>
  <c r="E281" i="1"/>
  <c r="D281" i="1"/>
  <c r="C281" i="1"/>
  <c r="F280" i="1"/>
  <c r="E280" i="1"/>
  <c r="D280" i="1"/>
  <c r="C280" i="1"/>
  <c r="F279" i="1"/>
  <c r="E279" i="1"/>
  <c r="D279" i="1"/>
  <c r="C279" i="1"/>
  <c r="F278" i="1"/>
  <c r="E278" i="1"/>
  <c r="D278" i="1"/>
  <c r="C278" i="1"/>
  <c r="F277" i="1"/>
  <c r="E277" i="1"/>
  <c r="D277" i="1"/>
  <c r="C277" i="1"/>
  <c r="F276" i="1"/>
  <c r="E276" i="1"/>
  <c r="D276" i="1"/>
  <c r="C276" i="1"/>
  <c r="F275" i="1"/>
  <c r="E275" i="1"/>
  <c r="D275" i="1"/>
  <c r="C275" i="1"/>
  <c r="F274" i="1"/>
  <c r="E274" i="1"/>
  <c r="D274" i="1"/>
  <c r="C274" i="1"/>
  <c r="F273" i="1"/>
  <c r="E273" i="1"/>
  <c r="D273" i="1"/>
  <c r="C273" i="1"/>
  <c r="F272" i="1"/>
  <c r="E272" i="1"/>
  <c r="D272" i="1"/>
  <c r="C272" i="1"/>
  <c r="F271" i="1"/>
  <c r="E271" i="1"/>
  <c r="D271" i="1"/>
  <c r="C271" i="1"/>
  <c r="F270" i="1"/>
  <c r="E270" i="1"/>
  <c r="D270" i="1"/>
  <c r="C270" i="1"/>
  <c r="F269" i="1"/>
  <c r="E269" i="1"/>
  <c r="D269" i="1"/>
  <c r="C269" i="1"/>
  <c r="F268" i="1"/>
  <c r="E268" i="1"/>
  <c r="D268" i="1"/>
  <c r="C268" i="1"/>
  <c r="F267" i="1"/>
  <c r="E267" i="1"/>
  <c r="D267" i="1"/>
  <c r="C267" i="1"/>
  <c r="F266" i="1"/>
  <c r="E266" i="1"/>
  <c r="D266" i="1"/>
  <c r="C266" i="1"/>
  <c r="F265" i="1"/>
  <c r="E265" i="1"/>
  <c r="D265" i="1"/>
  <c r="C265" i="1"/>
  <c r="F264" i="1"/>
  <c r="E264" i="1"/>
  <c r="D264" i="1"/>
  <c r="C264" i="1"/>
  <c r="F263" i="1"/>
  <c r="E263" i="1"/>
  <c r="D263" i="1"/>
  <c r="C263" i="1"/>
  <c r="F262" i="1"/>
  <c r="E262" i="1"/>
  <c r="D262" i="1"/>
  <c r="C262" i="1"/>
  <c r="F261" i="1"/>
  <c r="E261" i="1"/>
  <c r="D261" i="1"/>
  <c r="C261" i="1"/>
  <c r="F260" i="1"/>
  <c r="E260" i="1"/>
  <c r="D260" i="1"/>
  <c r="C260" i="1"/>
  <c r="F259" i="1"/>
  <c r="E259" i="1"/>
  <c r="D259" i="1"/>
  <c r="C259" i="1"/>
  <c r="F258" i="1"/>
  <c r="E258" i="1"/>
  <c r="D258" i="1"/>
  <c r="C258" i="1"/>
  <c r="F257" i="1"/>
  <c r="E257" i="1"/>
  <c r="D257" i="1"/>
  <c r="C257" i="1"/>
  <c r="F256" i="1"/>
  <c r="E256" i="1"/>
  <c r="D256" i="1"/>
  <c r="C256" i="1"/>
  <c r="F255" i="1"/>
  <c r="E255" i="1"/>
  <c r="D255" i="1"/>
  <c r="C255" i="1"/>
  <c r="F254" i="1"/>
  <c r="E254" i="1"/>
  <c r="D254" i="1"/>
  <c r="C254" i="1"/>
  <c r="F253" i="1"/>
  <c r="E253" i="1"/>
  <c r="D253" i="1"/>
  <c r="C253" i="1"/>
  <c r="F252" i="1"/>
  <c r="E252" i="1"/>
  <c r="D252" i="1"/>
  <c r="C252" i="1"/>
  <c r="F251" i="1"/>
  <c r="E251" i="1"/>
  <c r="D251" i="1"/>
  <c r="C251" i="1"/>
  <c r="F250" i="1"/>
  <c r="E250" i="1"/>
  <c r="D250" i="1"/>
  <c r="C250" i="1"/>
  <c r="F249" i="1"/>
  <c r="E249" i="1"/>
  <c r="D249" i="1"/>
  <c r="C249" i="1"/>
  <c r="F248" i="1"/>
  <c r="E248" i="1"/>
  <c r="D248" i="1"/>
  <c r="C248" i="1"/>
  <c r="F247" i="1"/>
  <c r="E247" i="1"/>
  <c r="D247" i="1"/>
  <c r="C247" i="1"/>
  <c r="F246" i="1"/>
  <c r="E246" i="1"/>
  <c r="D246" i="1"/>
  <c r="C246" i="1"/>
  <c r="F245" i="1"/>
  <c r="E245" i="1"/>
  <c r="D245" i="1"/>
  <c r="C245" i="1"/>
  <c r="F244" i="1"/>
  <c r="E244" i="1"/>
  <c r="D244" i="1"/>
  <c r="C244" i="1"/>
  <c r="F243" i="1"/>
  <c r="E243" i="1"/>
  <c r="D243" i="1"/>
  <c r="C243" i="1"/>
  <c r="F242" i="1"/>
  <c r="E242" i="1"/>
  <c r="D242" i="1"/>
  <c r="C242" i="1"/>
  <c r="F241" i="1"/>
  <c r="E241" i="1"/>
  <c r="D241" i="1"/>
  <c r="C241" i="1"/>
  <c r="F240" i="1"/>
  <c r="E240" i="1"/>
  <c r="D240" i="1"/>
  <c r="C240" i="1"/>
  <c r="F239" i="1"/>
  <c r="E239" i="1"/>
  <c r="D239" i="1"/>
  <c r="C239" i="1"/>
  <c r="F238" i="1"/>
  <c r="E238" i="1"/>
  <c r="D238" i="1"/>
  <c r="C238" i="1"/>
  <c r="F237" i="1"/>
  <c r="E237" i="1"/>
  <c r="D237" i="1"/>
  <c r="C237" i="1"/>
  <c r="F236" i="1"/>
  <c r="E236" i="1"/>
  <c r="D236" i="1"/>
  <c r="C236" i="1"/>
  <c r="F235" i="1"/>
  <c r="E235" i="1"/>
  <c r="D235" i="1"/>
  <c r="C235" i="1"/>
  <c r="F234" i="1"/>
  <c r="E234" i="1"/>
  <c r="D234" i="1"/>
  <c r="C234" i="1"/>
  <c r="F233" i="1"/>
  <c r="E233" i="1"/>
  <c r="D233" i="1"/>
  <c r="C233" i="1"/>
  <c r="F232" i="1"/>
  <c r="E232" i="1"/>
  <c r="D232" i="1"/>
  <c r="C232" i="1"/>
  <c r="F231" i="1"/>
  <c r="E231" i="1"/>
  <c r="D231" i="1"/>
  <c r="C231" i="1"/>
  <c r="F230" i="1"/>
  <c r="E230" i="1"/>
  <c r="D230" i="1"/>
  <c r="C230" i="1"/>
  <c r="F229" i="1"/>
  <c r="E229" i="1"/>
  <c r="D229" i="1"/>
  <c r="C229" i="1"/>
  <c r="F228" i="1"/>
  <c r="E228" i="1"/>
  <c r="D228" i="1"/>
  <c r="C228" i="1"/>
  <c r="F227" i="1"/>
  <c r="E227" i="1"/>
  <c r="D227" i="1"/>
  <c r="C227" i="1"/>
  <c r="F226" i="1"/>
  <c r="E226" i="1"/>
  <c r="D226" i="1"/>
  <c r="C226" i="1"/>
  <c r="F225" i="1"/>
  <c r="E225" i="1"/>
  <c r="D225" i="1"/>
  <c r="C225" i="1"/>
  <c r="F224" i="1"/>
  <c r="E224" i="1"/>
  <c r="D224" i="1"/>
  <c r="C224" i="1"/>
  <c r="F223" i="1"/>
  <c r="E223" i="1"/>
  <c r="D223" i="1"/>
  <c r="C223" i="1"/>
  <c r="F222" i="1"/>
  <c r="E222" i="1"/>
  <c r="D222" i="1"/>
  <c r="C222" i="1"/>
  <c r="F221" i="1"/>
  <c r="E221" i="1"/>
  <c r="D221" i="1"/>
  <c r="C221" i="1"/>
  <c r="F220" i="1"/>
  <c r="E220" i="1"/>
  <c r="D220" i="1"/>
  <c r="C220" i="1"/>
  <c r="F219" i="1"/>
  <c r="E219" i="1"/>
  <c r="D219" i="1"/>
  <c r="C219" i="1"/>
  <c r="F218" i="1"/>
  <c r="E218" i="1"/>
  <c r="D218" i="1"/>
  <c r="C218" i="1"/>
  <c r="F217" i="1"/>
  <c r="E217" i="1"/>
  <c r="D217" i="1"/>
  <c r="C217" i="1"/>
  <c r="F216" i="1"/>
  <c r="E216" i="1"/>
  <c r="D216" i="1"/>
  <c r="C216" i="1"/>
  <c r="F215" i="1"/>
  <c r="E215" i="1"/>
  <c r="D215" i="1"/>
  <c r="C215" i="1"/>
  <c r="F214" i="1"/>
  <c r="E214" i="1"/>
  <c r="D214" i="1"/>
  <c r="C214" i="1"/>
  <c r="F213" i="1"/>
  <c r="E213" i="1"/>
  <c r="D213" i="1"/>
  <c r="C213" i="1"/>
  <c r="F212" i="1"/>
  <c r="E212" i="1"/>
  <c r="D212" i="1"/>
  <c r="C212" i="1"/>
  <c r="F211" i="1"/>
  <c r="E211" i="1"/>
  <c r="D211" i="1"/>
  <c r="C211" i="1"/>
  <c r="F210" i="1"/>
  <c r="E210" i="1"/>
  <c r="D210" i="1"/>
  <c r="C210" i="1"/>
  <c r="F209" i="1"/>
  <c r="E209" i="1"/>
  <c r="D209" i="1"/>
  <c r="C209" i="1"/>
  <c r="F208" i="1"/>
  <c r="E208" i="1"/>
  <c r="D208" i="1"/>
  <c r="C208" i="1"/>
  <c r="F207" i="1"/>
  <c r="E207" i="1"/>
  <c r="D207" i="1"/>
  <c r="C207" i="1"/>
  <c r="F206" i="1"/>
  <c r="E206" i="1"/>
  <c r="D206" i="1"/>
  <c r="C206" i="1"/>
  <c r="F205" i="1"/>
  <c r="E205" i="1"/>
  <c r="D205" i="1"/>
  <c r="C205" i="1"/>
  <c r="F204" i="1"/>
  <c r="E204" i="1"/>
  <c r="D204" i="1"/>
  <c r="C204" i="1"/>
  <c r="F203" i="1"/>
  <c r="E203" i="1"/>
  <c r="D203" i="1"/>
  <c r="C203" i="1"/>
  <c r="F202" i="1"/>
  <c r="E202" i="1"/>
  <c r="D202" i="1"/>
  <c r="C202" i="1"/>
  <c r="F201" i="1"/>
  <c r="E201" i="1"/>
  <c r="D201" i="1"/>
  <c r="C201" i="1"/>
  <c r="F200" i="1"/>
  <c r="E200" i="1"/>
  <c r="D200" i="1"/>
  <c r="C200" i="1"/>
  <c r="F199" i="1"/>
  <c r="E199" i="1"/>
  <c r="D199" i="1"/>
  <c r="C199" i="1"/>
  <c r="F198" i="1"/>
  <c r="E198" i="1"/>
  <c r="D198" i="1"/>
  <c r="C198" i="1"/>
  <c r="F197" i="1"/>
  <c r="E197" i="1"/>
  <c r="D197" i="1"/>
  <c r="C197" i="1"/>
  <c r="F196" i="1"/>
  <c r="E196" i="1"/>
  <c r="D196" i="1"/>
  <c r="C196" i="1"/>
  <c r="F195" i="1"/>
  <c r="E195" i="1"/>
  <c r="D195" i="1"/>
  <c r="C195" i="1"/>
  <c r="F194" i="1"/>
  <c r="E194" i="1"/>
  <c r="D194" i="1"/>
  <c r="C194" i="1"/>
  <c r="F193" i="1"/>
  <c r="E193" i="1"/>
  <c r="D193" i="1"/>
  <c r="C193" i="1"/>
  <c r="F192" i="1"/>
  <c r="E192" i="1"/>
  <c r="D192" i="1"/>
  <c r="C192" i="1"/>
  <c r="F191" i="1"/>
  <c r="E191" i="1"/>
  <c r="D191" i="1"/>
  <c r="C191" i="1"/>
  <c r="F190" i="1"/>
  <c r="E190" i="1"/>
  <c r="D190" i="1"/>
  <c r="C190" i="1"/>
  <c r="F189" i="1"/>
  <c r="E189" i="1"/>
  <c r="D189" i="1"/>
  <c r="C189" i="1"/>
  <c r="F188" i="1"/>
  <c r="E188" i="1"/>
  <c r="D188" i="1"/>
  <c r="C188" i="1"/>
  <c r="F187" i="1"/>
  <c r="E187" i="1"/>
  <c r="D187" i="1"/>
  <c r="C187" i="1"/>
  <c r="F186" i="1"/>
  <c r="E186" i="1"/>
  <c r="D186" i="1"/>
  <c r="C186" i="1"/>
  <c r="F185" i="1"/>
  <c r="E185" i="1"/>
  <c r="D185" i="1"/>
  <c r="C185" i="1"/>
  <c r="F184" i="1"/>
  <c r="E184" i="1"/>
  <c r="D184" i="1"/>
  <c r="C184" i="1"/>
  <c r="F183" i="1"/>
  <c r="E183" i="1"/>
  <c r="D183" i="1"/>
  <c r="C183" i="1"/>
  <c r="F182" i="1"/>
  <c r="E182" i="1"/>
  <c r="D182" i="1"/>
  <c r="C182" i="1"/>
  <c r="F181" i="1"/>
  <c r="E181" i="1"/>
  <c r="D181" i="1"/>
  <c r="C181" i="1"/>
  <c r="F180" i="1"/>
  <c r="E180" i="1"/>
  <c r="D180" i="1"/>
  <c r="C180" i="1"/>
  <c r="F179" i="1"/>
  <c r="E179" i="1"/>
  <c r="D179" i="1"/>
  <c r="C179" i="1"/>
  <c r="F178" i="1"/>
  <c r="E178" i="1"/>
  <c r="D178" i="1"/>
  <c r="C178" i="1"/>
  <c r="F177" i="1"/>
  <c r="E177" i="1"/>
  <c r="D177" i="1"/>
  <c r="C177" i="1"/>
  <c r="F176" i="1"/>
  <c r="E176" i="1"/>
  <c r="D176" i="1"/>
  <c r="C176" i="1"/>
  <c r="F175" i="1"/>
  <c r="E175" i="1"/>
  <c r="D175" i="1"/>
  <c r="C175" i="1"/>
  <c r="F174" i="1"/>
  <c r="E174" i="1"/>
  <c r="D174" i="1"/>
  <c r="C174" i="1"/>
  <c r="F173" i="1"/>
  <c r="E173" i="1"/>
  <c r="D173" i="1"/>
  <c r="C173" i="1"/>
  <c r="F172" i="1"/>
  <c r="E172" i="1"/>
  <c r="D172" i="1"/>
  <c r="C172" i="1"/>
  <c r="F171" i="1"/>
  <c r="E171" i="1"/>
  <c r="D171" i="1"/>
  <c r="C171" i="1"/>
  <c r="F170" i="1"/>
  <c r="E170" i="1"/>
  <c r="D170" i="1"/>
  <c r="C170" i="1"/>
  <c r="F169" i="1"/>
  <c r="E169" i="1"/>
  <c r="D169" i="1"/>
  <c r="C169" i="1"/>
  <c r="F168" i="1"/>
  <c r="E168" i="1"/>
  <c r="D168" i="1"/>
  <c r="C168" i="1"/>
  <c r="F167" i="1"/>
  <c r="E167" i="1"/>
  <c r="D167" i="1"/>
  <c r="C167" i="1"/>
  <c r="F166" i="1"/>
  <c r="E166" i="1"/>
  <c r="D166" i="1"/>
  <c r="C166" i="1"/>
  <c r="F165" i="1"/>
  <c r="E165" i="1"/>
  <c r="D165" i="1"/>
  <c r="C165" i="1"/>
  <c r="F164" i="1"/>
  <c r="E164" i="1"/>
  <c r="D164" i="1"/>
  <c r="C164" i="1"/>
  <c r="F163" i="1"/>
  <c r="E163" i="1"/>
  <c r="D163" i="1"/>
  <c r="C163" i="1"/>
  <c r="F162" i="1"/>
  <c r="E162" i="1"/>
  <c r="D162" i="1"/>
  <c r="C162" i="1"/>
  <c r="F161" i="1"/>
  <c r="E161" i="1"/>
  <c r="D161" i="1"/>
  <c r="C161" i="1"/>
  <c r="F160" i="1"/>
  <c r="E160" i="1"/>
  <c r="D160" i="1"/>
  <c r="C160" i="1"/>
  <c r="F159" i="1"/>
  <c r="E159" i="1"/>
  <c r="D159" i="1"/>
  <c r="C159" i="1"/>
  <c r="F158" i="1"/>
  <c r="E158" i="1"/>
  <c r="D158" i="1"/>
  <c r="C158" i="1"/>
  <c r="F157" i="1"/>
  <c r="E157" i="1"/>
  <c r="D157" i="1"/>
  <c r="C157" i="1"/>
  <c r="F156" i="1"/>
  <c r="E156" i="1"/>
  <c r="D156" i="1"/>
  <c r="C156" i="1"/>
  <c r="F155" i="1"/>
  <c r="E155" i="1"/>
  <c r="D155" i="1"/>
  <c r="C155" i="1"/>
  <c r="F154" i="1"/>
  <c r="E154" i="1"/>
  <c r="D154" i="1"/>
  <c r="C154" i="1"/>
  <c r="F153" i="1"/>
  <c r="E153" i="1"/>
  <c r="D153" i="1"/>
  <c r="C153" i="1"/>
  <c r="F152" i="1"/>
  <c r="E152" i="1"/>
  <c r="D152" i="1"/>
  <c r="C152" i="1"/>
  <c r="F151" i="1"/>
  <c r="E151" i="1"/>
  <c r="D151" i="1"/>
  <c r="C151" i="1"/>
  <c r="F150" i="1"/>
  <c r="E150" i="1"/>
  <c r="D150" i="1"/>
  <c r="C150" i="1"/>
  <c r="F149" i="1"/>
  <c r="E149" i="1"/>
  <c r="D149" i="1"/>
  <c r="C149" i="1"/>
  <c r="F148" i="1"/>
  <c r="E148" i="1"/>
  <c r="D148" i="1"/>
  <c r="C148" i="1"/>
  <c r="F147" i="1"/>
  <c r="E147" i="1"/>
  <c r="D147" i="1"/>
  <c r="C147" i="1"/>
  <c r="F146" i="1"/>
  <c r="E146" i="1"/>
  <c r="D146" i="1"/>
  <c r="C146" i="1"/>
  <c r="F145" i="1"/>
  <c r="E145" i="1"/>
  <c r="D145" i="1"/>
  <c r="C145" i="1"/>
  <c r="F144" i="1"/>
  <c r="E144" i="1"/>
  <c r="D144" i="1"/>
  <c r="C144" i="1"/>
  <c r="F143" i="1"/>
  <c r="E143" i="1"/>
  <c r="D143" i="1"/>
  <c r="C143" i="1"/>
  <c r="F142" i="1"/>
  <c r="E142" i="1"/>
  <c r="D142" i="1"/>
  <c r="C142" i="1"/>
  <c r="F141" i="1"/>
  <c r="E141" i="1"/>
  <c r="D141" i="1"/>
  <c r="C141" i="1"/>
  <c r="F140" i="1"/>
  <c r="E140" i="1"/>
  <c r="D140" i="1"/>
  <c r="C140" i="1"/>
  <c r="F139" i="1"/>
  <c r="E139" i="1"/>
  <c r="D139" i="1"/>
  <c r="C139" i="1"/>
  <c r="F138" i="1"/>
  <c r="E138" i="1"/>
  <c r="D138" i="1"/>
  <c r="C138" i="1"/>
  <c r="F137" i="1"/>
  <c r="E137" i="1"/>
  <c r="D137" i="1"/>
  <c r="C137" i="1"/>
  <c r="F136" i="1"/>
  <c r="E136" i="1"/>
  <c r="D136" i="1"/>
  <c r="C136" i="1"/>
  <c r="F135" i="1"/>
  <c r="E135" i="1"/>
  <c r="D135" i="1"/>
  <c r="C135" i="1"/>
  <c r="F134" i="1"/>
  <c r="E134" i="1"/>
  <c r="D134" i="1"/>
  <c r="C134" i="1"/>
  <c r="F133" i="1"/>
  <c r="E133" i="1"/>
  <c r="D133" i="1"/>
  <c r="C133" i="1"/>
  <c r="F132" i="1"/>
  <c r="E132" i="1"/>
  <c r="D132" i="1"/>
  <c r="C132" i="1"/>
  <c r="F131" i="1"/>
  <c r="E131" i="1"/>
  <c r="D131" i="1"/>
  <c r="C131" i="1"/>
  <c r="F130" i="1"/>
  <c r="E130" i="1"/>
  <c r="D130" i="1"/>
  <c r="C130" i="1"/>
  <c r="F129" i="1"/>
  <c r="E129" i="1"/>
  <c r="D129" i="1"/>
  <c r="C129" i="1"/>
  <c r="F128" i="1"/>
  <c r="E128" i="1"/>
  <c r="D128" i="1"/>
  <c r="C128" i="1"/>
  <c r="F127" i="1"/>
  <c r="E127" i="1"/>
  <c r="D127" i="1"/>
  <c r="C127" i="1"/>
  <c r="F126" i="1"/>
  <c r="E126" i="1"/>
  <c r="D126" i="1"/>
  <c r="C126" i="1"/>
  <c r="F125" i="1"/>
  <c r="E125" i="1"/>
  <c r="D125" i="1"/>
  <c r="C125" i="1"/>
  <c r="F124" i="1"/>
  <c r="E124" i="1"/>
  <c r="D124" i="1"/>
  <c r="C124" i="1"/>
  <c r="F123" i="1"/>
  <c r="E123" i="1"/>
  <c r="D123" i="1"/>
  <c r="C123" i="1"/>
  <c r="F122" i="1"/>
  <c r="E122" i="1"/>
  <c r="D122" i="1"/>
  <c r="C122" i="1"/>
  <c r="F121" i="1"/>
  <c r="E121" i="1"/>
  <c r="D121" i="1"/>
  <c r="C121" i="1"/>
  <c r="F120" i="1"/>
  <c r="E120" i="1"/>
  <c r="D120" i="1"/>
  <c r="C120" i="1"/>
  <c r="F119" i="1"/>
  <c r="E119" i="1"/>
  <c r="D119" i="1"/>
  <c r="C119" i="1"/>
  <c r="F118" i="1"/>
  <c r="E118" i="1"/>
  <c r="D118" i="1"/>
  <c r="C118" i="1"/>
  <c r="F117" i="1"/>
  <c r="E117" i="1"/>
  <c r="D117" i="1"/>
  <c r="C117" i="1"/>
  <c r="F116" i="1"/>
  <c r="E116" i="1"/>
  <c r="D116" i="1"/>
  <c r="C116" i="1"/>
  <c r="F115" i="1"/>
  <c r="E115" i="1"/>
  <c r="D115" i="1"/>
  <c r="C115" i="1"/>
  <c r="F114" i="1"/>
  <c r="E114" i="1"/>
  <c r="D114" i="1"/>
  <c r="C114" i="1"/>
  <c r="F113" i="1"/>
  <c r="E113" i="1"/>
  <c r="D113" i="1"/>
  <c r="C113" i="1"/>
  <c r="F112" i="1"/>
  <c r="E112" i="1"/>
  <c r="D112" i="1"/>
  <c r="C112" i="1"/>
  <c r="F111" i="1"/>
  <c r="E111" i="1"/>
  <c r="D111" i="1"/>
  <c r="C111" i="1"/>
  <c r="F110" i="1"/>
  <c r="E110" i="1"/>
  <c r="D110" i="1"/>
  <c r="C110" i="1"/>
  <c r="F109" i="1"/>
  <c r="E109" i="1"/>
  <c r="D109" i="1"/>
  <c r="C109" i="1"/>
  <c r="F108" i="1"/>
  <c r="E108" i="1"/>
  <c r="D108" i="1"/>
  <c r="C108" i="1"/>
  <c r="F107" i="1"/>
  <c r="E107" i="1"/>
  <c r="D107" i="1"/>
  <c r="C107" i="1"/>
  <c r="F106" i="1"/>
  <c r="E106" i="1"/>
  <c r="D106" i="1"/>
  <c r="C106" i="1"/>
  <c r="F105" i="1"/>
  <c r="E105" i="1"/>
  <c r="D105" i="1"/>
  <c r="C105" i="1"/>
  <c r="F104" i="1"/>
  <c r="E104" i="1"/>
  <c r="D104" i="1"/>
  <c r="C104" i="1"/>
  <c r="F103" i="1"/>
  <c r="E103" i="1"/>
  <c r="D103" i="1"/>
  <c r="C103" i="1"/>
  <c r="F102" i="1"/>
  <c r="E102" i="1"/>
  <c r="D102" i="1"/>
  <c r="C102" i="1"/>
  <c r="F101" i="1"/>
  <c r="E101" i="1"/>
  <c r="D101" i="1"/>
  <c r="C101" i="1"/>
  <c r="F100" i="1"/>
  <c r="E100" i="1"/>
  <c r="D100" i="1"/>
  <c r="C100" i="1"/>
  <c r="F99" i="1"/>
  <c r="E99" i="1"/>
  <c r="D99" i="1"/>
  <c r="C99" i="1"/>
  <c r="F98" i="1"/>
  <c r="E98" i="1"/>
  <c r="D98" i="1"/>
  <c r="C98" i="1"/>
  <c r="F97" i="1"/>
  <c r="E97" i="1"/>
  <c r="D97" i="1"/>
  <c r="C97" i="1"/>
  <c r="F96" i="1"/>
  <c r="E96" i="1"/>
  <c r="D96" i="1"/>
  <c r="C96" i="1"/>
  <c r="F95" i="1"/>
  <c r="E95" i="1"/>
  <c r="D95" i="1"/>
  <c r="C95" i="1"/>
  <c r="F94" i="1"/>
  <c r="E94" i="1"/>
  <c r="D94" i="1"/>
  <c r="C94" i="1"/>
  <c r="F93" i="1"/>
  <c r="E93" i="1"/>
  <c r="D93" i="1"/>
  <c r="C93" i="1"/>
  <c r="F92" i="1"/>
  <c r="E92" i="1"/>
  <c r="D92" i="1"/>
  <c r="C92" i="1"/>
  <c r="F91" i="1"/>
  <c r="E91" i="1"/>
  <c r="D91" i="1"/>
  <c r="C91" i="1"/>
  <c r="F90" i="1"/>
  <c r="E90" i="1"/>
  <c r="D90" i="1"/>
  <c r="C90" i="1"/>
  <c r="F89" i="1"/>
  <c r="E89" i="1"/>
  <c r="D89" i="1"/>
  <c r="C89" i="1"/>
  <c r="F88" i="1"/>
  <c r="E88" i="1"/>
  <c r="D88" i="1"/>
  <c r="C88" i="1"/>
  <c r="F87" i="1"/>
  <c r="E87" i="1"/>
  <c r="D87" i="1"/>
  <c r="C87" i="1"/>
  <c r="F86" i="1"/>
  <c r="E86" i="1"/>
  <c r="D86" i="1"/>
  <c r="C86" i="1"/>
  <c r="F85" i="1"/>
  <c r="E85" i="1"/>
  <c r="D85" i="1"/>
  <c r="C85" i="1"/>
  <c r="F84" i="1"/>
  <c r="E84" i="1"/>
  <c r="D84" i="1"/>
  <c r="C84" i="1"/>
  <c r="F83" i="1"/>
  <c r="E83" i="1"/>
  <c r="D83" i="1"/>
  <c r="C83" i="1"/>
  <c r="F82" i="1"/>
  <c r="E82" i="1"/>
  <c r="D82" i="1"/>
  <c r="C82" i="1"/>
  <c r="F81" i="1"/>
  <c r="E81" i="1"/>
  <c r="D81" i="1"/>
  <c r="C81" i="1"/>
  <c r="F80" i="1"/>
  <c r="E80" i="1"/>
  <c r="D80" i="1"/>
  <c r="C80" i="1"/>
  <c r="F79" i="1"/>
  <c r="E79" i="1"/>
  <c r="D79" i="1"/>
  <c r="C79" i="1"/>
  <c r="F78" i="1"/>
  <c r="E78" i="1"/>
  <c r="D78" i="1"/>
  <c r="C78" i="1"/>
  <c r="F77" i="1"/>
  <c r="E77" i="1"/>
  <c r="D77" i="1"/>
  <c r="C77" i="1"/>
  <c r="F76" i="1"/>
  <c r="E76" i="1"/>
  <c r="D76" i="1"/>
  <c r="C76" i="1"/>
  <c r="F75" i="1"/>
  <c r="E75" i="1"/>
  <c r="D75" i="1"/>
  <c r="C75" i="1"/>
  <c r="F74" i="1"/>
  <c r="E74" i="1"/>
  <c r="D74" i="1"/>
  <c r="C74" i="1"/>
  <c r="F73" i="1"/>
  <c r="E73" i="1"/>
  <c r="D73" i="1"/>
  <c r="C73" i="1"/>
  <c r="F72" i="1"/>
  <c r="E72" i="1"/>
  <c r="D72" i="1"/>
  <c r="C72" i="1"/>
  <c r="F71" i="1"/>
  <c r="E71" i="1"/>
  <c r="D71" i="1"/>
  <c r="C71" i="1"/>
  <c r="F70" i="1"/>
  <c r="E70" i="1"/>
  <c r="D70" i="1"/>
  <c r="C70" i="1"/>
  <c r="F69" i="1"/>
  <c r="E69" i="1"/>
  <c r="D69" i="1"/>
  <c r="C69" i="1"/>
  <c r="F68" i="1"/>
  <c r="E68" i="1"/>
  <c r="D68" i="1"/>
  <c r="C68" i="1"/>
  <c r="F67" i="1"/>
  <c r="E67" i="1"/>
  <c r="D67" i="1"/>
  <c r="C67" i="1"/>
  <c r="F66" i="1"/>
  <c r="E66" i="1"/>
  <c r="D66" i="1"/>
  <c r="C66" i="1"/>
  <c r="F65" i="1"/>
  <c r="E65" i="1"/>
  <c r="D65" i="1"/>
  <c r="C65" i="1"/>
  <c r="F64" i="1"/>
  <c r="E64" i="1"/>
  <c r="D64" i="1"/>
  <c r="C64" i="1"/>
  <c r="F63" i="1"/>
  <c r="E63" i="1"/>
  <c r="D63" i="1"/>
  <c r="C63" i="1"/>
  <c r="F62" i="1"/>
  <c r="E62" i="1"/>
  <c r="D62" i="1"/>
  <c r="C62" i="1"/>
  <c r="F61" i="1"/>
  <c r="E61" i="1"/>
  <c r="D61" i="1"/>
  <c r="C61" i="1"/>
  <c r="F60" i="1"/>
  <c r="E60" i="1"/>
  <c r="D60" i="1"/>
  <c r="C60" i="1"/>
  <c r="F59" i="1"/>
  <c r="E59" i="1"/>
  <c r="D59" i="1"/>
  <c r="C59" i="1"/>
  <c r="F58" i="1"/>
  <c r="E58" i="1"/>
  <c r="D58" i="1"/>
  <c r="C58" i="1"/>
  <c r="F57" i="1"/>
  <c r="E57" i="1"/>
  <c r="D57" i="1"/>
  <c r="C57" i="1"/>
  <c r="F56" i="1"/>
  <c r="E56" i="1"/>
  <c r="D56" i="1"/>
  <c r="C56" i="1"/>
  <c r="F55" i="1"/>
  <c r="E55" i="1"/>
  <c r="D55" i="1"/>
  <c r="C55" i="1"/>
  <c r="F54" i="1"/>
  <c r="E54" i="1"/>
  <c r="D54" i="1"/>
  <c r="C54" i="1"/>
  <c r="F53" i="1"/>
  <c r="E53" i="1"/>
  <c r="D53" i="1"/>
  <c r="C53" i="1"/>
  <c r="F52" i="1"/>
  <c r="E52" i="1"/>
  <c r="D52" i="1"/>
  <c r="C52" i="1"/>
  <c r="F51" i="1"/>
  <c r="E51" i="1"/>
  <c r="D51" i="1"/>
  <c r="C51" i="1"/>
  <c r="F50" i="1"/>
  <c r="E50" i="1"/>
  <c r="D50" i="1"/>
  <c r="C50" i="1"/>
  <c r="F49" i="1"/>
  <c r="E49" i="1"/>
  <c r="D49" i="1"/>
  <c r="C49" i="1"/>
  <c r="F48" i="1"/>
  <c r="E48" i="1"/>
  <c r="D48" i="1"/>
  <c r="C48" i="1"/>
  <c r="F47" i="1"/>
  <c r="E47" i="1"/>
  <c r="D47" i="1"/>
  <c r="C47" i="1"/>
  <c r="F46" i="1"/>
  <c r="E46" i="1"/>
  <c r="D46" i="1"/>
  <c r="C46" i="1"/>
  <c r="F45" i="1"/>
  <c r="E45" i="1"/>
  <c r="D45" i="1"/>
  <c r="C45" i="1"/>
  <c r="F44" i="1"/>
  <c r="E44" i="1"/>
  <c r="D44" i="1"/>
  <c r="C44" i="1"/>
  <c r="F43" i="1"/>
  <c r="E43" i="1"/>
  <c r="D43" i="1"/>
  <c r="C43" i="1"/>
  <c r="F42" i="1"/>
  <c r="E42" i="1"/>
  <c r="D42" i="1"/>
  <c r="C42" i="1"/>
  <c r="F41" i="1"/>
  <c r="E41" i="1"/>
  <c r="D41" i="1"/>
  <c r="C41" i="1"/>
  <c r="F40" i="1"/>
  <c r="E40" i="1"/>
  <c r="D40" i="1"/>
  <c r="C40" i="1"/>
  <c r="F39" i="1"/>
  <c r="E39" i="1"/>
  <c r="D39" i="1"/>
  <c r="C39" i="1"/>
  <c r="F38" i="1"/>
  <c r="E38" i="1"/>
  <c r="D38" i="1"/>
  <c r="C38" i="1"/>
  <c r="F37" i="1"/>
  <c r="E37" i="1"/>
  <c r="D37" i="1"/>
  <c r="C37" i="1"/>
  <c r="F36" i="1"/>
  <c r="E36" i="1"/>
  <c r="D36" i="1"/>
  <c r="C36" i="1"/>
  <c r="F35" i="1"/>
  <c r="E35" i="1"/>
  <c r="D35" i="1"/>
  <c r="C35" i="1"/>
  <c r="F34" i="1"/>
  <c r="E34" i="1"/>
  <c r="D34" i="1"/>
  <c r="C34" i="1"/>
  <c r="F33" i="1"/>
  <c r="E33" i="1"/>
  <c r="D33" i="1"/>
  <c r="C33" i="1"/>
  <c r="F32" i="1"/>
  <c r="E32" i="1"/>
  <c r="D32" i="1"/>
  <c r="C32" i="1"/>
  <c r="F31" i="1"/>
  <c r="E31" i="1"/>
  <c r="D31" i="1"/>
  <c r="C31" i="1"/>
  <c r="F30" i="1"/>
  <c r="E30" i="1"/>
  <c r="D30" i="1"/>
  <c r="C30" i="1"/>
  <c r="F29" i="1"/>
  <c r="E29" i="1"/>
  <c r="D29" i="1"/>
  <c r="C29" i="1"/>
  <c r="F28" i="1"/>
  <c r="E28" i="1"/>
  <c r="D28" i="1"/>
  <c r="C28" i="1"/>
  <c r="F27" i="1"/>
  <c r="E27" i="1"/>
  <c r="D27" i="1"/>
  <c r="C27" i="1"/>
  <c r="F26" i="1"/>
  <c r="E26" i="1"/>
  <c r="D26" i="1"/>
  <c r="C26" i="1"/>
  <c r="F25" i="1"/>
  <c r="E25" i="1"/>
  <c r="D25" i="1"/>
  <c r="C25" i="1"/>
  <c r="F24" i="1"/>
  <c r="E24" i="1"/>
  <c r="D24" i="1"/>
  <c r="C24" i="1"/>
  <c r="F23" i="1"/>
  <c r="E23" i="1"/>
  <c r="D23" i="1"/>
  <c r="C23" i="1"/>
  <c r="F22" i="1"/>
  <c r="E22" i="1"/>
  <c r="D22" i="1"/>
  <c r="C22" i="1"/>
  <c r="F21" i="1"/>
  <c r="E21" i="1"/>
  <c r="D21" i="1"/>
  <c r="C21" i="1"/>
  <c r="F20" i="1"/>
  <c r="E20" i="1"/>
  <c r="D20" i="1"/>
  <c r="C20" i="1"/>
  <c r="F19" i="1"/>
  <c r="E19" i="1"/>
  <c r="D19" i="1"/>
  <c r="C19" i="1"/>
  <c r="F18" i="1"/>
  <c r="E18" i="1"/>
  <c r="D18" i="1"/>
  <c r="C18" i="1"/>
  <c r="F17" i="1"/>
  <c r="E17" i="1"/>
  <c r="D17" i="1"/>
  <c r="C17" i="1"/>
  <c r="F16" i="1"/>
  <c r="E16" i="1"/>
  <c r="D16" i="1"/>
  <c r="C16" i="1"/>
  <c r="F15" i="1"/>
  <c r="E15" i="1"/>
  <c r="D15" i="1"/>
  <c r="C15" i="1"/>
  <c r="F14" i="1"/>
  <c r="E14" i="1"/>
  <c r="D14" i="1"/>
  <c r="C14" i="1"/>
  <c r="F13" i="1"/>
  <c r="E13" i="1"/>
  <c r="D13" i="1"/>
  <c r="C13" i="1"/>
  <c r="F12" i="1"/>
  <c r="E12" i="1"/>
  <c r="D12" i="1"/>
  <c r="C12" i="1"/>
  <c r="F11" i="1"/>
  <c r="E11" i="1"/>
  <c r="D11" i="1"/>
  <c r="C11" i="1"/>
  <c r="F10" i="1"/>
  <c r="E10" i="1"/>
  <c r="D10" i="1"/>
  <c r="C10" i="1"/>
  <c r="F9" i="1"/>
  <c r="E9" i="1"/>
  <c r="D9" i="1"/>
  <c r="C9" i="1"/>
  <c r="F8" i="1"/>
  <c r="E8" i="1"/>
  <c r="D8" i="1"/>
  <c r="C8" i="1"/>
  <c r="F7" i="1"/>
  <c r="E7" i="1"/>
  <c r="D7" i="1"/>
  <c r="C7" i="1"/>
  <c r="F6" i="1"/>
  <c r="E6" i="1"/>
  <c r="D6" i="1"/>
  <c r="C6" i="1"/>
  <c r="F5" i="1"/>
  <c r="E5" i="1"/>
  <c r="D5" i="1"/>
  <c r="C5" i="1"/>
  <c r="F4" i="1"/>
  <c r="E4" i="1"/>
  <c r="D4" i="1"/>
  <c r="C4" i="1"/>
  <c r="F3" i="1"/>
  <c r="E3" i="1"/>
  <c r="D3" i="1"/>
  <c r="C3" i="1"/>
  <c r="F2" i="1"/>
  <c r="E2" i="1"/>
  <c r="D2" i="1"/>
  <c r="C2" i="1"/>
</calcChain>
</file>

<file path=xl/sharedStrings.xml><?xml version="1.0" encoding="utf-8"?>
<sst xmlns="http://schemas.openxmlformats.org/spreadsheetml/2006/main" count="3124" uniqueCount="2946">
  <si>
    <t>VARIABLE_NAME</t>
  </si>
  <si>
    <t>ORIGINAL_VALUE_ENGLISH</t>
  </si>
  <si>
    <t>_ARABIC_TRANSLATED_VALUE</t>
  </si>
  <si>
    <t>CHINEES_TRANSLATED_VALUE</t>
  </si>
  <si>
    <t>JAPAN_TRANSLATED_VALUE</t>
  </si>
  <si>
    <t>FRENCH_TRANSLATED_VALUE</t>
  </si>
  <si>
    <t>navigation_drawer_open</t>
  </si>
  <si>
    <t>Open navigation drawer</t>
  </si>
  <si>
    <t>navigation_drawer_close</t>
  </si>
  <si>
    <t>Close navigation drawer</t>
  </si>
  <si>
    <t>app_name</t>
  </si>
  <si>
    <t>SalesPlay POS</t>
  </si>
  <si>
    <t>welcome_si</t>
  </si>
  <si>
    <t>Welcome</t>
  </si>
  <si>
    <t>login_si</t>
  </si>
  <si>
    <t>Sign In</t>
  </si>
  <si>
    <t>login_exp</t>
  </si>
  <si>
    <t>Software license has expired</t>
  </si>
  <si>
    <t>active_si</t>
  </si>
  <si>
    <t>Activate</t>
  </si>
  <si>
    <t>loginout</t>
  </si>
  <si>
    <t>Log out</t>
  </si>
  <si>
    <t>message</t>
  </si>
  <si>
    <t>Message</t>
  </si>
  <si>
    <t>menu_cal</t>
  </si>
  <si>
    <t>Calculator</t>
  </si>
  <si>
    <t>menu_qs</t>
  </si>
  <si>
    <t>Quick Support</t>
  </si>
  <si>
    <t>menu_browser</t>
  </si>
  <si>
    <t>Browser</t>
  </si>
  <si>
    <t>link</t>
  </si>
  <si>
    <t>www.salesplay.com</t>
  </si>
  <si>
    <t>softcopyright</t>
  </si>
  <si>
    <t>SalesPlay + POS App © 2018 SalesPlay POS (Pvt) Ltd.</t>
  </si>
  <si>
    <t>splash_footer</t>
  </si>
  <si>
    <t>Powered By SalesPlay POS</t>
  </si>
  <si>
    <t>access_denied_si</t>
  </si>
  <si>
    <t>Access Denied</t>
  </si>
  <si>
    <t>i_app_msgs_si</t>
  </si>
  <si>
    <t>App Messages</t>
  </si>
  <si>
    <t>i_app_no_msgs_si</t>
  </si>
  <si>
    <t>No Messages</t>
  </si>
  <si>
    <t>i_logout_title_si</t>
  </si>
  <si>
    <t>Exit SalesPlay + App</t>
  </si>
  <si>
    <t>i_logout_body_si</t>
  </si>
  <si>
    <t>Do you want to exit?</t>
  </si>
  <si>
    <t>i_invoice_body_si</t>
  </si>
  <si>
    <t xml:space="preserve">Are you sure you want to clear this receipt creation? </t>
  </si>
  <si>
    <t>i_invoice_body_si_cart</t>
  </si>
  <si>
    <t>Are you sure you want to clear the cart?</t>
  </si>
  <si>
    <t>i_Invoice_title_si</t>
  </si>
  <si>
    <t>Clear the Receipt</t>
  </si>
  <si>
    <t>i_Invoice_title_si_cart</t>
  </si>
  <si>
    <t>Clear cart</t>
  </si>
  <si>
    <t>i_Invoice_exit_title_si</t>
  </si>
  <si>
    <t>Exit the Receipt Interface</t>
  </si>
  <si>
    <t>i_Invoice_exit_body_si</t>
  </si>
  <si>
    <t>Do you want to exit from receipt interface?</t>
  </si>
  <si>
    <t>confirm_cash_dialog</t>
  </si>
  <si>
    <t>Confirm Transaction</t>
  </si>
  <si>
    <t>drawer_transaction_dialog</t>
  </si>
  <si>
    <t>Drawer transaction</t>
  </si>
  <si>
    <t>delete_drawer_transaction_dialog</t>
  </si>
  <si>
    <t>Delete Drawer Transaction</t>
  </si>
  <si>
    <t>delete_drawer_transaction_dialog_body</t>
  </si>
  <si>
    <t>Are you sure want to delete the transaction ?</t>
  </si>
  <si>
    <t>confirm_credit_settlement_dialog</t>
  </si>
  <si>
    <t>Credit Settlement</t>
  </si>
  <si>
    <t>cash_dialog_body1_si</t>
  </si>
  <si>
    <t>Your transaction value is</t>
  </si>
  <si>
    <t>confirm_cash_dialog_body</t>
  </si>
  <si>
    <t>Are you sure you want to proceed the transaction?</t>
  </si>
  <si>
    <t>cash_dialog_body2_si</t>
  </si>
  <si>
    <t>Do you want to proceed this transaction?</t>
  </si>
  <si>
    <t>create_kot_dialog</t>
  </si>
  <si>
    <t>Create KOT</t>
  </si>
  <si>
    <t>create_kot_ref_no</t>
  </si>
  <si>
    <t>KOT Number</t>
  </si>
  <si>
    <t>i_Invoice_holding_title_si</t>
  </si>
  <si>
    <t>Hold the receipt</t>
  </si>
  <si>
    <t>i_Invoice_holding_title_si_new</t>
  </si>
  <si>
    <t>Update saved receipt</t>
  </si>
  <si>
    <t>i_Invoice_hold_update_body_si</t>
  </si>
  <si>
    <t>Do you want to update this receipt?</t>
  </si>
  <si>
    <t>i_Invoice_hold_update_body_si_new</t>
  </si>
  <si>
    <t>Are you sure you want to update this receipt?</t>
  </si>
  <si>
    <t>update_kot_body</t>
  </si>
  <si>
    <t>Do you want to update this order?</t>
  </si>
  <si>
    <t>kot_con_fail</t>
  </si>
  <si>
    <t>KOT connection failed</t>
  </si>
  <si>
    <t>create_co_ref_no</t>
  </si>
  <si>
    <t>Order Number</t>
  </si>
  <si>
    <t>create_co_dialog</t>
  </si>
  <si>
    <t>Create order</t>
  </si>
  <si>
    <t>create_co_reservation</t>
  </si>
  <si>
    <t>Create reservation</t>
  </si>
  <si>
    <t>update_co_dialog</t>
  </si>
  <si>
    <t>Update Customer Order</t>
  </si>
  <si>
    <t>i_Invoice_hold_cancel_title_si</t>
  </si>
  <si>
    <t>Hold receipt</t>
  </si>
  <si>
    <t>i_Invoice_hold_cancel_title_si_new</t>
  </si>
  <si>
    <t>Delete hold receipt</t>
  </si>
  <si>
    <t>i_Invoice_hold_cancel_body_si</t>
  </si>
  <si>
    <t>Do you want to cancel this receipt?</t>
  </si>
  <si>
    <t>i_Invoice_hold_cancel_body_si_new</t>
  </si>
  <si>
    <t>Are you sure want to delete this receipt?</t>
  </si>
  <si>
    <t>i_kot_cancel_title_si</t>
  </si>
  <si>
    <t>Cancel KOT</t>
  </si>
  <si>
    <t>queue_title_si</t>
  </si>
  <si>
    <t>Queue</t>
  </si>
  <si>
    <t>i_kot_cancel_body_si</t>
  </si>
  <si>
    <t>Do you want to cancel KOT No</t>
  </si>
  <si>
    <t>queue_body_si</t>
  </si>
  <si>
    <t>Are you sure you want to finish ?</t>
  </si>
  <si>
    <t>queue_body_cancel</t>
  </si>
  <si>
    <t>Are you sure you want to delete ?</t>
  </si>
  <si>
    <t>submit_si</t>
  </si>
  <si>
    <t>Submit</t>
  </si>
  <si>
    <t>buy_now_si</t>
  </si>
  <si>
    <t>Buy Now</t>
  </si>
  <si>
    <t>if_you_have_key_si</t>
  </si>
  <si>
    <t>If you already have a key</t>
  </si>
  <si>
    <t>application_setup_si</t>
  </si>
  <si>
    <t>Please wait, Application is being set up.</t>
  </si>
  <si>
    <t>sample_data_download_si</t>
  </si>
  <si>
    <t>Downloading sample data, It may take about 30 seconds    depending on your internet speed.</t>
  </si>
  <si>
    <t>purchase_si</t>
  </si>
  <si>
    <t>Purchase</t>
  </si>
  <si>
    <t>clear_cart</t>
  </si>
  <si>
    <t>register_title_si</t>
  </si>
  <si>
    <t>Register For Back Office Web Portal</t>
  </si>
  <si>
    <t>application_setup_busness_type</t>
  </si>
  <si>
    <t xml:space="preserve">Please wait, Application is being set up. It may    take few seconds </t>
  </si>
  <si>
    <t>user_register_title_si</t>
  </si>
  <si>
    <t>Registration form</t>
  </si>
  <si>
    <t>i_order_cancel_title_si</t>
  </si>
  <si>
    <t>Delete order</t>
  </si>
  <si>
    <t>i_order_cancel_title_si_new</t>
  </si>
  <si>
    <t>Cancel Order</t>
  </si>
  <si>
    <t>i_order_cancel_body_si</t>
  </si>
  <si>
    <t>Do you want to cancel this order?</t>
  </si>
  <si>
    <t>i_order_cancel_body_si_new</t>
  </si>
  <si>
    <t>Are you sure want Delete this order?</t>
  </si>
  <si>
    <t>validate_new_cat_msg_si</t>
  </si>
  <si>
    <t>Provide a category name</t>
  </si>
  <si>
    <t>no_cat_found_si</t>
  </si>
  <si>
    <t>No category found</t>
  </si>
  <si>
    <t>alert_delete_cat_title_si</t>
  </si>
  <si>
    <t>Delete category</t>
  </si>
  <si>
    <t>alert_cat_delete_msg_si</t>
  </si>
  <si>
    <t>Are you sure you want to delete this category?</t>
  </si>
  <si>
    <t>toast_cat_deleted_sucess_si</t>
  </si>
  <si>
    <t>Category has been successfully deleted</t>
  </si>
  <si>
    <t>view_pre_bill_si</t>
  </si>
  <si>
    <t>Pre Bill List</t>
  </si>
  <si>
    <t>add_new_Reason_si</t>
  </si>
  <si>
    <t>Enter new reason</t>
  </si>
  <si>
    <t>view_kot_si</t>
  </si>
  <si>
    <t>KOT List</t>
  </si>
  <si>
    <t>view_hold_inv_si</t>
  </si>
  <si>
    <t>Hold Receipt List</t>
  </si>
  <si>
    <t>view_customer_order_si</t>
  </si>
  <si>
    <t>Orders List</t>
  </si>
  <si>
    <t>device_validate</t>
  </si>
  <si>
    <t>Invalid device type</t>
  </si>
  <si>
    <t>print_cus_name_si</t>
  </si>
  <si>
    <t>Name :</t>
  </si>
  <si>
    <t>print_cus_phone_si</t>
  </si>
  <si>
    <t>Phone :</t>
  </si>
  <si>
    <t>print_cus_email_si</t>
  </si>
  <si>
    <t>Email :</t>
  </si>
  <si>
    <t>print_date_si</t>
  </si>
  <si>
    <t>Printed Date :</t>
  </si>
  <si>
    <t>print_thanks_si</t>
  </si>
  <si>
    <t>Thank You!</t>
  </si>
  <si>
    <t>print_daily_sales_si</t>
  </si>
  <si>
    <t>Sales Report</t>
  </si>
  <si>
    <t>print_daily_sales_date_si</t>
  </si>
  <si>
    <t>Date</t>
  </si>
  <si>
    <t>print_daily_sales_qty_si</t>
  </si>
  <si>
    <t>Qty</t>
  </si>
  <si>
    <t>print_monthly_sales_cost_si</t>
  </si>
  <si>
    <t>Cost</t>
  </si>
  <si>
    <t>print_monthly_sales_qty_si</t>
  </si>
  <si>
    <t>print_monthly_sales_sale_si</t>
  </si>
  <si>
    <t>Sale</t>
  </si>
  <si>
    <t>print_monthly_sales_profit_si</t>
  </si>
  <si>
    <t xml:space="preserve">Profit </t>
  </si>
  <si>
    <t>print_inv_history_no_si</t>
  </si>
  <si>
    <t>Receipt #</t>
  </si>
  <si>
    <t>print_inv_dup_name_si</t>
  </si>
  <si>
    <t>Duplicate</t>
  </si>
  <si>
    <t>print_inv_dup_cust_si</t>
  </si>
  <si>
    <t>Cust. Name</t>
  </si>
  <si>
    <t>print_inv_dup_table_si</t>
  </si>
  <si>
    <t>Table</t>
  </si>
  <si>
    <t>print_inv_order_type_si</t>
  </si>
  <si>
    <t>Order type</t>
  </si>
  <si>
    <t>print_inv_dup_address_si</t>
  </si>
  <si>
    <t>Address</t>
  </si>
  <si>
    <t>print_inv_dup_agent_si</t>
  </si>
  <si>
    <t>Agent Name</t>
  </si>
  <si>
    <t>print_inv_dup_date_si</t>
  </si>
  <si>
    <t>print_inv_dup_qty_si</t>
  </si>
  <si>
    <t>print_inv_dup_total_si</t>
  </si>
  <si>
    <t>Total</t>
  </si>
  <si>
    <t>print_inv_dup_price_si</t>
  </si>
  <si>
    <t>Item Price</t>
  </si>
  <si>
    <t>print_inv_dup_pay_si</t>
  </si>
  <si>
    <t>Payment type</t>
  </si>
  <si>
    <t>print_queue_no_si</t>
  </si>
  <si>
    <t>Queue #</t>
  </si>
  <si>
    <t>print_inv_dup_total_grand_si</t>
  </si>
  <si>
    <t>Grand Total</t>
  </si>
  <si>
    <t>print_inv_SUB_tota_si</t>
  </si>
  <si>
    <t>Sub total</t>
  </si>
  <si>
    <t>print_inv_dup_total_discount_si</t>
  </si>
  <si>
    <t>Total Discount</t>
  </si>
  <si>
    <t>print_inv_short_dup_total_discount_si</t>
  </si>
  <si>
    <t>Discount</t>
  </si>
  <si>
    <t>print_inv_dup_total_tax_si</t>
  </si>
  <si>
    <t>Total Tax</t>
  </si>
  <si>
    <t>print_inv_crn_no_si</t>
  </si>
  <si>
    <t>CRN #</t>
  </si>
  <si>
    <t>print_inv_total_crn_si</t>
  </si>
  <si>
    <t>CRN AMOUNT</t>
  </si>
  <si>
    <t>print_inv_crn_si</t>
  </si>
  <si>
    <t>Credit note</t>
  </si>
  <si>
    <t>print_inv_line_total_discount_si</t>
  </si>
  <si>
    <t>Total Line Discount</t>
  </si>
  <si>
    <t>print_inv_short_line_total_discount_si</t>
  </si>
  <si>
    <t>Line Discount</t>
  </si>
  <si>
    <t>inv_line_total_discount</t>
  </si>
  <si>
    <t>print_inv_cr_id_si</t>
  </si>
  <si>
    <t>Credit Note/Cash Refund Id</t>
  </si>
  <si>
    <t>print_inv_amount_si</t>
  </si>
  <si>
    <t>Amount</t>
  </si>
  <si>
    <t>inv_pay_meth_si</t>
  </si>
  <si>
    <t>Type</t>
  </si>
  <si>
    <t>print_inv_dup_discount_si</t>
  </si>
  <si>
    <t>print_inv_no_si</t>
  </si>
  <si>
    <t>btn_clear_key_si</t>
  </si>
  <si>
    <t>Clear</t>
  </si>
  <si>
    <t>btn_clr_key_si</t>
  </si>
  <si>
    <t>CLR</t>
  </si>
  <si>
    <t>btn_skip_key_si</t>
  </si>
  <si>
    <t>B/K</t>
  </si>
  <si>
    <t>past_inv_crn_si</t>
  </si>
  <si>
    <t>print_inv_staff_si</t>
  </si>
  <si>
    <t>Staff</t>
  </si>
  <si>
    <t>inv_order_type_si</t>
  </si>
  <si>
    <t>crn_create_si</t>
  </si>
  <si>
    <t>Create</t>
  </si>
  <si>
    <t>btn_delete_si</t>
  </si>
  <si>
    <t>DELETE</t>
  </si>
  <si>
    <t>btn_edit_si</t>
  </si>
  <si>
    <t>EDIT</t>
  </si>
  <si>
    <t>btn_save_si</t>
  </si>
  <si>
    <t>SAVE</t>
  </si>
  <si>
    <t>btn_save_receipt</t>
  </si>
  <si>
    <t>Save Recipe</t>
  </si>
  <si>
    <t>btn_create</t>
  </si>
  <si>
    <t>btn_view</t>
  </si>
  <si>
    <t>View</t>
  </si>
  <si>
    <t>btn_clear_si</t>
  </si>
  <si>
    <t>btn_discard_si</t>
  </si>
  <si>
    <t>Discard</t>
  </si>
  <si>
    <t>btn_close_si</t>
  </si>
  <si>
    <t>Close</t>
  </si>
  <si>
    <t>btn_print_si</t>
  </si>
  <si>
    <t>Print</t>
  </si>
  <si>
    <t>btn_printadd_si</t>
  </si>
  <si>
    <t>Print &amp;amp; Add</t>
  </si>
  <si>
    <t>btn_make_payment_si</t>
  </si>
  <si>
    <t>Payment</t>
  </si>
  <si>
    <t>btn_cancel_si</t>
  </si>
  <si>
    <t>CANCEL</t>
  </si>
  <si>
    <t>btn_add_si</t>
  </si>
  <si>
    <t>Add</t>
  </si>
  <si>
    <t>btn_print_prebill_si</t>
  </si>
  <si>
    <t>Print Pre Bill</t>
  </si>
  <si>
    <t>btn_yes_si</t>
  </si>
  <si>
    <t>Yes</t>
  </si>
  <si>
    <t>btn_no_si</t>
  </si>
  <si>
    <t>No</t>
  </si>
  <si>
    <t>btn_purchase_si</t>
  </si>
  <si>
    <t>btn_add_stock_si</t>
  </si>
  <si>
    <t>Add to Stock</t>
  </si>
  <si>
    <t>btn_confirm_si</t>
  </si>
  <si>
    <t>Confirm</t>
  </si>
  <si>
    <t>btn_ok_si</t>
  </si>
  <si>
    <t>Ok</t>
  </si>
  <si>
    <t>btn_add_stock_bucket_si</t>
  </si>
  <si>
    <t>Add to List</t>
  </si>
  <si>
    <t>btn_remove_si</t>
  </si>
  <si>
    <t>Remove</t>
  </si>
  <si>
    <t>btn_next_si</t>
  </si>
  <si>
    <t>Next</t>
  </si>
  <si>
    <t>btn_enter_si</t>
  </si>
  <si>
    <t>Enter</t>
  </si>
  <si>
    <t>btn_send_si</t>
  </si>
  <si>
    <t>Send</t>
  </si>
  <si>
    <t>btn_back</t>
  </si>
  <si>
    <t>Back</t>
  </si>
  <si>
    <t>toast_validate_ip</t>
  </si>
  <si>
    <t>Invalid IP address</t>
  </si>
  <si>
    <t>toast_category_save_success_si</t>
  </si>
  <si>
    <t>Category saved successfully</t>
  </si>
  <si>
    <t>toast_validate_fill_required_si</t>
  </si>
  <si>
    <t>Please fill required fields</t>
  </si>
  <si>
    <t>toast_validate_duplicate_barcode_si</t>
  </si>
  <si>
    <t>Duplicate barcode number</t>
  </si>
  <si>
    <t>toast_no_records_found_si</t>
  </si>
  <si>
    <t>No records found</t>
  </si>
  <si>
    <t>toast_infor_save_success_si</t>
  </si>
  <si>
    <t>Information saved successfully</t>
  </si>
  <si>
    <t>toast_didnt_select_img_si</t>
  </si>
  <si>
    <t>Sorry!!! You have not selected any image.</t>
  </si>
  <si>
    <t>toast_category_error_si</t>
  </si>
  <si>
    <t>Category name is already existing</t>
  </si>
  <si>
    <t>toast_trans_success_si</t>
  </si>
  <si>
    <t>Transaction is successful</t>
  </si>
  <si>
    <t>toast_backup_problem_si</t>
  </si>
  <si>
    <t>Problem with Backup.Try again.</t>
  </si>
  <si>
    <t>toast_barcode_scan_si</t>
  </si>
  <si>
    <t>No scan data received!</t>
  </si>
  <si>
    <t>tost_no_item_selected_si</t>
  </si>
  <si>
    <t>No item selected</t>
  </si>
  <si>
    <t>toast_no_new_product_found_si</t>
  </si>
  <si>
    <t>No new item found</t>
  </si>
  <si>
    <t>toast_alert_setting_check_email_si</t>
  </si>
  <si>
    <t>Please enter valid email</t>
  </si>
  <si>
    <t>toast_buplicate_si</t>
  </si>
  <si>
    <t>This reason is already exist</t>
  </si>
  <si>
    <t>toast_reason_success_si</t>
  </si>
  <si>
    <t>Reason has been successfully created</t>
  </si>
  <si>
    <t>toast_reason_deleted_sucess_si</t>
  </si>
  <si>
    <t>Reason has been deleted successfully</t>
  </si>
  <si>
    <t>toast_printer_connection_si</t>
  </si>
  <si>
    <t>Printer is not connected</t>
  </si>
  <si>
    <t>toast_not_support_si</t>
  </si>
  <si>
    <t xml:space="preserve"> This device does not support Bluetooth</t>
  </si>
  <si>
    <t>return_value_si</t>
  </si>
  <si>
    <t>Return Unit Value</t>
  </si>
  <si>
    <t>return_qty_si</t>
  </si>
  <si>
    <t>Return Qty</t>
  </si>
  <si>
    <t>return_unit_price_si</t>
  </si>
  <si>
    <t>Return Unit Price</t>
  </si>
  <si>
    <t>add_stock_si</t>
  </si>
  <si>
    <t>Add Stock</t>
  </si>
  <si>
    <t>open_shift</t>
  </si>
  <si>
    <t>Start Shift</t>
  </si>
  <si>
    <t>goto_back_office</t>
  </si>
  <si>
    <t>GO TO BACKOFFICE</t>
  </si>
  <si>
    <t>start</t>
  </si>
  <si>
    <t>Start</t>
  </si>
  <si>
    <t>customer_order_si</t>
  </si>
  <si>
    <t>Customer Order</t>
  </si>
  <si>
    <t>debtor_management</t>
  </si>
  <si>
    <t>Debtor management</t>
  </si>
  <si>
    <t>customer_credit_setl_si</t>
  </si>
  <si>
    <t>Debtor management (Credit invoice)</t>
  </si>
  <si>
    <t>item_sales_si</t>
  </si>
  <si>
    <t>Product Wise Sales Report</t>
  </si>
  <si>
    <t>daily_sales_si</t>
  </si>
  <si>
    <t>cashier_daily_sales_si</t>
  </si>
  <si>
    <t>Cashier Daily Sales Report</t>
  </si>
  <si>
    <t>past_invoices_si</t>
  </si>
  <si>
    <t>View Past Receipts</t>
  </si>
  <si>
    <t>cash_return_si</t>
  </si>
  <si>
    <t>View Cash Refunds</t>
  </si>
  <si>
    <t>report_cr_si</t>
  </si>
  <si>
    <t>View Past Credit Notes</t>
  </si>
  <si>
    <t>report_cash_si</t>
  </si>
  <si>
    <t>Cash Drawer Report</t>
  </si>
  <si>
    <t>print_kot_si</t>
  </si>
  <si>
    <t>Kitchen Order</t>
  </si>
  <si>
    <t>print_kot_update_si</t>
  </si>
  <si>
    <t>Kitchen Order Update</t>
  </si>
  <si>
    <t>pro_table_sales_si</t>
  </si>
  <si>
    <t>Reservation Wise Sales</t>
  </si>
  <si>
    <t>cash_refund_si</t>
  </si>
  <si>
    <t>Cash refund</t>
  </si>
  <si>
    <t>search_cash_refund_si</t>
  </si>
  <si>
    <t>Search Cash Refund</t>
  </si>
  <si>
    <t>outstanding_creditors_si</t>
  </si>
  <si>
    <t>Creditors Report</t>
  </si>
  <si>
    <t>location</t>
  </si>
  <si>
    <t>Location</t>
  </si>
  <si>
    <t>sales_cancel_creditnote</t>
  </si>
  <si>
    <t>Cancel Credit Note/Cash Refund</t>
  </si>
  <si>
    <t>sales_past_invoices</t>
  </si>
  <si>
    <t>Cancel Receipts</t>
  </si>
  <si>
    <t>clear_records_si</t>
  </si>
  <si>
    <t>Clear Records</t>
  </si>
  <si>
    <t>clear_all_test_records_si</t>
  </si>
  <si>
    <t>Clear All Sample Records</t>
  </si>
  <si>
    <t>data_upload_si</t>
  </si>
  <si>
    <t>Upload Data to Cloud</t>
  </si>
  <si>
    <t>pro_language_si</t>
  </si>
  <si>
    <t>Language</t>
  </si>
  <si>
    <t>pro_dssr_si</t>
  </si>
  <si>
    <t>Stock Movement Report Print By</t>
  </si>
  <si>
    <t>item_code</t>
  </si>
  <si>
    <t>Code</t>
  </si>
  <si>
    <t>item_name</t>
  </si>
  <si>
    <t>Name</t>
  </si>
  <si>
    <t>pro_tax_mode_si</t>
  </si>
  <si>
    <t>Tax Calculation Mode</t>
  </si>
  <si>
    <t>pro_quick_menu_mode_si</t>
  </si>
  <si>
    <t>Item Display Mode In Billing Interface</t>
  </si>
  <si>
    <t>home_screen_item_layout</t>
  </si>
  <si>
    <t>Home screen layout</t>
  </si>
  <si>
    <t>item_cart_layout</t>
  </si>
  <si>
    <t>Item cart layout</t>
  </si>
  <si>
    <t>pro_good_menu_si</t>
  </si>
  <si>
    <t>Item Menu</t>
  </si>
  <si>
    <t>kot_number_si</t>
  </si>
  <si>
    <t>KOT Number:</t>
  </si>
  <si>
    <t>period_si</t>
  </si>
  <si>
    <t>Clear Records Type</t>
  </si>
  <si>
    <t>pro_business_info_si</t>
  </si>
  <si>
    <t>BUSINESS INFORMATION</t>
  </si>
  <si>
    <t>pro_personal_phone_si</t>
  </si>
  <si>
    <t>Personal Phone</t>
  </si>
  <si>
    <t>v_pro_personal_email_si</t>
  </si>
  <si>
    <t>Personal Email</t>
  </si>
  <si>
    <t>day_end_si</t>
  </si>
  <si>
    <t>Shift end</t>
  </si>
  <si>
    <t>run_day_end_si</t>
  </si>
  <si>
    <t>Run Shift End Process</t>
  </si>
  <si>
    <t>cancel_day_end_si</t>
  </si>
  <si>
    <t>Cancel Day End</t>
  </si>
  <si>
    <t>backup_si</t>
  </si>
  <si>
    <t>Backup</t>
  </si>
  <si>
    <t>day_end_enable_body_si</t>
  </si>
  <si>
    <t>Enter your admin password to enable day end option</t>
  </si>
  <si>
    <t>day_end_enable_body_si_new</t>
  </si>
  <si>
    <t>Enter your admin password to enable shift end option.</t>
  </si>
  <si>
    <t>day_end_disable_body_si_new</t>
  </si>
  <si>
    <t>Enter your admin password to disable shift end option.</t>
  </si>
  <si>
    <t>day_end_disable_body_si</t>
  </si>
  <si>
    <t xml:space="preserve">Enter your admin password to disable day end option </t>
  </si>
  <si>
    <t>pro_cart_mode_si</t>
  </si>
  <si>
    <t>The same item adding method to the cart</t>
  </si>
  <si>
    <t>clear_all</t>
  </si>
  <si>
    <t>Clear All Records</t>
  </si>
  <si>
    <t>clear_invoice</t>
  </si>
  <si>
    <t>Only Receipt Records</t>
  </si>
  <si>
    <t>clear_inventory</t>
  </si>
  <si>
    <t xml:space="preserve">Only Products,Category, Stock, Return and Receipt records </t>
  </si>
  <si>
    <t>clear_stock</t>
  </si>
  <si>
    <t>Only Stock and Return</t>
  </si>
  <si>
    <t>add_new_reason_si</t>
  </si>
  <si>
    <t>New Reason</t>
  </si>
  <si>
    <t>alert_delete_reason_title_si</t>
  </si>
  <si>
    <t>Delete Reason</t>
  </si>
  <si>
    <t>alert_reason_delete_msg_si</t>
  </si>
  <si>
    <t>Are you sure you want to delete this reason?</t>
  </si>
  <si>
    <t>h_inventory_si</t>
  </si>
  <si>
    <t>Inventory</t>
  </si>
  <si>
    <t>space_not_allow</t>
  </si>
  <si>
    <t>Spaces are not allowed</t>
  </si>
  <si>
    <t>sup_phone_si</t>
  </si>
  <si>
    <t>Phone</t>
  </si>
  <si>
    <t>sup_Email_si</t>
  </si>
  <si>
    <t>Email</t>
  </si>
  <si>
    <t>sup_comment_si</t>
  </si>
  <si>
    <t>COMMENT (Optional)</t>
  </si>
  <si>
    <t>pro_img_online</t>
  </si>
  <si>
    <t>Online</t>
  </si>
  <si>
    <t>pro_img_local</t>
  </si>
  <si>
    <t>Local</t>
  </si>
  <si>
    <t>pro_img_title</t>
  </si>
  <si>
    <t>Select Image</t>
  </si>
  <si>
    <t>pro_img_cancle</t>
  </si>
  <si>
    <t>Cancel</t>
  </si>
  <si>
    <t>pro_img_msg_invalid</t>
  </si>
  <si>
    <t>Invalid File format</t>
  </si>
  <si>
    <t>pro_img_page_error</t>
  </si>
  <si>
    <t>Connection error</t>
  </si>
  <si>
    <t>pro_bus_name_si</t>
  </si>
  <si>
    <t>*Business name</t>
  </si>
  <si>
    <t>pro_info_si</t>
  </si>
  <si>
    <t>GENERAL INFORMATION</t>
  </si>
  <si>
    <t>pro_phone_si</t>
  </si>
  <si>
    <t>Business Phone</t>
  </si>
  <si>
    <t>pro_Email_si</t>
  </si>
  <si>
    <t>pro_business_email_si</t>
  </si>
  <si>
    <t>Business Email</t>
  </si>
  <si>
    <t>pro_address_si</t>
  </si>
  <si>
    <t>*Business Address</t>
  </si>
  <si>
    <t>pro_city_si</t>
  </si>
  <si>
    <t>*City</t>
  </si>
  <si>
    <t>pro_currency_si</t>
  </si>
  <si>
    <t>Currency</t>
  </si>
  <si>
    <t>pro_desc_si</t>
  </si>
  <si>
    <t>INVOICE FOOTER MESSAGE (Optional)</t>
  </si>
  <si>
    <t>pro_hotel_mode_si</t>
  </si>
  <si>
    <t>Hotel Mode</t>
  </si>
  <si>
    <t>pro_signature_si</t>
  </si>
  <si>
    <t>Space for Customer Signature on the Receipts</t>
  </si>
  <si>
    <t>pro_app_settings_si</t>
  </si>
  <si>
    <t>SOFTWARE SETUP</t>
  </si>
  <si>
    <t>pro_logo_si</t>
  </si>
  <si>
    <t>LOGO ON THE RECEIPT</t>
  </si>
  <si>
    <t>pro_drawer_si</t>
  </si>
  <si>
    <t>Connect cash drawer with printer</t>
  </si>
  <si>
    <t>pro_unit</t>
  </si>
  <si>
    <t>Unit Measurement</t>
  </si>
  <si>
    <t>pro_smr_si</t>
  </si>
  <si>
    <t>View By</t>
  </si>
  <si>
    <t>pro_invoice_print_si</t>
  </si>
  <si>
    <t>Receipts Print With</t>
  </si>
  <si>
    <t>pro_extra_si</t>
  </si>
  <si>
    <t>Extra Menu In Billing Interface</t>
  </si>
  <si>
    <t>pro_pre_bill_si</t>
  </si>
  <si>
    <t>Pre Bill</t>
  </si>
  <si>
    <t>pro_add_stock_si</t>
  </si>
  <si>
    <t>Add Quick Stock</t>
  </si>
  <si>
    <t>pro_barcode_si</t>
  </si>
  <si>
    <t>Internal barcode</t>
  </si>
  <si>
    <t>pro_cash_transaction_si</t>
  </si>
  <si>
    <t>Cash Drawer Transactions</t>
  </si>
  <si>
    <t>pro_pay_method_si</t>
  </si>
  <si>
    <t>Payment Options Display In Billing Interface</t>
  </si>
  <si>
    <t>pro_cash_si</t>
  </si>
  <si>
    <t>Cash</t>
  </si>
  <si>
    <t>pro_cheque_si</t>
  </si>
  <si>
    <t>Cheque</t>
  </si>
  <si>
    <t>pro_point_si</t>
  </si>
  <si>
    <t>Points</t>
  </si>
  <si>
    <t>pro_credit_si</t>
  </si>
  <si>
    <t>Credit</t>
  </si>
  <si>
    <t>pro_credit_note_si</t>
  </si>
  <si>
    <t>pro_credit_note_cash_refund_si</t>
  </si>
  <si>
    <t>Cash Refund / Credit Note</t>
  </si>
  <si>
    <t>pro_staff_si</t>
  </si>
  <si>
    <t>pro_table_invoice_si</t>
  </si>
  <si>
    <t>Reservation Wise Receipt</t>
  </si>
  <si>
    <t>pro_multi_order_si</t>
  </si>
  <si>
    <t>Multiple order type</t>
  </si>
  <si>
    <t>pro_customer_feedback_si</t>
  </si>
  <si>
    <t>Customer Feedback</t>
  </si>
  <si>
    <t>pro_kot</t>
  </si>
  <si>
    <t>KOT</t>
  </si>
  <si>
    <t>pro_invoice_holding</t>
  </si>
  <si>
    <t>Receipt Holding</t>
  </si>
  <si>
    <t>pro_delete_frebill</t>
  </si>
  <si>
    <t>Pre Bill Cancel Lock</t>
  </si>
  <si>
    <t>pro_loyality_module</t>
  </si>
  <si>
    <t>Loyalty Module</t>
  </si>
  <si>
    <t>pro_header_line1</t>
  </si>
  <si>
    <t>Header Line1</t>
  </si>
  <si>
    <t>pro_header_line2</t>
  </si>
  <si>
    <t>Header Line2</t>
  </si>
  <si>
    <t>pro_point_amount</t>
  </si>
  <si>
    <t>pro_emp</t>
  </si>
  <si>
    <t>Employee Wise Billing</t>
  </si>
  <si>
    <t>pro_emp_name</t>
  </si>
  <si>
    <t>Employee</t>
  </si>
  <si>
    <t>pro_co</t>
  </si>
  <si>
    <t>Ordering</t>
  </si>
  <si>
    <t>pro_agent_wise_invoice</t>
  </si>
  <si>
    <t>Agent Wise Receipt</t>
  </si>
  <si>
    <t>pro_averi_si</t>
  </si>
  <si>
    <t>Scale Barcode</t>
  </si>
  <si>
    <t>pro_kot_source_si</t>
  </si>
  <si>
    <t>KOT Target</t>
  </si>
  <si>
    <t>bluetooth_printer_si</t>
  </si>
  <si>
    <t>Printer model</t>
  </si>
  <si>
    <t>pro_customer_display_port</t>
  </si>
  <si>
    <t>Customer Display Port</t>
  </si>
  <si>
    <t>pro_email_receipt_si</t>
  </si>
  <si>
    <t>Email Receipt</t>
  </si>
  <si>
    <t>pro_sms_receipt_si</t>
  </si>
  <si>
    <t>SMS Receipt</t>
  </si>
  <si>
    <t>device_type_si</t>
  </si>
  <si>
    <t>Terminal type</t>
  </si>
  <si>
    <t>print_on_bill_si</t>
  </si>
  <si>
    <t>v_pro_key_si</t>
  </si>
  <si>
    <t>License Key</t>
  </si>
  <si>
    <t>v_pro_new_key_si</t>
  </si>
  <si>
    <t>New Activation Key</t>
  </si>
  <si>
    <t>v_pro_key</t>
  </si>
  <si>
    <t>v_pro_bus_name_si</t>
  </si>
  <si>
    <t>Business name</t>
  </si>
  <si>
    <t>v_pro_name_si</t>
  </si>
  <si>
    <t>v_pro_personal_name_si</t>
  </si>
  <si>
    <t>Personal Name</t>
  </si>
  <si>
    <t>v_pro_job_title_si</t>
  </si>
  <si>
    <t>Job Title</t>
  </si>
  <si>
    <t>v_pro_phone_si</t>
  </si>
  <si>
    <t>v_pro_business_phone_si</t>
  </si>
  <si>
    <t>v_pro_Email_si</t>
  </si>
  <si>
    <t>v_pro_address_si</t>
  </si>
  <si>
    <t>v_pro_business_address_si</t>
  </si>
  <si>
    <t>Business Address</t>
  </si>
  <si>
    <t>v_pro_city_si</t>
  </si>
  <si>
    <t>City</t>
  </si>
  <si>
    <t>v_pro_country_si</t>
  </si>
  <si>
    <t>Country</t>
  </si>
  <si>
    <t>v_pro_currency_si</t>
  </si>
  <si>
    <t>v_pro_pw_si</t>
  </si>
  <si>
    <t>Password</t>
  </si>
  <si>
    <t>v_btn_set_pw_si</t>
  </si>
  <si>
    <t>Set Admin Password</t>
  </si>
  <si>
    <t>v_pro_discount_type_si</t>
  </si>
  <si>
    <t>Discount Type</t>
  </si>
  <si>
    <t>v_btn_chan_pw_si</t>
  </si>
  <si>
    <t>Change Admin Password</t>
  </si>
  <si>
    <t>v_pro_desc_si</t>
  </si>
  <si>
    <t>INVOICE FOOTER MESSAGE</t>
  </si>
  <si>
    <t>v_pro_language</t>
  </si>
  <si>
    <t>v_pro_Cashier</t>
  </si>
  <si>
    <t>Multiple Cashier Mode</t>
  </si>
  <si>
    <t>v_inv_item_no_si</t>
  </si>
  <si>
    <t>Print Line Number In Receipts</t>
  </si>
  <si>
    <t>v_ex_barcode_si</t>
  </si>
  <si>
    <t>Barcode Option</t>
  </si>
  <si>
    <t>user_details_si</t>
  </si>
  <si>
    <t>User Details</t>
  </si>
  <si>
    <t>app_details_si</t>
  </si>
  <si>
    <t>Software Details</t>
  </si>
  <si>
    <t>web_portal_si</t>
  </si>
  <si>
    <t>Web Portal Details</t>
  </si>
  <si>
    <t>v_pro_telephone_si</t>
  </si>
  <si>
    <t>Telephone</t>
  </si>
  <si>
    <t>set_pwrd_title_si</t>
  </si>
  <si>
    <t>Set the Admin Password</t>
  </si>
  <si>
    <t>set_pwrd_not_matching_si</t>
  </si>
  <si>
    <t>Passwords do not match. Try again</t>
  </si>
  <si>
    <t>set_pwrd_body_si</t>
  </si>
  <si>
    <t xml:space="preserve">After setting the password, it will be automatically enabled in    the login interface </t>
  </si>
  <si>
    <t>set_pwrd_hint_si</t>
  </si>
  <si>
    <t>Provide a Password</t>
  </si>
  <si>
    <t>set_pwrd_re_hint_si</t>
  </si>
  <si>
    <t>Confirm the Password</t>
  </si>
  <si>
    <t>set_pwrd_creation_done_si</t>
  </si>
  <si>
    <t>Admin Password is successfully created</t>
  </si>
  <si>
    <t>set_pwrd_set_it</t>
  </si>
  <si>
    <t>Set It Now</t>
  </si>
  <si>
    <t>change_pwrd_title_si</t>
  </si>
  <si>
    <t>Change Password</t>
  </si>
  <si>
    <t>change_pwrd_new_hint_si</t>
  </si>
  <si>
    <t>New Password</t>
  </si>
  <si>
    <t>change_pwrd_old_hint_si</t>
  </si>
  <si>
    <t>Old Password</t>
  </si>
  <si>
    <t>change_pwrd_re_hint_si</t>
  </si>
  <si>
    <t>change_pwrd_change_done_si</t>
  </si>
  <si>
    <t>Password has been changed successfully</t>
  </si>
  <si>
    <t>change_pwrd_not_matching_si</t>
  </si>
  <si>
    <t>Password not match, try again</t>
  </si>
  <si>
    <t>change_pwrd_incorrect_si</t>
  </si>
  <si>
    <t>Incorrect Old Password</t>
  </si>
  <si>
    <t>prod_id_si</t>
  </si>
  <si>
    <t>Product Code</t>
  </si>
  <si>
    <t>prod_img_btn_si</t>
  </si>
  <si>
    <t>prof_duplicate_print_si</t>
  </si>
  <si>
    <t>Print Duplicate Copy Of The Receipts</t>
  </si>
  <si>
    <t>prof_stock_expire_mode_si</t>
  </si>
  <si>
    <t>Stock Expiry Mode</t>
  </si>
  <si>
    <t>prof_block_ex_stock_si</t>
  </si>
  <si>
    <t>Block Expired Stock</t>
  </si>
  <si>
    <t>prof_auto_print_si</t>
  </si>
  <si>
    <t>Automatically print receipt</t>
  </si>
  <si>
    <t>prod_edit_dialog_title_si</t>
  </si>
  <si>
    <t>Delete Product</t>
  </si>
  <si>
    <t>prod_edit_dialog_boady_msg2_si</t>
  </si>
  <si>
    <t>Are you sure you want to delete the item?</t>
  </si>
  <si>
    <t>v_prod_name_si</t>
  </si>
  <si>
    <t>v_prod_barcode_si</t>
  </si>
  <si>
    <t>Barcode</t>
  </si>
  <si>
    <t>v_prod_cat_si</t>
  </si>
  <si>
    <t>Category</t>
  </si>
  <si>
    <t>v_prod_sub_cat_si</t>
  </si>
  <si>
    <t>Sub category</t>
  </si>
  <si>
    <t>v_prod_measrument</t>
  </si>
  <si>
    <t>Measurement</t>
  </si>
  <si>
    <t>v_prod_tax_si</t>
  </si>
  <si>
    <t>Tax</t>
  </si>
  <si>
    <t>v_prod_selling_si</t>
  </si>
  <si>
    <t>Selling price</t>
  </si>
  <si>
    <t>prod_l_name_si</t>
  </si>
  <si>
    <t>Product name</t>
  </si>
  <si>
    <t>prod_l_dis_si</t>
  </si>
  <si>
    <t>Description</t>
  </si>
  <si>
    <t>rm_title_si</t>
  </si>
  <si>
    <t>Recipe Management</t>
  </si>
  <si>
    <t>stk_prod_code_si</t>
  </si>
  <si>
    <t>print_qty_si</t>
  </si>
  <si>
    <t>stk_expire_date_si</t>
  </si>
  <si>
    <t>Expire Date</t>
  </si>
  <si>
    <t>business_type_si</t>
  </si>
  <si>
    <t>Select your business type</t>
  </si>
  <si>
    <t>pro_business_type_si</t>
  </si>
  <si>
    <t>Business type</t>
  </si>
  <si>
    <t>select_business_type_si</t>
  </si>
  <si>
    <t>Please select business type</t>
  </si>
  <si>
    <t>select_hint_email_si</t>
  </si>
  <si>
    <t>Enter email</t>
  </si>
  <si>
    <t>msg_business_type_email_validate</t>
  </si>
  <si>
    <t>Invalid email address</t>
  </si>
  <si>
    <t>msg_email_validate</t>
  </si>
  <si>
    <t>Set valid email address before contact us</t>
  </si>
  <si>
    <t>in_item_si</t>
  </si>
  <si>
    <t>Item</t>
  </si>
  <si>
    <t>in_qty_si</t>
  </si>
  <si>
    <t>inv_price_si</t>
  </si>
  <si>
    <t>Price</t>
  </si>
  <si>
    <t>in_item_code_si</t>
  </si>
  <si>
    <t>Item Code</t>
  </si>
  <si>
    <t>in_name_si</t>
  </si>
  <si>
    <t>in_price_si</t>
  </si>
  <si>
    <t>in_discount_si</t>
  </si>
  <si>
    <t>in_stock_si</t>
  </si>
  <si>
    <t>Stock</t>
  </si>
  <si>
    <t>in_sub_total_si</t>
  </si>
  <si>
    <t>in_total_si</t>
  </si>
  <si>
    <t>TOTAL</t>
  </si>
  <si>
    <t>in_charge_si</t>
  </si>
  <si>
    <t>Charge</t>
  </si>
  <si>
    <t>in_total_discount_si</t>
  </si>
  <si>
    <t>in_total_price_si</t>
  </si>
  <si>
    <t>Total Price</t>
  </si>
  <si>
    <t>in_payment_type_si</t>
  </si>
  <si>
    <t>in_cheque_no_si</t>
  </si>
  <si>
    <t>Cheque No</t>
  </si>
  <si>
    <t>in_order_no_si</t>
  </si>
  <si>
    <t>Order No</t>
  </si>
  <si>
    <t>in_cash_si</t>
  </si>
  <si>
    <t>in_cn_cr_si</t>
  </si>
  <si>
    <t>Credit Notes and CR :</t>
  </si>
  <si>
    <t>in_points_si</t>
  </si>
  <si>
    <t>Points Value</t>
  </si>
  <si>
    <t>in_balance_si</t>
  </si>
  <si>
    <t>Balance</t>
  </si>
  <si>
    <t>in_last_digit_si</t>
  </si>
  <si>
    <t>Last 4 Digit</t>
  </si>
  <si>
    <t>in_period_si</t>
  </si>
  <si>
    <t>Period (Days)</t>
  </si>
  <si>
    <t>inv_receipt_no_si</t>
  </si>
  <si>
    <t>BILL #</t>
  </si>
  <si>
    <t>inv_item_qty_si</t>
  </si>
  <si>
    <t>Quantity</t>
  </si>
  <si>
    <t>inv_qty_validate_max_value_si</t>
  </si>
  <si>
    <t>Quantity is higher than maximum value</t>
  </si>
  <si>
    <t>inv_qty_validate_empty_si</t>
  </si>
  <si>
    <t>Enter quantity</t>
  </si>
  <si>
    <t>inv_discount_percentage_val_chk_si</t>
  </si>
  <si>
    <t>Check your Percentage</t>
  </si>
  <si>
    <t>inv_payment_titel_si</t>
  </si>
  <si>
    <t>inv_add_other_charge_name_si</t>
  </si>
  <si>
    <t>Charges Name</t>
  </si>
  <si>
    <t>inv_add_other_charge_title_si</t>
  </si>
  <si>
    <t>Add Other Charge</t>
  </si>
  <si>
    <t>inv_edit_si</t>
  </si>
  <si>
    <t>Delete the previous record with the same item code</t>
  </si>
  <si>
    <t>print_cash_si</t>
  </si>
  <si>
    <t>print_item_si</t>
  </si>
  <si>
    <t>in_re_balance_si</t>
  </si>
  <si>
    <t>Remaining Balance</t>
  </si>
  <si>
    <t>in_transaction_reason_si</t>
  </si>
  <si>
    <t>Reason</t>
  </si>
  <si>
    <t>inv_item_cancel</t>
  </si>
  <si>
    <t>Receipt Item Cancel</t>
  </si>
  <si>
    <t>inv_item_cancel_new</t>
  </si>
  <si>
    <t>Delete receipt item</t>
  </si>
  <si>
    <t>inv_item_cancel_body</t>
  </si>
  <si>
    <t>Enter admin password for remove item from bucket.</t>
  </si>
  <si>
    <t>inv_item_cancel_body_new</t>
  </si>
  <si>
    <t>Are you sure want to delete this item from receipt?</t>
  </si>
  <si>
    <t>inv_exdate_validate_empty_si</t>
  </si>
  <si>
    <t>Enter expire date</t>
  </si>
  <si>
    <t>view_pre_bill_items</t>
  </si>
  <si>
    <t>Pre Bill Items</t>
  </si>
  <si>
    <t>inv_pre_bill_cancel_title</t>
  </si>
  <si>
    <t>Cancel Pre Bill</t>
  </si>
  <si>
    <t>inv_pre_bill_cancel_body</t>
  </si>
  <si>
    <t xml:space="preserve">Enter your admin password to delete this pre bill. </t>
  </si>
  <si>
    <t>inv_cashier</t>
  </si>
  <si>
    <t>Cashier</t>
  </si>
  <si>
    <t>in_remaining_si</t>
  </si>
  <si>
    <t>Remaining</t>
  </si>
  <si>
    <t>available_points_si</t>
  </si>
  <si>
    <t>Available Points</t>
  </si>
  <si>
    <t>in_points_earn_si</t>
  </si>
  <si>
    <t>Points earned</t>
  </si>
  <si>
    <t>re_success_note_si</t>
  </si>
  <si>
    <t xml:space="preserve">Note: you can disable this page in software customization    section </t>
  </si>
  <si>
    <t>in_pay_type_si</t>
  </si>
  <si>
    <t>Pay Type</t>
  </si>
  <si>
    <t>popup_pre_bill_si</t>
  </si>
  <si>
    <t>Create Pre Bill</t>
  </si>
  <si>
    <t>popup_pre_bill_view_si</t>
  </si>
  <si>
    <t>View Pre Bill</t>
  </si>
  <si>
    <t>popup_add_stock_si</t>
  </si>
  <si>
    <t>Stock Add</t>
  </si>
  <si>
    <t>popup_other_charges_si</t>
  </si>
  <si>
    <t>Add other charges/tax</t>
  </si>
  <si>
    <t>popup_internal_barcode_si</t>
  </si>
  <si>
    <t>popup_queue</t>
  </si>
  <si>
    <t>popup_cash_si</t>
  </si>
  <si>
    <t>title_cash_si</t>
  </si>
  <si>
    <t>Drawer Transactions</t>
  </si>
  <si>
    <t>popup_select_table_si</t>
  </si>
  <si>
    <t>Select Table</t>
  </si>
  <si>
    <t>popup_cretae_kot_si</t>
  </si>
  <si>
    <t>popup_view_kot_si</t>
  </si>
  <si>
    <t>View KOT</t>
  </si>
  <si>
    <t>popup_update_kot_si</t>
  </si>
  <si>
    <t>Update KOT</t>
  </si>
  <si>
    <t>popup_hold_inv_si</t>
  </si>
  <si>
    <t>Hold Receipt</t>
  </si>
  <si>
    <t>popup_hold_inv_si_new</t>
  </si>
  <si>
    <t>Delete saved receipt product</t>
  </si>
  <si>
    <t>popup_view_hold_inv_si</t>
  </si>
  <si>
    <t>View Hold Receipts</t>
  </si>
  <si>
    <t>popup_view_customer_order_si</t>
  </si>
  <si>
    <t>View Orders</t>
  </si>
  <si>
    <t>popup_update_customer_order_si</t>
  </si>
  <si>
    <t>popup_update_invoice_si</t>
  </si>
  <si>
    <t>Update Receipt</t>
  </si>
  <si>
    <t>popup_credit_settlement_inv_si</t>
  </si>
  <si>
    <t>customer_credit_settlement</t>
  </si>
  <si>
    <t>Customer Credit Settlement</t>
  </si>
  <si>
    <t>popup_credit_settlement_cancel_si</t>
  </si>
  <si>
    <t>Cancel Credit Settlement</t>
  </si>
  <si>
    <t>customer_credit_settlement_confirm</t>
  </si>
  <si>
    <t xml:space="preserve">Do you want to proceed this transaction? </t>
  </si>
  <si>
    <t>popup_assign_employee_inv_si</t>
  </si>
  <si>
    <t>Assign employee</t>
  </si>
  <si>
    <t>popup_assign_agent_inv_si</t>
  </si>
  <si>
    <t>Assign Agent</t>
  </si>
  <si>
    <t>popup_back_office_si</t>
  </si>
  <si>
    <t>Back Office</t>
  </si>
  <si>
    <t>popup_past_invoice_si</t>
  </si>
  <si>
    <t>Past Receipts</t>
  </si>
  <si>
    <t>inv_add_other_charge_appliy_si</t>
  </si>
  <si>
    <t>Apply</t>
  </si>
  <si>
    <t>popup_customize_si</t>
  </si>
  <si>
    <t>Customize Extra Menu</t>
  </si>
  <si>
    <t>popup_customer_feedback_si</t>
  </si>
  <si>
    <t>popup_credit_settlement_cancel_body_si</t>
  </si>
  <si>
    <t xml:space="preserve">Are you sure , you want to delete this    credit Settlement? </t>
  </si>
  <si>
    <t>popup_credit_settlement_cancel_body_si_new</t>
  </si>
  <si>
    <t>Are you sure you want to cancel the credit settlement?</t>
  </si>
  <si>
    <t>count</t>
  </si>
  <si>
    <t>Items :</t>
  </si>
  <si>
    <t>Qty :</t>
  </si>
  <si>
    <t>customer_si</t>
  </si>
  <si>
    <t>Customer :</t>
  </si>
  <si>
    <t>popup_title_inv_employee_assign_si</t>
  </si>
  <si>
    <t>Assign an Employee</t>
  </si>
  <si>
    <t>popup_title_inv_agent_assign_si</t>
  </si>
  <si>
    <t>Assign an Agent</t>
  </si>
  <si>
    <t>inv_barcode_no_stock_si</t>
  </si>
  <si>
    <t>No stock available</t>
  </si>
  <si>
    <t>inv_barcode_no_error_si</t>
  </si>
  <si>
    <t>Wrong barcode,Try again.</t>
  </si>
  <si>
    <t>inv_barcode_no_stock_found_si</t>
  </si>
  <si>
    <t>No stock found</t>
  </si>
  <si>
    <t>inv_no_stock_create_found_si</t>
  </si>
  <si>
    <t xml:space="preserve">No stock found, create product and add a stock </t>
  </si>
  <si>
    <t>toast_inv_bucket_empty_chk_si</t>
  </si>
  <si>
    <t>Please select items</t>
  </si>
  <si>
    <t>inv_total_si</t>
  </si>
  <si>
    <t>total_amount_due</t>
  </si>
  <si>
    <t>Amount due</t>
  </si>
  <si>
    <t>alert_title_inv_discount_si</t>
  </si>
  <si>
    <t>validate_inv_discount_si</t>
  </si>
  <si>
    <t>Can not be greater than 100%</t>
  </si>
  <si>
    <t>validate_inv_discount_val_si</t>
  </si>
  <si>
    <t>Please check your value</t>
  </si>
  <si>
    <t>tost_inv_wrong_cash_si</t>
  </si>
  <si>
    <t>Please enter correct payment value</t>
  </si>
  <si>
    <t>inv_history_crn_access_si</t>
  </si>
  <si>
    <t xml:space="preserve">Credit note or cash refund has been already done </t>
  </si>
  <si>
    <t>inv_history_delete_access_si</t>
  </si>
  <si>
    <t xml:space="preserve">Cannot delete this receipt due to credit note     creation  </t>
  </si>
  <si>
    <t>inv_history_delete_access_cr_si</t>
  </si>
  <si>
    <t xml:space="preserve">Cannot delete this receipt due to cash refund </t>
  </si>
  <si>
    <t>inv_history_crn_success_si</t>
  </si>
  <si>
    <t>Credit note has been successfully created</t>
  </si>
  <si>
    <t>toast_inv_crid_empty_chk_si</t>
  </si>
  <si>
    <t>Please enter credit note ID</t>
  </si>
  <si>
    <t>toast_inv_crid_invalid_chk_si</t>
  </si>
  <si>
    <t>Invalid credit note id</t>
  </si>
  <si>
    <t>inv_enter_amount_si</t>
  </si>
  <si>
    <t>Enter cash amount</t>
  </si>
  <si>
    <t>toast_amount_exeed_si</t>
  </si>
  <si>
    <t>Your amount is exeeded the cash drawer amount</t>
  </si>
  <si>
    <t>exceed_inv_discount_val_si</t>
  </si>
  <si>
    <t>Exceed maximum discount value</t>
  </si>
  <si>
    <t>exceed_inv_discount_si</t>
  </si>
  <si>
    <t>Exceed maximum discount percentage</t>
  </si>
  <si>
    <t>exceed_amount_multi_payment</t>
  </si>
  <si>
    <t>Enter lesser amount for multi payment</t>
  </si>
  <si>
    <t>toast_staff_multi_si</t>
  </si>
  <si>
    <t xml:space="preserve">This payment option is not available for multi payment </t>
  </si>
  <si>
    <t>toast_payment_complete_si</t>
  </si>
  <si>
    <t>You cannot add another payment</t>
  </si>
  <si>
    <t>toast_insufficient_point_si</t>
  </si>
  <si>
    <t>This customer does not have enough points</t>
  </si>
  <si>
    <t>multi_payment</t>
  </si>
  <si>
    <t>Multi payments</t>
  </si>
  <si>
    <t>earned_points</t>
  </si>
  <si>
    <t xml:space="preserve">Earned Points : </t>
  </si>
  <si>
    <t>inv_history_deleted_sucess_si</t>
  </si>
  <si>
    <t>Receipt has been deleted</t>
  </si>
  <si>
    <t>inv_history_deleted_title_si</t>
  </si>
  <si>
    <t>Receipt Deletion</t>
  </si>
  <si>
    <t>inv_history_deleted_title_si_new</t>
  </si>
  <si>
    <t>Receipt Deletes</t>
  </si>
  <si>
    <t>inv_history_crn_title_si</t>
  </si>
  <si>
    <t xml:space="preserve">Create Credit Note </t>
  </si>
  <si>
    <t>inv_history_cr_title_si</t>
  </si>
  <si>
    <t>Create Cash Refund</t>
  </si>
  <si>
    <t>cn_history_deleted_sucess_si</t>
  </si>
  <si>
    <t>Credit note has been canceled</t>
  </si>
  <si>
    <t>cn_history_deleted_sucess_si_new</t>
  </si>
  <si>
    <t>Credit note has been deleted</t>
  </si>
  <si>
    <t>cn_history_deleted_title_si</t>
  </si>
  <si>
    <t>Credit Note Cancellation</t>
  </si>
  <si>
    <t>cn_history_deleted_title_si_new</t>
  </si>
  <si>
    <t>Credit Note Delete</t>
  </si>
  <si>
    <t>cn_history_deleted_body_msg_si</t>
  </si>
  <si>
    <t>Are you sure you want to cancel the credit note?</t>
  </si>
  <si>
    <t>cn_history_deleted_body_msg_si_new</t>
  </si>
  <si>
    <t>Are you sure want to delete this credit note?</t>
  </si>
  <si>
    <t>cr_history_deleted_sucess_si</t>
  </si>
  <si>
    <t>Cash refund has been canceled</t>
  </si>
  <si>
    <t>cr_history_deleted_sucess_si_new</t>
  </si>
  <si>
    <t>Cash refund has been deleted</t>
  </si>
  <si>
    <t>cr_history_deleted_title_si</t>
  </si>
  <si>
    <t>Cash Refund Cancellation</t>
  </si>
  <si>
    <t>cr_history_deleted_title_si_new</t>
  </si>
  <si>
    <t>Cash Refund Delete</t>
  </si>
  <si>
    <t>cr_history_deleted_body_msg_si</t>
  </si>
  <si>
    <t>Are you sure you want to cancel the cash refund?</t>
  </si>
  <si>
    <t>cr_history_deleted_body_msg_si_new</t>
  </si>
  <si>
    <t>Are you sure want to delete this cash refund?</t>
  </si>
  <si>
    <t>print_history_crn_title_si</t>
  </si>
  <si>
    <t>Past Credit Note Report</t>
  </si>
  <si>
    <t>cr_history_create_cn_body_msg_si</t>
  </si>
  <si>
    <t xml:space="preserve">Are you sure you want to create the credit    note? </t>
  </si>
  <si>
    <t>cr_history_create_cr_body_msg_si</t>
  </si>
  <si>
    <t>Are you sure you want to create cash   refund?</t>
  </si>
  <si>
    <t>rep_search_si</t>
  </si>
  <si>
    <t>Search</t>
  </si>
  <si>
    <t>rep_total_sales_si</t>
  </si>
  <si>
    <t xml:space="preserve">  Total Sales</t>
  </si>
  <si>
    <t>rep_total_cost_si</t>
  </si>
  <si>
    <t xml:space="preserve">  Total Cost : </t>
  </si>
  <si>
    <t>rep_profit_si</t>
  </si>
  <si>
    <t xml:space="preserve">  Profit : </t>
  </si>
  <si>
    <t>rep_payment_method_si</t>
  </si>
  <si>
    <t xml:space="preserve">  Payment type :</t>
  </si>
  <si>
    <t>rep_sold_si</t>
  </si>
  <si>
    <t>Sold Qty</t>
  </si>
  <si>
    <t>rep_refrence_si</t>
  </si>
  <si>
    <t>Reference :</t>
  </si>
  <si>
    <t>rep_total_discount_si</t>
  </si>
  <si>
    <t>rep_credit_si</t>
  </si>
  <si>
    <t>rep_check_si</t>
  </si>
  <si>
    <t>rep_card_si</t>
  </si>
  <si>
    <t>Card Payment</t>
  </si>
  <si>
    <t>print_total_sales_si</t>
  </si>
  <si>
    <t>Total Sales</t>
  </si>
  <si>
    <t>pay_refrence_si</t>
  </si>
  <si>
    <t>Reference</t>
  </si>
  <si>
    <t>pay_refrence_si_1</t>
  </si>
  <si>
    <t>Ref</t>
  </si>
  <si>
    <t>print_today_cash_si</t>
  </si>
  <si>
    <t>Cash Balance</t>
  </si>
  <si>
    <t>rep_invoice_number_si</t>
  </si>
  <si>
    <t>Receipt # :</t>
  </si>
  <si>
    <t>rep_payment_number_si</t>
  </si>
  <si>
    <t>Seq</t>
  </si>
  <si>
    <t>print_invoice_list_history_si</t>
  </si>
  <si>
    <t>Past Receipt List</t>
  </si>
  <si>
    <t>rep_purchased_qty_si</t>
  </si>
  <si>
    <t>Purchased Qty</t>
  </si>
  <si>
    <t>rep_item_price_si</t>
  </si>
  <si>
    <t>Product Price</t>
  </si>
  <si>
    <t>rep_item_cost_si</t>
  </si>
  <si>
    <t>Product Cost</t>
  </si>
  <si>
    <t>rep_kot_si</t>
  </si>
  <si>
    <t>print_item_cost_si</t>
  </si>
  <si>
    <t>Item Cost</t>
  </si>
  <si>
    <t>credit_crn_total_si</t>
  </si>
  <si>
    <t>Value</t>
  </si>
  <si>
    <t>print_return_value_si</t>
  </si>
  <si>
    <t>Return Value</t>
  </si>
  <si>
    <t>pro_qty_si</t>
  </si>
  <si>
    <t>Increase qty</t>
  </si>
  <si>
    <t>pro_new_line_si</t>
  </si>
  <si>
    <t>Multiple Line</t>
  </si>
  <si>
    <t>rep_start_date_si</t>
  </si>
  <si>
    <t>Start Date</t>
  </si>
  <si>
    <t>rep_end_date_si</t>
  </si>
  <si>
    <t>End Date</t>
  </si>
  <si>
    <t>rep_category_si</t>
  </si>
  <si>
    <t>rep_item_code_si</t>
  </si>
  <si>
    <t>rep_item_name_si</t>
  </si>
  <si>
    <t>Item Name</t>
  </si>
  <si>
    <t>rep_total_revenue_si</t>
  </si>
  <si>
    <t>Total Revenue</t>
  </si>
  <si>
    <t>rep_total_sold_qty_si</t>
  </si>
  <si>
    <t>Total Sold Qty</t>
  </si>
  <si>
    <t>rep_total_costs_si</t>
  </si>
  <si>
    <t>Total Cost</t>
  </si>
  <si>
    <t>rep_total_discounts_si</t>
  </si>
  <si>
    <t>rep_profits_si</t>
  </si>
  <si>
    <t>Profit</t>
  </si>
  <si>
    <t>print_revenue_report_si</t>
  </si>
  <si>
    <t>Revenue Report</t>
  </si>
  <si>
    <t>print_start_date_si</t>
  </si>
  <si>
    <t>print_end_date_si</t>
  </si>
  <si>
    <t>print_category_si</t>
  </si>
  <si>
    <t>print_item_code_si</t>
  </si>
  <si>
    <t>print_item_name_si</t>
  </si>
  <si>
    <t>print_total_sold_qty_si</t>
  </si>
  <si>
    <t>print_total_revenue_si</t>
  </si>
  <si>
    <t>print_total_costs_si</t>
  </si>
  <si>
    <t>print_total_discounts_si</t>
  </si>
  <si>
    <t>print_profits_si</t>
  </si>
  <si>
    <t>print_cash_report_si</t>
  </si>
  <si>
    <t>rep_service_charge_si</t>
  </si>
  <si>
    <t>Service Charges</t>
  </si>
  <si>
    <t>pro_type_si</t>
  </si>
  <si>
    <t>pro_percentage_si</t>
  </si>
  <si>
    <t>Percentage</t>
  </si>
  <si>
    <t>pro_value_si</t>
  </si>
  <si>
    <t>pro_sub_category_si</t>
  </si>
  <si>
    <t>pro_charges_si</t>
  </si>
  <si>
    <t>Charges</t>
  </si>
  <si>
    <t>pro_tax_si</t>
  </si>
  <si>
    <t>pro_save_si</t>
  </si>
  <si>
    <t>pro_clear_appication_data_si</t>
  </si>
  <si>
    <t>Clear Application Data</t>
  </si>
  <si>
    <t>pro_message_si</t>
  </si>
  <si>
    <t xml:space="preserve">This function will clear application data. Do you want to     continue? </t>
  </si>
  <si>
    <t>pro_message_6m_si</t>
  </si>
  <si>
    <t>This function will clear all transaction data more than one     month. Do you want to continue?</t>
  </si>
  <si>
    <t>pro_provide_password_si</t>
  </si>
  <si>
    <t>Provide admin password</t>
  </si>
  <si>
    <t>pro_records_clear_msg_si</t>
  </si>
  <si>
    <t>Records Cleared Successfully</t>
  </si>
  <si>
    <t>inv_del_body_si</t>
  </si>
  <si>
    <t>Are you sure you want to delete this receipt?</t>
  </si>
  <si>
    <t>inv_del_body_si_new</t>
  </si>
  <si>
    <t>Are you sure you want to delete the receipt?</t>
  </si>
  <si>
    <t>pro_message_selected</t>
  </si>
  <si>
    <t xml:space="preserve">This function will clear selected reports. Do you want to    continue?  </t>
  </si>
  <si>
    <t>pro_message_6m_selected</t>
  </si>
  <si>
    <t xml:space="preserve">This function will clear selected reports more than one     month. Do you want to continue?  </t>
  </si>
  <si>
    <t>pro_msg_select</t>
  </si>
  <si>
    <t>Please select options</t>
  </si>
  <si>
    <t>login_internet_alert_title_si</t>
  </si>
  <si>
    <t>No Internet Connection</t>
  </si>
  <si>
    <t>login_error_pwd_si</t>
  </si>
  <si>
    <t>Incorrect Password</t>
  </si>
  <si>
    <t>login_internet_chk_si</t>
  </si>
  <si>
    <t>Internet connection is required</t>
  </si>
  <si>
    <t>toast_login_pwd_error_msg_si</t>
  </si>
  <si>
    <t>Enter your password</t>
  </si>
  <si>
    <t>toast_login_pwd_inccorect_si</t>
  </si>
  <si>
    <t>Password is incorrect</t>
  </si>
  <si>
    <t>toast_login_act_problem_si</t>
  </si>
  <si>
    <t>Problem with Activation</t>
  </si>
  <si>
    <t>toast_login_internet_problem_si</t>
  </si>
  <si>
    <t>No internet connection</t>
  </si>
  <si>
    <t>toast_login_tc_apply_si</t>
  </si>
  <si>
    <t>Please agree to the Terms of Use and Privacy Policy</t>
  </si>
  <si>
    <t>toast_try_agin_si</t>
  </si>
  <si>
    <t>Something went wrong. Try again</t>
  </si>
  <si>
    <t>toast_register</t>
  </si>
  <si>
    <t xml:space="preserve">You have to register with back office web portal before uploading    data to cloud </t>
  </si>
  <si>
    <t>toast_login_uname_error_msg_si</t>
  </si>
  <si>
    <t>Select username</t>
  </si>
  <si>
    <t>toast_please_wait_si</t>
  </si>
  <si>
    <t>Please wait, Back office is loading</t>
  </si>
  <si>
    <t>toast_server_down_si</t>
  </si>
  <si>
    <t xml:space="preserve">Oops! Looks there is a problem with one of followings \nYour    device date should be current date \nCheck your internet connection speed \nOr \nPlease try     again in few minutes </t>
  </si>
  <si>
    <t>loading_si</t>
  </si>
  <si>
    <t>Loading</t>
  </si>
  <si>
    <t>p_agree</t>
  </si>
  <si>
    <t>Agreed to T and C</t>
  </si>
  <si>
    <t>upgrade_si</t>
  </si>
  <si>
    <t>Upgrade</t>
  </si>
  <si>
    <t>upgrade_title_1_si</t>
  </si>
  <si>
    <t>SalesPlay + POS new version is available</t>
  </si>
  <si>
    <t>upgrade_body_si</t>
  </si>
  <si>
    <t xml:space="preserve">Upgrade to the latest version of SalesPlay + POS for Android to experience the best possible version of  SalesPlay + POS. You will have access to new features and    bug fixes to make using SalesPlay + POS better than ever!  </t>
  </si>
  <si>
    <t>up_to_date_body_si</t>
  </si>
  <si>
    <t>SalesPlay + POS is updated with latest version</t>
  </si>
  <si>
    <t>not_available_si</t>
  </si>
  <si>
    <t xml:space="preserve">This feature is not available for basic version. Purchase the   advanced version. </t>
  </si>
  <si>
    <t>master_key</t>
  </si>
  <si>
    <t>License key</t>
  </si>
  <si>
    <t>product</t>
  </si>
  <si>
    <t>Product</t>
  </si>
  <si>
    <t>buy_now_no_internet</t>
  </si>
  <si>
    <t>Please check your internet connection</t>
  </si>
  <si>
    <t>about_p</t>
  </si>
  <si>
    <t>SalesPlay + POS Application is a sophisticated software application which  facilitates you to manage the inventory, invoicing and many tools you need to run the   business. It comes with comprehensive web portal which is having many reports, indicators   and lot of back office functions.</t>
  </si>
  <si>
    <t>alert_delete_icon_title_si</t>
  </si>
  <si>
    <t>Delete Icon</t>
  </si>
  <si>
    <t>alert_icon_delete_msg_si</t>
  </si>
  <si>
    <t>Are you sure you want to delete this icon?</t>
  </si>
  <si>
    <t>sub_cat_title</t>
  </si>
  <si>
    <t>New sub category</t>
  </si>
  <si>
    <t>sub_cat</t>
  </si>
  <si>
    <t>Subcategory</t>
  </si>
  <si>
    <t>alert_delete_sub_cat_title_si</t>
  </si>
  <si>
    <t>Delete Sub Category</t>
  </si>
  <si>
    <t>alert_delete_sub_cat_title_si_new</t>
  </si>
  <si>
    <t>Delete Subcategory</t>
  </si>
  <si>
    <t>alert_sub_cat_delete_msg_si</t>
  </si>
  <si>
    <t>Are you sure you want to delete this sub category?</t>
  </si>
  <si>
    <t>alert_sub_cat_delete_msg_si_new</t>
  </si>
  <si>
    <t>Are you sure want to delete subcategory ?</t>
  </si>
  <si>
    <t>msg_sub_cat_sucess</t>
  </si>
  <si>
    <t>New Subcategory has been created successfully</t>
  </si>
  <si>
    <t>msg_sub_cat_dublicate</t>
  </si>
  <si>
    <t>Duplicate Sub Category</t>
  </si>
  <si>
    <t>reason_reason</t>
  </si>
  <si>
    <t>note_note</t>
  </si>
  <si>
    <t>Note</t>
  </si>
  <si>
    <t>msg_buy_now_wait</t>
  </si>
  <si>
    <t>Please wait you are redirecting to payment gateway</t>
  </si>
  <si>
    <t>msg_buy_now_page_error</t>
  </si>
  <si>
    <t>bluetooth_connection_fail_si</t>
  </si>
  <si>
    <t xml:space="preserve">Problem with the printer, check Bluetooth    connection </t>
  </si>
  <si>
    <t>network_connection_fail_si</t>
  </si>
  <si>
    <t xml:space="preserve">Problem with the printer, check network connection  </t>
  </si>
  <si>
    <t>usb_connection_fail_si</t>
  </si>
  <si>
    <t>Problem with the printer, check USB connection</t>
  </si>
  <si>
    <t>sms_si</t>
  </si>
  <si>
    <t>SMS</t>
  </si>
  <si>
    <t>send_notification_si</t>
  </si>
  <si>
    <t>Send receipt via</t>
  </si>
  <si>
    <t>send_email_notification_si</t>
  </si>
  <si>
    <t>Send receipt via Email (Optional)</t>
  </si>
  <si>
    <t>cashier_name_si</t>
  </si>
  <si>
    <t>cashier_status_si</t>
  </si>
  <si>
    <t>Status</t>
  </si>
  <si>
    <t>print_cashier_name_si</t>
  </si>
  <si>
    <t>Cashier Name</t>
  </si>
  <si>
    <t>pro_cashier_name</t>
  </si>
  <si>
    <t>pro_uname</t>
  </si>
  <si>
    <t>Username</t>
  </si>
  <si>
    <t>pro_cashier_pw</t>
  </si>
  <si>
    <t>pro_role</t>
  </si>
  <si>
    <t>User Role</t>
  </si>
  <si>
    <t>provide_user_password</t>
  </si>
  <si>
    <t>Provide password</t>
  </si>
  <si>
    <t>price_colum_date</t>
  </si>
  <si>
    <t>print</t>
  </si>
  <si>
    <t>Print receipt</t>
  </si>
  <si>
    <t>printer_init_err</t>
  </si>
  <si>
    <t>printer initialize failed!</t>
  </si>
  <si>
    <t>printer_no_paper</t>
  </si>
  <si>
    <t>No paper!</t>
  </si>
  <si>
    <t>printer_printing_failed</t>
  </si>
  <si>
    <t>printing failed!</t>
  </si>
  <si>
    <t>campaign_duration</t>
  </si>
  <si>
    <t>Duration</t>
  </si>
  <si>
    <t>campaign_title</t>
  </si>
  <si>
    <t>Campaign</t>
  </si>
  <si>
    <t>toast_campaign_save</t>
  </si>
  <si>
    <t>Campaign has been saved</t>
  </si>
  <si>
    <t>toast_invalid_resolution</t>
  </si>
  <si>
    <t>Invalid resolution</t>
  </si>
  <si>
    <t>alert_media_delete_msg_si</t>
  </si>
  <si>
    <t>Are you sure you want to delete this image?</t>
  </si>
  <si>
    <t>alert_delete_media_title</t>
  </si>
  <si>
    <t>Delete Media</t>
  </si>
  <si>
    <t>campaign</t>
  </si>
  <si>
    <t>Campaigns</t>
  </si>
  <si>
    <t>toast_campaign_save_fail</t>
  </si>
  <si>
    <t>Enter image duration</t>
  </si>
  <si>
    <t>btn_browse</t>
  </si>
  <si>
    <t>Browse</t>
  </si>
  <si>
    <t>campaign_enable_si</t>
  </si>
  <si>
    <t>Switch on campaign at software setup</t>
  </si>
  <si>
    <t>insufficient_stock_si</t>
  </si>
  <si>
    <t>Insufficient Stock</t>
  </si>
  <si>
    <t>set_pwrd_msg_proceed</t>
  </si>
  <si>
    <t xml:space="preserve">You have to set the admin password before proceeding </t>
  </si>
  <si>
    <t>pro_img_reslution</t>
  </si>
  <si>
    <t>Best image resolution : (width x height)150 x 120 (px)</t>
  </si>
  <si>
    <t>pro_img_msg_fail</t>
  </si>
  <si>
    <t>Can\'t open file</t>
  </si>
  <si>
    <t>pro_kot_option</t>
  </si>
  <si>
    <t>KOT Option</t>
  </si>
  <si>
    <t>pro_ip</t>
  </si>
  <si>
    <t>KOT Printer IP</t>
  </si>
  <si>
    <t>pro_display_ip</t>
  </si>
  <si>
    <t>KOT Display IP</t>
  </si>
  <si>
    <t>cus_display_ip</t>
  </si>
  <si>
    <t>Customer Display IP</t>
  </si>
  <si>
    <t>payment_method</t>
  </si>
  <si>
    <t>Payment types</t>
  </si>
  <si>
    <t>reason_title</t>
  </si>
  <si>
    <t>Cash Drawer Reasons</t>
  </si>
  <si>
    <t>msg_title_alternative_currency_si</t>
  </si>
  <si>
    <t>Select Currency</t>
  </si>
  <si>
    <t>msg_alternative_currency_si</t>
  </si>
  <si>
    <t>Select Alternative Currency</t>
  </si>
  <si>
    <t>disable_function_si</t>
  </si>
  <si>
    <t>You cannot edit this receipt</t>
  </si>
  <si>
    <t>btn_select_list</t>
  </si>
  <si>
    <t>Select from List</t>
  </si>
  <si>
    <t>category_report</t>
  </si>
  <si>
    <t>Category Wise Sales Report</t>
  </si>
  <si>
    <t>bis_type_download_product</t>
  </si>
  <si>
    <t>Install with sample data</t>
  </si>
  <si>
    <t>title_restore</t>
  </si>
  <si>
    <t>Recent Backup Points</t>
  </si>
  <si>
    <t>btn_restore</t>
  </si>
  <si>
    <t>Restore</t>
  </si>
  <si>
    <t>kot_no_item</t>
  </si>
  <si>
    <t>No item selected to send KOT</t>
  </si>
  <si>
    <t>kot__complete</t>
  </si>
  <si>
    <t>Complete the payment for KOT receipt or press discard</t>
  </si>
  <si>
    <t>freeBill__complete</t>
  </si>
  <si>
    <t xml:space="preserve">Complete the payment for pre bill receipt or press discard </t>
  </si>
  <si>
    <t>hold_invoice__complete</t>
  </si>
  <si>
    <t xml:space="preserve">Complete the payment for bill hold receipt or press   discard </t>
  </si>
  <si>
    <t>btn_resend</t>
  </si>
  <si>
    <t>Resend</t>
  </si>
  <si>
    <t>print_category_sales</t>
  </si>
  <si>
    <t>Category Report</t>
  </si>
  <si>
    <t>kot_description</t>
  </si>
  <si>
    <t>Description (optional)</t>
  </si>
  <si>
    <t>in_note_si</t>
  </si>
  <si>
    <t>Special Note (Optional)</t>
  </si>
  <si>
    <t>msg_kot_printer_connection_error</t>
  </si>
  <si>
    <t>KOT printer connection error</t>
  </si>
  <si>
    <t>inv_prod_inhand</t>
  </si>
  <si>
    <t>In Hand Qty</t>
  </si>
  <si>
    <t>inv_prod_tiitle</t>
  </si>
  <si>
    <t>Product Details</t>
  </si>
  <si>
    <t>toast_cash_refund</t>
  </si>
  <si>
    <t>Cash refund transaction is successful</t>
  </si>
  <si>
    <t>restore</t>
  </si>
  <si>
    <t>restore_not_found</t>
  </si>
  <si>
    <t>There is no any restore point available</t>
  </si>
  <si>
    <t>msg_title_restore</t>
  </si>
  <si>
    <t>Recent Daily Backup Points</t>
  </si>
  <si>
    <t>btn_retry</t>
  </si>
  <si>
    <t>Load Again</t>
  </si>
  <si>
    <t>toast_select_item</t>
  </si>
  <si>
    <t>Please select item(s)</t>
  </si>
  <si>
    <t>restore_msg_success</t>
  </si>
  <si>
    <t>Restore is successful</t>
  </si>
  <si>
    <t>restore_msg_fail</t>
  </si>
  <si>
    <t>Restore is unsuccessful</t>
  </si>
  <si>
    <t>cancel_split</t>
  </si>
  <si>
    <t>Are you sure you want to cancel all payments?</t>
  </si>
  <si>
    <t>cancel_split_title</t>
  </si>
  <si>
    <t>Cancel Payment</t>
  </si>
  <si>
    <t>toast_cash_refund_value_check</t>
  </si>
  <si>
    <t>Cash refund is greater than grand total</t>
  </si>
  <si>
    <t>toast_credit_not_value_check</t>
  </si>
  <si>
    <t>Credit note value is greater than grand total</t>
  </si>
  <si>
    <t>msg_restore</t>
  </si>
  <si>
    <t>Are you sure you want to restore backup</t>
  </si>
  <si>
    <t>msg_restore_processing</t>
  </si>
  <si>
    <t>Please wait restore is progressing...</t>
  </si>
  <si>
    <t>revenue_report_type</t>
  </si>
  <si>
    <t>Revenue Report Type</t>
  </si>
  <si>
    <t>revenue_total_sales</t>
  </si>
  <si>
    <t>revenue_total_charge</t>
  </si>
  <si>
    <t>Total Charges</t>
  </si>
  <si>
    <t>revenue_total_tax</t>
  </si>
  <si>
    <t>cash_trans_report_link</t>
  </si>
  <si>
    <t>Take me to report</t>
  </si>
  <si>
    <t>cash_report_title</t>
  </si>
  <si>
    <t>Cash Report</t>
  </si>
  <si>
    <t>msg_clear_data_fail</t>
  </si>
  <si>
    <t>Data Clearing is Fail!</t>
  </si>
  <si>
    <t>master_key_is</t>
  </si>
  <si>
    <t>Your license key is</t>
  </si>
  <si>
    <t>add_printer_si</t>
  </si>
  <si>
    <t>Add printer</t>
  </si>
  <si>
    <t>printer_name_si</t>
  </si>
  <si>
    <t>printer_type_si</t>
  </si>
  <si>
    <t>Printer type</t>
  </si>
  <si>
    <t>printer_connection_mode_si</t>
  </si>
  <si>
    <t>Connection mode</t>
  </si>
  <si>
    <t>printer_connection_device_si</t>
  </si>
  <si>
    <t>Device</t>
  </si>
  <si>
    <t>printer_enable_si</t>
  </si>
  <si>
    <t>bluetooth_unsupported_si</t>
  </si>
  <si>
    <t>Bluetooth is unsupported by this device</t>
  </si>
  <si>
    <t>device_not_available_si</t>
  </si>
  <si>
    <t>No devices to connect</t>
  </si>
  <si>
    <t>msg_title_print_enable</t>
  </si>
  <si>
    <t>Enable Printer</t>
  </si>
  <si>
    <t>msg_printer_change</t>
  </si>
  <si>
    <t>Are you sure you want to enable the printer?</t>
  </si>
  <si>
    <t>msg_title_print_disable</t>
  </si>
  <si>
    <t>Disable Printer</t>
  </si>
  <si>
    <t>msg_printer_disable</t>
  </si>
  <si>
    <t>Are you sure you want to disable the printer?</t>
  </si>
  <si>
    <t>printers</t>
  </si>
  <si>
    <t>Printers</t>
  </si>
  <si>
    <t>printer_connection_paired_device_si</t>
  </si>
  <si>
    <t>Paired Device</t>
  </si>
  <si>
    <t>printer_connection_ip_address_si</t>
  </si>
  <si>
    <t>IP address</t>
  </si>
  <si>
    <t>printer_connection_connected_device_si</t>
  </si>
  <si>
    <t>Connected device</t>
  </si>
  <si>
    <t>msg_title_print_delete</t>
  </si>
  <si>
    <t>Delete Printer</t>
  </si>
  <si>
    <t>msg_printer_delete</t>
  </si>
  <si>
    <t>Are you sure you want to delete the printer?</t>
  </si>
  <si>
    <t>software_customization</t>
  </si>
  <si>
    <t>Software customization</t>
  </si>
  <si>
    <t>customer_display</t>
  </si>
  <si>
    <t>Setup Customer Display</t>
  </si>
  <si>
    <t>msg_data_backup</t>
  </si>
  <si>
    <t>Data backup is successful</t>
  </si>
  <si>
    <t>printer_configuration_success</t>
  </si>
  <si>
    <t>Printer configuration is successfully completed</t>
  </si>
  <si>
    <t>select_printer_type</t>
  </si>
  <si>
    <t>Select connection mode</t>
  </si>
  <si>
    <t>printer_con_fail</t>
  </si>
  <si>
    <t>Printer connection error</t>
  </si>
  <si>
    <t>package_access_denied</t>
  </si>
  <si>
    <t xml:space="preserve">Hi there, your trial period is expired and some of the   options are not available, now you have only standard options. Please become a Premium or  Advanced customer view the </t>
  </si>
  <si>
    <t>restore_access_denied</t>
  </si>
  <si>
    <t xml:space="preserve">Restore is not available, please become a premium   customer </t>
  </si>
  <si>
    <t>report_customer_invoice_select</t>
  </si>
  <si>
    <t>Please select a customer</t>
  </si>
  <si>
    <t>report_select_cashier</t>
  </si>
  <si>
    <t>Please select a cashier</t>
  </si>
  <si>
    <t>report_customer_invoice</t>
  </si>
  <si>
    <t>Customer Wise Receipt</t>
  </si>
  <si>
    <t>kot_report_qty</t>
  </si>
  <si>
    <t>kot_report_invoice_no</t>
  </si>
  <si>
    <t>Receipt No :</t>
  </si>
  <si>
    <t>in_paypal_ref</t>
  </si>
  <si>
    <t>PayPal Ref</t>
  </si>
  <si>
    <t>rep_paypal</t>
  </si>
  <si>
    <t>PayPal</t>
  </si>
  <si>
    <t>toast_inv_paypal_empty_chk_si</t>
  </si>
  <si>
    <t>Please enter paypal reference</t>
  </si>
  <si>
    <t>print_inv_paypal</t>
  </si>
  <si>
    <t>tost_credit_setlement_success</t>
  </si>
  <si>
    <t>Credit settlement is successful</t>
  </si>
  <si>
    <t>tost_credit_settlement_cancel</t>
  </si>
  <si>
    <t>Credit settlement has been deleted</t>
  </si>
  <si>
    <t>inv_payment_select_creditnote</t>
  </si>
  <si>
    <t>Select credit note</t>
  </si>
  <si>
    <t>btn_settle</t>
  </si>
  <si>
    <t>Settle</t>
  </si>
  <si>
    <t>tost_credit_setlement_invalit_amount</t>
  </si>
  <si>
    <t xml:space="preserve">Amount higher than receipt credit value </t>
  </si>
  <si>
    <t>btn_complete</t>
  </si>
  <si>
    <t>Complete</t>
  </si>
  <si>
    <t>credit_invoice_complte</t>
  </si>
  <si>
    <t>Are you sure you want to complete credit receipt?</t>
  </si>
  <si>
    <t>credit_invoice_complte_title</t>
  </si>
  <si>
    <t>Complete Credit Receipt</t>
  </si>
  <si>
    <t>day_end_body_si</t>
  </si>
  <si>
    <t>This will finalized your all transaction records.</t>
  </si>
  <si>
    <t>day_end_body_si_new</t>
  </si>
  <si>
    <t>Are you sure want to complete shift end ?</t>
  </si>
  <si>
    <t>link_more_details</t>
  </si>
  <si>
    <t>More Details</t>
  </si>
  <si>
    <t>privacy_policy_si</t>
  </si>
  <si>
    <t>Privacy policy</t>
  </si>
  <si>
    <t>day_end_description1_si</t>
  </si>
  <si>
    <t>Following details will be recorded</t>
  </si>
  <si>
    <t>link_pricing_now</t>
  </si>
  <si>
    <t>purchase now</t>
  </si>
  <si>
    <t>day_end_cancel</t>
  </si>
  <si>
    <t>Day end task has been finished, please cancel it to use thismodule.</t>
  </si>
  <si>
    <t>day_end_deleted_title_si</t>
  </si>
  <si>
    <t>day_end_deleted_body_si</t>
  </si>
  <si>
    <t>Are you sure you want to cancel the day end?</t>
  </si>
  <si>
    <t>day_end_successfully_deleted_si</t>
  </si>
  <si>
    <t>Day end successfully cancelled.</t>
  </si>
  <si>
    <t>day_end_successfully_si</t>
  </si>
  <si>
    <t>Done</t>
  </si>
  <si>
    <t>print_inv_dup_discount_short</t>
  </si>
  <si>
    <t>Disc.</t>
  </si>
  <si>
    <t>print_total</t>
  </si>
  <si>
    <t>print_agent</t>
  </si>
  <si>
    <t>Agent :</t>
  </si>
  <si>
    <t>print_comment</t>
  </si>
  <si>
    <t>Comment</t>
  </si>
  <si>
    <t>toast_complete_credit_inv</t>
  </si>
  <si>
    <t>Credit receipt is successfully completed</t>
  </si>
  <si>
    <t>msg_auto_launch</t>
  </si>
  <si>
    <t>Auto launch is turn ON.</t>
  </si>
  <si>
    <t>msg_turn_off</t>
  </si>
  <si>
    <t>Turn off</t>
  </si>
  <si>
    <t>msg_title_auto_launch</t>
  </si>
  <si>
    <t>Auto Launch</t>
  </si>
  <si>
    <t>msg_body_auto_launch</t>
  </si>
  <si>
    <t>Are you sure you want to turn off auto launch?</t>
  </si>
  <si>
    <t>msg_auto_launch_turn_off</t>
  </si>
  <si>
    <t>Auto launch is turn off.</t>
  </si>
  <si>
    <t>payment_received</t>
  </si>
  <si>
    <t>Payment received</t>
  </si>
  <si>
    <t>cr_inv_outstanding</t>
  </si>
  <si>
    <t>Receipt outstanding</t>
  </si>
  <si>
    <t>cr_inv_pre_outstanding</t>
  </si>
  <si>
    <t>Previous outstanding</t>
  </si>
  <si>
    <t>receipt_amount</t>
  </si>
  <si>
    <t>Receipt amount</t>
  </si>
  <si>
    <t>credit_receipt_initial</t>
  </si>
  <si>
    <t>Credit Receipt</t>
  </si>
  <si>
    <t>cr_total_outstanding</t>
  </si>
  <si>
    <t>Customer Total Outstanding</t>
  </si>
  <si>
    <t>cr_outstanding</t>
  </si>
  <si>
    <t>Customer outstanding</t>
  </si>
  <si>
    <t>total_outstanding</t>
  </si>
  <si>
    <t>Total outstanding</t>
  </si>
  <si>
    <t>cr_settlement_type</t>
  </si>
  <si>
    <t>Settlement Type</t>
  </si>
  <si>
    <t>cr_inv_complete_invoice</t>
  </si>
  <si>
    <t>Settled Receipt</t>
  </si>
  <si>
    <t>cr_inv_uncomplete_invoice</t>
  </si>
  <si>
    <t>btn_paid</t>
  </si>
  <si>
    <t>Unpaid</t>
  </si>
  <si>
    <t>toast_unpaid_credit_inv</t>
  </si>
  <si>
    <t xml:space="preserve">Receipt is successfully moved to unpaid receipt list </t>
  </si>
  <si>
    <t>credit_invoice_unpaid</t>
  </si>
  <si>
    <t>Are you sure you want to move this receipt to unsettled receipt list?</t>
  </si>
  <si>
    <t>pro_day_end</t>
  </si>
  <si>
    <t>Shift end module</t>
  </si>
  <si>
    <t>pro_day_end_new</t>
  </si>
  <si>
    <t xml:space="preserve">Shift end </t>
  </si>
  <si>
    <t>day_end_enable</t>
  </si>
  <si>
    <t>Please enable day end in software setup</t>
  </si>
  <si>
    <t>cloud_upload_msg_title</t>
  </si>
  <si>
    <t>Cloud Upload</t>
  </si>
  <si>
    <t>cr_select_customer</t>
  </si>
  <si>
    <t>enter_amount</t>
  </si>
  <si>
    <t>Please enter a amount</t>
  </si>
  <si>
    <t>last_update_date</t>
  </si>
  <si>
    <t>Last Update date</t>
  </si>
  <si>
    <t>day_end_need</t>
  </si>
  <si>
    <t>You need to run day end task before proceed.</t>
  </si>
  <si>
    <t>msg_backup_problem</t>
  </si>
  <si>
    <t>Problem with Backup.</t>
  </si>
  <si>
    <t>btn_try_agin</t>
  </si>
  <si>
    <t>Try again</t>
  </si>
  <si>
    <t>sync_si</t>
  </si>
  <si>
    <t>Sync</t>
  </si>
  <si>
    <t>drawer_open</t>
  </si>
  <si>
    <t>Open Drawer</t>
  </si>
  <si>
    <t>quick_sync_si</t>
  </si>
  <si>
    <t>Quick sync</t>
  </si>
  <si>
    <t>print_inv_line_discount_si</t>
  </si>
  <si>
    <t>chat_helpcenter</t>
  </si>
  <si>
    <t xml:space="preserve">If chat is offline, go to the </t>
  </si>
  <si>
    <t>btn_preview</t>
  </si>
  <si>
    <t>Preview</t>
  </si>
  <si>
    <t>bill_view</t>
  </si>
  <si>
    <t>Design the Receipt</t>
  </si>
  <si>
    <t>hide_si</t>
  </si>
  <si>
    <t>Hide</t>
  </si>
  <si>
    <t>inv_advance_no</t>
  </si>
  <si>
    <t>Advance No :</t>
  </si>
  <si>
    <t>inv_advance_invoice_total</t>
  </si>
  <si>
    <t>Receipt Total :</t>
  </si>
  <si>
    <t>inv_advance_amount</t>
  </si>
  <si>
    <t>Advance payment :</t>
  </si>
  <si>
    <t>inv_advance_delete_title</t>
  </si>
  <si>
    <t>Delete Advance</t>
  </si>
  <si>
    <t>toast_inv_payment_type_validate</t>
  </si>
  <si>
    <t xml:space="preserve">This payment type not eligible for advance Payments  </t>
  </si>
  <si>
    <t>toast_sync_problem_si</t>
  </si>
  <si>
    <t>Data sync is failed.</t>
  </si>
  <si>
    <t>advance__complete</t>
  </si>
  <si>
    <t>Complete the receipt for this advance payment</t>
  </si>
  <si>
    <t>popup_view_advance_invoice</t>
  </si>
  <si>
    <t>View Advance Payments</t>
  </si>
  <si>
    <t>popup_advance_invoice</t>
  </si>
  <si>
    <t>Advance payment</t>
  </si>
  <si>
    <t>inv_advance_msg_delete</t>
  </si>
  <si>
    <t>Do you want to delete this advance payment?</t>
  </si>
  <si>
    <t>view_advance_inv_si</t>
  </si>
  <si>
    <t>Advance Payment List</t>
  </si>
  <si>
    <t>print_advance_no</t>
  </si>
  <si>
    <t>Advance No</t>
  </si>
  <si>
    <t>inv_advance_customer</t>
  </si>
  <si>
    <t>pro_advance</t>
  </si>
  <si>
    <t>chat_offline_title</t>
  </si>
  <si>
    <t>Chat Service Offline</t>
  </si>
  <si>
    <t>qpp_offline</t>
  </si>
  <si>
    <t>Internet connection is not available</t>
  </si>
  <si>
    <t>toast_invalid_date_si</t>
  </si>
  <si>
    <t>Invalid date.</t>
  </si>
  <si>
    <t>add_product_not_internet</t>
  </si>
  <si>
    <t>Please connect to the internet.Otherwise your product code(SKU) can be replace to the existing products.</t>
  </si>
  <si>
    <t>print_customer_invoice_list_si</t>
  </si>
  <si>
    <t>Customer wise Receipt List</t>
  </si>
  <si>
    <t>del_category_with_product</t>
  </si>
  <si>
    <t>Remove product(s) under this category as well</t>
  </si>
  <si>
    <t>del_category_move_product</t>
  </si>
  <si>
    <t>Product(s) under this category move to \</t>
  </si>
  <si>
    <t>del_sub_category_with_product</t>
  </si>
  <si>
    <t>Remove product(s) under this sub category</t>
  </si>
  <si>
    <t>del_sub_category_move_product</t>
  </si>
  <si>
    <t xml:space="preserve">Product(s) under this sub category move to the </t>
  </si>
  <si>
    <t>sub_cat_in_used_si</t>
  </si>
  <si>
    <t>This sub category is in used. Sub category will be deleted permanently</t>
  </si>
  <si>
    <t>cat_in_used_si</t>
  </si>
  <si>
    <t>This category is in used. Category will be deleted permanently</t>
  </si>
  <si>
    <t>cat_in_used_si_new</t>
  </si>
  <si>
    <t>Are you sure want to delete this category?</t>
  </si>
  <si>
    <t>card_details_si</t>
  </si>
  <si>
    <t>Card details</t>
  </si>
  <si>
    <t>invalid_card_details_si</t>
  </si>
  <si>
    <t>Invalid card details</t>
  </si>
  <si>
    <t>payment_gateway_title</t>
  </si>
  <si>
    <t>Payment gateway</t>
  </si>
  <si>
    <t>payment_gateway_name</t>
  </si>
  <si>
    <t>payment_gateway_publish_key</t>
  </si>
  <si>
    <t>Publishable key</t>
  </si>
  <si>
    <t>payment_gateway_secret_key</t>
  </si>
  <si>
    <t>Secret key</t>
  </si>
  <si>
    <t>payment_gateway_status</t>
  </si>
  <si>
    <t>payment_gateway_common</t>
  </si>
  <si>
    <t>toast_payment_gateway_exit</t>
  </si>
  <si>
    <t>This payment gateway already setup</t>
  </si>
  <si>
    <t>card_number_si</t>
  </si>
  <si>
    <t>Card Number</t>
  </si>
  <si>
    <t>card_exp_month_si</t>
  </si>
  <si>
    <t>Month</t>
  </si>
  <si>
    <t>card_exp_year_si</t>
  </si>
  <si>
    <t>Year</t>
  </si>
  <si>
    <t>card_cvc_si</t>
  </si>
  <si>
    <t>CVC</t>
  </si>
  <si>
    <t>btn_click</t>
  </si>
  <si>
    <t>Click Here</t>
  </si>
  <si>
    <t>toast_validate_payment_gateway_currency_si</t>
  </si>
  <si>
    <t xml:space="preserve">Payment gateway currency and default system currency is different. Please do the mapping in payment gateway interface Edit. </t>
  </si>
  <si>
    <t>payment_gateway_system_currency</t>
  </si>
  <si>
    <t>System Currency</t>
  </si>
  <si>
    <t>payment_gateway_currency</t>
  </si>
  <si>
    <t>Payment Gateway Currency</t>
  </si>
  <si>
    <t>payment_gateway_currency_msg</t>
  </si>
  <si>
    <t xml:space="preserve">Note : Please select the same currency in software   setting </t>
  </si>
  <si>
    <t>offline</t>
  </si>
  <si>
    <t>Offline</t>
  </si>
  <si>
    <t>insufficient_point_si</t>
  </si>
  <si>
    <t>Insufficient points.</t>
  </si>
  <si>
    <t>btn_print_text</t>
  </si>
  <si>
    <t>Test Print</t>
  </si>
  <si>
    <t>clear_note</t>
  </si>
  <si>
    <t>Please Note</t>
  </si>
  <si>
    <t>clear_note1</t>
  </si>
  <si>
    <t>This function will clear application data of the terminal</t>
  </si>
  <si>
    <t>clear_note2</t>
  </si>
  <si>
    <t>If you want to clear data in the back office web portal as well,please login and do it manually</t>
  </si>
  <si>
    <t>toast_validate_password_length</t>
  </si>
  <si>
    <t>Password (should contain at least 6 characters) ??</t>
  </si>
  <si>
    <t>validate_password_length</t>
  </si>
  <si>
    <t>Field must contain at least 8 characters</t>
  </si>
  <si>
    <t>payment_gateway_currency_details</t>
  </si>
  <si>
    <t xml:space="preserve">Stripe payment gateway Support these  currencies </t>
  </si>
  <si>
    <t>change_pwrd_set_up</t>
  </si>
  <si>
    <t>Password has been set up successfully</t>
  </si>
  <si>
    <t>print_inv_temp_no_si</t>
  </si>
  <si>
    <t>Receipt Temp #</t>
  </si>
  <si>
    <t>print_inv_point</t>
  </si>
  <si>
    <t>Point</t>
  </si>
  <si>
    <t>report_credit_settlement</t>
  </si>
  <si>
    <t>Credit Settlement Report</t>
  </si>
  <si>
    <t>settlement_ref_id</t>
  </si>
  <si>
    <t>Settlement Ref Id</t>
  </si>
  <si>
    <t>handlingmsg_warn_receipt_near_end</t>
  </si>
  <si>
    <t>Roll paper is nearly end.\n</t>
  </si>
  <si>
    <t>handlingmsg_warn_battery_near_end</t>
  </si>
  <si>
    <t>Battery level of printer is low.\n</t>
  </si>
  <si>
    <t>printer_paper_size</t>
  </si>
  <si>
    <t>Paper size</t>
  </si>
  <si>
    <t>popup_clear_info_si</t>
  </si>
  <si>
    <t>Do you want to clear sample records?</t>
  </si>
  <si>
    <t>clear_records_dialog_check_si</t>
  </si>
  <si>
    <t xml:space="preserve">Upload data backup to cloud. Backup will be   available in restore section as well </t>
  </si>
  <si>
    <t>select_business_type</t>
  </si>
  <si>
    <t>terminal_name</t>
  </si>
  <si>
    <t>Select terminal name</t>
  </si>
  <si>
    <t>select_shop</t>
  </si>
  <si>
    <t>Select shop</t>
  </si>
  <si>
    <t>reg_msg1</t>
  </si>
  <si>
    <t xml:space="preserve">After the registration you should receive an email to register for back  office web portal. </t>
  </si>
  <si>
    <t>reg_msg2</t>
  </si>
  <si>
    <t>If you forget password, please</t>
  </si>
  <si>
    <t>tarminal_name_hint_si</t>
  </si>
  <si>
    <t>e.g. Shop 1</t>
  </si>
  <si>
    <t>term_name</t>
  </si>
  <si>
    <t>Terminal name</t>
  </si>
  <si>
    <t>paper_size_array</t>
  </si>
  <si>
    <t/>
  </si>
  <si>
    <t>cloud_upload_msg</t>
  </si>
  <si>
    <t>Are you sure want to proceed? \nYou need to have internet  connection</t>
  </si>
  <si>
    <t>all_test_rec_clear_si</t>
  </si>
  <si>
    <t xml:space="preserve">This function will clear all sample data. Do you want to continue? </t>
  </si>
  <si>
    <t>business_type</t>
  </si>
  <si>
    <t>Business Type</t>
  </si>
  <si>
    <t>prod_stock_control_si</t>
  </si>
  <si>
    <t>Maintain Inventory/Stock</t>
  </si>
  <si>
    <t>v_prod_stcontol</t>
  </si>
  <si>
    <t>Maintain Stock</t>
  </si>
  <si>
    <t>cash_payment_si</t>
  </si>
  <si>
    <t>Cash sale</t>
  </si>
  <si>
    <t>btn_pay_si</t>
  </si>
  <si>
    <t>Pay</t>
  </si>
  <si>
    <t>pro_clear_appication_data_from_cloud_si</t>
  </si>
  <si>
    <t>Data clearing request received</t>
  </si>
  <si>
    <t>pro_clear_appication_data_from_cloud_msg_si</t>
  </si>
  <si>
    <t>Data clearing process is in  progress</t>
  </si>
  <si>
    <t>printers_pair</t>
  </si>
  <si>
    <t>Pair the Bluetooth printer with POS device and press \</t>
  </si>
  <si>
    <t>btn_seach_paid</t>
  </si>
  <si>
    <t>Search Paired Device</t>
  </si>
  <si>
    <t>login_reset_pw</t>
  </si>
  <si>
    <t xml:space="preserve">You can view the current admin password in back office web portal   - go to terminals and view the admin password </t>
  </si>
  <si>
    <t>login_reset_pw_cashier</t>
  </si>
  <si>
    <t>Please contact admin and get the password reset</t>
  </si>
  <si>
    <t>btn_card_si</t>
  </si>
  <si>
    <t>Card</t>
  </si>
  <si>
    <t>rec_payment_si</t>
  </si>
  <si>
    <t>Received Amount</t>
  </si>
  <si>
    <t>setup_kot_title</t>
  </si>
  <si>
    <t>Setup KOT</t>
  </si>
  <si>
    <t>setup_kot_name</t>
  </si>
  <si>
    <t>kot_setup</t>
  </si>
  <si>
    <t>setup_kot_usb_device</t>
  </si>
  <si>
    <t>USB device</t>
  </si>
  <si>
    <t>alert_delete_title</t>
  </si>
  <si>
    <t>Delete</t>
  </si>
  <si>
    <t>toast_kot_setup_deleted_sucess</t>
  </si>
  <si>
    <t>KOT device has been deleted successfully</t>
  </si>
  <si>
    <t>alert_kot_setup_delete_msg_si</t>
  </si>
  <si>
    <t xml:space="preserve">Are you sure you want to delete this KOT device?  </t>
  </si>
  <si>
    <t>toast_kot_setup_success_si</t>
  </si>
  <si>
    <t>KOT device saved successfully</t>
  </si>
  <si>
    <t>pro_kot_printer_type</t>
  </si>
  <si>
    <t>Connection Mode</t>
  </si>
  <si>
    <t>inv_kot_target</t>
  </si>
  <si>
    <t>Target</t>
  </si>
  <si>
    <t>toast_cus_display_success_si</t>
  </si>
  <si>
    <t>Customer display saved successfully</t>
  </si>
  <si>
    <t>login_reset_admin_pw</t>
  </si>
  <si>
    <t>Reset password</t>
  </si>
  <si>
    <t>reset_title</t>
  </si>
  <si>
    <t>Reset Password</t>
  </si>
  <si>
    <t>reset_your_email</t>
  </si>
  <si>
    <t>Your Email</t>
  </si>
  <si>
    <t>reset_code</t>
  </si>
  <si>
    <t>reset_enter_code</t>
  </si>
  <si>
    <t>Enter Code</t>
  </si>
  <si>
    <t>toast_reset_invalid_code</t>
  </si>
  <si>
    <t>Invalid verification code</t>
  </si>
  <si>
    <t>toast_reset_code_expire</t>
  </si>
  <si>
    <t>Your verification code has been expired</t>
  </si>
  <si>
    <t>toast_reset_code_no_email</t>
  </si>
  <si>
    <t>Email is required to rest the password</t>
  </si>
  <si>
    <t>btn_send</t>
  </si>
  <si>
    <t>more_details</t>
  </si>
  <si>
    <t>reset_title_send</t>
  </si>
  <si>
    <t>Send Verification Code</t>
  </si>
  <si>
    <t>reset_title_enter</t>
  </si>
  <si>
    <t>Enter Verification Code</t>
  </si>
  <si>
    <t>inv_discount_not_allow</t>
  </si>
  <si>
    <t>This user is not allowed to offer discounts</t>
  </si>
  <si>
    <t>exp_msg_title</t>
  </si>
  <si>
    <t>Expire</t>
  </si>
  <si>
    <t>no_sale</t>
  </si>
  <si>
    <t>Empty Cart</t>
  </si>
  <si>
    <t>item_cart</t>
  </si>
  <si>
    <t>Item Cart</t>
  </si>
  <si>
    <t>printer_ip</t>
  </si>
  <si>
    <t>Printer IP</t>
  </si>
  <si>
    <t>receipt_view</t>
  </si>
  <si>
    <t>Receipt</t>
  </si>
  <si>
    <t>create_restore_point</t>
  </si>
  <si>
    <t>Create a restore point</t>
  </si>
  <si>
    <t>split</t>
  </si>
  <si>
    <t>Split</t>
  </si>
  <si>
    <t>charge</t>
  </si>
  <si>
    <t>CHARGE</t>
  </si>
  <si>
    <t>charge_simple</t>
  </si>
  <si>
    <t>paid</t>
  </si>
  <si>
    <t>Paid</t>
  </si>
  <si>
    <t>prod_sub_cat</t>
  </si>
  <si>
    <t>Filter by sub category</t>
  </si>
  <si>
    <t>print_inv_amount_due_si</t>
  </si>
  <si>
    <t>delete_payment</t>
  </si>
  <si>
    <t>Delete payment</t>
  </si>
  <si>
    <t>delete_payment_body</t>
  </si>
  <si>
    <t>Are you sure you want to delete this payment?</t>
  </si>
  <si>
    <t>icon_date_pick</t>
  </si>
  <si>
    <t>\uf1de</t>
  </si>
  <si>
    <t>icon_arrow_up</t>
  </si>
  <si>
    <t>\uf0d8</t>
  </si>
  <si>
    <t>icon_arrow_down</t>
  </si>
  <si>
    <t>\uf0dd</t>
  </si>
  <si>
    <t>icon_arrow_back</t>
  </si>
  <si>
    <t>\uf060</t>
  </si>
  <si>
    <t>icon_back_new</t>
  </si>
  <si>
    <t>icon_done</t>
  </si>
  <si>
    <t>\uf058</t>
  </si>
  <si>
    <t>done</t>
  </si>
  <si>
    <t>select_price</t>
  </si>
  <si>
    <t>Select Price</t>
  </si>
  <si>
    <t>in_hand_qty</t>
  </si>
  <si>
    <t>In hand QTY</t>
  </si>
  <si>
    <t>unit_price_inhand</t>
  </si>
  <si>
    <t>Unit Price</t>
  </si>
  <si>
    <t>pair_bluetooth</t>
  </si>
  <si>
    <t xml:space="preserve">Your device is not connected to the Bluetooth printer, pair the  device </t>
  </si>
  <si>
    <t>pair_bluetooth_1</t>
  </si>
  <si>
    <t xml:space="preserve">Your device is not connected to the Bluetooth printer,or If it is paired Try with another printer model </t>
  </si>
  <si>
    <t>pair_usb</t>
  </si>
  <si>
    <t>Your device is not connected to the USB printer, Connected the device</t>
  </si>
  <si>
    <t>pair_usb_1</t>
  </si>
  <si>
    <t>Your device is not connected to the USB printer,or If it is connected  Try with another printer model</t>
  </si>
  <si>
    <t>change_product_img</t>
  </si>
  <si>
    <t>Change Image Icon</t>
  </si>
  <si>
    <t>add_product_img</t>
  </si>
  <si>
    <t>Add Image Icon</t>
  </si>
  <si>
    <t>image_change_message</t>
  </si>
  <si>
    <t>Are you sure you want to change the image?</t>
  </si>
  <si>
    <t>image_add_message</t>
  </si>
  <si>
    <t>Are you sure you want to add this image?</t>
  </si>
  <si>
    <t>charges_name</t>
  </si>
  <si>
    <t>value</t>
  </si>
  <si>
    <t>apply</t>
  </si>
  <si>
    <t>select_printer</t>
  </si>
  <si>
    <t>Select Printer Model</t>
  </si>
  <si>
    <t>orientation_si</t>
  </si>
  <si>
    <t>Orientation</t>
  </si>
  <si>
    <t>invaild_email</t>
  </si>
  <si>
    <t>unsynced</t>
  </si>
  <si>
    <t>resend_email</t>
  </si>
  <si>
    <t>Resend Email</t>
  </si>
  <si>
    <t>resend_email_ti</t>
  </si>
  <si>
    <t>Resend Email Receipt</t>
  </si>
  <si>
    <t>creat_products</t>
  </si>
  <si>
    <t>Products</t>
  </si>
  <si>
    <t>start_new_sale</t>
  </si>
  <si>
    <t>Start New Sale</t>
  </si>
  <si>
    <t>receipt_summary</t>
  </si>
  <si>
    <t>Receipt summary</t>
  </si>
  <si>
    <t>barcode_not_added</t>
  </si>
  <si>
    <t>No Product or Initial Stock Available</t>
  </si>
  <si>
    <t>more_si</t>
  </si>
  <si>
    <t>More</t>
  </si>
  <si>
    <t>composite_items_si</t>
  </si>
  <si>
    <t>Composite Products</t>
  </si>
  <si>
    <t>create_addon_si</t>
  </si>
  <si>
    <t>Create Addons</t>
  </si>
  <si>
    <t>enable_option</t>
  </si>
  <si>
    <t>Enable following options</t>
  </si>
  <si>
    <t>select_kot_notes</t>
  </si>
  <si>
    <t>Select KOT notes</t>
  </si>
  <si>
    <t>sold_qty</t>
  </si>
  <si>
    <t>Sold QTY</t>
  </si>
  <si>
    <t>select_item</t>
  </si>
  <si>
    <t>Select Product (s)</t>
  </si>
  <si>
    <t>msg_add_product</t>
  </si>
  <si>
    <t>Add products first</t>
  </si>
  <si>
    <t>registration_si</t>
  </si>
  <si>
    <t>Registration</t>
  </si>
  <si>
    <t>sign_in_si</t>
  </si>
  <si>
    <t>terms_condition</t>
  </si>
  <si>
    <t>I understand and agree to SalesPlay + POS Terms of Use and Privacy Policy.</t>
  </si>
  <si>
    <t>add_composite_item</t>
  </si>
  <si>
    <t>Add item(s) for composite product using web portal</t>
  </si>
  <si>
    <t>add_new_si</t>
  </si>
  <si>
    <t>Add new</t>
  </si>
  <si>
    <t>add_default_list_si</t>
  </si>
  <si>
    <t>Added to default List</t>
  </si>
  <si>
    <t>remove_default_list_si</t>
  </si>
  <si>
    <t>Removed from default List</t>
  </si>
  <si>
    <t>daily_sales_summary_si</t>
  </si>
  <si>
    <t>Daily Sales Summary</t>
  </si>
  <si>
    <t>sales_summary_si</t>
  </si>
  <si>
    <t>Sales summary</t>
  </si>
  <si>
    <t>my_profile_si</t>
  </si>
  <si>
    <t>My Profile</t>
  </si>
  <si>
    <t>help_center_si</t>
  </si>
  <si>
    <t>Help Center</t>
  </si>
  <si>
    <t>chat_on_off_si</t>
  </si>
  <si>
    <t>Chat (On/Off)</t>
  </si>
  <si>
    <t>dra_create_receipts_si</t>
  </si>
  <si>
    <t>New Sale</t>
  </si>
  <si>
    <t>dra_sales_si</t>
  </si>
  <si>
    <t>Manage Sales</t>
  </si>
  <si>
    <t>dra_products_si</t>
  </si>
  <si>
    <t>dra_reports_si</t>
  </si>
  <si>
    <t>Reports</t>
  </si>
  <si>
    <t>dra_settings_si</t>
  </si>
  <si>
    <t>Settings</t>
  </si>
  <si>
    <t>dra_backup_and_restore_si</t>
  </si>
  <si>
    <t>Backup and Restore</t>
  </si>
  <si>
    <t>dra_back_office_si</t>
  </si>
  <si>
    <t>dra_payment_gateway_si</t>
  </si>
  <si>
    <t>Payment Gateway</t>
  </si>
  <si>
    <t>dra_software_activation_si</t>
  </si>
  <si>
    <t>Software Activation</t>
  </si>
  <si>
    <t>dra_purchase_sw_si</t>
  </si>
  <si>
    <t>Purchase Software</t>
  </si>
  <si>
    <t>dra_check_update_si</t>
  </si>
  <si>
    <t>Check for Update</t>
  </si>
  <si>
    <t>dra_privacy_policy_si</t>
  </si>
  <si>
    <t>printing_toast_si</t>
  </si>
  <si>
    <t>Printing,Please wait...</t>
  </si>
  <si>
    <t>please_wait_si</t>
  </si>
  <si>
    <t>Please wait...</t>
  </si>
  <si>
    <t>hide_details_si</t>
  </si>
  <si>
    <t>Hide Details</t>
  </si>
  <si>
    <t>view_si</t>
  </si>
  <si>
    <t>VIEW</t>
  </si>
  <si>
    <t>menu_si</t>
  </si>
  <si>
    <t>Menu</t>
  </si>
  <si>
    <t>status_si</t>
  </si>
  <si>
    <t>employee_name</t>
  </si>
  <si>
    <t xml:space="preserve">Employee : </t>
  </si>
  <si>
    <t>no_internet</t>
  </si>
  <si>
    <t xml:space="preserve">You don\'t have internet connection </t>
  </si>
  <si>
    <t>registration_sucess</t>
  </si>
  <si>
    <t xml:space="preserve">Registration successful! </t>
  </si>
  <si>
    <t>registration_u_sucess</t>
  </si>
  <si>
    <t xml:space="preserve">Registration unsuccessful! </t>
  </si>
  <si>
    <t>cus_name</t>
  </si>
  <si>
    <t xml:space="preserve">Customer : </t>
  </si>
  <si>
    <t>duplicate_receipt_si</t>
  </si>
  <si>
    <t>Duplicate Receipt</t>
  </si>
  <si>
    <t>install_whatapp</t>
  </si>
  <si>
    <t>Please Install WhatsApp</t>
  </si>
  <si>
    <t>install_viber</t>
  </si>
  <si>
    <t>Please Install viber</t>
  </si>
  <si>
    <t>install_twitter</t>
  </si>
  <si>
    <t>Please Install twitter</t>
  </si>
  <si>
    <t>dine_in</t>
  </si>
  <si>
    <t xml:space="preserve">DINE IN </t>
  </si>
  <si>
    <t>takeaway</t>
  </si>
  <si>
    <t xml:space="preserve">TAKEAWAY </t>
  </si>
  <si>
    <t>delivery</t>
  </si>
  <si>
    <t xml:space="preserve">DELIVERY </t>
  </si>
  <si>
    <t>image_hint</t>
  </si>
  <si>
    <t>(Ideal size : width = 399 pixels, height = 200 pixels)</t>
  </si>
  <si>
    <t>select_usb_device</t>
  </si>
  <si>
    <t>Select USB Device</t>
  </si>
  <si>
    <t>tax_invoice</t>
  </si>
  <si>
    <t>TAX INVOICE</t>
  </si>
  <si>
    <t>tax_reg_no</t>
  </si>
  <si>
    <t>VAT RegNo. :</t>
  </si>
  <si>
    <t>add_queue_body</t>
  </si>
  <si>
    <t xml:space="preserve">If you want to setup a display, login to back office web portal and create it. Go to More -- Setup -- Manage queue. Anyway the queue number is printed on the bill. </t>
  </si>
  <si>
    <t>lang_change_confrim</t>
  </si>
  <si>
    <t>Language Changes will apply after restart the App.Do you want to proceed ?</t>
  </si>
  <si>
    <t>lan_change</t>
  </si>
  <si>
    <t>Language Change</t>
  </si>
  <si>
    <t>display_dialog_body</t>
  </si>
  <si>
    <t xml:space="preserve">Please use web portal to create KOT Display </t>
  </si>
  <si>
    <t>display_kot_titel</t>
  </si>
  <si>
    <t xml:space="preserve">KOT Display </t>
  </si>
  <si>
    <t>transfer_qty</t>
  </si>
  <si>
    <t>Transfer Qty</t>
  </si>
  <si>
    <t>final_grand_total</t>
  </si>
  <si>
    <t>FINAL GRAND TOTAL</t>
  </si>
  <si>
    <t>select_customer_cr_invoice</t>
  </si>
  <si>
    <t>Select customer for credit invoice</t>
  </si>
  <si>
    <t>advance_payment_credit_not_allowed</t>
  </si>
  <si>
    <t>Credit payment does not allowed for advance payment</t>
  </si>
  <si>
    <t>print_inv_cr_no_si</t>
  </si>
  <si>
    <t>CR #</t>
  </si>
  <si>
    <t>print_inv_total_cr_si</t>
  </si>
  <si>
    <t>REFUND AMOUNT</t>
  </si>
  <si>
    <t>popup_view_create_order_si</t>
  </si>
  <si>
    <t>Create customer orders</t>
  </si>
  <si>
    <t>invoice_order_body_si</t>
  </si>
  <si>
    <t>Do you want to create this order?</t>
  </si>
  <si>
    <t>sales_play_app</t>
  </si>
  <si>
    <t>Apps</t>
  </si>
  <si>
    <t>cancel_hold_si</t>
  </si>
  <si>
    <t>Cancel Hold Receipt</t>
  </si>
  <si>
    <t>cash_drawer_tran_title</t>
  </si>
  <si>
    <t>purchase_key_dec</t>
  </si>
  <si>
    <t>If you do not have a key,</t>
  </si>
  <si>
    <t>notification_channel_id</t>
  </si>
  <si>
    <t xml:space="preserve"> translatable=</t>
  </si>
  <si>
    <t>click_again_exit</t>
  </si>
  <si>
    <t>Click again to exit</t>
  </si>
  <si>
    <t>no_permission</t>
  </si>
  <si>
    <t>You have not permission to perform this actions.</t>
  </si>
  <si>
    <t>use_back_office</t>
  </si>
  <si>
    <t>Use backoffice web portal to perform this action.</t>
  </si>
  <si>
    <t>price_overright</t>
  </si>
  <si>
    <t>to_go</t>
  </si>
  <si>
    <t>To Go</t>
  </si>
  <si>
    <t>edit_modi</t>
  </si>
  <si>
    <t>Edit Modifier</t>
  </si>
  <si>
    <t>add_modi</t>
  </si>
  <si>
    <t>Add Modifier</t>
  </si>
  <si>
    <t>remark</t>
  </si>
  <si>
    <t>Remark</t>
  </si>
  <si>
    <t>delete_item</t>
  </si>
  <si>
    <t>Delete Item</t>
  </si>
  <si>
    <t>search_view_hint</t>
  </si>
  <si>
    <t>fa_search</t>
  </si>
  <si>
    <t>\uf002</t>
  </si>
  <si>
    <t>search_hint</t>
  </si>
  <si>
    <t>Search All Items</t>
  </si>
  <si>
    <t>search_hint_table</t>
  </si>
  <si>
    <t>Search All Tables</t>
  </si>
  <si>
    <t>cap_save</t>
  </si>
  <si>
    <t>credit_note</t>
  </si>
  <si>
    <t>search_credit_note</t>
  </si>
  <si>
    <t>Search credit note</t>
  </si>
  <si>
    <t>pending_receipts</t>
  </si>
  <si>
    <t>Open receipts</t>
  </si>
  <si>
    <t>state_province_region</t>
  </si>
  <si>
    <t>State/Province/Region</t>
  </si>
  <si>
    <t>stock_tranfer_msg</t>
  </si>
  <si>
    <t>Stock Transfer successfully completed</t>
  </si>
  <si>
    <t>inv_added_to_list_si</t>
  </si>
  <si>
    <t xml:space="preserve">Stock Added to List </t>
  </si>
  <si>
    <t>past_invoices</t>
  </si>
  <si>
    <t>Past receipts</t>
  </si>
  <si>
    <t>function_txt</t>
  </si>
  <si>
    <t>Functions</t>
  </si>
  <si>
    <t>discout_mes</t>
  </si>
  <si>
    <t>Discount value can\'t exceed item price</t>
  </si>
  <si>
    <t>order_types</t>
  </si>
  <si>
    <t>Order types</t>
  </si>
  <si>
    <t>continue_si</t>
  </si>
  <si>
    <t>Continue</t>
  </si>
  <si>
    <t>clear_si</t>
  </si>
  <si>
    <t>Submit_si</t>
  </si>
  <si>
    <t>proceed</t>
  </si>
  <si>
    <t>Proceed</t>
  </si>
  <si>
    <t>resore_warning_msg</t>
  </si>
  <si>
    <t>Please Note . Use this function carefully as some of your data may lose !</t>
  </si>
  <si>
    <t>this_field_req</t>
  </si>
  <si>
    <t>This field is required</t>
  </si>
  <si>
    <t>this_field_cannot_blank</t>
  </si>
  <si>
    <t>This field cannot be blank</t>
  </si>
  <si>
    <t>this_field_should_be_greater_zero</t>
  </si>
  <si>
    <t>This field should be greater than zero.</t>
  </si>
  <si>
    <t>email_invalid</t>
  </si>
  <si>
    <t>Enter a valid email</t>
  </si>
  <si>
    <t>combo_items_es</t>
  </si>
  <si>
    <t>Combo Items</t>
  </si>
  <si>
    <t>inv_line_total</t>
  </si>
  <si>
    <t>Line Total</t>
  </si>
  <si>
    <t>pending_orders_title</t>
  </si>
  <si>
    <t>View pending orders</t>
  </si>
  <si>
    <t>phone_number_already_exist</t>
  </si>
  <si>
    <t>Phone number already exist</t>
  </si>
  <si>
    <t>email_already_exist</t>
  </si>
  <si>
    <t>Email already exist</t>
  </si>
  <si>
    <t>internet_required</t>
  </si>
  <si>
    <t>no_credit_note_found</t>
  </si>
  <si>
    <t>No credit note found</t>
  </si>
  <si>
    <t>no_cash_found</t>
  </si>
  <si>
    <t>No cash refund found</t>
  </si>
  <si>
    <t>no_receipt_found</t>
  </si>
  <si>
    <t>No receipt found</t>
  </si>
  <si>
    <t>tag_written_success</t>
  </si>
  <si>
    <t>NFC card has been registered</t>
  </si>
  <si>
    <t>tag_written_failed</t>
  </si>
  <si>
    <t>NFC card registration failed</t>
  </si>
  <si>
    <t>tag_size_exceed</t>
  </si>
  <si>
    <t>ID number is too long</t>
  </si>
  <si>
    <t>please_tap_nfc_tag</t>
  </si>
  <si>
    <t xml:space="preserve">Please tap the NFC card </t>
  </si>
  <si>
    <t>add_to_order</t>
  </si>
  <si>
    <t>ADD TO ORDER</t>
  </si>
  <si>
    <t>inv_pre_bill_msg_delete</t>
  </si>
  <si>
    <t>Do you want to delete this pre bill?</t>
  </si>
  <si>
    <t>inv_pre_bill_delete_title</t>
  </si>
  <si>
    <t>Delete Pre Bill</t>
  </si>
  <si>
    <t>print_due_date_si</t>
  </si>
  <si>
    <t>Due date</t>
  </si>
  <si>
    <t>on_this_hour</t>
  </si>
  <si>
    <t>On this hour</t>
  </si>
  <si>
    <t>toast_costomer_not_found_si</t>
  </si>
  <si>
    <t>Customer is not found</t>
  </si>
  <si>
    <t>popup_view_update_order_si</t>
  </si>
  <si>
    <t>Update Manual Orders</t>
  </si>
  <si>
    <t>extra_device_add</t>
  </si>
  <si>
    <t>Extra Device</t>
  </si>
  <si>
    <t>select_weight_scale</t>
  </si>
  <si>
    <t>Weight Scale</t>
  </si>
  <si>
    <t>select_device</t>
  </si>
  <si>
    <t>Select Device</t>
  </si>
  <si>
    <t>data_save_successfully</t>
  </si>
  <si>
    <t>Data saved successfully</t>
  </si>
  <si>
    <t>data_save_error</t>
  </si>
  <si>
    <t>Data saved error</t>
  </si>
  <si>
    <t>customer_wise</t>
  </si>
  <si>
    <t>Customer Wise</t>
  </si>
  <si>
    <t>employee_wise</t>
  </si>
  <si>
    <t>Employee Wise</t>
  </si>
  <si>
    <t>extra_bluetooth</t>
  </si>
  <si>
    <t>Bluetooth</t>
  </si>
  <si>
    <t>extra_na</t>
  </si>
  <si>
    <t>N/A</t>
  </si>
  <si>
    <t>msg_title_extra_device_enable</t>
  </si>
  <si>
    <t>Enable Device</t>
  </si>
  <si>
    <t>msg_extra_device_disable</t>
  </si>
  <si>
    <t>Are you sure you want to disable the device?</t>
  </si>
  <si>
    <t>msg_extra_device_enable</t>
  </si>
  <si>
    <t>Are you sure you want to enable the device?</t>
  </si>
  <si>
    <t>msg_title_delete_extra_device</t>
  </si>
  <si>
    <t>Delete Device</t>
  </si>
  <si>
    <t>msg_body_delete_extra_device</t>
  </si>
  <si>
    <t>Are you sure you want to delete the device?</t>
  </si>
  <si>
    <t>fa_kot</t>
  </si>
  <si>
    <t>\uf0f4</t>
  </si>
  <si>
    <t>fa_advance</t>
  </si>
  <si>
    <t>\uf022</t>
  </si>
  <si>
    <t>fa_hold</t>
  </si>
  <si>
    <t>\uf08d</t>
  </si>
  <si>
    <t>fa_cus_order</t>
  </si>
  <si>
    <t>\uf15c</t>
  </si>
  <si>
    <t>receipt_invoice_si</t>
  </si>
  <si>
    <t xml:space="preserve"> Receipts</t>
  </si>
  <si>
    <t>orders_b</t>
  </si>
  <si>
    <t>ORDERS</t>
  </si>
  <si>
    <t>kot_b</t>
  </si>
  <si>
    <t>hold_b</t>
  </si>
  <si>
    <t>HOLD</t>
  </si>
  <si>
    <t>pre_bill_b</t>
  </si>
  <si>
    <t>PRE BILL</t>
  </si>
  <si>
    <t>advance_b</t>
  </si>
  <si>
    <t>ADVANCE</t>
  </si>
  <si>
    <t>reservation</t>
  </si>
  <si>
    <t>RESERVATION</t>
  </si>
  <si>
    <t>appointment_b</t>
  </si>
  <si>
    <t>APPOINTMENTS</t>
  </si>
  <si>
    <t>book_appoinment</t>
  </si>
  <si>
    <t>Book Appointment</t>
  </si>
  <si>
    <t>view_appoinment</t>
  </si>
  <si>
    <t>View Appointments</t>
  </si>
  <si>
    <t>update_appoinment</t>
  </si>
  <si>
    <t>Update Appointment</t>
  </si>
  <si>
    <t>order_count</t>
  </si>
  <si>
    <t>Order Count</t>
  </si>
  <si>
    <t>appointment_count</t>
  </si>
  <si>
    <t>Appointment Count</t>
  </si>
  <si>
    <t>on_this_day</t>
  </si>
  <si>
    <t>On this day</t>
  </si>
  <si>
    <t>customer_appointment</t>
  </si>
  <si>
    <t>Customer Appointment</t>
  </si>
  <si>
    <t>advance_receipts</t>
  </si>
  <si>
    <t>Advance Receipts</t>
  </si>
  <si>
    <t>hold_receipts</t>
  </si>
  <si>
    <t>Hold Receipts</t>
  </si>
  <si>
    <t>kot_receipts</t>
  </si>
  <si>
    <t>Kot Receipts</t>
  </si>
  <si>
    <t>appointment_no</t>
  </si>
  <si>
    <t>Appointment #:</t>
  </si>
  <si>
    <t>order_no</t>
  </si>
  <si>
    <t>Order #:</t>
  </si>
  <si>
    <t>appointment_number</t>
  </si>
  <si>
    <t>Appointment No</t>
  </si>
  <si>
    <t>no_appointment</t>
  </si>
  <si>
    <t>No Appointments</t>
  </si>
  <si>
    <t>no_orders</t>
  </si>
  <si>
    <t>No pending orders found!</t>
  </si>
  <si>
    <t>cus_dis_dialog_body</t>
  </si>
  <si>
    <t xml:space="preserve">Please use web portal to create customer display </t>
  </si>
  <si>
    <t>assigned_employee</t>
  </si>
  <si>
    <t xml:space="preserve">Assigned Employee : </t>
  </si>
  <si>
    <t>select_strat_time</t>
  </si>
  <si>
    <t>Select Start Time</t>
  </si>
  <si>
    <t>select_end_time</t>
  </si>
  <si>
    <t>Select Duration (DD:HH)</t>
  </si>
  <si>
    <t>book_appoiment_confirm_msg</t>
  </si>
  <si>
    <t>Do you want to create this appointment?</t>
  </si>
  <si>
    <t>create_reservation_confirm_msg</t>
  </si>
  <si>
    <t>Are you sure want to create this reservation ?</t>
  </si>
  <si>
    <t>add_to_apoinment</t>
  </si>
  <si>
    <t>ADD</t>
  </si>
  <si>
    <t>due_amount</t>
  </si>
  <si>
    <t>Due amount</t>
  </si>
  <si>
    <t>ti_opening_balance</t>
  </si>
  <si>
    <t>Opening Balance</t>
  </si>
  <si>
    <t>ti_opening_balance_new</t>
  </si>
  <si>
    <t>Open Shift</t>
  </si>
  <si>
    <t>body_opening_balance</t>
  </si>
  <si>
    <t>Please enter opening balance here</t>
  </si>
  <si>
    <t>body_opening_balance_new</t>
  </si>
  <si>
    <t>Enter shift opening amount</t>
  </si>
  <si>
    <t>body_opening_balance_new_hint</t>
  </si>
  <si>
    <t>body_opening_balance_new_open_shift</t>
  </si>
  <si>
    <t>OPEN SHIFT</t>
  </si>
  <si>
    <t>title_addon_qty</t>
  </si>
  <si>
    <t>Modifier</t>
  </si>
  <si>
    <t>addon_qty_body</t>
  </si>
  <si>
    <t>Enter modifier quantity</t>
  </si>
  <si>
    <t>tax_and_charges</t>
  </si>
  <si>
    <t>Tax and charges</t>
  </si>
  <si>
    <t>empty_field</t>
  </si>
  <si>
    <t>Empty field</t>
  </si>
  <si>
    <t>add_pickup_person</t>
  </si>
  <si>
    <t>Add pickup person</t>
  </si>
  <si>
    <t>nic_number</t>
  </si>
  <si>
    <t>NIC number</t>
  </si>
  <si>
    <t>add_pickup_details</t>
  </si>
  <si>
    <t>Add pickup details</t>
  </si>
  <si>
    <t>advance_payments</t>
  </si>
  <si>
    <t>Advance payments</t>
  </si>
  <si>
    <t>advance</t>
  </si>
  <si>
    <t>Advance</t>
  </si>
  <si>
    <t>outstanding_creditors_re_si</t>
  </si>
  <si>
    <t>cr_outstanding_amout_si</t>
  </si>
  <si>
    <t xml:space="preserve">Outstanding : </t>
  </si>
  <si>
    <t>receipt_note</t>
  </si>
  <si>
    <t xml:space="preserve">Receipt Note </t>
  </si>
  <si>
    <t>toast_inv_note_body_si</t>
  </si>
  <si>
    <t>Please enter receipt note</t>
  </si>
  <si>
    <t>toast_inv_note_si</t>
  </si>
  <si>
    <t>Receipt Note</t>
  </si>
  <si>
    <t>skip_si</t>
  </si>
  <si>
    <t>Skip</t>
  </si>
  <si>
    <t>ready_order</t>
  </si>
  <si>
    <t>Order</t>
  </si>
  <si>
    <t>ready_order_body</t>
  </si>
  <si>
    <t>Do you want to ready this order?</t>
  </si>
  <si>
    <t>payment_complet_titile</t>
  </si>
  <si>
    <t>Payment completed</t>
  </si>
  <si>
    <t>payment_complet_body</t>
  </si>
  <si>
    <t>Please press \'Done\' to finish the receipt</t>
  </si>
  <si>
    <t>bill_complete_body</t>
  </si>
  <si>
    <t>Do you want to complete this order?</t>
  </si>
  <si>
    <t>contact_service_provider</t>
  </si>
  <si>
    <t>Please contact</t>
  </si>
  <si>
    <t>have_key_si</t>
  </si>
  <si>
    <t>Already have a license key</t>
  </si>
  <si>
    <t>all_table</t>
  </si>
  <si>
    <t>All</t>
  </si>
  <si>
    <t>select_table</t>
  </si>
  <si>
    <t>Reserved</t>
  </si>
  <si>
    <t>available_cash_amount</t>
  </si>
  <si>
    <t xml:space="preserve"> Available cash amount :</t>
  </si>
  <si>
    <t>select_date</t>
  </si>
  <si>
    <t xml:space="preserve"> Select Date</t>
  </si>
  <si>
    <t>daily_sales</t>
  </si>
  <si>
    <t xml:space="preserve"> Daily Sales</t>
  </si>
  <si>
    <t>confirm_order_body</t>
  </si>
  <si>
    <t>Do you want to confirm this order?</t>
  </si>
  <si>
    <t>kot_edit_disable_body</t>
  </si>
  <si>
    <t>You cannot edit this kot item. Do you want to delete it?</t>
  </si>
  <si>
    <t>hold_edit_disable_body</t>
  </si>
  <si>
    <t>You cannot edit this hold item. Do you want to delete it?</t>
  </si>
  <si>
    <t>hold_edit_disable_body_new</t>
  </si>
  <si>
    <t>You can\'t edit this product,</t>
  </si>
  <si>
    <t>hold_edit_disable_body_new_sub</t>
  </si>
  <si>
    <t>Are you sure want to delete this product from receipt?</t>
  </si>
  <si>
    <t>manage_local_data</t>
  </si>
  <si>
    <t>Manage Local data</t>
  </si>
  <si>
    <t>your_store_is_empty</t>
  </si>
  <si>
    <t>Your shop is empty</t>
  </si>
  <si>
    <t>open_bill</t>
  </si>
  <si>
    <t>Open Bills</t>
  </si>
  <si>
    <t>scan_your_product_barcode</t>
  </si>
  <si>
    <t>Scan your product barcode</t>
  </si>
  <si>
    <t>tables_si</t>
  </si>
  <si>
    <t>Reserve</t>
  </si>
  <si>
    <t>select_items</t>
  </si>
  <si>
    <t>Select Items</t>
  </si>
  <si>
    <t>view_past_cash_refunds</t>
  </si>
  <si>
    <t>Past Cash Refunds / Credit Note</t>
  </si>
  <si>
    <t>past_resipts</t>
  </si>
  <si>
    <t>search_past_resipts</t>
  </si>
  <si>
    <t>Search past receipts</t>
  </si>
  <si>
    <t>exceed_limit</t>
  </si>
  <si>
    <t>Exceed limit</t>
  </si>
  <si>
    <t>ecommerce_order</t>
  </si>
  <si>
    <t>E-commerce Orders</t>
  </si>
  <si>
    <t>tablet_order</t>
  </si>
  <si>
    <t>Tablet Orders</t>
  </si>
  <si>
    <t>select_schedule_date</t>
  </si>
  <si>
    <t>Select schedule date</t>
  </si>
  <si>
    <t>pending_queue</t>
  </si>
  <si>
    <t>Pending Queue</t>
  </si>
  <si>
    <t>pending_customer_orders</t>
  </si>
  <si>
    <t>Pending Customer Orders</t>
  </si>
  <si>
    <t>pending_tablet_orders</t>
  </si>
  <si>
    <t>Pending Tablet Orders</t>
  </si>
  <si>
    <t>pending_ecommerce_orders</t>
  </si>
  <si>
    <t>Pending E-commerce Orders</t>
  </si>
  <si>
    <t>no_open_receipts</t>
  </si>
  <si>
    <t>No open receipts found !</t>
  </si>
  <si>
    <t>add_new_terminal</t>
  </si>
  <si>
    <t>Add New Terminal</t>
  </si>
  <si>
    <t>replace_terminal</t>
  </si>
  <si>
    <t>Replace Terminal</t>
  </si>
  <si>
    <t>starting_cash</t>
  </si>
  <si>
    <t>Starting cash</t>
  </si>
  <si>
    <t>paid_in</t>
  </si>
  <si>
    <t>Paid in</t>
  </si>
  <si>
    <t>paid_out</t>
  </si>
  <si>
    <t>Paid out</t>
  </si>
  <si>
    <t>expected_cash_amount_in_drawer</t>
  </si>
  <si>
    <t>Expected cash amount</t>
  </si>
  <si>
    <t>taxes</t>
  </si>
  <si>
    <t>Taxes</t>
  </si>
  <si>
    <t>charges</t>
  </si>
  <si>
    <t>cash_management</t>
  </si>
  <si>
    <t>Cash management</t>
  </si>
  <si>
    <t>gross_sales</t>
  </si>
  <si>
    <t>Gross sales</t>
  </si>
  <si>
    <t>net_sales</t>
  </si>
  <si>
    <t>Net sales</t>
  </si>
  <si>
    <t>pay_out</t>
  </si>
  <si>
    <t>Pay out</t>
  </si>
  <si>
    <t>pay_in</t>
  </si>
  <si>
    <t>Pay in</t>
  </si>
  <si>
    <t>actual_cash_amount</t>
  </si>
  <si>
    <t>Actual cash amount</t>
  </si>
  <si>
    <t>difference</t>
  </si>
  <si>
    <t>Difference</t>
  </si>
  <si>
    <t>print_report</t>
  </si>
  <si>
    <t>Print report</t>
  </si>
  <si>
    <t>enter_the_next_day_starting_cash_amount</t>
  </si>
  <si>
    <t>Enter the next day starting cash amount</t>
  </si>
  <si>
    <t>expected_cash_amount</t>
  </si>
  <si>
    <t>cash_drawer</t>
  </si>
  <si>
    <t>Cash drawer</t>
  </si>
  <si>
    <t>refunds</t>
  </si>
  <si>
    <t>Refunds</t>
  </si>
  <si>
    <t>refund</t>
  </si>
  <si>
    <t>Refund</t>
  </si>
  <si>
    <t>discounts</t>
  </si>
  <si>
    <t>Discounts</t>
  </si>
  <si>
    <t>shift_is_closed</t>
  </si>
  <si>
    <t>Shift is closed</t>
  </si>
  <si>
    <t>shift_is_closed_body</t>
  </si>
  <si>
    <t>Open shift to continue</t>
  </si>
  <si>
    <t>shift_is_closed_body_start</t>
  </si>
  <si>
    <t>Start shift to continue</t>
  </si>
  <si>
    <t>explore_more_features_in_backoffice</t>
  </si>
  <si>
    <t>Explore more features in backoffice</t>
  </si>
  <si>
    <t>starting_cash_amount</t>
  </si>
  <si>
    <t>Starting cash amount</t>
  </si>
  <si>
    <t>pay_in_pay_out</t>
  </si>
  <si>
    <t>Pay in/Pay out</t>
  </si>
  <si>
    <t>update_terminal</t>
  </si>
  <si>
    <t xml:space="preserve"> Please update your terminal into latest version</t>
  </si>
  <si>
    <t>payment_type_wise_sale</t>
  </si>
  <si>
    <t>Payment type wise sale</t>
  </si>
  <si>
    <t>total_tendered</t>
  </si>
  <si>
    <t>Total tendered</t>
  </si>
  <si>
    <t>advance_payment</t>
  </si>
  <si>
    <t>app_key_change_msg</t>
  </si>
  <si>
    <t>Terminal data has been moved to the new device. Check your new device to see how it is.</t>
  </si>
  <si>
    <t>cash_credit_settlement</t>
  </si>
  <si>
    <t>Cash credit settlements</t>
  </si>
  <si>
    <t>shift_status_report</t>
  </si>
  <si>
    <t>Shift Status Report</t>
  </si>
  <si>
    <t>shift_opened_by</t>
  </si>
  <si>
    <t xml:space="preserve">Shift opened by: </t>
  </si>
  <si>
    <t>shift_closed_by</t>
  </si>
  <si>
    <t xml:space="preserve">Shift closed by: </t>
  </si>
  <si>
    <t>getting_ready</t>
  </si>
  <si>
    <t>Getting SalesPlay POS ready</t>
  </si>
  <si>
    <t>dont_turn_off</t>
  </si>
  <si>
    <t>Don\'t turn off your device</t>
  </si>
  <si>
    <t>complete</t>
  </si>
  <si>
    <t>settlement_history</t>
  </si>
  <si>
    <t>Settlement history</t>
  </si>
  <si>
    <t>reuse_terminal</t>
  </si>
  <si>
    <t>Reuse Terminal</t>
  </si>
  <si>
    <t>customer_credit_settlement_history</t>
  </si>
  <si>
    <t>Customer Credit Settlement History</t>
  </si>
  <si>
    <t>receipts_number</t>
  </si>
  <si>
    <t>Receipt Id</t>
  </si>
  <si>
    <t>printed_by</t>
  </si>
  <si>
    <t>Printed By</t>
  </si>
  <si>
    <t>terminal_informations</t>
  </si>
  <si>
    <t>Terminal Information</t>
  </si>
  <si>
    <t>create_new</t>
  </si>
  <si>
    <t>Create New</t>
  </si>
  <si>
    <t>reserve</t>
  </si>
  <si>
    <t>assign_table_room</t>
  </si>
  <si>
    <t>Table / Room</t>
  </si>
  <si>
    <t>replace_ins</t>
  </si>
  <si>
    <t>Use this option to replace your existing POS data into this terminal.</t>
  </si>
  <si>
    <t>add_ins</t>
  </si>
  <si>
    <t>Use this option to add new POS terminal into your shop.</t>
  </si>
  <si>
    <t>order_complete_body</t>
  </si>
  <si>
    <t>There is an ongoing order with %s. Do you want to complete it?</t>
  </si>
  <si>
    <t>order_update_body</t>
  </si>
  <si>
    <t>There is an ongoing order with %s. Do you want to update it?</t>
  </si>
  <si>
    <t>thank_you_for_register</t>
  </si>
  <si>
    <t>Thank you for registering!</t>
  </si>
  <si>
    <t>email_confirm_body</t>
  </si>
  <si>
    <t xml:space="preserve">The confirmation email has been sent to </t>
  </si>
  <si>
    <t>email_confirm_sub_body</t>
  </si>
  <si>
    <t>If you don\'t see the email, check in \</t>
  </si>
  <si>
    <t>pwd_validate</t>
  </si>
  <si>
    <t>Password can’t start or end with a blank space</t>
  </si>
  <si>
    <t>expire_date</t>
  </si>
  <si>
    <t>Expiry Date</t>
  </si>
  <si>
    <t>replace_confirm_title</t>
  </si>
  <si>
    <t>This POS terminal has been already connected with a device</t>
  </si>
  <si>
    <t>replace_confirm_msg</t>
  </si>
  <si>
    <t>Are you sure want to log in to this terminal?</t>
  </si>
  <si>
    <t>replace_confirm_des</t>
  </si>
  <si>
    <t>This action will be blocked access to your \nold device</t>
  </si>
  <si>
    <t>btn_login</t>
  </si>
  <si>
    <t>LOGIN</t>
  </si>
  <si>
    <t>cost</t>
  </si>
  <si>
    <t>date</t>
  </si>
  <si>
    <t>supplier</t>
  </si>
  <si>
    <t>Supplier</t>
  </si>
  <si>
    <t>select_supplier</t>
  </si>
  <si>
    <t>Select supplier</t>
  </si>
  <si>
    <t>create_order</t>
  </si>
  <si>
    <t>Create Order</t>
  </si>
  <si>
    <t>create_reservation</t>
  </si>
  <si>
    <t>save_receipt</t>
  </si>
  <si>
    <t>Save Receipt</t>
  </si>
  <si>
    <t>save_receipt_dialog_title</t>
  </si>
  <si>
    <t>save_receipt_dialog_msg</t>
  </si>
  <si>
    <t>Do you want to save this receipt?</t>
  </si>
  <si>
    <t>save_receipt_dialog_msg_new</t>
  </si>
  <si>
    <t>Are you sure want to save this receipt?</t>
  </si>
  <si>
    <t>end_time</t>
  </si>
  <si>
    <t>End Time</t>
  </si>
  <si>
    <t>reservation_title</t>
  </si>
  <si>
    <t>Reservation</t>
  </si>
  <si>
    <t>check_in</t>
  </si>
  <si>
    <t>Check In</t>
  </si>
  <si>
    <t>check_out</t>
  </si>
  <si>
    <t>Check Out</t>
  </si>
  <si>
    <t>whole_day</t>
  </si>
  <si>
    <t>All-day</t>
  </si>
  <si>
    <t>not_define</t>
  </si>
  <si>
    <t>Not define</t>
  </si>
  <si>
    <t>select_checkout_date</t>
  </si>
  <si>
    <t xml:space="preserve">Select date </t>
  </si>
  <si>
    <t>select_checkout_time</t>
  </si>
  <si>
    <t xml:space="preserve">time </t>
  </si>
  <si>
    <t>settlement_print_body</t>
  </si>
  <si>
    <t>Do you want to print a receipt for this settlement?</t>
  </si>
  <si>
    <t>view_list</t>
  </si>
  <si>
    <t>VIEW LIST</t>
  </si>
  <si>
    <t>add_to_list</t>
  </si>
  <si>
    <t>ADD TO LIST</t>
  </si>
  <si>
    <t>update_to_list</t>
  </si>
  <si>
    <t>UPDATE LIST</t>
  </si>
  <si>
    <t>quantity</t>
  </si>
  <si>
    <t>adjust_quantity</t>
  </si>
  <si>
    <t>Quantity to adjust</t>
  </si>
  <si>
    <t>amount</t>
  </si>
  <si>
    <t>created_by</t>
  </si>
  <si>
    <t>Created By</t>
  </si>
  <si>
    <t>view_sa</t>
  </si>
  <si>
    <t>SA View</t>
  </si>
  <si>
    <t>current_stock</t>
  </si>
  <si>
    <t>Current Stock</t>
  </si>
  <si>
    <t>new_stock</t>
  </si>
  <si>
    <t>New Stock</t>
  </si>
  <si>
    <t>to_shop</t>
  </si>
  <si>
    <t>To shop</t>
  </si>
  <si>
    <t>from_shop_name</t>
  </si>
  <si>
    <t>From Shop</t>
  </si>
  <si>
    <t>to_shop_name</t>
  </si>
  <si>
    <t>type</t>
  </si>
  <si>
    <t>stock_transfer</t>
  </si>
  <si>
    <t>Transfer of goods</t>
  </si>
  <si>
    <t>schedule_date</t>
  </si>
  <si>
    <t>Schedule Date</t>
  </si>
  <si>
    <t>btn_save</t>
  </si>
  <si>
    <t>cost_filed_empty</t>
  </si>
  <si>
    <t>Cost is not defined</t>
  </si>
  <si>
    <t>quantity_filed_empty</t>
  </si>
  <si>
    <t>Quantity is not defined</t>
  </si>
  <si>
    <t>product_not_selected</t>
  </si>
  <si>
    <t>Product is not selected</t>
  </si>
  <si>
    <t>location_not_selected</t>
  </si>
  <si>
    <t>Location is not selected</t>
  </si>
  <si>
    <t>supplier_is_not_selected</t>
  </si>
  <si>
    <t>Supplier is not selected</t>
  </si>
  <si>
    <t>date_field_empty</t>
  </si>
  <si>
    <t>Date is not selected</t>
  </si>
  <si>
    <t>exp_date_not_selected</t>
  </si>
  <si>
    <t>Expiry Date is not selected</t>
  </si>
  <si>
    <t>payment_type_not_selected</t>
  </si>
  <si>
    <t>Payment Type is not selected</t>
  </si>
  <si>
    <t>terminal_not_selecting</t>
  </si>
  <si>
    <t>Please select a terminal</t>
  </si>
  <si>
    <t>shop_not_selected</t>
  </si>
  <si>
    <t>Please select a shop</t>
  </si>
  <si>
    <t>enable_your_shop_to_add_new_terminal</t>
  </si>
  <si>
    <t>Please enable your shop to add new terminal</t>
  </si>
  <si>
    <t>you_have_not_added_any_product</t>
  </si>
  <si>
    <t>You have not added any product(s) yet.</t>
  </si>
  <si>
    <t>select_product_hint</t>
  </si>
  <si>
    <t>Select product</t>
  </si>
  <si>
    <t>filter_by_category</t>
  </si>
  <si>
    <t>Filter by category</t>
  </si>
  <si>
    <t>in_unsaved_changes_title</t>
  </si>
  <si>
    <t>Unsaved Changes</t>
  </si>
  <si>
    <t>clear_form</t>
  </si>
  <si>
    <t>Clear Form</t>
  </si>
  <si>
    <t>clear_form_body</t>
  </si>
  <si>
    <t>Are you sure you want to clear the form?</t>
  </si>
  <si>
    <t>in_unsaved_changes_body</t>
  </si>
  <si>
    <t>Are you sure you want to leave the form ?</t>
  </si>
  <si>
    <t>in_unsaved_changes_body_new</t>
  </si>
  <si>
    <t>Are you sure you want to continue without saving changes ?</t>
  </si>
  <si>
    <t>category</t>
  </si>
  <si>
    <t>total_qty</t>
  </si>
  <si>
    <t>Total Qty</t>
  </si>
  <si>
    <t>use_original_terminal</t>
  </si>
  <si>
    <t>Please use %s terminal to perform this action</t>
  </si>
  <si>
    <t>no_search_result</t>
  </si>
  <si>
    <t>No search result</t>
  </si>
  <si>
    <t>minus_stock_title</t>
  </si>
  <si>
    <t>Negative stock alert</t>
  </si>
  <si>
    <t>no_stock_title</t>
  </si>
  <si>
    <t>No stock alert</t>
  </si>
  <si>
    <t>minus_stock_body</t>
  </si>
  <si>
    <t>Item %s is out of stock. Are you sure you want to continue?</t>
  </si>
  <si>
    <t>stock_not_available</t>
  </si>
  <si>
    <t>There is no initial stock available, to allow negative stock! Please Add stock to this product.</t>
  </si>
  <si>
    <t>product_information</t>
  </si>
  <si>
    <t>Product Information</t>
  </si>
  <si>
    <t>price_information</t>
  </si>
  <si>
    <t>Price Information</t>
  </si>
  <si>
    <t>enable</t>
  </si>
  <si>
    <t>Enable</t>
  </si>
  <si>
    <t>disable</t>
  </si>
  <si>
    <t>Disable</t>
  </si>
  <si>
    <t>sold_by</t>
  </si>
  <si>
    <t>Sold By</t>
  </si>
  <si>
    <t>settled_inv_history_delete_access_si</t>
  </si>
  <si>
    <t xml:space="preserve">Cannot delete this receipt due to the credit settlement </t>
  </si>
  <si>
    <t>delete</t>
  </si>
  <si>
    <t>cancel</t>
  </si>
  <si>
    <t>edit</t>
  </si>
  <si>
    <t>Edit</t>
  </si>
  <si>
    <t>open_shift_button</t>
  </si>
  <si>
    <t>co_minus_stock_body</t>
  </si>
  <si>
    <t>Out of stock. Are you sure you want to continue?</t>
  </si>
  <si>
    <t>cannot_find_camera</t>
  </si>
  <si>
    <t>You device has not camera.</t>
  </si>
  <si>
    <t>unit_cost</t>
  </si>
  <si>
    <t>Unit Cost</t>
  </si>
  <si>
    <t>total_cost</t>
  </si>
  <si>
    <t>product_cost</t>
  </si>
  <si>
    <t>gross_profit</t>
  </si>
  <si>
    <t>Gross Profit</t>
  </si>
  <si>
    <t>update</t>
  </si>
  <si>
    <t>Update</t>
  </si>
  <si>
    <t>we_added_lots_of_new_features_and_fix_some_bugs_to_make_your_experience_as_smooth_as_possible</t>
  </si>
  <si>
    <t>We added lots of new features and fix some bugs to make your experience as smooth as possible.</t>
  </si>
  <si>
    <t>time_to_update</t>
  </si>
  <si>
    <t>Time To Update!</t>
  </si>
  <si>
    <t>create_category</t>
  </si>
  <si>
    <t>Create category</t>
  </si>
  <si>
    <t>category_name</t>
  </si>
  <si>
    <t>Category name</t>
  </si>
  <si>
    <t>prepared_by</t>
  </si>
  <si>
    <t>Prepared By</t>
  </si>
  <si>
    <t>approved_by</t>
  </si>
  <si>
    <t>Approved By</t>
  </si>
  <si>
    <t>reveived_by</t>
  </si>
  <si>
    <t>Received By</t>
  </si>
  <si>
    <t>print_date</t>
  </si>
  <si>
    <t>Print Date</t>
  </si>
  <si>
    <t>adjustment_type</t>
  </si>
  <si>
    <t>SA Type</t>
  </si>
  <si>
    <t>adjustment_reason</t>
  </si>
  <si>
    <t>SA Reason</t>
  </si>
  <si>
    <t>adjust</t>
  </si>
  <si>
    <t>Adj.</t>
  </si>
  <si>
    <t>after</t>
  </si>
  <si>
    <t>Aftr.</t>
  </si>
  <si>
    <t>stock</t>
  </si>
  <si>
    <t>from_location</t>
  </si>
  <si>
    <t>From Location</t>
  </si>
  <si>
    <t>to_location</t>
  </si>
  <si>
    <t>To Location</t>
  </si>
  <si>
    <t>transferred</t>
  </si>
  <si>
    <t>Transferred</t>
  </si>
  <si>
    <t>in_hand</t>
  </si>
  <si>
    <t>In-Hand</t>
  </si>
  <si>
    <t>in</t>
  </si>
  <si>
    <t>In</t>
  </si>
  <si>
    <t>out</t>
  </si>
  <si>
    <t>Out</t>
  </si>
  <si>
    <t>transfer_type</t>
  </si>
  <si>
    <t>Transfer Type</t>
  </si>
  <si>
    <t>invald_pin</t>
  </si>
  <si>
    <t>Wrong PIN</t>
  </si>
  <si>
    <t>product_stock_details</t>
  </si>
  <si>
    <t>Product Stock Details</t>
  </si>
  <si>
    <t>avg</t>
  </si>
  <si>
    <t>AVG</t>
  </si>
  <si>
    <t>available</t>
  </si>
  <si>
    <t>AVL</t>
  </si>
  <si>
    <t>not_subcategories_yet</t>
  </si>
  <si>
    <t>You do not have Subcategories yet.\n To Add Subcategory press the (+) button.</t>
  </si>
  <si>
    <t>product_is_already_add_or_not_found</t>
  </si>
  <si>
    <t>Product is already add or not found.</t>
  </si>
  <si>
    <t>enter_pin</t>
  </si>
  <si>
    <t>Enter PIN</t>
  </si>
  <si>
    <t>new_text</t>
  </si>
  <si>
    <t>New</t>
  </si>
  <si>
    <t>total_paid</t>
  </si>
  <si>
    <t>Total paid</t>
  </si>
  <si>
    <t>send_receipt</t>
  </si>
  <si>
    <t>Send receipt</t>
  </si>
  <si>
    <t>change</t>
  </si>
  <si>
    <t>Change</t>
  </si>
  <si>
    <t>payments</t>
  </si>
  <si>
    <t>Payments</t>
  </si>
  <si>
    <t>wifi_printer_not_connect</t>
  </si>
  <si>
    <t>Connect the WIFI-printer</t>
  </si>
  <si>
    <t>bluetooth_not_supported</t>
  </si>
  <si>
    <t>This device does not support Bluetooth</t>
  </si>
  <si>
    <t>payment_method_already_exist</t>
  </si>
  <si>
    <t>This payment method already exist.</t>
  </si>
  <si>
    <t>credit_payment_not_allowed_multi_payment</t>
  </si>
  <si>
    <t>Credit payment does not allowed for multi payment.</t>
  </si>
  <si>
    <t>advance_inventory_features</t>
  </si>
  <si>
    <t>Advanced Inventory Features</t>
  </si>
  <si>
    <t>subscribe</t>
  </si>
  <si>
    <t>Subscribe</t>
  </si>
  <si>
    <t>subscription_period_has_been_expired</t>
  </si>
  <si>
    <t>Subscription period has been expired.</t>
  </si>
  <si>
    <t>status</t>
  </si>
  <si>
    <t>Status :</t>
  </si>
  <si>
    <t>landscape</t>
  </si>
  <si>
    <t>Landscape</t>
  </si>
  <si>
    <t>portrait</t>
  </si>
  <si>
    <t>Portrait</t>
  </si>
  <si>
    <t>not_printers_yet</t>
  </si>
  <si>
    <t>You do not have printers yet.\nTo add printer press the (+) button.</t>
  </si>
  <si>
    <t>account_delete_title</t>
  </si>
  <si>
    <t>Your account has been deleted.</t>
  </si>
  <si>
    <t>account_delete_msg</t>
  </si>
  <si>
    <t>Thank you for using our service.</t>
  </si>
  <si>
    <t>account_delete_re_install_msg</t>
  </si>
  <si>
    <t>Please uninstall the application and re-install.</t>
  </si>
  <si>
    <t>not_category_yet</t>
  </si>
  <si>
    <t>You have no category yet</t>
  </si>
  <si>
    <t>add_category_hint</t>
  </si>
  <si>
    <t>To add a category press the (+) button</t>
  </si>
  <si>
    <t>cash_refund_amount</t>
  </si>
  <si>
    <t>Cash refund amount</t>
  </si>
  <si>
    <t>credit_note_amount</t>
  </si>
  <si>
    <t>Credit note amount</t>
  </si>
  <si>
    <t>refund_id</t>
  </si>
  <si>
    <t xml:space="preserve">Refund Id: </t>
  </si>
  <si>
    <t>price_wrong</t>
  </si>
  <si>
    <t>Please enter a valid price</t>
  </si>
  <si>
    <t>quantity_wrong</t>
  </si>
  <si>
    <t>Please enter a valid quantity</t>
  </si>
  <si>
    <t>decimal_quantity_error</t>
  </si>
  <si>
    <t>Quantity cannot contain any decimal values</t>
  </si>
  <si>
    <t>quantity_price_wrong</t>
  </si>
  <si>
    <t>Can\t have a price with quantity zero</t>
  </si>
  <si>
    <t>total_price_wrong</t>
  </si>
  <si>
    <t>Can\'t have price higher than the maximum price</t>
  </si>
  <si>
    <t>total_price_empty</t>
  </si>
  <si>
    <t>Can\'t have empty price</t>
  </si>
  <si>
    <t>quantity_higher</t>
  </si>
  <si>
    <t>Invalid quantity</t>
  </si>
  <si>
    <t>total_empty</t>
  </si>
  <si>
    <t>Please select an item to refund</t>
  </si>
  <si>
    <t>refund_error_payment_type</t>
  </si>
  <si>
    <t>can\'t refund a credit receipt</t>
  </si>
  <si>
    <t>quantity_empty</t>
  </si>
  <si>
    <t>discount</t>
  </si>
  <si>
    <t>search_view_hint_product</t>
  </si>
  <si>
    <t>Search Product</t>
  </si>
  <si>
    <t>redeem_point</t>
  </si>
  <si>
    <t>Redeem point</t>
  </si>
  <si>
    <t>remove_from_receipt</t>
  </si>
  <si>
    <t>REMOVE FROM RECEIPT</t>
  </si>
  <si>
    <t>refund_capital</t>
  </si>
  <si>
    <t>REFUND</t>
  </si>
  <si>
    <t>cash_refund_top_bar</t>
  </si>
  <si>
    <t>receipt_top_bar</t>
  </si>
  <si>
    <t>Receipt : #</t>
  </si>
  <si>
    <t>total</t>
  </si>
  <si>
    <t>cash_refund</t>
  </si>
  <si>
    <t>Cash Refund</t>
  </si>
  <si>
    <t>select_location</t>
  </si>
  <si>
    <t>Select location</t>
  </si>
  <si>
    <t>select_terminal</t>
  </si>
  <si>
    <t>Select terminal</t>
  </si>
  <si>
    <t>add_product_si</t>
  </si>
  <si>
    <t>Create products</t>
  </si>
  <si>
    <t>edit_product_si</t>
  </si>
  <si>
    <t>Edit products</t>
  </si>
  <si>
    <t>product_name</t>
  </si>
  <si>
    <t>product_code_sku</t>
  </si>
  <si>
    <t>Product Code (SKU)</t>
  </si>
  <si>
    <t>barcode_si</t>
  </si>
  <si>
    <t>available_to_sale</t>
  </si>
  <si>
    <t>Available to sale</t>
  </si>
  <si>
    <t>product_selling_price</t>
  </si>
  <si>
    <t>leave_the_field_blank_price</t>
  </si>
  <si>
    <t>Leave the field blank to indicate the price upon sale.</t>
  </si>
  <si>
    <t>value_updates_automatically_when_you_receive_inventory</t>
  </si>
  <si>
    <t>Value updates automatically when you receive inventory.</t>
  </si>
  <si>
    <t>inventory</t>
  </si>
  <si>
    <t>track_stock</t>
  </si>
  <si>
    <t>Track stock</t>
  </si>
  <si>
    <t>in_stock</t>
  </si>
  <si>
    <t>In Stock</t>
  </si>
  <si>
    <t>leave_the_field_override_stock</t>
  </si>
  <si>
    <t>This amount will override your existing stock amount.</t>
  </si>
  <si>
    <t>product_image</t>
  </si>
  <si>
    <t>Product Image</t>
  </si>
  <si>
    <t>take_a_photo</t>
  </si>
  <si>
    <t>Take a photo</t>
  </si>
  <si>
    <t>choose_a_photo</t>
  </si>
  <si>
    <t>Choose a photo</t>
  </si>
  <si>
    <t>remove_photo</t>
  </si>
  <si>
    <t>Remove photo</t>
  </si>
  <si>
    <t>price_change</t>
  </si>
  <si>
    <t>Price Change</t>
  </si>
  <si>
    <t>category_view_si</t>
  </si>
  <si>
    <t>Product categories</t>
  </si>
  <si>
    <t>sub_category_view_si</t>
  </si>
  <si>
    <t>Product sub categories</t>
  </si>
  <si>
    <t>grn</t>
  </si>
  <si>
    <t>Good received note</t>
  </si>
  <si>
    <t>search_grn</t>
  </si>
  <si>
    <t>Search GRN</t>
  </si>
  <si>
    <t>body_edit_grn_item_new</t>
  </si>
  <si>
    <t>Are you sure want to edit this good receive note?</t>
  </si>
  <si>
    <t>body_grn_submit_dialog</t>
  </si>
  <si>
    <t>Do you want to submit this GRN ?</t>
  </si>
  <si>
    <t>body_grn_submit_dialog_new</t>
  </si>
  <si>
    <t>Are you sure want to submit GRN?</t>
  </si>
  <si>
    <t>title_sumbit_grn_dialog</t>
  </si>
  <si>
    <t>Submit GRN</t>
  </si>
  <si>
    <t>title_sumbit_grn_dialog_new</t>
  </si>
  <si>
    <t>Good receive note</t>
  </si>
  <si>
    <t>grn_items_remove_title</t>
  </si>
  <si>
    <t>Remove GRN Item(s)</t>
  </si>
  <si>
    <t>title_edit_grn_item</t>
  </si>
  <si>
    <t>Edit GRN Item</t>
  </si>
  <si>
    <t>title_edit_grn_item_new</t>
  </si>
  <si>
    <t>Edit good receive note</t>
  </si>
  <si>
    <t>print_grn_si</t>
  </si>
  <si>
    <t>Goods Received Note</t>
  </si>
  <si>
    <t>grn_number</t>
  </si>
  <si>
    <t>GRN Number</t>
  </si>
  <si>
    <t>grn_total_amount</t>
  </si>
  <si>
    <t>GRN Total Amount</t>
  </si>
  <si>
    <t>print_grn_user_si</t>
  </si>
  <si>
    <t>GRN User</t>
  </si>
  <si>
    <t>grn_no_si</t>
  </si>
  <si>
    <t>GRN No:</t>
  </si>
  <si>
    <t>stk_unit_cost_si</t>
  </si>
  <si>
    <t>GRN Unit Cost</t>
  </si>
  <si>
    <t>day_end_description2_si</t>
  </si>
  <si>
    <t>GRN details \nStock Transfers (in/out) \nStock Return \nIn Hand Stocks \nSales Records \nCash Transaction</t>
  </si>
  <si>
    <t>stk_qty_si</t>
  </si>
  <si>
    <t>GRN Qty</t>
  </si>
  <si>
    <t>grn_price_si</t>
  </si>
  <si>
    <t>GRN Price</t>
  </si>
  <si>
    <t>grn_date_si</t>
  </si>
  <si>
    <t>GRN date</t>
  </si>
  <si>
    <t>create_grn</t>
  </si>
  <si>
    <t>Create GRN</t>
  </si>
  <si>
    <t>grn_item_list</t>
  </si>
  <si>
    <t>GRN Item List</t>
  </si>
  <si>
    <t>grn_id</t>
  </si>
  <si>
    <t>GRN ID</t>
  </si>
  <si>
    <t>grn_qty</t>
  </si>
  <si>
    <t>GRN QTY</t>
  </si>
  <si>
    <t>view_grn</t>
  </si>
  <si>
    <t>GRN View</t>
  </si>
  <si>
    <t>grn_date_filed_empty</t>
  </si>
  <si>
    <t>GRN Date is not defined</t>
  </si>
  <si>
    <t>body_edit_grn_item</t>
  </si>
  <si>
    <t>Do you want to edit this item (</t>
  </si>
  <si>
    <t>grn_item_remove_body</t>
  </si>
  <si>
    <t>Do you want to remove this item(s) ?</t>
  </si>
  <si>
    <t>grn_verify_body_si</t>
  </si>
  <si>
    <t>Do you want to add this stock?</t>
  </si>
  <si>
    <t>msg_exit_grn</t>
  </si>
  <si>
    <t>Do you want to exit without completing previous task?</t>
  </si>
  <si>
    <t>good_receive_notes</t>
  </si>
  <si>
    <t>Good received notes (GRN)</t>
  </si>
  <si>
    <t>stock_adjustment_item_list</t>
  </si>
  <si>
    <t>Stock Adjustment Item List</t>
  </si>
  <si>
    <t>stock_ajustment</t>
  </si>
  <si>
    <t>Stock adjustments</t>
  </si>
  <si>
    <t>print_stock_ajustment</t>
  </si>
  <si>
    <t>Stock Adjustment</t>
  </si>
  <si>
    <t>create_stock_ajustment</t>
  </si>
  <si>
    <t>Create stock adjustment</t>
  </si>
  <si>
    <t>title_edit_sa_item</t>
  </si>
  <si>
    <t>Edit SA Item</t>
  </si>
  <si>
    <t>title_edit_sa_item_new</t>
  </si>
  <si>
    <t>Edit stock adjustment</t>
  </si>
  <si>
    <t>body_edit_sa_item</t>
  </si>
  <si>
    <t>body_edit_sa_item_new</t>
  </si>
  <si>
    <t>Are you sure want to edit this stock adjustment?</t>
  </si>
  <si>
    <t>sa_items_remove_title</t>
  </si>
  <si>
    <t>Remove SA Item(s)</t>
  </si>
  <si>
    <t>sa_item_remove_body</t>
  </si>
  <si>
    <t>body_sa_submit_dialog</t>
  </si>
  <si>
    <t>Do you want to submit this SA ?</t>
  </si>
  <si>
    <t>body_sa_submit_dialog_new</t>
  </si>
  <si>
    <t>Are you sure want to submit SA ?</t>
  </si>
  <si>
    <t>title_submit_sa_dialog</t>
  </si>
  <si>
    <t>Submit SA</t>
  </si>
  <si>
    <t>title_submit_sa_dialog_new</t>
  </si>
  <si>
    <t>Stock adjustment</t>
  </si>
  <si>
    <t>select_sa_type</t>
  </si>
  <si>
    <t>Select type</t>
  </si>
  <si>
    <t>select_sa_reason</t>
  </si>
  <si>
    <t>Select reason</t>
  </si>
  <si>
    <t>search_sa</t>
  </si>
  <si>
    <t>Search SA</t>
  </si>
  <si>
    <t>create_sa</t>
  </si>
  <si>
    <t>Create SA</t>
  </si>
  <si>
    <t>sa_reduce_qty_error</t>
  </si>
  <si>
    <t>Adjustment quantity cannot exceed current in-hand quantity</t>
  </si>
  <si>
    <t>sa_date</t>
  </si>
  <si>
    <t>SA Date</t>
  </si>
  <si>
    <t>sa_reason</t>
  </si>
  <si>
    <t>sa_save_list_qty</t>
  </si>
  <si>
    <t>sa_number</t>
  </si>
  <si>
    <t>SA Number</t>
  </si>
  <si>
    <t>stock_adjustments</t>
  </si>
  <si>
    <t>Stock adjustments (SA)</t>
  </si>
  <si>
    <t>body_edit_tog_item</t>
  </si>
  <si>
    <t>Are you sure want to edit this transfer of goods?</t>
  </si>
  <si>
    <t>tog_date</t>
  </si>
  <si>
    <t>TOG Date</t>
  </si>
  <si>
    <t>view_tog</t>
  </si>
  <si>
    <t>TOG View</t>
  </si>
  <si>
    <t>search_tog</t>
  </si>
  <si>
    <t>Search TOG</t>
  </si>
  <si>
    <t>create_tog</t>
  </si>
  <si>
    <t>Create TOG</t>
  </si>
  <si>
    <t>create_new_tog</t>
  </si>
  <si>
    <t>Create new TOG</t>
  </si>
  <si>
    <t>tog_item_list</t>
  </si>
  <si>
    <t>TOG Item List</t>
  </si>
  <si>
    <t>tog_product_not_availble</t>
  </si>
  <si>
    <t>tog_items_remove_title</t>
  </si>
  <si>
    <t>Remove TOG Item(s)</t>
  </si>
  <si>
    <t>tog_item_remove_body</t>
  </si>
  <si>
    <t>title_edit_tog_item</t>
  </si>
  <si>
    <t>Edit TOG Item</t>
  </si>
  <si>
    <t>title_edit_tog_item_new</t>
  </si>
  <si>
    <t>Edit transfer of goods</t>
  </si>
  <si>
    <t>title_sumbit_tog_dialog</t>
  </si>
  <si>
    <t>Submit TOG</t>
  </si>
  <si>
    <t>title_sumbit_tog_dialog_new</t>
  </si>
  <si>
    <t>body_tog_submit_dialog</t>
  </si>
  <si>
    <t>Do you want to submit this TOG ?</t>
  </si>
  <si>
    <t>body_tog_submit_dialog_new</t>
  </si>
  <si>
    <t>Are you sure want to submit TOG?</t>
  </si>
  <si>
    <t>tog_number</t>
  </si>
  <si>
    <t>TOG Number</t>
  </si>
  <si>
    <t>transfer_of_goods</t>
  </si>
  <si>
    <t>transfer_of_goods_tog</t>
  </si>
  <si>
    <t>Transfer of goods (TOG)</t>
  </si>
  <si>
    <t>cus_id_si</t>
  </si>
  <si>
    <t>*Unique Reference</t>
  </si>
  <si>
    <t>cus_phone_si</t>
  </si>
  <si>
    <t>cus_email_si</t>
  </si>
  <si>
    <t>Enter email address</t>
  </si>
  <si>
    <t>pre_outstanding_si</t>
  </si>
  <si>
    <t>Pre.Outstanding</t>
  </si>
  <si>
    <t>settled_amount_si</t>
  </si>
  <si>
    <t>Settled Amount</t>
  </si>
  <si>
    <t>settlement_amount_si</t>
  </si>
  <si>
    <t>Settlement Amount</t>
  </si>
  <si>
    <t>settlement_date_si</t>
  </si>
  <si>
    <t>Settlement Date</t>
  </si>
  <si>
    <t>new_outstanding_si</t>
  </si>
  <si>
    <t>New Outstanding</t>
  </si>
  <si>
    <t>past_credit_receipt</t>
  </si>
  <si>
    <t>Past Credit Receipt</t>
  </si>
  <si>
    <t>settled_credit_receipt</t>
  </si>
  <si>
    <t>Settled Credit Receipt</t>
  </si>
  <si>
    <t>settle_receipt</t>
  </si>
  <si>
    <t>Settle receipt</t>
  </si>
  <si>
    <t>settle</t>
  </si>
  <si>
    <t>validate_existing_p_code</t>
  </si>
  <si>
    <t>Product code is already existing</t>
  </si>
  <si>
    <t>special_characters_not_allowed</t>
  </si>
  <si>
    <t>Special characters not allowed</t>
  </si>
  <si>
    <t>cus_l_name_si</t>
  </si>
  <si>
    <t>Customer Name</t>
  </si>
  <si>
    <t>cus_l_city_si</t>
  </si>
  <si>
    <t>City/Town</t>
  </si>
  <si>
    <t>employee_search_hint_si</t>
  </si>
  <si>
    <t>Search by employee code</t>
  </si>
  <si>
    <t>agent_search_hint_si</t>
  </si>
  <si>
    <t>Search by agent code</t>
  </si>
  <si>
    <t>print_customer_name_si</t>
  </si>
  <si>
    <t>print_customer_id</t>
  </si>
  <si>
    <t>Customer ID :</t>
  </si>
  <si>
    <t>cs_customer_si</t>
  </si>
  <si>
    <t>Customer</t>
  </si>
  <si>
    <t>popup_select_customer_si</t>
  </si>
  <si>
    <t>Select Customer</t>
  </si>
  <si>
    <t>search_customer</t>
  </si>
  <si>
    <t xml:space="preserve">Search customers </t>
  </si>
  <si>
    <t>customer_profile</t>
  </si>
  <si>
    <t>Customer profile</t>
  </si>
  <si>
    <t>edit_profile</t>
  </si>
  <si>
    <t>EDIT PROFILE</t>
  </si>
  <si>
    <t>redeem_points</t>
  </si>
  <si>
    <t>REDEEM POINTS</t>
  </si>
  <si>
    <t>create_customer</t>
  </si>
  <si>
    <t>Create Customer</t>
  </si>
  <si>
    <t>edit_customer</t>
  </si>
  <si>
    <t>Edit Customer</t>
  </si>
  <si>
    <t>add_new_customer</t>
  </si>
  <si>
    <t>ADD NEW CUSTOMER</t>
  </si>
  <si>
    <t>add_to_receipt</t>
  </si>
  <si>
    <t>ADD TO RECEIPT</t>
  </si>
  <si>
    <t>cus_id_already_exist</t>
  </si>
  <si>
    <t>Customer ID already exist</t>
  </si>
  <si>
    <t>v_cus_name_si</t>
  </si>
  <si>
    <t>customer_name_si</t>
  </si>
  <si>
    <t>customer_id_si</t>
  </si>
  <si>
    <t>Customer Id</t>
  </si>
  <si>
    <t>cust_name</t>
  </si>
  <si>
    <t>remove_customer</t>
  </si>
  <si>
    <t>generate_nfc</t>
  </si>
  <si>
    <t>GENERATE NFC</t>
  </si>
  <si>
    <t>no_terminal_title</t>
  </si>
  <si>
    <t>There is no NEW POS terminal available in the shop</t>
  </si>
  <si>
    <t>no_terminal_msg</t>
  </si>
  <si>
    <t>Add NEW POS terminal(s) in the backoffice</t>
  </si>
  <si>
    <t>display_not_connected</t>
  </si>
  <si>
    <t>Customer display is not connected.Please restart the machine</t>
  </si>
  <si>
    <t>security_exception</t>
  </si>
  <si>
    <t>open CashBox fail:SecurityException</t>
  </si>
  <si>
    <t>io_exception</t>
  </si>
  <si>
    <t>open CashBox fail:IOException</t>
  </si>
  <si>
    <t>invalid_parameter_exception</t>
  </si>
  <si>
    <t>open CashBox fail:InvalidParameterException</t>
  </si>
  <si>
    <t>try_again</t>
  </si>
  <si>
    <t>Try Again!</t>
  </si>
  <si>
    <t>kot_uploading_fail</t>
  </si>
  <si>
    <t>Kot uploading is fail</t>
  </si>
  <si>
    <t>kot_not_delivered</t>
  </si>
  <si>
    <t>Kot is not diliverd</t>
  </si>
  <si>
    <t>kot_cancelation_fail</t>
  </si>
  <si>
    <t>Kot cancellation is fail</t>
  </si>
  <si>
    <t>permission_for_printer</t>
  </si>
  <si>
    <t>Plaese give permision for use printer</t>
  </si>
  <si>
    <t>printer_has_no_paper</t>
  </si>
  <si>
    <t>The printer has no paper</t>
  </si>
  <si>
    <t>problem_with_bluetooth</t>
  </si>
  <si>
    <t>Problem with bluetooth connection</t>
  </si>
  <si>
    <t>problem_with_network</t>
  </si>
  <si>
    <t>Problem with Network connection</t>
  </si>
  <si>
    <t>connect_the_wifi_printer_error</t>
  </si>
  <si>
    <t>Connect the WIFI-printer error</t>
  </si>
  <si>
    <t>no_apps_to_share</t>
  </si>
  <si>
    <t>No apps to share !</t>
  </si>
  <si>
    <t>backup_fail</t>
  </si>
  <si>
    <t>Backup Failed!</t>
  </si>
  <si>
    <t>hello_blank_fragment</t>
  </si>
  <si>
    <t>Hello blank fragment</t>
  </si>
  <si>
    <t>create_products</t>
  </si>
  <si>
    <t>Create Products</t>
  </si>
  <si>
    <t>assign_products</t>
  </si>
  <si>
    <t>Assign Products</t>
  </si>
  <si>
    <t>assign_products_to_category</t>
  </si>
  <si>
    <t>Assign products to category</t>
  </si>
  <si>
    <t>category_created</t>
  </si>
  <si>
    <t>Category created successfully</t>
  </si>
  <si>
    <t>select_products</t>
  </si>
  <si>
    <t>Select products to save</t>
  </si>
  <si>
    <t>multiple_products_added_to_category</t>
  </si>
  <si>
    <t>Products added to the category successfully</t>
  </si>
  <si>
    <t>use_sub_category</t>
  </si>
  <si>
    <t>Use subcategory</t>
  </si>
  <si>
    <t>select_sub_category</t>
  </si>
  <si>
    <t>Select subcategory</t>
  </si>
  <si>
    <t>create_sub_category</t>
  </si>
  <si>
    <t>Create subcategory</t>
  </si>
  <si>
    <t>category_with_colon</t>
  </si>
  <si>
    <t xml:space="preserve">Category : </t>
  </si>
  <si>
    <t>subcategory_with_colon</t>
  </si>
  <si>
    <t xml:space="preserve">Subcategory  : </t>
  </si>
  <si>
    <t>customer_order</t>
  </si>
  <si>
    <t>Customer order</t>
  </si>
  <si>
    <t>search_employees</t>
  </si>
  <si>
    <t>Search employees</t>
  </si>
  <si>
    <t>start_date</t>
  </si>
  <si>
    <t>Start date</t>
  </si>
  <si>
    <t>duration</t>
  </si>
  <si>
    <t>end_date</t>
  </si>
  <si>
    <t>start_time</t>
  </si>
  <si>
    <t>Start Time</t>
  </si>
  <si>
    <t>days</t>
  </si>
  <si>
    <t>hh_mm</t>
  </si>
  <si>
    <t>HH:MM</t>
  </si>
  <si>
    <t>subcategory_already_exists</t>
  </si>
  <si>
    <t>Subcategory already exists</t>
  </si>
  <si>
    <t>category_name_required</t>
  </si>
  <si>
    <t>Category name required</t>
  </si>
  <si>
    <t>when_selling_the_same_item_you_can_add_to_the_existing_line_increase_quantity_or_add_a_new_line</t>
  </si>
  <si>
    <t>When selling THE SAME ITEM, you can add to the existing line ( increase quantity) or add a new line</t>
  </si>
  <si>
    <t>re_launch</t>
  </si>
  <si>
    <t>Re-launch</t>
  </si>
  <si>
    <t>select_reservation_time</t>
  </si>
  <si>
    <t>Select reservation time</t>
  </si>
  <si>
    <t>already_booked</t>
  </si>
  <si>
    <t>Already booked</t>
  </si>
  <si>
    <t>select_a_time</t>
  </si>
  <si>
    <t>Please select a Time</t>
  </si>
  <si>
    <t>select_an_employee</t>
  </si>
  <si>
    <t>Please select an employee</t>
  </si>
  <si>
    <t>already_selected</t>
  </si>
  <si>
    <t>Already selected</t>
  </si>
  <si>
    <t>reservation_summary</t>
  </si>
  <si>
    <t>Reservation summary</t>
  </si>
  <si>
    <t>customer_reservation_summary</t>
  </si>
  <si>
    <t>employee_reservation_summary</t>
  </si>
  <si>
    <t>Employee :</t>
  </si>
  <si>
    <t>open_shift_confirmation_alert_msg</t>
  </si>
  <si>
    <t>Are you sure want to start shift ?</t>
  </si>
  <si>
    <t>open</t>
  </si>
  <si>
    <t>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</si>
</sst>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theme="1"/>
      <name val="Calibri"/>
    </font>
    <font>
      <u/>
      <sz val="11"/>
      <color rgb="FF0000FF"/>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1" fillId="0" borderId="0" xfId="0" applyFont="1" applyAlignme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61"/>
  <sheetViews>
    <sheetView tabSelected="1" workbookViewId="0">
      <selection activeCell="A2" sqref="A2"/>
    </sheetView>
  </sheetViews>
  <sheetFormatPr defaultColWidth="14.42578125" defaultRowHeight="15" customHeight="1" x14ac:dyDescent="0.25"/>
  <cols>
    <col min="1" max="1" width="33.42578125" customWidth="1"/>
    <col min="2" max="2" width="31" customWidth="1"/>
    <col min="3" max="3" width="33" customWidth="1"/>
    <col min="4" max="4" width="26.5703125" customWidth="1"/>
    <col min="5" max="5" width="31.140625" customWidth="1"/>
    <col min="6" max="6" width="30.42578125" customWidth="1"/>
    <col min="7" max="26" width="8.7109375" customWidth="1"/>
  </cols>
  <sheetData>
    <row r="1" spans="1:6" x14ac:dyDescent="0.25">
      <c r="A1" s="1" t="s">
        <v>0</v>
      </c>
      <c r="B1" s="1" t="s">
        <v>1</v>
      </c>
      <c r="C1" s="1" t="s">
        <v>2</v>
      </c>
      <c r="D1" s="1" t="s">
        <v>3</v>
      </c>
      <c r="E1" s="1" t="s">
        <v>4</v>
      </c>
      <c r="F1" s="2" t="s">
        <v>5</v>
      </c>
    </row>
    <row r="2" spans="1:6" x14ac:dyDescent="0.25">
      <c r="A2" s="1" t="s">
        <v>6</v>
      </c>
      <c r="B2" s="1" t="s">
        <v>7</v>
      </c>
      <c r="C2" s="1" t="str">
        <f ca="1">IFERROR(__xludf.DUMMYFUNCTION("GOOGLETRANSLATE(B2,""en"",""ar"")"),"فتح درج الملاحة")</f>
        <v>فتح درج الملاحة</v>
      </c>
      <c r="D2" s="1" t="str">
        <f ca="1">IFERROR(__xludf.DUMMYFUNCTION("GOOGLETRANSLATE(B2,""en"",""zh-CN"")"),"打开导航抽屉")</f>
        <v>打开导航抽屉</v>
      </c>
      <c r="E2" s="1" t="str">
        <f ca="1">IFERROR(__xludf.DUMMYFUNCTION("GOOGLETRANSLATE(B2,""en"",""ja"")"),"オープンナビゲーション引き出し")</f>
        <v>オープンナビゲーション引き出し</v>
      </c>
      <c r="F2" s="1" t="str">
        <f ca="1">IFERROR(__xludf.DUMMYFUNCTION("GOOGLETRANSLATE(B2,""en"",""fr"")"),"Tiroir de navigation ouvert")</f>
        <v>Tiroir de navigation ouvert</v>
      </c>
    </row>
    <row r="3" spans="1:6" x14ac:dyDescent="0.25">
      <c r="A3" s="1" t="s">
        <v>8</v>
      </c>
      <c r="B3" s="1" t="s">
        <v>9</v>
      </c>
      <c r="C3" s="1" t="str">
        <f ca="1">IFERROR(__xludf.DUMMYFUNCTION("GOOGLETRANSLATE(B3,""en"",""ar"")"),"درج الملاحة الوثيق")</f>
        <v>درج الملاحة الوثيق</v>
      </c>
      <c r="D3" s="1" t="str">
        <f ca="1">IFERROR(__xludf.DUMMYFUNCTION("GOOGLETRANSLATE(B3,""en"",""zh-CN"")"),"关闭导航抽屉")</f>
        <v>关闭导航抽屉</v>
      </c>
      <c r="E3" s="1" t="str">
        <f ca="1">IFERROR(__xludf.DUMMYFUNCTION("GOOGLETRANSLATE(B3,""en"",""ja"")"),"ナビゲーション引き出しを閉じる")</f>
        <v>ナビゲーション引き出しを閉じる</v>
      </c>
      <c r="F3" s="1" t="str">
        <f ca="1">IFERROR(__xludf.DUMMYFUNCTION("GOOGLETRANSLATE(B3,""en"",""fr"")"),"Tiroir de navigation fermer")</f>
        <v>Tiroir de navigation fermer</v>
      </c>
    </row>
    <row r="4" spans="1:6" x14ac:dyDescent="0.25">
      <c r="A4" s="1" t="s">
        <v>10</v>
      </c>
      <c r="B4" s="1" t="s">
        <v>11</v>
      </c>
      <c r="C4" s="1" t="str">
        <f ca="1">IFERROR(__xludf.DUMMYFUNCTION("GOOGLETRANSLATE(B4,""en"",""ar"")"),"مبيعات نقاط البيع")</f>
        <v>مبيعات نقاط البيع</v>
      </c>
      <c r="D4" s="1" t="str">
        <f ca="1">IFERROR(__xludf.DUMMYFUNCTION("GOOGLETRANSLATE(B4,""en"",""zh-CN"")"),"销售POS.")</f>
        <v>销售POS.</v>
      </c>
      <c r="E4" s="1" t="str">
        <f ca="1">IFERROR(__xludf.DUMMYFUNCTION("GOOGLETRANSLATE(B4,""en"",""ja"")"),"売り上げ")</f>
        <v>売り上げ</v>
      </c>
      <c r="F4" s="1" t="str">
        <f ca="1">IFERROR(__xludf.DUMMYFUNCTION("GOOGLETRANSLATE(B4,""en"",""fr"")"),"Vente de vente")</f>
        <v>Vente de vente</v>
      </c>
    </row>
    <row r="5" spans="1:6" x14ac:dyDescent="0.25">
      <c r="A5" s="1" t="s">
        <v>12</v>
      </c>
      <c r="B5" s="1" t="s">
        <v>13</v>
      </c>
      <c r="C5" s="1" t="str">
        <f ca="1">IFERROR(__xludf.DUMMYFUNCTION("GOOGLETRANSLATE(B5,""en"",""ar"")"),"مرحبا")</f>
        <v>مرحبا</v>
      </c>
      <c r="D5" s="1" t="str">
        <f ca="1">IFERROR(__xludf.DUMMYFUNCTION("GOOGLETRANSLATE(B5,""en"",""zh-CN"")"),"欢迎")</f>
        <v>欢迎</v>
      </c>
      <c r="E5" s="1" t="str">
        <f ca="1">IFERROR(__xludf.DUMMYFUNCTION("GOOGLETRANSLATE(B5,""en"",""ja"")"),"いらっしゃいませ")</f>
        <v>いらっしゃいませ</v>
      </c>
      <c r="F5" s="1" t="str">
        <f ca="1">IFERROR(__xludf.DUMMYFUNCTION("GOOGLETRANSLATE(B5,""en"",""fr"")"),"Bienvenue")</f>
        <v>Bienvenue</v>
      </c>
    </row>
    <row r="6" spans="1:6" x14ac:dyDescent="0.25">
      <c r="A6" s="1" t="s">
        <v>14</v>
      </c>
      <c r="B6" s="1" t="s">
        <v>15</v>
      </c>
      <c r="C6" s="1" t="str">
        <f ca="1">IFERROR(__xludf.DUMMYFUNCTION("GOOGLETRANSLATE(B6,""en"",""ar"")"),"تسجيل الدخول")</f>
        <v>تسجيل الدخول</v>
      </c>
      <c r="D6" s="1" t="str">
        <f ca="1">IFERROR(__xludf.DUMMYFUNCTION("GOOGLETRANSLATE(B6,""en"",""zh-CN"")"),"登入")</f>
        <v>登入</v>
      </c>
      <c r="E6" s="1" t="str">
        <f ca="1">IFERROR(__xludf.DUMMYFUNCTION("GOOGLETRANSLATE(B6,""en"",""ja"")"),"ログイン")</f>
        <v>ログイン</v>
      </c>
      <c r="F6" s="1" t="str">
        <f ca="1">IFERROR(__xludf.DUMMYFUNCTION("GOOGLETRANSLATE(B6,""en"",""fr"")"),"S'identifier")</f>
        <v>S'identifier</v>
      </c>
    </row>
    <row r="7" spans="1:6" x14ac:dyDescent="0.25">
      <c r="A7" s="1" t="s">
        <v>16</v>
      </c>
      <c r="B7" s="1" t="s">
        <v>17</v>
      </c>
      <c r="C7" s="1" t="str">
        <f ca="1">IFERROR(__xludf.DUMMYFUNCTION("GOOGLETRANSLATE(B7,""en"",""ar"")"),"انتهت صلاحية رخصة البرامج")</f>
        <v>انتهت صلاحية رخصة البرامج</v>
      </c>
      <c r="D7" s="1" t="str">
        <f ca="1">IFERROR(__xludf.DUMMYFUNCTION("GOOGLETRANSLATE(B7,""en"",""zh-CN"")"),"软件许可证已过期")</f>
        <v>软件许可证已过期</v>
      </c>
      <c r="E7" s="1" t="str">
        <f ca="1">IFERROR(__xludf.DUMMYFUNCTION("GOOGLETRANSLATE(B7,""en"",""ja"")"),"ソフトウェアライセンスは期限切れです")</f>
        <v>ソフトウェアライセンスは期限切れです</v>
      </c>
      <c r="F7" s="1" t="str">
        <f ca="1">IFERROR(__xludf.DUMMYFUNCTION("GOOGLETRANSLATE(B7,""en"",""fr"")"),"La licence de logiciel a expiré")</f>
        <v>La licence de logiciel a expiré</v>
      </c>
    </row>
    <row r="8" spans="1:6" x14ac:dyDescent="0.25">
      <c r="A8" s="1" t="s">
        <v>18</v>
      </c>
      <c r="B8" s="1" t="s">
        <v>19</v>
      </c>
      <c r="C8" s="1" t="str">
        <f ca="1">IFERROR(__xludf.DUMMYFUNCTION("GOOGLETRANSLATE(B8,""en"",""ar"")"),"تفعيل")</f>
        <v>تفعيل</v>
      </c>
      <c r="D8" s="1" t="str">
        <f ca="1">IFERROR(__xludf.DUMMYFUNCTION("GOOGLETRANSLATE(B8,""en"",""zh-CN"")"),"启用")</f>
        <v>启用</v>
      </c>
      <c r="E8" s="1" t="str">
        <f ca="1">IFERROR(__xludf.DUMMYFUNCTION("GOOGLETRANSLATE(B8,""en"",""ja"")"),"活性化")</f>
        <v>活性化</v>
      </c>
      <c r="F8" s="1" t="str">
        <f ca="1">IFERROR(__xludf.DUMMYFUNCTION("GOOGLETRANSLATE(B8,""en"",""fr"")"),"Activer")</f>
        <v>Activer</v>
      </c>
    </row>
    <row r="9" spans="1:6" x14ac:dyDescent="0.25">
      <c r="A9" s="1" t="s">
        <v>20</v>
      </c>
      <c r="B9" s="1" t="s">
        <v>21</v>
      </c>
      <c r="C9" s="1" t="str">
        <f ca="1">IFERROR(__xludf.DUMMYFUNCTION("GOOGLETRANSLATE(B9,""en"",""ar"")"),"تسجيل خروج")</f>
        <v>تسجيل خروج</v>
      </c>
      <c r="D9" s="1" t="str">
        <f ca="1">IFERROR(__xludf.DUMMYFUNCTION("GOOGLETRANSLATE(B9,""en"",""zh-CN"")"),"登出")</f>
        <v>登出</v>
      </c>
      <c r="E9" s="1" t="str">
        <f ca="1">IFERROR(__xludf.DUMMYFUNCTION("GOOGLETRANSLATE(B9,""en"",""ja"")"),"ログアウト")</f>
        <v>ログアウト</v>
      </c>
      <c r="F9" s="1" t="str">
        <f ca="1">IFERROR(__xludf.DUMMYFUNCTION("GOOGLETRANSLATE(B9,""en"",""fr"")"),"Se déconnecter")</f>
        <v>Se déconnecter</v>
      </c>
    </row>
    <row r="10" spans="1:6" x14ac:dyDescent="0.25">
      <c r="A10" s="1" t="s">
        <v>22</v>
      </c>
      <c r="B10" s="1" t="s">
        <v>23</v>
      </c>
      <c r="C10" s="1" t="str">
        <f ca="1">IFERROR(__xludf.DUMMYFUNCTION("GOOGLETRANSLATE(B10,""en"",""ar"")"),"رسالة")</f>
        <v>رسالة</v>
      </c>
      <c r="D10" s="1" t="str">
        <f ca="1">IFERROR(__xludf.DUMMYFUNCTION("GOOGLETRANSLATE(B10,""en"",""zh-CN"")"),"信息")</f>
        <v>信息</v>
      </c>
      <c r="E10" s="1" t="str">
        <f ca="1">IFERROR(__xludf.DUMMYFUNCTION("GOOGLETRANSLATE(B10,""en"",""ja"")"),"メッセージ")</f>
        <v>メッセージ</v>
      </c>
      <c r="F10" s="1" t="str">
        <f ca="1">IFERROR(__xludf.DUMMYFUNCTION("GOOGLETRANSLATE(B10,""en"",""fr"")"),"Message")</f>
        <v>Message</v>
      </c>
    </row>
    <row r="11" spans="1:6" x14ac:dyDescent="0.25">
      <c r="A11" s="1" t="s">
        <v>24</v>
      </c>
      <c r="B11" s="1" t="s">
        <v>25</v>
      </c>
      <c r="C11" s="1" t="str">
        <f ca="1">IFERROR(__xludf.DUMMYFUNCTION("GOOGLETRANSLATE(B11,""en"",""ar"")"),"آلة حاسبة")</f>
        <v>آلة حاسبة</v>
      </c>
      <c r="D11" s="1" t="str">
        <f ca="1">IFERROR(__xludf.DUMMYFUNCTION("GOOGLETRANSLATE(B11,""en"",""zh-CN"")"),"计算器")</f>
        <v>计算器</v>
      </c>
      <c r="E11" s="1" t="str">
        <f ca="1">IFERROR(__xludf.DUMMYFUNCTION("GOOGLETRANSLATE(B11,""en"",""ja"")"),"電卓")</f>
        <v>電卓</v>
      </c>
      <c r="F11" s="1" t="str">
        <f ca="1">IFERROR(__xludf.DUMMYFUNCTION("GOOGLETRANSLATE(B11,""en"",""fr"")"),"Calculatrice")</f>
        <v>Calculatrice</v>
      </c>
    </row>
    <row r="12" spans="1:6" x14ac:dyDescent="0.25">
      <c r="A12" s="1" t="s">
        <v>26</v>
      </c>
      <c r="B12" s="1" t="s">
        <v>27</v>
      </c>
      <c r="C12" s="1" t="str">
        <f ca="1">IFERROR(__xludf.DUMMYFUNCTION("GOOGLETRANSLATE(B12,""en"",""ar"")"),"الدعم السريع")</f>
        <v>الدعم السريع</v>
      </c>
      <c r="D12" s="1" t="str">
        <f ca="1">IFERROR(__xludf.DUMMYFUNCTION("GOOGLETRANSLATE(B12,""en"",""zh-CN"")"),"快速支持")</f>
        <v>快速支持</v>
      </c>
      <c r="E12" s="1" t="str">
        <f ca="1">IFERROR(__xludf.DUMMYFUNCTION("GOOGLETRANSLATE(B12,""en"",""ja"")"),"クイックサポート")</f>
        <v>クイックサポート</v>
      </c>
      <c r="F12" s="1" t="str">
        <f ca="1">IFERROR(__xludf.DUMMYFUNCTION("GOOGLETRANSLATE(B12,""en"",""fr"")"),"Soutien rapide")</f>
        <v>Soutien rapide</v>
      </c>
    </row>
    <row r="13" spans="1:6" x14ac:dyDescent="0.25">
      <c r="A13" s="1" t="s">
        <v>28</v>
      </c>
      <c r="B13" s="1" t="s">
        <v>29</v>
      </c>
      <c r="C13" s="1" t="str">
        <f ca="1">IFERROR(__xludf.DUMMYFUNCTION("GOOGLETRANSLATE(B13,""en"",""ar"")"),"متصفح")</f>
        <v>متصفح</v>
      </c>
      <c r="D13" s="1" t="str">
        <f ca="1">IFERROR(__xludf.DUMMYFUNCTION("GOOGLETRANSLATE(B13,""en"",""zh-CN"")"),"浏览器")</f>
        <v>浏览器</v>
      </c>
      <c r="E13" s="1" t="str">
        <f ca="1">IFERROR(__xludf.DUMMYFUNCTION("GOOGLETRANSLATE(B13,""en"",""ja"")"),"ブラウザ")</f>
        <v>ブラウザ</v>
      </c>
      <c r="F13" s="1" t="str">
        <f ca="1">IFERROR(__xludf.DUMMYFUNCTION("GOOGLETRANSLATE(B13,""en"",""fr"")"),"Navigateur")</f>
        <v>Navigateur</v>
      </c>
    </row>
    <row r="14" spans="1:6" x14ac:dyDescent="0.25">
      <c r="A14" s="1" t="s">
        <v>30</v>
      </c>
      <c r="B14" s="1" t="s">
        <v>31</v>
      </c>
      <c r="C14" s="1" t="str">
        <f ca="1">IFERROR(__xludf.DUMMYFUNCTION("GOOGLETRANSLATE(B14,""en"",""ar"")"),"www.salesplay.com.")</f>
        <v>www.salesplay.com.</v>
      </c>
      <c r="D14" s="1" t="str">
        <f ca="1">IFERROR(__xludf.DUMMYFUNCTION("GOOGLETRANSLATE(B14,""en"",""zh-CN"")"),"www.salesplay.com.")</f>
        <v>www.salesplay.com.</v>
      </c>
      <c r="E14" s="3" t="str">
        <f ca="1">IFERROR(__xludf.DUMMYFUNCTION("GOOGLETRANSLATE(B14,""en"",""ja"")"),"www.salesplay.com")</f>
        <v>www.salesplay.com</v>
      </c>
      <c r="F14" s="3" t="str">
        <f ca="1">IFERROR(__xludf.DUMMYFUNCTION("GOOGLETRANSLATE(B14,""en"",""fr"")"),"www.salesplay.com")</f>
        <v>www.salesplay.com</v>
      </c>
    </row>
    <row r="15" spans="1:6" x14ac:dyDescent="0.25">
      <c r="A15" s="1" t="s">
        <v>32</v>
      </c>
      <c r="B15" s="1" t="s">
        <v>33</v>
      </c>
      <c r="C15" s="1" t="str">
        <f ca="1">IFERROR(__xludf.DUMMYFUNCTION("GOOGLETRANSLATE(B15,""en"",""ar"")"),"SalesPlay + POS App © 2018 SalesPlay POS (PVT) Ltd.")</f>
        <v>SalesPlay + POS App © 2018 SalesPlay POS (PVT) Ltd.</v>
      </c>
      <c r="D15" s="1" t="str">
        <f ca="1">IFERROR(__xludf.DUMMYFUNCTION("GOOGLETRANSLATE(B15,""en"",""zh-CN"")"),"Salesplay + POS应用程序©2018 Salesply POS（PVT）Ltd。")</f>
        <v>Salesplay + POS应用程序©2018 Salesply POS（PVT）Ltd。</v>
      </c>
      <c r="E15" s="1" t="str">
        <f ca="1">IFERROR(__xludf.DUMMYFUNCTION("GOOGLETRANSLATE(B15,""en"",""ja"")"),"Salesplay + POSアプリ©2018 Salesplay POS（PVT）株式会社")</f>
        <v>Salesplay + POSアプリ©2018 Salesplay POS（PVT）株式会社</v>
      </c>
      <c r="F15" s="1" t="str">
        <f ca="1">IFERROR(__xludf.DUMMYFUNCTION("GOOGLETRANSLATE(B15,""en"",""fr"")"),"Vendeur + POS App © 2018 VendeurPlay POS (PVT) Ltd.")</f>
        <v>Vendeur + POS App © 2018 VendeurPlay POS (PVT) Ltd.</v>
      </c>
    </row>
    <row r="16" spans="1:6" x14ac:dyDescent="0.25">
      <c r="A16" s="1" t="s">
        <v>34</v>
      </c>
      <c r="B16" s="1" t="s">
        <v>35</v>
      </c>
      <c r="C16" s="1" t="str">
        <f ca="1">IFERROR(__xludf.DUMMYFUNCTION("GOOGLETRANSLATE(B16,""en"",""ar"")"),"مدعوم من SalesPlay POS")</f>
        <v>مدعوم من SalesPlay POS</v>
      </c>
      <c r="D16" s="1" t="str">
        <f ca="1">IFERROR(__xludf.DUMMYFUNCTION("GOOGLETRANSLATE(B16,""en"",""zh-CN"")"),"由Salesply POS提供支持")</f>
        <v>由Salesply POS提供支持</v>
      </c>
      <c r="E16" s="1" t="str">
        <f ca="1">IFERROR(__xludf.DUMMYFUNCTION("GOOGLETRANSLATE(B16,""en"",""ja"")"),"POOSを搭載")</f>
        <v>POOSを搭載</v>
      </c>
      <c r="F16" s="1" t="str">
        <f ca="1">IFERROR(__xludf.DUMMYFUNCTION("GOOGLETRANSLATE(B16,""en"",""fr"")"),"Propulsé par VendeurPlay POS")</f>
        <v>Propulsé par VendeurPlay POS</v>
      </c>
    </row>
    <row r="17" spans="1:6" x14ac:dyDescent="0.25">
      <c r="A17" s="1" t="s">
        <v>36</v>
      </c>
      <c r="B17" s="1" t="s">
        <v>37</v>
      </c>
      <c r="C17" s="1" t="str">
        <f ca="1">IFERROR(__xludf.DUMMYFUNCTION("GOOGLETRANSLATE(B17,""en"",""ar"")"),"تم الرفض")</f>
        <v>تم الرفض</v>
      </c>
      <c r="D17" s="1" t="str">
        <f ca="1">IFERROR(__xludf.DUMMYFUNCTION("GOOGLETRANSLATE(B17,""en"",""zh-CN"")"),"拒绝访问")</f>
        <v>拒绝访问</v>
      </c>
      <c r="E17" s="1" t="str">
        <f ca="1">IFERROR(__xludf.DUMMYFUNCTION("GOOGLETRANSLATE(B17,""en"",""ja"")"),"アクセスが拒否されました")</f>
        <v>アクセスが拒否されました</v>
      </c>
      <c r="F17" s="1" t="str">
        <f ca="1">IFERROR(__xludf.DUMMYFUNCTION("GOOGLETRANSLATE(B17,""en"",""fr"")"),"Accès refusé")</f>
        <v>Accès refusé</v>
      </c>
    </row>
    <row r="18" spans="1:6" x14ac:dyDescent="0.25">
      <c r="A18" s="1" t="s">
        <v>38</v>
      </c>
      <c r="B18" s="1" t="s">
        <v>39</v>
      </c>
      <c r="C18" s="1" t="str">
        <f ca="1">IFERROR(__xludf.DUMMYFUNCTION("GOOGLETRANSLATE(B18,""en"",""ar"")"),"رسائل التطبيق")</f>
        <v>رسائل التطبيق</v>
      </c>
      <c r="D18" s="1" t="str">
        <f ca="1">IFERROR(__xludf.DUMMYFUNCTION("GOOGLETRANSLATE(B18,""en"",""zh-CN"")"),"应用消息")</f>
        <v>应用消息</v>
      </c>
      <c r="E18" s="1" t="str">
        <f ca="1">IFERROR(__xludf.DUMMYFUNCTION("GOOGLETRANSLATE(B18,""en"",""ja"")"),"アプリのメッセージ")</f>
        <v>アプリのメッセージ</v>
      </c>
      <c r="F18" s="1" t="str">
        <f ca="1">IFERROR(__xludf.DUMMYFUNCTION("GOOGLETRANSLATE(B18,""en"",""fr"")"),"Messages d'application")</f>
        <v>Messages d'application</v>
      </c>
    </row>
    <row r="19" spans="1:6" x14ac:dyDescent="0.25">
      <c r="A19" s="1" t="s">
        <v>40</v>
      </c>
      <c r="B19" s="1" t="s">
        <v>41</v>
      </c>
      <c r="C19" s="1" t="str">
        <f ca="1">IFERROR(__xludf.DUMMYFUNCTION("GOOGLETRANSLATE(B19,""en"",""ar"")"),"لا توجد رسائل")</f>
        <v>لا توجد رسائل</v>
      </c>
      <c r="D19" s="1" t="str">
        <f ca="1">IFERROR(__xludf.DUMMYFUNCTION("GOOGLETRANSLATE(B19,""en"",""zh-CN"")"),"没有消息")</f>
        <v>没有消息</v>
      </c>
      <c r="E19" s="1" t="str">
        <f ca="1">IFERROR(__xludf.DUMMYFUNCTION("GOOGLETRANSLATE(B19,""en"",""ja"")"),"メッセージなし")</f>
        <v>メッセージなし</v>
      </c>
      <c r="F19" s="1" t="str">
        <f ca="1">IFERROR(__xludf.DUMMYFUNCTION("GOOGLETRANSLATE(B19,""en"",""fr"")"),"Pas de messages")</f>
        <v>Pas de messages</v>
      </c>
    </row>
    <row r="20" spans="1:6" x14ac:dyDescent="0.25">
      <c r="C20" s="1" t="str">
        <f ca="1">IFERROR(__xludf.DUMMYFUNCTION("GOOGLETRANSLATE(B20,""en"",""ar"")"),"#VALUE!")</f>
        <v>#VALUE!</v>
      </c>
      <c r="D20" s="1" t="str">
        <f ca="1">IFERROR(__xludf.DUMMYFUNCTION("GOOGLETRANSLATE(B20,""en"",""zh-CN"")"),"#VALUE!")</f>
        <v>#VALUE!</v>
      </c>
      <c r="E20" s="1" t="str">
        <f ca="1">IFERROR(__xludf.DUMMYFUNCTION("GOOGLETRANSLATE(B20,""en"",""ja"")"),"#VALUE!")</f>
        <v>#VALUE!</v>
      </c>
      <c r="F20" s="1" t="str">
        <f ca="1">IFERROR(__xludf.DUMMYFUNCTION("GOOGLETRANSLATE(B20,""en"",""fr"")"),"#VALUE!")</f>
        <v>#VALUE!</v>
      </c>
    </row>
    <row r="21" spans="1:6" ht="15.75" customHeight="1" x14ac:dyDescent="0.25">
      <c r="A21" s="1" t="s">
        <v>42</v>
      </c>
      <c r="B21" s="1" t="s">
        <v>43</v>
      </c>
      <c r="C21" s="1" t="str">
        <f ca="1">IFERROR(__xludf.DUMMYFUNCTION("GOOGLETRANSLATE(B21,""en"",""ar"")"),"الخروج من المبيعات + التطبيق")</f>
        <v>الخروج من المبيعات + التطبيق</v>
      </c>
      <c r="D21" s="1" t="str">
        <f ca="1">IFERROR(__xludf.DUMMYFUNCTION("GOOGLETRANSLATE(B21,""en"",""zh-CN"")"),"退出销售+应用程序")</f>
        <v>退出销售+应用程序</v>
      </c>
      <c r="E21" s="1" t="str">
        <f ca="1">IFERROR(__xludf.DUMMYFUNCTION("GOOGLETRANSLATE(B21,""en"",""ja"")"),"Salesplay +アプリを終了します")</f>
        <v>Salesplay +アプリを終了します</v>
      </c>
      <c r="F21" s="1" t="str">
        <f ca="1">IFERROR(__xludf.DUMMYFUNCTION("GOOGLETRANSLATE(B21,""en"",""fr"")"),"Quitter SalesPlay + App")</f>
        <v>Quitter SalesPlay + App</v>
      </c>
    </row>
    <row r="22" spans="1:6" ht="15.75" customHeight="1" x14ac:dyDescent="0.25">
      <c r="A22" s="1" t="s">
        <v>44</v>
      </c>
      <c r="B22" s="1" t="s">
        <v>45</v>
      </c>
      <c r="C22" s="1" t="str">
        <f ca="1">IFERROR(__xludf.DUMMYFUNCTION("GOOGLETRANSLATE(B22,""en"",""ar"")"),"هل تريد الخروج؟")</f>
        <v>هل تريد الخروج؟</v>
      </c>
      <c r="D22" s="1" t="str">
        <f ca="1">IFERROR(__xludf.DUMMYFUNCTION("GOOGLETRANSLATE(B22,""en"",""zh-CN"")"),"你想离开吗？")</f>
        <v>你想离开吗？</v>
      </c>
      <c r="E22" s="1" t="str">
        <f ca="1">IFERROR(__xludf.DUMMYFUNCTION("GOOGLETRANSLATE(B22,""en"",""ja"")"),"終了しますか？")</f>
        <v>終了しますか？</v>
      </c>
      <c r="F22" s="1" t="str">
        <f ca="1">IFERROR(__xludf.DUMMYFUNCTION("GOOGLETRANSLATE(B22,""en"",""fr"")"),"Voulez-vous sortir?")</f>
        <v>Voulez-vous sortir?</v>
      </c>
    </row>
    <row r="23" spans="1:6" ht="15.75" customHeight="1" x14ac:dyDescent="0.25">
      <c r="A23" s="1" t="s">
        <v>46</v>
      </c>
      <c r="B23" s="1" t="s">
        <v>47</v>
      </c>
      <c r="C23" s="1" t="str">
        <f ca="1">IFERROR(__xludf.DUMMYFUNCTION("GOOGLETRANSLATE(B23,""en"",""ar"")"),"هل أنت متأكد من أنك تريد مسح خلق استلام هذا؟")</f>
        <v>هل أنت متأكد من أنك تريد مسح خلق استلام هذا؟</v>
      </c>
      <c r="D23" s="1" t="str">
        <f ca="1">IFERROR(__xludf.DUMMYFUNCTION("GOOGLETRANSLATE(B23,""en"",""zh-CN"")"),"您确定要清除此收据吗？")</f>
        <v>您确定要清除此收据吗？</v>
      </c>
      <c r="E23" s="1" t="str">
        <f ca="1">IFERROR(__xludf.DUMMYFUNCTION("GOOGLETRANSLATE(B23,""en"",""ja"")"),"この領収書作成をクリアしてよろしいですか？")</f>
        <v>この領収書作成をクリアしてよろしいですか？</v>
      </c>
      <c r="F23" s="1" t="str">
        <f ca="1">IFERROR(__xludf.DUMMYFUNCTION("GOOGLETRANSLATE(B23,""en"",""fr"")"),"Êtes-vous sûr de vouloir effacer cette création de reçu?")</f>
        <v>Êtes-vous sûr de vouloir effacer cette création de reçu?</v>
      </c>
    </row>
    <row r="24" spans="1:6" ht="15.75" customHeight="1" x14ac:dyDescent="0.25">
      <c r="A24" s="1" t="s">
        <v>48</v>
      </c>
      <c r="B24" s="1" t="s">
        <v>49</v>
      </c>
      <c r="C24" s="1" t="str">
        <f ca="1">IFERROR(__xludf.DUMMYFUNCTION("GOOGLETRANSLATE(B24,""en"",""ar"")"),"هل أنت متأكد أنك تريد مسح العربة؟")</f>
        <v>هل أنت متأكد أنك تريد مسح العربة؟</v>
      </c>
      <c r="D24" s="1" t="str">
        <f ca="1">IFERROR(__xludf.DUMMYFUNCTION("GOOGLETRANSLATE(B24,""en"",""zh-CN"")"),"你确定要清除购物车吗？")</f>
        <v>你确定要清除购物车吗？</v>
      </c>
      <c r="E24" s="1" t="str">
        <f ca="1">IFERROR(__xludf.DUMMYFUNCTION("GOOGLETRANSLATE(B24,""en"",""ja"")"),"カートをクリアしてよろしいですか？")</f>
        <v>カートをクリアしてよろしいですか？</v>
      </c>
      <c r="F24" s="1" t="str">
        <f ca="1">IFERROR(__xludf.DUMMYFUNCTION("GOOGLETRANSLATE(B24,""en"",""fr"")"),"Êtes-vous sûr de vouloir effacer le panier?")</f>
        <v>Êtes-vous sûr de vouloir effacer le panier?</v>
      </c>
    </row>
    <row r="25" spans="1:6" ht="15.75" customHeight="1" x14ac:dyDescent="0.25">
      <c r="A25" s="1" t="s">
        <v>50</v>
      </c>
      <c r="B25" s="1" t="s">
        <v>51</v>
      </c>
      <c r="C25" s="1" t="str">
        <f ca="1">IFERROR(__xludf.DUMMYFUNCTION("GOOGLETRANSLATE(B25,""en"",""ar"")"),"مسح الاستلام")</f>
        <v>مسح الاستلام</v>
      </c>
      <c r="D25" s="1" t="str">
        <f ca="1">IFERROR(__xludf.DUMMYFUNCTION("GOOGLETRANSLATE(B25,""en"",""zh-CN"")"),"清除收据")</f>
        <v>清除收据</v>
      </c>
      <c r="E25" s="1" t="str">
        <f ca="1">IFERROR(__xludf.DUMMYFUNCTION("GOOGLETRANSLATE(B25,""en"",""ja"")"),"領収書をクリア")</f>
        <v>領収書をクリア</v>
      </c>
      <c r="F25" s="1" t="str">
        <f ca="1">IFERROR(__xludf.DUMMYFUNCTION("GOOGLETRANSLATE(B25,""en"",""fr"")"),"Effacer le reçu")</f>
        <v>Effacer le reçu</v>
      </c>
    </row>
    <row r="26" spans="1:6" ht="15.75" customHeight="1" x14ac:dyDescent="0.25">
      <c r="A26" s="1" t="s">
        <v>52</v>
      </c>
      <c r="B26" s="1" t="s">
        <v>53</v>
      </c>
      <c r="C26" s="1" t="str">
        <f ca="1">IFERROR(__xludf.DUMMYFUNCTION("GOOGLETRANSLATE(B26,""en"",""ar"")"),"مسح عربة")</f>
        <v>مسح عربة</v>
      </c>
      <c r="D26" s="1" t="str">
        <f ca="1">IFERROR(__xludf.DUMMYFUNCTION("GOOGLETRANSLATE(B26,""en"",""zh-CN"")"),"清除推车")</f>
        <v>清除推车</v>
      </c>
      <c r="E26" s="1" t="str">
        <f ca="1">IFERROR(__xludf.DUMMYFUNCTION("GOOGLETRANSLATE(B26,""en"",""ja"")"),"クリアカート")</f>
        <v>クリアカート</v>
      </c>
      <c r="F26" s="1" t="str">
        <f ca="1">IFERROR(__xludf.DUMMYFUNCTION("GOOGLETRANSLATE(B26,""en"",""fr"")"),"Vider le panier")</f>
        <v>Vider le panier</v>
      </c>
    </row>
    <row r="27" spans="1:6" ht="15.75" customHeight="1" x14ac:dyDescent="0.25">
      <c r="A27" s="1" t="s">
        <v>54</v>
      </c>
      <c r="B27" s="1" t="s">
        <v>55</v>
      </c>
      <c r="C27" s="1" t="str">
        <f ca="1">IFERROR(__xludf.DUMMYFUNCTION("GOOGLETRANSLATE(B27,""en"",""ar"")"),"الخروج من واجهة الاستلام")</f>
        <v>الخروج من واجهة الاستلام</v>
      </c>
      <c r="D27" s="1" t="str">
        <f ca="1">IFERROR(__xludf.DUMMYFUNCTION("GOOGLETRANSLATE(B27,""en"",""zh-CN"")"),"退出收据界面")</f>
        <v>退出收据界面</v>
      </c>
      <c r="E27" s="1" t="str">
        <f ca="1">IFERROR(__xludf.DUMMYFUNCTION("GOOGLETRANSLATE(B27,""en"",""ja"")"),"領収書インターフェースを終了します")</f>
        <v>領収書インターフェースを終了します</v>
      </c>
      <c r="F27" s="1" t="str">
        <f ca="1">IFERROR(__xludf.DUMMYFUNCTION("GOOGLETRANSLATE(B27,""en"",""fr"")"),"Quitter l'interface de reçu")</f>
        <v>Quitter l'interface de reçu</v>
      </c>
    </row>
    <row r="28" spans="1:6" ht="15.75" customHeight="1" x14ac:dyDescent="0.25">
      <c r="A28" s="1" t="s">
        <v>56</v>
      </c>
      <c r="B28" s="1" t="s">
        <v>57</v>
      </c>
      <c r="C28" s="1" t="str">
        <f ca="1">IFERROR(__xludf.DUMMYFUNCTION("GOOGLETRANSLATE(B28,""en"",""ar"")"),"هل ترغب في الخروج من واجهة الاستلام؟")</f>
        <v>هل ترغب في الخروج من واجهة الاستلام؟</v>
      </c>
      <c r="D28" s="1" t="str">
        <f ca="1">IFERROR(__xludf.DUMMYFUNCTION("GOOGLETRANSLATE(B28,""en"",""zh-CN"")"),"您是否要退出收据界面？")</f>
        <v>您是否要退出收据界面？</v>
      </c>
      <c r="E28" s="1" t="str">
        <f ca="1">IFERROR(__xludf.DUMMYFUNCTION("GOOGLETRANSLATE(B28,""en"",""ja"")"),"領収書インターフェースから出ていますか？")</f>
        <v>領収書インターフェースから出ていますか？</v>
      </c>
      <c r="F28" s="1" t="str">
        <f ca="1">IFERROR(__xludf.DUMMYFUNCTION("GOOGLETRANSLATE(B28,""en"",""fr"")"),"Voulez-vous quitter l'interface de reçu?")</f>
        <v>Voulez-vous quitter l'interface de reçu?</v>
      </c>
    </row>
    <row r="29" spans="1:6" ht="15.75" customHeight="1" x14ac:dyDescent="0.25">
      <c r="A29" s="1" t="s">
        <v>58</v>
      </c>
      <c r="B29" s="1" t="s">
        <v>59</v>
      </c>
      <c r="C29" s="1" t="str">
        <f ca="1">IFERROR(__xludf.DUMMYFUNCTION("GOOGLETRANSLATE(B29,""en"",""ar"")"),"تأكيد المعاملة")</f>
        <v>تأكيد المعاملة</v>
      </c>
      <c r="D29" s="1" t="str">
        <f ca="1">IFERROR(__xludf.DUMMYFUNCTION("GOOGLETRANSLATE(B29,""en"",""zh-CN"")"),"确认交易")</f>
        <v>确认交易</v>
      </c>
      <c r="E29" s="1" t="str">
        <f ca="1">IFERROR(__xludf.DUMMYFUNCTION("GOOGLETRANSLATE(B29,""en"",""ja"")"),"トランザクションを確認します")</f>
        <v>トランザクションを確認します</v>
      </c>
      <c r="F29" s="1" t="str">
        <f ca="1">IFERROR(__xludf.DUMMYFUNCTION("GOOGLETRANSLATE(B29,""en"",""fr"")"),"Confirmer la transaction")</f>
        <v>Confirmer la transaction</v>
      </c>
    </row>
    <row r="30" spans="1:6" ht="15.75" customHeight="1" x14ac:dyDescent="0.25">
      <c r="A30" s="1" t="s">
        <v>60</v>
      </c>
      <c r="B30" s="1" t="s">
        <v>61</v>
      </c>
      <c r="C30" s="1" t="str">
        <f ca="1">IFERROR(__xludf.DUMMYFUNCTION("GOOGLETRANSLATE(B30,""en"",""ar"")"),"معاملة الدرج")</f>
        <v>معاملة الدرج</v>
      </c>
      <c r="D30" s="1" t="str">
        <f ca="1">IFERROR(__xludf.DUMMYFUNCTION("GOOGLETRANSLATE(B30,""en"",""zh-CN"")"),"抽屉交易")</f>
        <v>抽屉交易</v>
      </c>
      <c r="E30" s="1" t="str">
        <f ca="1">IFERROR(__xludf.DUMMYFUNCTION("GOOGLETRANSLATE(B30,""en"",""ja"")"),"引き出しトランザクション")</f>
        <v>引き出しトランザクション</v>
      </c>
      <c r="F30" s="1" t="str">
        <f ca="1">IFERROR(__xludf.DUMMYFUNCTION("GOOGLETRANSLATE(B30,""en"",""fr"")"),"Transaction de tiroir")</f>
        <v>Transaction de tiroir</v>
      </c>
    </row>
    <row r="31" spans="1:6" ht="15.75" customHeight="1" x14ac:dyDescent="0.25">
      <c r="A31" s="1" t="s">
        <v>62</v>
      </c>
      <c r="B31" s="1" t="s">
        <v>63</v>
      </c>
      <c r="C31" s="1" t="str">
        <f ca="1">IFERROR(__xludf.DUMMYFUNCTION("GOOGLETRANSLATE(B31,""en"",""ar"")"),"حذف معاملة الدرج")</f>
        <v>حذف معاملة الدرج</v>
      </c>
      <c r="D31" s="1" t="str">
        <f ca="1">IFERROR(__xludf.DUMMYFUNCTION("GOOGLETRANSLATE(B31,""en"",""zh-CN"")"),"删除抽屉事务")</f>
        <v>删除抽屉事务</v>
      </c>
      <c r="E31" s="1" t="str">
        <f ca="1">IFERROR(__xludf.DUMMYFUNCTION("GOOGLETRANSLATE(B31,""en"",""ja"")"),"引き出しトランザクションを削除します")</f>
        <v>引き出しトランザクションを削除します</v>
      </c>
      <c r="F31" s="1" t="str">
        <f ca="1">IFERROR(__xludf.DUMMYFUNCTION("GOOGLETRANSLATE(B31,""en"",""fr"")"),"Supprimer la transaction de tiroir")</f>
        <v>Supprimer la transaction de tiroir</v>
      </c>
    </row>
    <row r="32" spans="1:6" ht="15.75" customHeight="1" x14ac:dyDescent="0.25">
      <c r="A32" s="1" t="s">
        <v>64</v>
      </c>
      <c r="B32" s="1" t="s">
        <v>65</v>
      </c>
      <c r="C32" s="1" t="str">
        <f ca="1">IFERROR(__xludf.DUMMYFUNCTION("GOOGLETRANSLATE(B32,""en"",""ar"")"),"هل تريد بالتأكيد حذف المعاملة؟")</f>
        <v>هل تريد بالتأكيد حذف المعاملة؟</v>
      </c>
      <c r="D32" s="1" t="str">
        <f ca="1">IFERROR(__xludf.DUMMYFUNCTION("GOOGLETRANSLATE(B32,""en"",""zh-CN"")"),"你确定要删除交易吗？")</f>
        <v>你确定要删除交易吗？</v>
      </c>
      <c r="E32" s="1" t="str">
        <f ca="1">IFERROR(__xludf.DUMMYFUNCTION("GOOGLETRANSLATE(B32,""en"",""ja"")"),"あなたは確かに取引を削除したいですか？")</f>
        <v>あなたは確かに取引を削除したいですか？</v>
      </c>
      <c r="F32" s="1" t="str">
        <f ca="1">IFERROR(__xludf.DUMMYFUNCTION("GOOGLETRANSLATE(B32,""en"",""fr"")"),"Êtes-vous sûr que vous voulez supprimer la transaction?")</f>
        <v>Êtes-vous sûr que vous voulez supprimer la transaction?</v>
      </c>
    </row>
    <row r="33" spans="1:6" ht="15.75" customHeight="1" x14ac:dyDescent="0.25">
      <c r="A33" s="1" t="s">
        <v>66</v>
      </c>
      <c r="B33" s="1" t="s">
        <v>67</v>
      </c>
      <c r="C33" s="1" t="str">
        <f ca="1">IFERROR(__xludf.DUMMYFUNCTION("GOOGLETRANSLATE(B33,""en"",""ar"")"),"تسوية الائتمان")</f>
        <v>تسوية الائتمان</v>
      </c>
      <c r="D33" s="1" t="str">
        <f ca="1">IFERROR(__xludf.DUMMYFUNCTION("GOOGLETRANSLATE(B33,""en"",""zh-CN"")"),"信用结算")</f>
        <v>信用结算</v>
      </c>
      <c r="E33" s="1" t="str">
        <f ca="1">IFERROR(__xludf.DUMMYFUNCTION("GOOGLETRANSLATE(B33,""en"",""ja"")"),"クレジット決済")</f>
        <v>クレジット決済</v>
      </c>
      <c r="F33" s="1" t="str">
        <f ca="1">IFERROR(__xludf.DUMMYFUNCTION("GOOGLETRANSLATE(B33,""en"",""fr"")"),"Règlement de crédit")</f>
        <v>Règlement de crédit</v>
      </c>
    </row>
    <row r="34" spans="1:6" ht="15.75" customHeight="1" x14ac:dyDescent="0.25">
      <c r="A34" s="1" t="s">
        <v>68</v>
      </c>
      <c r="B34" s="1" t="s">
        <v>69</v>
      </c>
      <c r="C34" s="1" t="str">
        <f ca="1">IFERROR(__xludf.DUMMYFUNCTION("GOOGLETRANSLATE(B34,""en"",""ar"")"),"قيمة المعاملات الخاصة بك هي")</f>
        <v>قيمة المعاملات الخاصة بك هي</v>
      </c>
      <c r="D34" s="1" t="str">
        <f ca="1">IFERROR(__xludf.DUMMYFUNCTION("GOOGLETRANSLATE(B34,""en"",""zh-CN"")"),"您的交易价值是")</f>
        <v>您的交易价值是</v>
      </c>
      <c r="E34" s="1" t="str">
        <f ca="1">IFERROR(__xludf.DUMMYFUNCTION("GOOGLETRANSLATE(B34,""en"",""ja"")"),"あなたの取引価値はです")</f>
        <v>あなたの取引価値はです</v>
      </c>
      <c r="F34" s="1" t="str">
        <f ca="1">IFERROR(__xludf.DUMMYFUNCTION("GOOGLETRANSLATE(B34,""en"",""fr"")"),"Votre valeur de transaction est")</f>
        <v>Votre valeur de transaction est</v>
      </c>
    </row>
    <row r="35" spans="1:6" ht="15.75" customHeight="1" x14ac:dyDescent="0.25">
      <c r="A35" s="1" t="s">
        <v>70</v>
      </c>
      <c r="B35" s="1" t="s">
        <v>71</v>
      </c>
      <c r="C35" s="1" t="str">
        <f ca="1">IFERROR(__xludf.DUMMYFUNCTION("GOOGLETRANSLATE(B35,""en"",""ar"")"),"هل أنت متأكد أنك تريد متابعة المعاملة؟")</f>
        <v>هل أنت متأكد أنك تريد متابعة المعاملة؟</v>
      </c>
      <c r="D35" s="1" t="str">
        <f ca="1">IFERROR(__xludf.DUMMYFUNCTION("GOOGLETRANSLATE(B35,""en"",""zh-CN"")"),"您确定要继续交易吗？")</f>
        <v>您确定要继续交易吗？</v>
      </c>
      <c r="E35" s="1" t="str">
        <f ca="1">IFERROR(__xludf.DUMMYFUNCTION("GOOGLETRANSLATE(B35,""en"",""ja"")"),"取引を進めますか？")</f>
        <v>取引を進めますか？</v>
      </c>
      <c r="F35" s="1" t="str">
        <f ca="1">IFERROR(__xludf.DUMMYFUNCTION("GOOGLETRANSLATE(B35,""en"",""fr"")"),"Êtes-vous sûr de vouloir procéder à la transaction?")</f>
        <v>Êtes-vous sûr de vouloir procéder à la transaction?</v>
      </c>
    </row>
    <row r="36" spans="1:6" ht="15.75" customHeight="1" x14ac:dyDescent="0.25">
      <c r="A36" s="1" t="s">
        <v>72</v>
      </c>
      <c r="B36" s="1" t="s">
        <v>73</v>
      </c>
      <c r="C36" s="1" t="str">
        <f ca="1">IFERROR(__xludf.DUMMYFUNCTION("GOOGLETRANSLATE(B36,""en"",""ar"")"),"هل ترغب في متابعة هذه الصفقة؟")</f>
        <v>هل ترغب في متابعة هذه الصفقة؟</v>
      </c>
      <c r="D36" s="1" t="str">
        <f ca="1">IFERROR(__xludf.DUMMYFUNCTION("GOOGLETRANSLATE(B36,""en"",""zh-CN"")"),"你想继续这个交易吗？")</f>
        <v>你想继续这个交易吗？</v>
      </c>
      <c r="E36" s="1" t="str">
        <f ca="1">IFERROR(__xludf.DUMMYFUNCTION("GOOGLETRANSLATE(B36,""en"",""ja"")"),"この取引を進めますか？")</f>
        <v>この取引を進めますか？</v>
      </c>
      <c r="F36" s="1" t="str">
        <f ca="1">IFERROR(__xludf.DUMMYFUNCTION("GOOGLETRANSLATE(B36,""en"",""fr"")"),"Voulez-vous procéder à cette transaction?")</f>
        <v>Voulez-vous procéder à cette transaction?</v>
      </c>
    </row>
    <row r="37" spans="1:6" ht="15.75" customHeight="1" x14ac:dyDescent="0.25">
      <c r="A37" s="1" t="s">
        <v>74</v>
      </c>
      <c r="B37" s="1" t="s">
        <v>75</v>
      </c>
      <c r="C37" s="1" t="str">
        <f ca="1">IFERROR(__xludf.DUMMYFUNCTION("GOOGLETRANSLATE(B37,""en"",""ar"")"),"إنشاء كوت")</f>
        <v>إنشاء كوت</v>
      </c>
      <c r="D37" s="1" t="str">
        <f ca="1">IFERROR(__xludf.DUMMYFUNCTION("GOOGLETRANSLATE(B37,""en"",""zh-CN"")"),"创建kot")</f>
        <v>创建kot</v>
      </c>
      <c r="E37" s="1" t="str">
        <f ca="1">IFERROR(__xludf.DUMMYFUNCTION("GOOGLETRANSLATE(B37,""en"",""ja"")"),"kotを作成します")</f>
        <v>kotを作成します</v>
      </c>
      <c r="F37" s="1" t="str">
        <f ca="1">IFERROR(__xludf.DUMMYFUNCTION("GOOGLETRANSLATE(B37,""en"",""fr"")"),"Créer kot")</f>
        <v>Créer kot</v>
      </c>
    </row>
    <row r="38" spans="1:6" ht="15.75" customHeight="1" x14ac:dyDescent="0.25">
      <c r="A38" s="1" t="s">
        <v>76</v>
      </c>
      <c r="B38" s="1" t="s">
        <v>77</v>
      </c>
      <c r="C38" s="1" t="str">
        <f ca="1">IFERROR(__xludf.DUMMYFUNCTION("GOOGLETRANSLATE(B38,""en"",""ar"")"),"رقم كوت")</f>
        <v>رقم كوت</v>
      </c>
      <c r="D38" s="1" t="str">
        <f ca="1">IFERROR(__xludf.DUMMYFUNCTION("GOOGLETRANSLATE(B38,""en"",""zh-CN"")"),"kot号码")</f>
        <v>kot号码</v>
      </c>
      <c r="E38" s="1" t="str">
        <f ca="1">IFERROR(__xludf.DUMMYFUNCTION("GOOGLETRANSLATE(B38,""en"",""ja"")"),"コット数")</f>
        <v>コット数</v>
      </c>
      <c r="F38" s="1" t="str">
        <f ca="1">IFERROR(__xludf.DUMMYFUNCTION("GOOGLETRANSLATE(B38,""en"",""fr"")"),"Numéro de kot")</f>
        <v>Numéro de kot</v>
      </c>
    </row>
    <row r="39" spans="1:6" ht="15.75" customHeight="1" x14ac:dyDescent="0.25">
      <c r="A39" s="1" t="s">
        <v>78</v>
      </c>
      <c r="B39" s="1" t="s">
        <v>79</v>
      </c>
      <c r="C39" s="1" t="str">
        <f ca="1">IFERROR(__xludf.DUMMYFUNCTION("GOOGLETRANSLATE(B39,""en"",""ar"")"),"عقد الاستلام")</f>
        <v>عقد الاستلام</v>
      </c>
      <c r="D39" s="1" t="str">
        <f ca="1">IFERROR(__xludf.DUMMYFUNCTION("GOOGLETRANSLATE(B39,""en"",""zh-CN"")"),"持有收据")</f>
        <v>持有收据</v>
      </c>
      <c r="E39" s="1" t="str">
        <f ca="1">IFERROR(__xludf.DUMMYFUNCTION("GOOGLETRANSLATE(B39,""en"",""ja"")"),"領収書を保持します")</f>
        <v>領収書を保持します</v>
      </c>
      <c r="F39" s="1" t="str">
        <f ca="1">IFERROR(__xludf.DUMMYFUNCTION("GOOGLETRANSLATE(B39,""en"",""fr"")"),"Tenir le reçu")</f>
        <v>Tenir le reçu</v>
      </c>
    </row>
    <row r="40" spans="1:6" ht="15.75" customHeight="1" x14ac:dyDescent="0.25">
      <c r="A40" s="1" t="s">
        <v>80</v>
      </c>
      <c r="B40" s="1" t="s">
        <v>81</v>
      </c>
      <c r="C40" s="1" t="str">
        <f ca="1">IFERROR(__xludf.DUMMYFUNCTION("GOOGLETRANSLATE(B40,""en"",""ar"")"),"تحديث الاستلام المحفوظ")</f>
        <v>تحديث الاستلام المحفوظ</v>
      </c>
      <c r="D40" s="1" t="str">
        <f ca="1">IFERROR(__xludf.DUMMYFUNCTION("GOOGLETRANSLATE(B40,""en"",""zh-CN"")"),"更新已保存的收据")</f>
        <v>更新已保存的收据</v>
      </c>
      <c r="E40" s="1" t="str">
        <f ca="1">IFERROR(__xludf.DUMMYFUNCTION("GOOGLETRANSLATE(B40,""en"",""ja"")"),"保存された領収書の更新")</f>
        <v>保存された領収書の更新</v>
      </c>
      <c r="F40" s="1" t="str">
        <f ca="1">IFERROR(__xludf.DUMMYFUNCTION("GOOGLETRANSLATE(B40,""en"",""fr"")"),"Mettre à jour la réception enregistrée")</f>
        <v>Mettre à jour la réception enregistrée</v>
      </c>
    </row>
    <row r="41" spans="1:6" ht="15.75" customHeight="1" x14ac:dyDescent="0.25">
      <c r="A41" s="1" t="s">
        <v>82</v>
      </c>
      <c r="B41" s="1" t="s">
        <v>83</v>
      </c>
      <c r="C41" s="1" t="str">
        <f ca="1">IFERROR(__xludf.DUMMYFUNCTION("GOOGLETRANSLATE(B41,""en"",""ar"")"),"هل ترغب في تحديث هذا الاستلام؟")</f>
        <v>هل ترغب في تحديث هذا الاستلام؟</v>
      </c>
      <c r="D41" s="1" t="str">
        <f ca="1">IFERROR(__xludf.DUMMYFUNCTION("GOOGLETRANSLATE(B41,""en"",""zh-CN"")"),"你想更新这个收据吗？")</f>
        <v>你想更新这个收据吗？</v>
      </c>
      <c r="E41" s="1" t="str">
        <f ca="1">IFERROR(__xludf.DUMMYFUNCTION("GOOGLETRANSLATE(B41,""en"",""ja"")"),"この領収書を更新しますか？")</f>
        <v>この領収書を更新しますか？</v>
      </c>
      <c r="F41" s="1" t="str">
        <f ca="1">IFERROR(__xludf.DUMMYFUNCTION("GOOGLETRANSLATE(B41,""en"",""fr"")"),"Voulez-vous mettre à jour ce reçu?")</f>
        <v>Voulez-vous mettre à jour ce reçu?</v>
      </c>
    </row>
    <row r="42" spans="1:6" ht="15.75" customHeight="1" x14ac:dyDescent="0.25">
      <c r="A42" s="1" t="s">
        <v>84</v>
      </c>
      <c r="B42" s="1" t="s">
        <v>85</v>
      </c>
      <c r="C42" s="1" t="str">
        <f ca="1">IFERROR(__xludf.DUMMYFUNCTION("GOOGLETRANSLATE(B42,""en"",""ar"")"),"هل أنت متأكد من أنك تريد تحديث هذا الاستلام؟")</f>
        <v>هل أنت متأكد من أنك تريد تحديث هذا الاستلام؟</v>
      </c>
      <c r="D42" s="1" t="str">
        <f ca="1">IFERROR(__xludf.DUMMYFUNCTION("GOOGLETRANSLATE(B42,""en"",""zh-CN"")"),"您确定要更新此条件吗？")</f>
        <v>您确定要更新此条件吗？</v>
      </c>
      <c r="E42" s="1" t="str">
        <f ca="1">IFERROR(__xludf.DUMMYFUNCTION("GOOGLETRANSLATE(B42,""en"",""ja"")"),"この領収書を更新してよろしいですか？")</f>
        <v>この領収書を更新してよろしいですか？</v>
      </c>
      <c r="F42" s="1" t="str">
        <f ca="1">IFERROR(__xludf.DUMMYFUNCTION("GOOGLETRANSLATE(B42,""en"",""fr"")"),"Êtes-vous sûr de vouloir mettre à jour ce reçu?")</f>
        <v>Êtes-vous sûr de vouloir mettre à jour ce reçu?</v>
      </c>
    </row>
    <row r="43" spans="1:6" ht="15.75" customHeight="1" x14ac:dyDescent="0.25">
      <c r="A43" s="1" t="s">
        <v>86</v>
      </c>
      <c r="B43" s="1" t="s">
        <v>87</v>
      </c>
      <c r="C43" s="1" t="str">
        <f ca="1">IFERROR(__xludf.DUMMYFUNCTION("GOOGLETRANSLATE(B43,""en"",""ar"")"),"هل تريد تحديث هذا الطلب؟")</f>
        <v>هل تريد تحديث هذا الطلب؟</v>
      </c>
      <c r="D43" s="1" t="str">
        <f ca="1">IFERROR(__xludf.DUMMYFUNCTION("GOOGLETRANSLATE(B43,""en"",""zh-CN"")"),"你想更新这个订单吗？")</f>
        <v>你想更新这个订单吗？</v>
      </c>
      <c r="E43" s="1" t="str">
        <f ca="1">IFERROR(__xludf.DUMMYFUNCTION("GOOGLETRANSLATE(B43,""en"",""ja"")"),"この注文を更新しますか？")</f>
        <v>この注文を更新しますか？</v>
      </c>
      <c r="F43" s="1" t="str">
        <f ca="1">IFERROR(__xludf.DUMMYFUNCTION("GOOGLETRANSLATE(B43,""en"",""fr"")"),"Voulez-vous mettre à jour cette commande?")</f>
        <v>Voulez-vous mettre à jour cette commande?</v>
      </c>
    </row>
    <row r="44" spans="1:6" ht="15.75" customHeight="1" x14ac:dyDescent="0.25">
      <c r="A44" s="1" t="s">
        <v>88</v>
      </c>
      <c r="B44" s="1" t="s">
        <v>89</v>
      </c>
      <c r="C44" s="1" t="str">
        <f ca="1">IFERROR(__xludf.DUMMYFUNCTION("GOOGLETRANSLATE(B44,""en"",""ar"")"),"فشل اتصال KOT")</f>
        <v>فشل اتصال KOT</v>
      </c>
      <c r="D44" s="1" t="str">
        <f ca="1">IFERROR(__xludf.DUMMYFUNCTION("GOOGLETRANSLATE(B44,""en"",""zh-CN"")"),"KOT连接失败")</f>
        <v>KOT连接失败</v>
      </c>
      <c r="E44" s="1" t="str">
        <f ca="1">IFERROR(__xludf.DUMMYFUNCTION("GOOGLETRANSLATE(B44,""en"",""ja"")"),"KOT接続に失敗しました")</f>
        <v>KOT接続に失敗しました</v>
      </c>
      <c r="F44" s="1" t="str">
        <f ca="1">IFERROR(__xludf.DUMMYFUNCTION("GOOGLETRANSLATE(B44,""en"",""fr"")"),"Connexion Kot a échoué")</f>
        <v>Connexion Kot a échoué</v>
      </c>
    </row>
    <row r="45" spans="1:6" ht="15.75" customHeight="1" x14ac:dyDescent="0.25">
      <c r="A45" s="1" t="s">
        <v>90</v>
      </c>
      <c r="B45" s="1" t="s">
        <v>91</v>
      </c>
      <c r="C45" s="1" t="str">
        <f ca="1">IFERROR(__xludf.DUMMYFUNCTION("GOOGLETRANSLATE(B45,""en"",""ar"")"),"رقم الأمر")</f>
        <v>رقم الأمر</v>
      </c>
      <c r="D45" s="1" t="str">
        <f ca="1">IFERROR(__xludf.DUMMYFUNCTION("GOOGLETRANSLATE(B45,""en"",""zh-CN"")"),"订单号")</f>
        <v>订单号</v>
      </c>
      <c r="E45" s="1" t="str">
        <f ca="1">IFERROR(__xludf.DUMMYFUNCTION("GOOGLETRANSLATE(B45,""en"",""ja"")"),"注文番号")</f>
        <v>注文番号</v>
      </c>
      <c r="F45" s="1" t="str">
        <f ca="1">IFERROR(__xludf.DUMMYFUNCTION("GOOGLETRANSLATE(B45,""en"",""fr"")"),"Numéro de commande")</f>
        <v>Numéro de commande</v>
      </c>
    </row>
    <row r="46" spans="1:6" ht="15.75" customHeight="1" x14ac:dyDescent="0.25">
      <c r="A46" s="1" t="s">
        <v>92</v>
      </c>
      <c r="B46" s="1" t="s">
        <v>93</v>
      </c>
      <c r="C46" s="1" t="str">
        <f ca="1">IFERROR(__xludf.DUMMYFUNCTION("GOOGLETRANSLATE(B46,""en"",""ar"")"),"إنشاء النظام")</f>
        <v>إنشاء النظام</v>
      </c>
      <c r="D46" s="1" t="str">
        <f ca="1">IFERROR(__xludf.DUMMYFUNCTION("GOOGLETRANSLATE(B46,""en"",""zh-CN"")"),"创建订单")</f>
        <v>创建订单</v>
      </c>
      <c r="E46" s="1" t="str">
        <f ca="1">IFERROR(__xludf.DUMMYFUNCTION("GOOGLETRANSLATE(B46,""en"",""ja"")"),"命令を作成します")</f>
        <v>命令を作成します</v>
      </c>
      <c r="F46" s="1" t="str">
        <f ca="1">IFERROR(__xludf.DUMMYFUNCTION("GOOGLETRANSLATE(B46,""en"",""fr"")"),"Commander")</f>
        <v>Commander</v>
      </c>
    </row>
    <row r="47" spans="1:6" ht="15.75" customHeight="1" x14ac:dyDescent="0.25">
      <c r="A47" s="1" t="s">
        <v>94</v>
      </c>
      <c r="B47" s="1" t="s">
        <v>95</v>
      </c>
      <c r="C47" s="1" t="str">
        <f ca="1">IFERROR(__xludf.DUMMYFUNCTION("GOOGLETRANSLATE(B47,""en"",""ar"")"),"إنشاء حجز")</f>
        <v>إنشاء حجز</v>
      </c>
      <c r="D47" s="1" t="str">
        <f ca="1">IFERROR(__xludf.DUMMYFUNCTION("GOOGLETRANSLATE(B47,""en"",""zh-CN"")"),"创建预订")</f>
        <v>创建预订</v>
      </c>
      <c r="E47" s="1" t="str">
        <f ca="1">IFERROR(__xludf.DUMMYFUNCTION("GOOGLETRANSLATE(B47,""en"",""ja"")"),"予約を作成します")</f>
        <v>予約を作成します</v>
      </c>
      <c r="F47" s="1" t="str">
        <f ca="1">IFERROR(__xludf.DUMMYFUNCTION("GOOGLETRANSLATE(B47,""en"",""fr"")"),"Créer une réservation")</f>
        <v>Créer une réservation</v>
      </c>
    </row>
    <row r="48" spans="1:6" ht="15.75" customHeight="1" x14ac:dyDescent="0.25">
      <c r="A48" s="1" t="s">
        <v>96</v>
      </c>
      <c r="B48" s="1" t="s">
        <v>97</v>
      </c>
      <c r="C48" s="1" t="str">
        <f ca="1">IFERROR(__xludf.DUMMYFUNCTION("GOOGLETRANSLATE(B48,""en"",""ar"")"),"تحديث أمر العميل")</f>
        <v>تحديث أمر العميل</v>
      </c>
      <c r="D48" s="1" t="str">
        <f ca="1">IFERROR(__xludf.DUMMYFUNCTION("GOOGLETRANSLATE(B48,""en"",""zh-CN"")"),"更新客户订单")</f>
        <v>更新客户订单</v>
      </c>
      <c r="E48" s="1" t="str">
        <f ca="1">IFERROR(__xludf.DUMMYFUNCTION("GOOGLETRANSLATE(B48,""en"",""ja"")"),"顧客の注文を更新します")</f>
        <v>顧客の注文を更新します</v>
      </c>
      <c r="F48" s="1" t="str">
        <f ca="1">IFERROR(__xludf.DUMMYFUNCTION("GOOGLETRANSLATE(B48,""en"",""fr"")"),"Mettre à jour la commande client")</f>
        <v>Mettre à jour la commande client</v>
      </c>
    </row>
    <row r="49" spans="1:6" ht="15.75" customHeight="1" x14ac:dyDescent="0.25">
      <c r="A49" s="1" t="s">
        <v>98</v>
      </c>
      <c r="B49" s="1" t="s">
        <v>99</v>
      </c>
      <c r="C49" s="1" t="str">
        <f ca="1">IFERROR(__xludf.DUMMYFUNCTION("GOOGLETRANSLATE(B49,""en"",""ar"")"),"عقد الاستلام")</f>
        <v>عقد الاستلام</v>
      </c>
      <c r="D49" s="1" t="str">
        <f ca="1">IFERROR(__xludf.DUMMYFUNCTION("GOOGLETRANSLATE(B49,""en"",""zh-CN"")"),"持有收据")</f>
        <v>持有收据</v>
      </c>
      <c r="E49" s="1" t="str">
        <f ca="1">IFERROR(__xludf.DUMMYFUNCTION("GOOGLETRANSLATE(B49,""en"",""ja"")"),"保留領収書")</f>
        <v>保留領収書</v>
      </c>
      <c r="F49" s="1" t="str">
        <f ca="1">IFERROR(__xludf.DUMMYFUNCTION("GOOGLETRANSLATE(B49,""en"",""fr"")"),"Tenir la réception")</f>
        <v>Tenir la réception</v>
      </c>
    </row>
    <row r="50" spans="1:6" ht="15.75" customHeight="1" x14ac:dyDescent="0.25">
      <c r="A50" s="1" t="s">
        <v>100</v>
      </c>
      <c r="B50" s="1" t="s">
        <v>101</v>
      </c>
      <c r="C50" s="1" t="str">
        <f ca="1">IFERROR(__xludf.DUMMYFUNCTION("GOOGLETRANSLATE(B50,""en"",""ar"")"),"حذف الاستلام")</f>
        <v>حذف الاستلام</v>
      </c>
      <c r="D50" s="1" t="str">
        <f ca="1">IFERROR(__xludf.DUMMYFUNCTION("GOOGLETRANSLATE(B50,""en"",""zh-CN"")"),"删除收据")</f>
        <v>删除收据</v>
      </c>
      <c r="E50" s="1" t="str">
        <f ca="1">IFERROR(__xludf.DUMMYFUNCTION("GOOGLETRANSLATE(B50,""en"",""ja"")"),"保留領収書を削除します")</f>
        <v>保留領収書を削除します</v>
      </c>
      <c r="F50" s="1" t="str">
        <f ca="1">IFERROR(__xludf.DUMMYFUNCTION("GOOGLETRANSLATE(B50,""en"",""fr"")"),"Supprimer le reçu de maintien")</f>
        <v>Supprimer le reçu de maintien</v>
      </c>
    </row>
    <row r="51" spans="1:6" ht="15.75" customHeight="1" x14ac:dyDescent="0.25">
      <c r="A51" s="1" t="s">
        <v>102</v>
      </c>
      <c r="B51" s="1" t="s">
        <v>103</v>
      </c>
      <c r="C51" s="1" t="str">
        <f ca="1">IFERROR(__xludf.DUMMYFUNCTION("GOOGLETRANSLATE(B51,""en"",""ar"")"),"هل تريد إلغاء هذا الاستلام؟")</f>
        <v>هل تريد إلغاء هذا الاستلام؟</v>
      </c>
      <c r="D51" s="1" t="str">
        <f ca="1">IFERROR(__xludf.DUMMYFUNCTION("GOOGLETRANSLATE(B51,""en"",""zh-CN"")"),"你想取消这个收据吗？")</f>
        <v>你想取消这个收据吗？</v>
      </c>
      <c r="E51" s="1" t="str">
        <f ca="1">IFERROR(__xludf.DUMMYFUNCTION("GOOGLETRANSLATE(B51,""en"",""ja"")"),"この領収書をキャンセルしますか？")</f>
        <v>この領収書をキャンセルしますか？</v>
      </c>
      <c r="F51" s="1" t="str">
        <f ca="1">IFERROR(__xludf.DUMMYFUNCTION("GOOGLETRANSLATE(B51,""en"",""fr"")"),"Voulez-vous annuler ce reçu?")</f>
        <v>Voulez-vous annuler ce reçu?</v>
      </c>
    </row>
    <row r="52" spans="1:6" ht="15.75" customHeight="1" x14ac:dyDescent="0.25">
      <c r="A52" s="1" t="s">
        <v>104</v>
      </c>
      <c r="B52" s="1" t="s">
        <v>105</v>
      </c>
      <c r="C52" s="1" t="str">
        <f ca="1">IFERROR(__xludf.DUMMYFUNCTION("GOOGLETRANSLATE(B52,""en"",""ar"")"),"هل أنت متأكد من أنك تريد حذف هذا الاستلام؟")</f>
        <v>هل أنت متأكد من أنك تريد حذف هذا الاستلام؟</v>
      </c>
      <c r="D52" s="1" t="str">
        <f ca="1">IFERROR(__xludf.DUMMYFUNCTION("GOOGLETRANSLATE(B52,""en"",""zh-CN"")"),"你确定要删除此收据吗？")</f>
        <v>你确定要删除此收据吗？</v>
      </c>
      <c r="E52" s="1" t="str">
        <f ca="1">IFERROR(__xludf.DUMMYFUNCTION("GOOGLETRANSLATE(B52,""en"",""ja"")"),"あなたは確かにこの領収書を削除したいですか？")</f>
        <v>あなたは確かにこの領収書を削除したいですか？</v>
      </c>
      <c r="F52" s="1" t="str">
        <f ca="1">IFERROR(__xludf.DUMMYFUNCTION("GOOGLETRANSLATE(B52,""en"",""fr"")"),"Êtes-vous sûr que vous voulez supprimer ce reçu?")</f>
        <v>Êtes-vous sûr que vous voulez supprimer ce reçu?</v>
      </c>
    </row>
    <row r="53" spans="1:6" ht="15.75" customHeight="1" x14ac:dyDescent="0.25">
      <c r="A53" s="1" t="s">
        <v>106</v>
      </c>
      <c r="B53" s="1" t="s">
        <v>107</v>
      </c>
      <c r="C53" s="1" t="str">
        <f ca="1">IFERROR(__xludf.DUMMYFUNCTION("GOOGLETRANSLATE(B53,""en"",""ar"")"),"إلغاء كوت")</f>
        <v>إلغاء كوت</v>
      </c>
      <c r="D53" s="1" t="str">
        <f ca="1">IFERROR(__xludf.DUMMYFUNCTION("GOOGLETRANSLATE(B53,""en"",""zh-CN"")"),"取消kot")</f>
        <v>取消kot</v>
      </c>
      <c r="E53" s="1" t="str">
        <f ca="1">IFERROR(__xludf.DUMMYFUNCTION("GOOGLETRANSLATE(B53,""en"",""ja"")"),"kotをキャンセルします")</f>
        <v>kotをキャンセルします</v>
      </c>
      <c r="F53" s="1" t="str">
        <f ca="1">IFERROR(__xludf.DUMMYFUNCTION("GOOGLETRANSLATE(B53,""en"",""fr"")"),"Annuler kot")</f>
        <v>Annuler kot</v>
      </c>
    </row>
    <row r="54" spans="1:6" ht="15.75" customHeight="1" x14ac:dyDescent="0.25">
      <c r="A54" s="1" t="s">
        <v>108</v>
      </c>
      <c r="B54" s="1" t="s">
        <v>109</v>
      </c>
      <c r="C54" s="1" t="str">
        <f ca="1">IFERROR(__xludf.DUMMYFUNCTION("GOOGLETRANSLATE(B54,""en"",""ar"")"),"طابور")</f>
        <v>طابور</v>
      </c>
      <c r="D54" s="1" t="str">
        <f ca="1">IFERROR(__xludf.DUMMYFUNCTION("GOOGLETRANSLATE(B54,""en"",""zh-CN"")"),"队列")</f>
        <v>队列</v>
      </c>
      <c r="E54" s="1" t="str">
        <f ca="1">IFERROR(__xludf.DUMMYFUNCTION("GOOGLETRANSLATE(B54,""en"",""ja"")"),"列")</f>
        <v>列</v>
      </c>
      <c r="F54" s="1" t="str">
        <f ca="1">IFERROR(__xludf.DUMMYFUNCTION("GOOGLETRANSLATE(B54,""en"",""fr"")"),"File d'attente")</f>
        <v>File d'attente</v>
      </c>
    </row>
    <row r="55" spans="1:6" ht="15.75" customHeight="1" x14ac:dyDescent="0.25">
      <c r="A55" s="1" t="s">
        <v>110</v>
      </c>
      <c r="B55" s="1" t="s">
        <v>111</v>
      </c>
      <c r="C55" s="1" t="str">
        <f ca="1">IFERROR(__xludf.DUMMYFUNCTION("GOOGLETRANSLATE(B55,""en"",""ar"")"),"هل تريد إلغاء كوت لا")</f>
        <v>هل تريد إلغاء كوت لا</v>
      </c>
      <c r="D55" s="1" t="str">
        <f ca="1">IFERROR(__xludf.DUMMYFUNCTION("GOOGLETRANSLATE(B55,""en"",""zh-CN"")"),"你想取消kot no")</f>
        <v>你想取消kot no</v>
      </c>
      <c r="E55" s="1" t="str">
        <f ca="1">IFERROR(__xludf.DUMMYFUNCTION("GOOGLETRANSLATE(B55,""en"",""ja"")"),"コットノーをキャンセルしますか")</f>
        <v>コットノーをキャンセルしますか</v>
      </c>
      <c r="F55" s="1" t="str">
        <f ca="1">IFERROR(__xludf.DUMMYFUNCTION("GOOGLETRANSLATE(B55,""en"",""fr"")"),"Voulez-vous annuler kot no")</f>
        <v>Voulez-vous annuler kot no</v>
      </c>
    </row>
    <row r="56" spans="1:6" ht="15.75" customHeight="1" x14ac:dyDescent="0.25">
      <c r="A56" s="1" t="s">
        <v>112</v>
      </c>
      <c r="B56" s="1" t="s">
        <v>113</v>
      </c>
      <c r="C56" s="1" t="str">
        <f ca="1">IFERROR(__xludf.DUMMYFUNCTION("GOOGLETRANSLATE(B56,""en"",""ar"")"),"هل أنت متأكد أنك تريد الانتهاء؟")</f>
        <v>هل أنت متأكد أنك تريد الانتهاء؟</v>
      </c>
      <c r="D56" s="1" t="str">
        <f ca="1">IFERROR(__xludf.DUMMYFUNCTION("GOOGLETRANSLATE(B56,""en"",""zh-CN"")"),"你确定要完成吗？")</f>
        <v>你确定要完成吗？</v>
      </c>
      <c r="E56" s="1" t="str">
        <f ca="1">IFERROR(__xludf.DUMMYFUNCTION("GOOGLETRANSLATE(B56,""en"",""ja"")"),"あなたは確かに終わりたいですか？")</f>
        <v>あなたは確かに終わりたいですか？</v>
      </c>
      <c r="F56" s="1" t="str">
        <f ca="1">IFERROR(__xludf.DUMMYFUNCTION("GOOGLETRANSLATE(B56,""en"",""fr"")"),"Êtes-vous sûr de vouloir finir?")</f>
        <v>Êtes-vous sûr de vouloir finir?</v>
      </c>
    </row>
    <row r="57" spans="1:6" ht="15.75" customHeight="1" x14ac:dyDescent="0.25">
      <c r="A57" s="1" t="s">
        <v>114</v>
      </c>
      <c r="B57" s="1" t="s">
        <v>115</v>
      </c>
      <c r="C57" s="1" t="str">
        <f ca="1">IFERROR(__xludf.DUMMYFUNCTION("GOOGLETRANSLATE(B57,""en"",""ar"")"),"هل أنت متأكد أنك تريد حذف ؟")</f>
        <v>هل أنت متأكد أنك تريد حذف ؟</v>
      </c>
      <c r="D57" s="1" t="str">
        <f ca="1">IFERROR(__xludf.DUMMYFUNCTION("GOOGLETRANSLATE(B57,""en"",""zh-CN"")"),"你确定你要删除 ？")</f>
        <v>你确定你要删除 ？</v>
      </c>
      <c r="E57" s="1" t="str">
        <f ca="1">IFERROR(__xludf.DUMMYFUNCTION("GOOGLETRANSLATE(B57,""en"",""ja"")"),"消去してもよろしいですか ？")</f>
        <v>消去してもよろしいですか ？</v>
      </c>
      <c r="F57" s="1" t="str">
        <f ca="1">IFERROR(__xludf.DUMMYFUNCTION("GOOGLETRANSLATE(B57,""en"",""fr"")"),"Etes-vous sûr que vous voulez supprimer ?")</f>
        <v>Etes-vous sûr que vous voulez supprimer ?</v>
      </c>
    </row>
    <row r="58" spans="1:6" ht="15.75" customHeight="1" x14ac:dyDescent="0.25">
      <c r="A58" s="1" t="s">
        <v>116</v>
      </c>
      <c r="B58" s="1" t="s">
        <v>117</v>
      </c>
      <c r="C58" s="1" t="str">
        <f ca="1">IFERROR(__xludf.DUMMYFUNCTION("GOOGLETRANSLATE(B58,""en"",""ar"")"),"إرسال")</f>
        <v>إرسال</v>
      </c>
      <c r="D58" s="1" t="str">
        <f ca="1">IFERROR(__xludf.DUMMYFUNCTION("GOOGLETRANSLATE(B58,""en"",""zh-CN"")"),"提交")</f>
        <v>提交</v>
      </c>
      <c r="E58" s="1" t="str">
        <f ca="1">IFERROR(__xludf.DUMMYFUNCTION("GOOGLETRANSLATE(B58,""en"",""ja"")"),"送信")</f>
        <v>送信</v>
      </c>
      <c r="F58" s="1" t="str">
        <f ca="1">IFERROR(__xludf.DUMMYFUNCTION("GOOGLETRANSLATE(B58,""en"",""fr"")"),"Soumettre")</f>
        <v>Soumettre</v>
      </c>
    </row>
    <row r="59" spans="1:6" ht="15.75" customHeight="1" x14ac:dyDescent="0.25">
      <c r="A59" s="1" t="s">
        <v>118</v>
      </c>
      <c r="B59" s="1" t="s">
        <v>119</v>
      </c>
      <c r="C59" s="1" t="str">
        <f ca="1">IFERROR(__xludf.DUMMYFUNCTION("GOOGLETRANSLATE(B59,""en"",""ar"")"),"اشتري الآن")</f>
        <v>اشتري الآن</v>
      </c>
      <c r="D59" s="1" t="str">
        <f ca="1">IFERROR(__xludf.DUMMYFUNCTION("GOOGLETRANSLATE(B59,""en"",""zh-CN"")"),"立即购买")</f>
        <v>立即购买</v>
      </c>
      <c r="E59" s="1" t="str">
        <f ca="1">IFERROR(__xludf.DUMMYFUNCTION("GOOGLETRANSLATE(B59,""en"",""ja"")"),"今買う")</f>
        <v>今買う</v>
      </c>
      <c r="F59" s="1" t="str">
        <f ca="1">IFERROR(__xludf.DUMMYFUNCTION("GOOGLETRANSLATE(B59,""en"",""fr"")"),"Acheter maintenant")</f>
        <v>Acheter maintenant</v>
      </c>
    </row>
    <row r="60" spans="1:6" ht="15.75" customHeight="1" x14ac:dyDescent="0.25">
      <c r="A60" s="1" t="s">
        <v>120</v>
      </c>
      <c r="B60" s="1" t="s">
        <v>121</v>
      </c>
      <c r="C60" s="1" t="str">
        <f ca="1">IFERROR(__xludf.DUMMYFUNCTION("GOOGLETRANSLATE(B60,""en"",""ar"")"),"إذا كان لديك بالفعل مفتاح")</f>
        <v>إذا كان لديك بالفعل مفتاح</v>
      </c>
      <c r="D60" s="1" t="str">
        <f ca="1">IFERROR(__xludf.DUMMYFUNCTION("GOOGLETRANSLATE(B60,""en"",""zh-CN"")"),"如果你已经有了一个关键")</f>
        <v>如果你已经有了一个关键</v>
      </c>
      <c r="E60" s="1" t="str">
        <f ca="1">IFERROR(__xludf.DUMMYFUNCTION("GOOGLETRANSLATE(B60,""en"",""ja"")"),"すでに鍵がある場合")</f>
        <v>すでに鍵がある場合</v>
      </c>
      <c r="F60" s="1" t="str">
        <f ca="1">IFERROR(__xludf.DUMMYFUNCTION("GOOGLETRANSLATE(B60,""en"",""fr"")"),"Si vous avez déjà une clé")</f>
        <v>Si vous avez déjà une clé</v>
      </c>
    </row>
    <row r="61" spans="1:6" ht="15.75" customHeight="1" x14ac:dyDescent="0.25">
      <c r="A61" s="1" t="s">
        <v>122</v>
      </c>
      <c r="B61" s="1" t="s">
        <v>123</v>
      </c>
      <c r="C61" s="1" t="str">
        <f ca="1">IFERROR(__xludf.DUMMYFUNCTION("GOOGLETRANSLATE(B61,""en"",""ar"")"),"يرجى الانتظار، يتم إعداد التطبيق.")</f>
        <v>يرجى الانتظار، يتم إعداد التطبيق.</v>
      </c>
      <c r="D61" s="1" t="str">
        <f ca="1">IFERROR(__xludf.DUMMYFUNCTION("GOOGLETRANSLATE(B61,""en"",""zh-CN"")"),"请等待，正在设置应用程序。")</f>
        <v>请等待，正在设置应用程序。</v>
      </c>
      <c r="E61" s="1" t="str">
        <f ca="1">IFERROR(__xludf.DUMMYFUNCTION("GOOGLETRANSLATE(B61,""en"",""ja"")"),"お待ちください、アプリケーションが設定されています。")</f>
        <v>お待ちください、アプリケーションが設定されています。</v>
      </c>
      <c r="F61" s="1" t="str">
        <f ca="1">IFERROR(__xludf.DUMMYFUNCTION("GOOGLETRANSLATE(B61,""en"",""fr"")"),"Veuillez patienter, l'application est en cours de configuration.")</f>
        <v>Veuillez patienter, l'application est en cours de configuration.</v>
      </c>
    </row>
    <row r="62" spans="1:6" ht="15.75" customHeight="1" x14ac:dyDescent="0.25">
      <c r="A62" s="1" t="s">
        <v>124</v>
      </c>
      <c r="B62" s="1" t="s">
        <v>125</v>
      </c>
      <c r="C62" s="1" t="str">
        <f ca="1">IFERROR(__xludf.DUMMYFUNCTION("GOOGLETRANSLATE(B62,""en"",""ar"")"),"تنزيل بيانات نموذجية، قد يستغرق الأمر حوالي 30 ثانية اعتمادا على سرعة الإنترنت الخاصة بك.")</f>
        <v>تنزيل بيانات نموذجية، قد يستغرق الأمر حوالي 30 ثانية اعتمادا على سرعة الإنترنت الخاصة بك.</v>
      </c>
      <c r="D62" s="1" t="str">
        <f ca="1">IFERROR(__xludf.DUMMYFUNCTION("GOOGLETRANSLATE(B62,""en"",""zh-CN"")"),"下载示例数据，可能需要大约30秒，具体取决于您的互联网速度。")</f>
        <v>下载示例数据，可能需要大约30秒，具体取决于您的互联网速度。</v>
      </c>
      <c r="E62" s="1" t="str">
        <f ca="1">IFERROR(__xludf.DUMMYFUNCTION("GOOGLETRANSLATE(B62,""en"",""ja"")"),"サンプルデータのダウンロードは、インターネットの速度によっては約30秒かかる場合があります。")</f>
        <v>サンプルデータのダウンロードは、インターネットの速度によっては約30秒かかる場合があります。</v>
      </c>
      <c r="F62" s="1" t="str">
        <f ca="1">IFERROR(__xludf.DUMMYFUNCTION("GOOGLETRANSLATE(B62,""en"",""fr"")"),"Téléchargement de données d'échantillonnage, il peut prendre environ 30 secondes en fonction de votre vitesse Internet.")</f>
        <v>Téléchargement de données d'échantillonnage, il peut prendre environ 30 secondes en fonction de votre vitesse Internet.</v>
      </c>
    </row>
    <row r="63" spans="1:6" ht="15.75" customHeight="1" x14ac:dyDescent="0.25">
      <c r="A63" s="1" t="s">
        <v>126</v>
      </c>
      <c r="B63" s="1" t="s">
        <v>127</v>
      </c>
      <c r="C63" s="1" t="str">
        <f ca="1">IFERROR(__xludf.DUMMYFUNCTION("GOOGLETRANSLATE(B63,""en"",""ar"")"),"شراء")</f>
        <v>شراء</v>
      </c>
      <c r="D63" s="1" t="str">
        <f ca="1">IFERROR(__xludf.DUMMYFUNCTION("GOOGLETRANSLATE(B63,""en"",""zh-CN"")"),"购买")</f>
        <v>购买</v>
      </c>
      <c r="E63" s="1" t="str">
        <f ca="1">IFERROR(__xludf.DUMMYFUNCTION("GOOGLETRANSLATE(B63,""en"",""ja"")"),"購入")</f>
        <v>購入</v>
      </c>
      <c r="F63" s="1" t="str">
        <f ca="1">IFERROR(__xludf.DUMMYFUNCTION("GOOGLETRANSLATE(B63,""en"",""fr"")"),"Acheter")</f>
        <v>Acheter</v>
      </c>
    </row>
    <row r="64" spans="1:6" ht="15.75" customHeight="1" x14ac:dyDescent="0.25">
      <c r="A64" s="1" t="s">
        <v>128</v>
      </c>
      <c r="B64" s="1" t="s">
        <v>53</v>
      </c>
      <c r="C64" s="1" t="str">
        <f ca="1">IFERROR(__xludf.DUMMYFUNCTION("GOOGLETRANSLATE(B64,""en"",""ar"")"),"مسح عربة")</f>
        <v>مسح عربة</v>
      </c>
      <c r="D64" s="1" t="str">
        <f ca="1">IFERROR(__xludf.DUMMYFUNCTION("GOOGLETRANSLATE(B64,""en"",""zh-CN"")"),"清除推车")</f>
        <v>清除推车</v>
      </c>
      <c r="E64" s="1" t="str">
        <f ca="1">IFERROR(__xludf.DUMMYFUNCTION("GOOGLETRANSLATE(B64,""en"",""ja"")"),"クリアカート")</f>
        <v>クリアカート</v>
      </c>
      <c r="F64" s="1" t="str">
        <f ca="1">IFERROR(__xludf.DUMMYFUNCTION("GOOGLETRANSLATE(B64,""en"",""fr"")"),"Vider le panier")</f>
        <v>Vider le panier</v>
      </c>
    </row>
    <row r="65" spans="1:6" ht="15.75" customHeight="1" x14ac:dyDescent="0.25">
      <c r="A65" s="1" t="s">
        <v>129</v>
      </c>
      <c r="B65" s="1" t="s">
        <v>130</v>
      </c>
      <c r="C65" s="1" t="str">
        <f ca="1">IFERROR(__xludf.DUMMYFUNCTION("GOOGLETRANSLATE(B65,""en"",""ar"")"),"سجل لبوابة المكتب الخلفي")</f>
        <v>سجل لبوابة المكتب الخلفي</v>
      </c>
      <c r="D65" s="1" t="str">
        <f ca="1">IFERROR(__xludf.DUMMYFUNCTION("GOOGLETRANSLATE(B65,""en"",""zh-CN"")"),"注册后台Web Portal")</f>
        <v>注册后台Web Portal</v>
      </c>
      <c r="E65" s="1" t="str">
        <f ca="1">IFERROR(__xludf.DUMMYFUNCTION("GOOGLETRANSLATE(B65,""en"",""ja"")"),"バックオフィスのWeb Portalに登録します")</f>
        <v>バックオフィスのWeb Portalに登録します</v>
      </c>
      <c r="F65" s="1" t="str">
        <f ca="1">IFERROR(__xludf.DUMMYFUNCTION("GOOGLETRANSLATE(B65,""en"",""fr"")"),"Inscrivez-vous au portail Web Back Office")</f>
        <v>Inscrivez-vous au portail Web Back Office</v>
      </c>
    </row>
    <row r="66" spans="1:6" ht="15.75" customHeight="1" x14ac:dyDescent="0.25">
      <c r="A66" s="1" t="s">
        <v>131</v>
      </c>
      <c r="B66" s="1" t="s">
        <v>132</v>
      </c>
      <c r="C66" s="1" t="str">
        <f ca="1">IFERROR(__xludf.DUMMYFUNCTION("GOOGLETRANSLATE(B66,""en"",""ar"")"),"يرجى الانتظار، يتم إعداد التطبيق. قد يستغرق الأمر بضع ثوان")</f>
        <v>يرجى الانتظار، يتم إعداد التطبيق. قد يستغرق الأمر بضع ثوان</v>
      </c>
      <c r="D66" s="1" t="str">
        <f ca="1">IFERROR(__xludf.DUMMYFUNCTION("GOOGLETRANSLATE(B66,""en"",""zh-CN"")"),"请等待，正在设置应用程序。可能需要几秒钟")</f>
        <v>请等待，正在设置应用程序。可能需要几秒钟</v>
      </c>
      <c r="E66" s="1" t="str">
        <f ca="1">IFERROR(__xludf.DUMMYFUNCTION("GOOGLETRANSLATE(B66,""en"",""ja"")"),"お待ちください、アプリケーションが設定されています。数秒かかる場合があります")</f>
        <v>お待ちください、アプリケーションが設定されています。数秒かかる場合があります</v>
      </c>
      <c r="F66" s="1" t="str">
        <f ca="1">IFERROR(__xludf.DUMMYFUNCTION("GOOGLETRANSLATE(B66,""en"",""fr"")"),"Veuillez patienter, l'application est en cours de configuration. Cela peut prendre quelques secondes")</f>
        <v>Veuillez patienter, l'application est en cours de configuration. Cela peut prendre quelques secondes</v>
      </c>
    </row>
    <row r="67" spans="1:6" ht="15.75" customHeight="1" x14ac:dyDescent="0.25">
      <c r="A67" s="1" t="s">
        <v>133</v>
      </c>
      <c r="B67" s="1" t="s">
        <v>134</v>
      </c>
      <c r="C67" s="1" t="str">
        <f ca="1">IFERROR(__xludf.DUMMYFUNCTION("GOOGLETRANSLATE(B67,""en"",""ar"")"),"إستمارة تسجيل")</f>
        <v>إستمارة تسجيل</v>
      </c>
      <c r="D67" s="1" t="str">
        <f ca="1">IFERROR(__xludf.DUMMYFUNCTION("GOOGLETRANSLATE(B67,""en"",""zh-CN"")"),"报名表格")</f>
        <v>报名表格</v>
      </c>
      <c r="E67" s="1" t="str">
        <f ca="1">IFERROR(__xludf.DUMMYFUNCTION("GOOGLETRANSLATE(B67,""en"",""ja"")"),"登録用紙")</f>
        <v>登録用紙</v>
      </c>
      <c r="F67" s="1" t="str">
        <f ca="1">IFERROR(__xludf.DUMMYFUNCTION("GOOGLETRANSLATE(B67,""en"",""fr"")"),"Formulaire d'inscription")</f>
        <v>Formulaire d'inscription</v>
      </c>
    </row>
    <row r="68" spans="1:6" ht="15.75" customHeight="1" x14ac:dyDescent="0.25">
      <c r="A68" s="1" t="s">
        <v>135</v>
      </c>
      <c r="B68" s="1" t="s">
        <v>136</v>
      </c>
      <c r="C68" s="1" t="str">
        <f ca="1">IFERROR(__xludf.DUMMYFUNCTION("GOOGLETRANSLATE(B68,""en"",""ar"")"),"حذف النظام")</f>
        <v>حذف النظام</v>
      </c>
      <c r="D68" s="1" t="str">
        <f ca="1">IFERROR(__xludf.DUMMYFUNCTION("GOOGLETRANSLATE(B68,""en"",""zh-CN"")"),"删除订单")</f>
        <v>删除订单</v>
      </c>
      <c r="E68" s="1" t="str">
        <f ca="1">IFERROR(__xludf.DUMMYFUNCTION("GOOGLETRANSLATE(B68,""en"",""ja"")"),"注文を削除します")</f>
        <v>注文を削除します</v>
      </c>
      <c r="F68" s="1" t="str">
        <f ca="1">IFERROR(__xludf.DUMMYFUNCTION("GOOGLETRANSLATE(B68,""en"",""fr"")"),"Supprimer l'ordre")</f>
        <v>Supprimer l'ordre</v>
      </c>
    </row>
    <row r="69" spans="1:6" ht="15.75" customHeight="1" x14ac:dyDescent="0.25">
      <c r="A69" s="1" t="s">
        <v>137</v>
      </c>
      <c r="B69" s="1" t="s">
        <v>138</v>
      </c>
      <c r="C69" s="1" t="str">
        <f ca="1">IFERROR(__xludf.DUMMYFUNCTION("GOOGLETRANSLATE(B69,""en"",""ar"")"),"الغاء الطلب")</f>
        <v>الغاء الطلب</v>
      </c>
      <c r="D69" s="1" t="str">
        <f ca="1">IFERROR(__xludf.DUMMYFUNCTION("GOOGLETRANSLATE(B69,""en"",""zh-CN"")"),"取消订单")</f>
        <v>取消订单</v>
      </c>
      <c r="E69" s="1" t="str">
        <f ca="1">IFERROR(__xludf.DUMMYFUNCTION("GOOGLETRANSLATE(B69,""en"",""ja"")"),"注文をキャンセルする")</f>
        <v>注文をキャンセルする</v>
      </c>
      <c r="F69" s="1" t="str">
        <f ca="1">IFERROR(__xludf.DUMMYFUNCTION("GOOGLETRANSLATE(B69,""en"",""fr"")"),"annuler la commande")</f>
        <v>annuler la commande</v>
      </c>
    </row>
    <row r="70" spans="1:6" ht="15.75" customHeight="1" x14ac:dyDescent="0.25">
      <c r="A70" s="1" t="s">
        <v>139</v>
      </c>
      <c r="B70" s="1" t="s">
        <v>140</v>
      </c>
      <c r="C70" s="1" t="str">
        <f ca="1">IFERROR(__xludf.DUMMYFUNCTION("GOOGLETRANSLATE(B70,""en"",""ar"")"),"هل تريد إلغاء هذا الطلب؟")</f>
        <v>هل تريد إلغاء هذا الطلب؟</v>
      </c>
      <c r="D70" s="1" t="str">
        <f ca="1">IFERROR(__xludf.DUMMYFUNCTION("GOOGLETRANSLATE(B70,""en"",""zh-CN"")"),"你想取消这个订单吗？")</f>
        <v>你想取消这个订单吗？</v>
      </c>
      <c r="E70" s="1" t="str">
        <f ca="1">IFERROR(__xludf.DUMMYFUNCTION("GOOGLETRANSLATE(B70,""en"",""ja"")"),"この注文をキャンセルしますか？")</f>
        <v>この注文をキャンセルしますか？</v>
      </c>
      <c r="F70" s="1" t="str">
        <f ca="1">IFERROR(__xludf.DUMMYFUNCTION("GOOGLETRANSLATE(B70,""en"",""fr"")"),"Voulez-vous annuler cette commande?")</f>
        <v>Voulez-vous annuler cette commande?</v>
      </c>
    </row>
    <row r="71" spans="1:6" ht="15.75" customHeight="1" x14ac:dyDescent="0.25">
      <c r="A71" s="1" t="s">
        <v>141</v>
      </c>
      <c r="B71" s="1" t="s">
        <v>142</v>
      </c>
      <c r="C71" s="1" t="str">
        <f ca="1">IFERROR(__xludf.DUMMYFUNCTION("GOOGLETRANSLATE(B71,""en"",""ar"")"),"هل تريد بالتأكيد حذف هذا الطلب؟")</f>
        <v>هل تريد بالتأكيد حذف هذا الطلب؟</v>
      </c>
      <c r="D71" s="1" t="str">
        <f ca="1">IFERROR(__xludf.DUMMYFUNCTION("GOOGLETRANSLATE(B71,""en"",""zh-CN"")"),"你确定想要删除这个订单吗？")</f>
        <v>你确定想要删除这个订单吗？</v>
      </c>
      <c r="E71" s="1" t="str">
        <f ca="1">IFERROR(__xludf.DUMMYFUNCTION("GOOGLETRANSLATE(B71,""en"",""ja"")"),"あなたは確かにこの注文を削除したいですか？")</f>
        <v>あなたは確かにこの注文を削除したいですか？</v>
      </c>
      <c r="F71" s="1" t="str">
        <f ca="1">IFERROR(__xludf.DUMMYFUNCTION("GOOGLETRANSLATE(B71,""en"",""fr"")"),"Voulez-vous vraiment supprimer cette commande?")</f>
        <v>Voulez-vous vraiment supprimer cette commande?</v>
      </c>
    </row>
    <row r="72" spans="1:6" ht="15.75" customHeight="1" x14ac:dyDescent="0.25">
      <c r="A72" s="1" t="s">
        <v>143</v>
      </c>
      <c r="B72" s="1" t="s">
        <v>144</v>
      </c>
      <c r="C72" s="1" t="str">
        <f ca="1">IFERROR(__xludf.DUMMYFUNCTION("GOOGLETRANSLATE(B72,""en"",""ar"")"),"تقديم اسم الفئة")</f>
        <v>تقديم اسم الفئة</v>
      </c>
      <c r="D72" s="1" t="str">
        <f ca="1">IFERROR(__xludf.DUMMYFUNCTION("GOOGLETRANSLATE(B72,""en"",""zh-CN"")"),"提供类别名称")</f>
        <v>提供类别名称</v>
      </c>
      <c r="E72" s="1" t="str">
        <f ca="1">IFERROR(__xludf.DUMMYFUNCTION("GOOGLETRANSLATE(B72,""en"",""ja"")"),"カテゴリー名を入力してください")</f>
        <v>カテゴリー名を入力してください</v>
      </c>
      <c r="F72" s="1" t="str">
        <f ca="1">IFERROR(__xludf.DUMMYFUNCTION("GOOGLETRANSLATE(B72,""en"",""fr"")"),"Fournir un nom de catégorie")</f>
        <v>Fournir un nom de catégorie</v>
      </c>
    </row>
    <row r="73" spans="1:6" ht="15.75" customHeight="1" x14ac:dyDescent="0.25">
      <c r="A73" s="1" t="s">
        <v>145</v>
      </c>
      <c r="B73" s="1" t="s">
        <v>146</v>
      </c>
      <c r="C73" s="1" t="str">
        <f ca="1">IFERROR(__xludf.DUMMYFUNCTION("GOOGLETRANSLATE(B73,""en"",""ar"")"),"لم يتم العثور على فئة")</f>
        <v>لم يتم العثور على فئة</v>
      </c>
      <c r="D73" s="1" t="str">
        <f ca="1">IFERROR(__xludf.DUMMYFUNCTION("GOOGLETRANSLATE(B73,""en"",""zh-CN"")"),"找不到类别")</f>
        <v>找不到类别</v>
      </c>
      <c r="E73" s="1" t="str">
        <f ca="1">IFERROR(__xludf.DUMMYFUNCTION("GOOGLETRANSLATE(B73,""en"",""ja"")"),"カテゴリが見つかりませんでした")</f>
        <v>カテゴリが見つかりませんでした</v>
      </c>
      <c r="F73" s="1" t="str">
        <f ca="1">IFERROR(__xludf.DUMMYFUNCTION("GOOGLETRANSLATE(B73,""en"",""fr"")"),"Aucun catégorie trouvée")</f>
        <v>Aucun catégorie trouvée</v>
      </c>
    </row>
    <row r="74" spans="1:6" ht="15.75" customHeight="1" x14ac:dyDescent="0.25">
      <c r="A74" s="1" t="s">
        <v>147</v>
      </c>
      <c r="B74" s="1" t="s">
        <v>148</v>
      </c>
      <c r="C74" s="1" t="str">
        <f ca="1">IFERROR(__xludf.DUMMYFUNCTION("GOOGLETRANSLATE(B74,""en"",""ar"")"),"حذف الفئة")</f>
        <v>حذف الفئة</v>
      </c>
      <c r="D74" s="1" t="str">
        <f ca="1">IFERROR(__xludf.DUMMYFUNCTION("GOOGLETRANSLATE(B74,""en"",""zh-CN"")"),"删除类别")</f>
        <v>删除类别</v>
      </c>
      <c r="E74" s="1" t="str">
        <f ca="1">IFERROR(__xludf.DUMMYFUNCTION("GOOGLETRANSLATE(B74,""en"",""ja"")"),"カテゴリを削除します")</f>
        <v>カテゴリを削除します</v>
      </c>
      <c r="F74" s="1" t="str">
        <f ca="1">IFERROR(__xludf.DUMMYFUNCTION("GOOGLETRANSLATE(B74,""en"",""fr"")"),"Supprimer la catégorie")</f>
        <v>Supprimer la catégorie</v>
      </c>
    </row>
    <row r="75" spans="1:6" ht="15.75" customHeight="1" x14ac:dyDescent="0.25">
      <c r="A75" s="1" t="s">
        <v>149</v>
      </c>
      <c r="B75" s="1" t="s">
        <v>150</v>
      </c>
      <c r="C75" s="1" t="str">
        <f ca="1">IFERROR(__xludf.DUMMYFUNCTION("GOOGLETRANSLATE(B75,""en"",""ar"")"),"هل أنت متأكد أنك تريد حذف هذه الفئة؟")</f>
        <v>هل أنت متأكد أنك تريد حذف هذه الفئة؟</v>
      </c>
      <c r="D75" s="1" t="str">
        <f ca="1">IFERROR(__xludf.DUMMYFUNCTION("GOOGLETRANSLATE(B75,""en"",""zh-CN"")"),"您确定要删除此类别吗？")</f>
        <v>您确定要删除此类别吗？</v>
      </c>
      <c r="E75" s="1" t="str">
        <f ca="1">IFERROR(__xludf.DUMMYFUNCTION("GOOGLETRANSLATE(B75,""en"",""ja"")"),"このカテゴリを削除してよろしいですか？")</f>
        <v>このカテゴリを削除してよろしいですか？</v>
      </c>
      <c r="F75" s="1" t="str">
        <f ca="1">IFERROR(__xludf.DUMMYFUNCTION("GOOGLETRANSLATE(B75,""en"",""fr"")"),"Êtes-vous sûr de vouloir supprimer cette catégorie?")</f>
        <v>Êtes-vous sûr de vouloir supprimer cette catégorie?</v>
      </c>
    </row>
    <row r="76" spans="1:6" ht="15.75" customHeight="1" x14ac:dyDescent="0.25">
      <c r="A76" s="1" t="s">
        <v>151</v>
      </c>
      <c r="B76" s="1" t="s">
        <v>152</v>
      </c>
      <c r="C76" s="1" t="str">
        <f ca="1">IFERROR(__xludf.DUMMYFUNCTION("GOOGLETRANSLATE(B76,""en"",""ar"")"),"تم حذف الفئة بنجاح")</f>
        <v>تم حذف الفئة بنجاح</v>
      </c>
      <c r="D76" s="1" t="str">
        <f ca="1">IFERROR(__xludf.DUMMYFUNCTION("GOOGLETRANSLATE(B76,""en"",""zh-CN"")"),"类别已成功删除")</f>
        <v>类别已成功删除</v>
      </c>
      <c r="E76" s="1" t="str">
        <f ca="1">IFERROR(__xludf.DUMMYFUNCTION("GOOGLETRANSLATE(B76,""en"",""ja"")"),"カテゴリは削除されました")</f>
        <v>カテゴリは削除されました</v>
      </c>
      <c r="F76" s="1" t="str">
        <f ca="1">IFERROR(__xludf.DUMMYFUNCTION("GOOGLETRANSLATE(B76,""en"",""fr"")"),"La catégorie a été supprimée avec succès")</f>
        <v>La catégorie a été supprimée avec succès</v>
      </c>
    </row>
    <row r="77" spans="1:6" ht="15.75" customHeight="1" x14ac:dyDescent="0.25">
      <c r="A77" s="1" t="s">
        <v>153</v>
      </c>
      <c r="B77" s="1" t="s">
        <v>154</v>
      </c>
      <c r="C77" s="1" t="str">
        <f ca="1">IFERROR(__xludf.DUMMYFUNCTION("GOOGLETRANSLATE(B77,""en"",""ar"")"),"قائمة الفواتير السابقة")</f>
        <v>قائمة الفواتير السابقة</v>
      </c>
      <c r="D77" s="1" t="str">
        <f ca="1">IFERROR(__xludf.DUMMYFUNCTION("GOOGLETRANSLATE(B77,""en"",""zh-CN"")"),"预订清单")</f>
        <v>预订清单</v>
      </c>
      <c r="E77" s="1" t="str">
        <f ca="1">IFERROR(__xludf.DUMMYFUNCTION("GOOGLETRANSLATE(B77,""en"",""ja"")"),"プリビルリスト")</f>
        <v>プリビルリスト</v>
      </c>
      <c r="F77" s="1" t="str">
        <f ca="1">IFERROR(__xludf.DUMMYFUNCTION("GOOGLETRANSLATE(B77,""en"",""fr"")"),"Liste de pré-facture")</f>
        <v>Liste de pré-facture</v>
      </c>
    </row>
    <row r="78" spans="1:6" ht="15.75" customHeight="1" x14ac:dyDescent="0.25">
      <c r="A78" s="1" t="s">
        <v>155</v>
      </c>
      <c r="B78" s="1" t="s">
        <v>156</v>
      </c>
      <c r="C78" s="1" t="str">
        <f ca="1">IFERROR(__xludf.DUMMYFUNCTION("GOOGLETRANSLATE(B78,""en"",""ar"")"),"أدخل سبب جديد")</f>
        <v>أدخل سبب جديد</v>
      </c>
      <c r="D78" s="1" t="str">
        <f ca="1">IFERROR(__xludf.DUMMYFUNCTION("GOOGLETRANSLATE(B78,""en"",""zh-CN"")"),"进入新的原因")</f>
        <v>进入新的原因</v>
      </c>
      <c r="E78" s="1" t="str">
        <f ca="1">IFERROR(__xludf.DUMMYFUNCTION("GOOGLETRANSLATE(B78,""en"",""ja"")"),"新しい理由を入力してください")</f>
        <v>新しい理由を入力してください</v>
      </c>
      <c r="F78" s="1" t="str">
        <f ca="1">IFERROR(__xludf.DUMMYFUNCTION("GOOGLETRANSLATE(B78,""en"",""fr"")"),"Entrez une nouvelle raison")</f>
        <v>Entrez une nouvelle raison</v>
      </c>
    </row>
    <row r="79" spans="1:6" ht="15.75" customHeight="1" x14ac:dyDescent="0.25">
      <c r="A79" s="1" t="s">
        <v>157</v>
      </c>
      <c r="B79" s="1" t="s">
        <v>158</v>
      </c>
      <c r="C79" s="1" t="str">
        <f ca="1">IFERROR(__xludf.DUMMYFUNCTION("GOOGLETRANSLATE(B79,""en"",""ar"")"),"قائمة كوت")</f>
        <v>قائمة كوت</v>
      </c>
      <c r="D79" s="1" t="str">
        <f ca="1">IFERROR(__xludf.DUMMYFUNCTION("GOOGLETRANSLATE(B79,""en"",""zh-CN"")"),"kot列表")</f>
        <v>kot列表</v>
      </c>
      <c r="E79" s="1" t="str">
        <f ca="1">IFERROR(__xludf.DUMMYFUNCTION("GOOGLETRANSLATE(B79,""en"",""ja"")"),"KOTリスト")</f>
        <v>KOTリスト</v>
      </c>
      <c r="F79" s="1" t="str">
        <f ca="1">IFERROR(__xludf.DUMMYFUNCTION("GOOGLETRANSLATE(B79,""en"",""fr"")"),"Liste de kot")</f>
        <v>Liste de kot</v>
      </c>
    </row>
    <row r="80" spans="1:6" ht="15.75" customHeight="1" x14ac:dyDescent="0.25">
      <c r="A80" s="1" t="s">
        <v>159</v>
      </c>
      <c r="B80" s="1" t="s">
        <v>160</v>
      </c>
      <c r="C80" s="1" t="str">
        <f ca="1">IFERROR(__xludf.DUMMYFUNCTION("GOOGLETRANSLATE(B80,""en"",""ar"")"),"عقد قائمة الاستلام")</f>
        <v>عقد قائمة الاستلام</v>
      </c>
      <c r="D80" s="1" t="str">
        <f ca="1">IFERROR(__xludf.DUMMYFUNCTION("GOOGLETRANSLATE(B80,""en"",""zh-CN"")"),"收据列表")</f>
        <v>收据列表</v>
      </c>
      <c r="E80" s="1" t="str">
        <f ca="1">IFERROR(__xludf.DUMMYFUNCTION("GOOGLETRANSLATE(B80,""en"",""ja"")"),"領収書リストを保持します")</f>
        <v>領収書リストを保持します</v>
      </c>
      <c r="F80" s="1" t="str">
        <f ca="1">IFERROR(__xludf.DUMMYFUNCTION("GOOGLETRANSLATE(B80,""en"",""fr"")"),"Tenir la liste de réception")</f>
        <v>Tenir la liste de réception</v>
      </c>
    </row>
    <row r="81" spans="1:6" ht="15.75" customHeight="1" x14ac:dyDescent="0.25">
      <c r="A81" s="1" t="s">
        <v>161</v>
      </c>
      <c r="B81" s="1" t="s">
        <v>162</v>
      </c>
      <c r="C81" s="1" t="str">
        <f ca="1">IFERROR(__xludf.DUMMYFUNCTION("GOOGLETRANSLATE(B81,""en"",""ar"")"),"قائمة الطلبات")</f>
        <v>قائمة الطلبات</v>
      </c>
      <c r="D81" s="1" t="str">
        <f ca="1">IFERROR(__xludf.DUMMYFUNCTION("GOOGLETRANSLATE(B81,""en"",""zh-CN"")"),"订单列表")</f>
        <v>订单列表</v>
      </c>
      <c r="E81" s="1" t="str">
        <f ca="1">IFERROR(__xludf.DUMMYFUNCTION("GOOGLETRANSLATE(B81,""en"",""ja"")"),"注文リスト")</f>
        <v>注文リスト</v>
      </c>
      <c r="F81" s="1" t="str">
        <f ca="1">IFERROR(__xludf.DUMMYFUNCTION("GOOGLETRANSLATE(B81,""en"",""fr"")"),"Liste des commandes")</f>
        <v>Liste des commandes</v>
      </c>
    </row>
    <row r="82" spans="1:6" ht="15.75" customHeight="1" x14ac:dyDescent="0.25">
      <c r="A82" s="1" t="s">
        <v>163</v>
      </c>
      <c r="B82" s="1" t="s">
        <v>164</v>
      </c>
      <c r="C82" s="1" t="str">
        <f ca="1">IFERROR(__xludf.DUMMYFUNCTION("GOOGLETRANSLATE(B82,""en"",""ar"")"),"نوع الجهاز غير صالح")</f>
        <v>نوع الجهاز غير صالح</v>
      </c>
      <c r="D82" s="1" t="str">
        <f ca="1">IFERROR(__xludf.DUMMYFUNCTION("GOOGLETRANSLATE(B82,""en"",""zh-CN"")"),"无效的设备类型")</f>
        <v>无效的设备类型</v>
      </c>
      <c r="E82" s="1" t="str">
        <f ca="1">IFERROR(__xludf.DUMMYFUNCTION("GOOGLETRANSLATE(B82,""en"",""ja"")"),"無効なデバイスタイプ")</f>
        <v>無効なデバイスタイプ</v>
      </c>
      <c r="F82" s="1" t="str">
        <f ca="1">IFERROR(__xludf.DUMMYFUNCTION("GOOGLETRANSLATE(B82,""en"",""fr"")"),"Type de périphérique non valide")</f>
        <v>Type de périphérique non valide</v>
      </c>
    </row>
    <row r="83" spans="1:6" ht="15.75" customHeight="1" x14ac:dyDescent="0.25">
      <c r="A83" s="1" t="s">
        <v>165</v>
      </c>
      <c r="B83" s="1" t="s">
        <v>166</v>
      </c>
      <c r="C83" s="1" t="str">
        <f ca="1">IFERROR(__xludf.DUMMYFUNCTION("GOOGLETRANSLATE(B83,""en"",""ar"")"),"اسم :")</f>
        <v>اسم :</v>
      </c>
      <c r="D83" s="1" t="str">
        <f ca="1">IFERROR(__xludf.DUMMYFUNCTION("GOOGLETRANSLATE(B83,""en"",""zh-CN"")"),"名称 ：")</f>
        <v>名称 ：</v>
      </c>
      <c r="E83" s="1" t="str">
        <f ca="1">IFERROR(__xludf.DUMMYFUNCTION("GOOGLETRANSLATE(B83,""en"",""ja"")"),"名前 ：")</f>
        <v>名前 ：</v>
      </c>
      <c r="F83" s="1" t="str">
        <f ca="1">IFERROR(__xludf.DUMMYFUNCTION("GOOGLETRANSLATE(B83,""en"",""fr"")"),"Nom :")</f>
        <v>Nom :</v>
      </c>
    </row>
    <row r="84" spans="1:6" ht="15.75" customHeight="1" x14ac:dyDescent="0.25">
      <c r="A84" s="1" t="s">
        <v>167</v>
      </c>
      <c r="B84" s="1" t="s">
        <v>168</v>
      </c>
      <c r="C84" s="1" t="str">
        <f ca="1">IFERROR(__xludf.DUMMYFUNCTION("GOOGLETRANSLATE(B84,""en"",""ar"")"),"هاتف :")</f>
        <v>هاتف :</v>
      </c>
      <c r="D84" s="1" t="str">
        <f ca="1">IFERROR(__xludf.DUMMYFUNCTION("GOOGLETRANSLATE(B84,""en"",""zh-CN"")"),"电话 ：")</f>
        <v>电话 ：</v>
      </c>
      <c r="E84" s="1" t="str">
        <f ca="1">IFERROR(__xludf.DUMMYFUNCTION("GOOGLETRANSLATE(B84,""en"",""ja"")"),"電話 ：")</f>
        <v>電話 ：</v>
      </c>
      <c r="F84" s="1" t="str">
        <f ca="1">IFERROR(__xludf.DUMMYFUNCTION("GOOGLETRANSLATE(B84,""en"",""fr"")"),"Téléphoner :")</f>
        <v>Téléphoner :</v>
      </c>
    </row>
    <row r="85" spans="1:6" ht="15.75" customHeight="1" x14ac:dyDescent="0.25">
      <c r="A85" s="1" t="s">
        <v>169</v>
      </c>
      <c r="B85" s="1" t="s">
        <v>170</v>
      </c>
      <c r="C85" s="1" t="str">
        <f ca="1">IFERROR(__xludf.DUMMYFUNCTION("GOOGLETRANSLATE(B85,""en"",""ar"")"),"بريد الالكتروني :")</f>
        <v>بريد الالكتروني :</v>
      </c>
      <c r="D85" s="1" t="str">
        <f ca="1">IFERROR(__xludf.DUMMYFUNCTION("GOOGLETRANSLATE(B85,""en"",""zh-CN"")"),"电子邮件 ：")</f>
        <v>电子邮件 ：</v>
      </c>
      <c r="E85" s="1" t="str">
        <f ca="1">IFERROR(__xludf.DUMMYFUNCTION("GOOGLETRANSLATE(B85,""en"",""ja"")"),"Eメール ：")</f>
        <v>Eメール ：</v>
      </c>
      <c r="F85" s="1" t="str">
        <f ca="1">IFERROR(__xludf.DUMMYFUNCTION("GOOGLETRANSLATE(B85,""en"",""fr"")"),"E-mail :")</f>
        <v>E-mail :</v>
      </c>
    </row>
    <row r="86" spans="1:6" ht="15.75" customHeight="1" x14ac:dyDescent="0.25">
      <c r="A86" s="1" t="s">
        <v>171</v>
      </c>
      <c r="B86" s="1" t="s">
        <v>172</v>
      </c>
      <c r="C86" s="1" t="str">
        <f ca="1">IFERROR(__xludf.DUMMYFUNCTION("GOOGLETRANSLATE(B86,""en"",""ar"")"),"تاريخ الطباعة:")</f>
        <v>تاريخ الطباعة:</v>
      </c>
      <c r="D86" s="1" t="str">
        <f ca="1">IFERROR(__xludf.DUMMYFUNCTION("GOOGLETRANSLATE(B86,""en"",""zh-CN"")"),"印制日期：")</f>
        <v>印制日期：</v>
      </c>
      <c r="E86" s="1" t="str">
        <f ca="1">IFERROR(__xludf.DUMMYFUNCTION("GOOGLETRANSLATE(B86,""en"",""ja"")"),"印刷日：")</f>
        <v>印刷日：</v>
      </c>
      <c r="F86" s="1" t="str">
        <f ca="1">IFERROR(__xludf.DUMMYFUNCTION("GOOGLETRANSLATE(B86,""en"",""fr"")"),"Date imprimée:")</f>
        <v>Date imprimée:</v>
      </c>
    </row>
    <row r="87" spans="1:6" ht="15.75" customHeight="1" x14ac:dyDescent="0.25">
      <c r="A87" s="1" t="s">
        <v>173</v>
      </c>
      <c r="B87" s="1" t="s">
        <v>174</v>
      </c>
      <c r="C87" s="1" t="str">
        <f ca="1">IFERROR(__xludf.DUMMYFUNCTION("GOOGLETRANSLATE(B87,""en"",""ar"")"),"شكرا لكم!")</f>
        <v>شكرا لكم!</v>
      </c>
      <c r="D87" s="1" t="str">
        <f ca="1">IFERROR(__xludf.DUMMYFUNCTION("GOOGLETRANSLATE(B87,""en"",""zh-CN"")"),"谢谢！")</f>
        <v>谢谢！</v>
      </c>
      <c r="E87" s="1" t="str">
        <f ca="1">IFERROR(__xludf.DUMMYFUNCTION("GOOGLETRANSLATE(B87,""en"",""ja"")"),"ありがとう！")</f>
        <v>ありがとう！</v>
      </c>
      <c r="F87" s="1" t="str">
        <f ca="1">IFERROR(__xludf.DUMMYFUNCTION("GOOGLETRANSLATE(B87,""en"",""fr"")"),"Je vous remercie!")</f>
        <v>Je vous remercie!</v>
      </c>
    </row>
    <row r="88" spans="1:6" ht="15.75" customHeight="1" x14ac:dyDescent="0.25">
      <c r="A88" s="1" t="s">
        <v>175</v>
      </c>
      <c r="B88" s="1" t="s">
        <v>176</v>
      </c>
      <c r="C88" s="1" t="str">
        <f ca="1">IFERROR(__xludf.DUMMYFUNCTION("GOOGLETRANSLATE(B88,""en"",""ar"")"),"تقرير المبيعات")</f>
        <v>تقرير المبيعات</v>
      </c>
      <c r="D88" s="1" t="str">
        <f ca="1">IFERROR(__xludf.DUMMYFUNCTION("GOOGLETRANSLATE(B88,""en"",""zh-CN"")"),"销售报告")</f>
        <v>销售报告</v>
      </c>
      <c r="E88" s="1" t="str">
        <f ca="1">IFERROR(__xludf.DUMMYFUNCTION("GOOGLETRANSLATE(B88,""en"",""ja"")"),"販売レポート")</f>
        <v>販売レポート</v>
      </c>
      <c r="F88" s="1" t="str">
        <f ca="1">IFERROR(__xludf.DUMMYFUNCTION("GOOGLETRANSLATE(B88,""en"",""fr"")"),"Rapport des ventes")</f>
        <v>Rapport des ventes</v>
      </c>
    </row>
    <row r="89" spans="1:6" ht="15.75" customHeight="1" x14ac:dyDescent="0.25">
      <c r="A89" s="1" t="s">
        <v>177</v>
      </c>
      <c r="B89" s="1" t="s">
        <v>178</v>
      </c>
      <c r="C89" s="1" t="str">
        <f ca="1">IFERROR(__xludf.DUMMYFUNCTION("GOOGLETRANSLATE(B89,""en"",""ar"")"),"تاريخ")</f>
        <v>تاريخ</v>
      </c>
      <c r="D89" s="1" t="str">
        <f ca="1">IFERROR(__xludf.DUMMYFUNCTION("GOOGLETRANSLATE(B89,""en"",""zh-CN"")"),"日期")</f>
        <v>日期</v>
      </c>
      <c r="E89" s="1" t="str">
        <f ca="1">IFERROR(__xludf.DUMMYFUNCTION("GOOGLETRANSLATE(B89,""en"",""ja"")"),"日にち")</f>
        <v>日にち</v>
      </c>
      <c r="F89" s="1" t="str">
        <f ca="1">IFERROR(__xludf.DUMMYFUNCTION("GOOGLETRANSLATE(B89,""en"",""fr"")"),"Date")</f>
        <v>Date</v>
      </c>
    </row>
    <row r="90" spans="1:6" ht="15.75" customHeight="1" x14ac:dyDescent="0.25">
      <c r="A90" s="1" t="s">
        <v>179</v>
      </c>
      <c r="B90" s="1" t="s">
        <v>180</v>
      </c>
      <c r="C90" s="1" t="str">
        <f ca="1">IFERROR(__xludf.DUMMYFUNCTION("GOOGLETRANSLATE(B90,""en"",""ar"")"),"الكمية")</f>
        <v>الكمية</v>
      </c>
      <c r="D90" s="1" t="str">
        <f ca="1">IFERROR(__xludf.DUMMYFUNCTION("GOOGLETRANSLATE(B90,""en"",""zh-CN"")"),"QTY.")</f>
        <v>QTY.</v>
      </c>
      <c r="E90" s="1" t="str">
        <f ca="1">IFERROR(__xludf.DUMMYFUNCTION("GOOGLETRANSLATE(B90,""en"",""ja"")"),"q")</f>
        <v>q</v>
      </c>
      <c r="F90" s="1" t="str">
        <f ca="1">IFERROR(__xludf.DUMMYFUNCTION("GOOGLETRANSLATE(B90,""en"",""fr"")"),"Quantité")</f>
        <v>Quantité</v>
      </c>
    </row>
    <row r="91" spans="1:6" ht="15.75" customHeight="1" x14ac:dyDescent="0.25">
      <c r="A91" s="1" t="s">
        <v>181</v>
      </c>
      <c r="B91" s="1" t="s">
        <v>182</v>
      </c>
      <c r="C91" s="1" t="str">
        <f ca="1">IFERROR(__xludf.DUMMYFUNCTION("GOOGLETRANSLATE(B91,""en"",""ar"")"),"كلفة")</f>
        <v>كلفة</v>
      </c>
      <c r="D91" s="1" t="str">
        <f ca="1">IFERROR(__xludf.DUMMYFUNCTION("GOOGLETRANSLATE(B91,""en"",""zh-CN"")"),"成本")</f>
        <v>成本</v>
      </c>
      <c r="E91" s="1" t="str">
        <f ca="1">IFERROR(__xludf.DUMMYFUNCTION("GOOGLETRANSLATE(B91,""en"",""ja"")"),"料金")</f>
        <v>料金</v>
      </c>
      <c r="F91" s="1" t="str">
        <f ca="1">IFERROR(__xludf.DUMMYFUNCTION("GOOGLETRANSLATE(B91,""en"",""fr"")"),"Coût")</f>
        <v>Coût</v>
      </c>
    </row>
    <row r="92" spans="1:6" ht="15.75" customHeight="1" x14ac:dyDescent="0.25">
      <c r="A92" s="1" t="s">
        <v>183</v>
      </c>
      <c r="B92" s="1" t="s">
        <v>180</v>
      </c>
      <c r="C92" s="1" t="str">
        <f ca="1">IFERROR(__xludf.DUMMYFUNCTION("GOOGLETRANSLATE(B92,""en"",""ar"")"),"الكمية")</f>
        <v>الكمية</v>
      </c>
      <c r="D92" s="1" t="str">
        <f ca="1">IFERROR(__xludf.DUMMYFUNCTION("GOOGLETRANSLATE(B92,""en"",""zh-CN"")"),"QTY.")</f>
        <v>QTY.</v>
      </c>
      <c r="E92" s="1" t="str">
        <f ca="1">IFERROR(__xludf.DUMMYFUNCTION("GOOGLETRANSLATE(B92,""en"",""ja"")"),"q")</f>
        <v>q</v>
      </c>
      <c r="F92" s="1" t="str">
        <f ca="1">IFERROR(__xludf.DUMMYFUNCTION("GOOGLETRANSLATE(B92,""en"",""fr"")"),"Quantité")</f>
        <v>Quantité</v>
      </c>
    </row>
    <row r="93" spans="1:6" ht="15.75" customHeight="1" x14ac:dyDescent="0.25">
      <c r="A93" s="1" t="s">
        <v>184</v>
      </c>
      <c r="B93" s="1" t="s">
        <v>185</v>
      </c>
      <c r="C93" s="1" t="str">
        <f ca="1">IFERROR(__xludf.DUMMYFUNCTION("GOOGLETRANSLATE(B93,""en"",""ar"")"),"تخفيض السعر")</f>
        <v>تخفيض السعر</v>
      </c>
      <c r="D93" s="1" t="str">
        <f ca="1">IFERROR(__xludf.DUMMYFUNCTION("GOOGLETRANSLATE(B93,""en"",""zh-CN"")"),"销售")</f>
        <v>销售</v>
      </c>
      <c r="E93" s="1" t="str">
        <f ca="1">IFERROR(__xludf.DUMMYFUNCTION("GOOGLETRANSLATE(B93,""en"",""ja"")"),"セール")</f>
        <v>セール</v>
      </c>
      <c r="F93" s="1" t="str">
        <f ca="1">IFERROR(__xludf.DUMMYFUNCTION("GOOGLETRANSLATE(B93,""en"",""fr"")"),"Vente")</f>
        <v>Vente</v>
      </c>
    </row>
    <row r="94" spans="1:6" ht="15.75" customHeight="1" x14ac:dyDescent="0.25">
      <c r="A94" s="1" t="s">
        <v>186</v>
      </c>
      <c r="B94" s="1" t="s">
        <v>187</v>
      </c>
      <c r="C94" s="1" t="str">
        <f ca="1">IFERROR(__xludf.DUMMYFUNCTION("GOOGLETRANSLATE(B94,""en"",""ar"")"),"ربح")</f>
        <v>ربح</v>
      </c>
      <c r="D94" s="1" t="str">
        <f ca="1">IFERROR(__xludf.DUMMYFUNCTION("GOOGLETRANSLATE(B94,""en"",""zh-CN"")"),"利润")</f>
        <v>利润</v>
      </c>
      <c r="E94" s="1" t="str">
        <f ca="1">IFERROR(__xludf.DUMMYFUNCTION("GOOGLETRANSLATE(B94,""en"",""ja"")"),"利益")</f>
        <v>利益</v>
      </c>
      <c r="F94" s="1" t="str">
        <f ca="1">IFERROR(__xludf.DUMMYFUNCTION("GOOGLETRANSLATE(B94,""en"",""fr"")"),"Profit")</f>
        <v>Profit</v>
      </c>
    </row>
    <row r="95" spans="1:6" ht="15.75" customHeight="1" x14ac:dyDescent="0.25">
      <c r="A95" s="1" t="s">
        <v>188</v>
      </c>
      <c r="B95" s="1" t="s">
        <v>189</v>
      </c>
      <c r="C95" s="1" t="str">
        <f ca="1">IFERROR(__xludf.DUMMYFUNCTION("GOOGLETRANSLATE(B95,""en"",""ar"")"),"إيصال #")</f>
        <v>إيصال #</v>
      </c>
      <c r="D95" s="1" t="str">
        <f ca="1">IFERROR(__xludf.DUMMYFUNCTION("GOOGLETRANSLATE(B95,""en"",""zh-CN"")"),"收据 ＃")</f>
        <v>收据 ＃</v>
      </c>
      <c r="E95" s="1" t="str">
        <f ca="1">IFERROR(__xludf.DUMMYFUNCTION("GOOGLETRANSLATE(B95,""en"",""ja"")"),"レシート ＃")</f>
        <v>レシート ＃</v>
      </c>
      <c r="F95" s="1" t="str">
        <f ca="1">IFERROR(__xludf.DUMMYFUNCTION("GOOGLETRANSLATE(B95,""en"",""fr"")"),"Reçu #")</f>
        <v>Reçu #</v>
      </c>
    </row>
    <row r="96" spans="1:6" ht="15.75" customHeight="1" x14ac:dyDescent="0.25">
      <c r="A96" s="1" t="s">
        <v>190</v>
      </c>
      <c r="B96" s="1" t="s">
        <v>191</v>
      </c>
      <c r="C96" s="1" t="str">
        <f ca="1">IFERROR(__xludf.DUMMYFUNCTION("GOOGLETRANSLATE(B96,""en"",""ar"")"),"ينسخ")</f>
        <v>ينسخ</v>
      </c>
      <c r="D96" s="1" t="str">
        <f ca="1">IFERROR(__xludf.DUMMYFUNCTION("GOOGLETRANSLATE(B96,""en"",""zh-CN"")"),"复制")</f>
        <v>复制</v>
      </c>
      <c r="E96" s="1" t="str">
        <f ca="1">IFERROR(__xludf.DUMMYFUNCTION("GOOGLETRANSLATE(B96,""en"",""ja"")"),"複製")</f>
        <v>複製</v>
      </c>
      <c r="F96" s="1" t="str">
        <f ca="1">IFERROR(__xludf.DUMMYFUNCTION("GOOGLETRANSLATE(B96,""en"",""fr"")"),"Dupliquer")</f>
        <v>Dupliquer</v>
      </c>
    </row>
    <row r="97" spans="1:6" ht="15.75" customHeight="1" x14ac:dyDescent="0.25">
      <c r="A97" s="1" t="s">
        <v>192</v>
      </c>
      <c r="B97" s="1" t="s">
        <v>193</v>
      </c>
      <c r="C97" s="1" t="str">
        <f ca="1">IFERROR(__xludf.DUMMYFUNCTION("GOOGLETRANSLATE(B97,""en"",""ar"")"),"الركالة. اسم")</f>
        <v>الركالة. اسم</v>
      </c>
      <c r="D97" s="1" t="str">
        <f ca="1">IFERROR(__xludf.DUMMYFUNCTION("GOOGLETRANSLATE(B97,""en"",""zh-CN"")"),"CUST。名称")</f>
        <v>CUST。名称</v>
      </c>
      <c r="E97" s="1" t="str">
        <f ca="1">IFERROR(__xludf.DUMMYFUNCTION("GOOGLETRANSLATE(B97,""en"",""ja"")"),"カスタマイズ。名前")</f>
        <v>カスタマイズ。名前</v>
      </c>
      <c r="F97" s="1" t="str">
        <f ca="1">IFERROR(__xludf.DUMMYFUNCTION("GOOGLETRANSLATE(B97,""en"",""fr"")"),"Cust. Nom")</f>
        <v>Cust. Nom</v>
      </c>
    </row>
    <row r="98" spans="1:6" ht="15.75" customHeight="1" x14ac:dyDescent="0.25">
      <c r="A98" s="1" t="s">
        <v>194</v>
      </c>
      <c r="B98" s="1" t="s">
        <v>195</v>
      </c>
      <c r="C98" s="1" t="str">
        <f ca="1">IFERROR(__xludf.DUMMYFUNCTION("GOOGLETRANSLATE(B98,""en"",""ar"")"),"جدول")</f>
        <v>جدول</v>
      </c>
      <c r="D98" s="1" t="str">
        <f ca="1">IFERROR(__xludf.DUMMYFUNCTION("GOOGLETRANSLATE(B98,""en"",""zh-CN"")"),"桌子")</f>
        <v>桌子</v>
      </c>
      <c r="E98" s="1" t="str">
        <f ca="1">IFERROR(__xludf.DUMMYFUNCTION("GOOGLETRANSLATE(B98,""en"",""ja"")"),"テーブル")</f>
        <v>テーブル</v>
      </c>
      <c r="F98" s="1" t="str">
        <f ca="1">IFERROR(__xludf.DUMMYFUNCTION("GOOGLETRANSLATE(B98,""en"",""fr"")"),"Tableau")</f>
        <v>Tableau</v>
      </c>
    </row>
    <row r="99" spans="1:6" ht="15.75" customHeight="1" x14ac:dyDescent="0.25">
      <c r="A99" s="1" t="s">
        <v>196</v>
      </c>
      <c r="B99" s="1" t="s">
        <v>197</v>
      </c>
      <c r="C99" s="1" t="str">
        <f ca="1">IFERROR(__xludf.DUMMYFUNCTION("GOOGLETRANSLATE(B99,""en"",""ar"")"),"نوع الطلب")</f>
        <v>نوع الطلب</v>
      </c>
      <c r="D99" s="1" t="str">
        <f ca="1">IFERROR(__xludf.DUMMYFUNCTION("GOOGLETRANSLATE(B99,""en"",""zh-CN"")"),"订单类型")</f>
        <v>订单类型</v>
      </c>
      <c r="E99" s="1" t="str">
        <f ca="1">IFERROR(__xludf.DUMMYFUNCTION("GOOGLETRANSLATE(B99,""en"",""ja"")"),"注文タイプ")</f>
        <v>注文タイプ</v>
      </c>
      <c r="F99" s="1" t="str">
        <f ca="1">IFERROR(__xludf.DUMMYFUNCTION("GOOGLETRANSLATE(B99,""en"",""fr"")"),"Type de commande")</f>
        <v>Type de commande</v>
      </c>
    </row>
    <row r="100" spans="1:6" ht="15.75" customHeight="1" x14ac:dyDescent="0.25">
      <c r="A100" s="1" t="s">
        <v>198</v>
      </c>
      <c r="B100" s="1" t="s">
        <v>199</v>
      </c>
      <c r="C100" s="1" t="str">
        <f ca="1">IFERROR(__xludf.DUMMYFUNCTION("GOOGLETRANSLATE(B100,""en"",""ar"")"),"تبوك")</f>
        <v>تبوك</v>
      </c>
      <c r="D100" s="1" t="str">
        <f ca="1">IFERROR(__xludf.DUMMYFUNCTION("GOOGLETRANSLATE(B100,""en"",""zh-CN"")"),"地址")</f>
        <v>地址</v>
      </c>
      <c r="E100" s="1" t="str">
        <f ca="1">IFERROR(__xludf.DUMMYFUNCTION("GOOGLETRANSLATE(B100,""en"",""ja"")"),"住所")</f>
        <v>住所</v>
      </c>
      <c r="F100" s="1" t="str">
        <f ca="1">IFERROR(__xludf.DUMMYFUNCTION("GOOGLETRANSLATE(B100,""en"",""fr"")"),"Adresse")</f>
        <v>Adresse</v>
      </c>
    </row>
    <row r="101" spans="1:6" ht="15.75" customHeight="1" x14ac:dyDescent="0.25">
      <c r="A101" s="1" t="s">
        <v>200</v>
      </c>
      <c r="B101" s="1" t="s">
        <v>201</v>
      </c>
      <c r="C101" s="1" t="str">
        <f ca="1">IFERROR(__xludf.DUMMYFUNCTION("GOOGLETRANSLATE(B101,""en"",""ar"")"),"اسم العميل")</f>
        <v>اسم العميل</v>
      </c>
      <c r="D101" s="1" t="str">
        <f ca="1">IFERROR(__xludf.DUMMYFUNCTION("GOOGLETRANSLATE(B101,""en"",""zh-CN"")"),"代理名称")</f>
        <v>代理名称</v>
      </c>
      <c r="E101" s="1" t="str">
        <f ca="1">IFERROR(__xludf.DUMMYFUNCTION("GOOGLETRANSLATE(B101,""en"",""ja"")"),"エージェント名")</f>
        <v>エージェント名</v>
      </c>
      <c r="F101" s="1" t="str">
        <f ca="1">IFERROR(__xludf.DUMMYFUNCTION("GOOGLETRANSLATE(B101,""en"",""fr"")"),"Nom d'agent")</f>
        <v>Nom d'agent</v>
      </c>
    </row>
    <row r="102" spans="1:6" ht="15.75" customHeight="1" x14ac:dyDescent="0.25">
      <c r="A102" s="1" t="s">
        <v>202</v>
      </c>
      <c r="B102" s="1" t="s">
        <v>178</v>
      </c>
      <c r="C102" s="1" t="str">
        <f ca="1">IFERROR(__xludf.DUMMYFUNCTION("GOOGLETRANSLATE(B102,""en"",""ar"")"),"تاريخ")</f>
        <v>تاريخ</v>
      </c>
      <c r="D102" s="1" t="str">
        <f ca="1">IFERROR(__xludf.DUMMYFUNCTION("GOOGLETRANSLATE(B102,""en"",""zh-CN"")"),"日期")</f>
        <v>日期</v>
      </c>
      <c r="E102" s="1" t="str">
        <f ca="1">IFERROR(__xludf.DUMMYFUNCTION("GOOGLETRANSLATE(B102,""en"",""ja"")"),"日にち")</f>
        <v>日にち</v>
      </c>
      <c r="F102" s="1" t="str">
        <f ca="1">IFERROR(__xludf.DUMMYFUNCTION("GOOGLETRANSLATE(B102,""en"",""fr"")"),"Date")</f>
        <v>Date</v>
      </c>
    </row>
    <row r="103" spans="1:6" ht="15.75" customHeight="1" x14ac:dyDescent="0.25">
      <c r="A103" s="1" t="s">
        <v>203</v>
      </c>
      <c r="B103" s="1" t="s">
        <v>180</v>
      </c>
      <c r="C103" s="1" t="str">
        <f ca="1">IFERROR(__xludf.DUMMYFUNCTION("GOOGLETRANSLATE(B103,""en"",""ar"")"),"الكمية")</f>
        <v>الكمية</v>
      </c>
      <c r="D103" s="1" t="str">
        <f ca="1">IFERROR(__xludf.DUMMYFUNCTION("GOOGLETRANSLATE(B103,""en"",""zh-CN"")"),"QTY.")</f>
        <v>QTY.</v>
      </c>
      <c r="E103" s="1" t="str">
        <f ca="1">IFERROR(__xludf.DUMMYFUNCTION("GOOGLETRANSLATE(B103,""en"",""ja"")"),"q")</f>
        <v>q</v>
      </c>
      <c r="F103" s="1" t="str">
        <f ca="1">IFERROR(__xludf.DUMMYFUNCTION("GOOGLETRANSLATE(B103,""en"",""fr"")"),"Quantité")</f>
        <v>Quantité</v>
      </c>
    </row>
    <row r="104" spans="1:6" ht="15.75" customHeight="1" x14ac:dyDescent="0.25">
      <c r="A104" s="1" t="s">
        <v>204</v>
      </c>
      <c r="B104" s="1" t="s">
        <v>205</v>
      </c>
      <c r="C104" s="1" t="str">
        <f ca="1">IFERROR(__xludf.DUMMYFUNCTION("GOOGLETRANSLATE(B104,""en"",""ar"")"),"مجموع")</f>
        <v>مجموع</v>
      </c>
      <c r="D104" s="1" t="str">
        <f ca="1">IFERROR(__xludf.DUMMYFUNCTION("GOOGLETRANSLATE(B104,""en"",""zh-CN"")"),"全部的")</f>
        <v>全部的</v>
      </c>
      <c r="E104" s="1" t="str">
        <f ca="1">IFERROR(__xludf.DUMMYFUNCTION("GOOGLETRANSLATE(B104,""en"",""ja"")"),"合計")</f>
        <v>合計</v>
      </c>
      <c r="F104" s="1" t="str">
        <f ca="1">IFERROR(__xludf.DUMMYFUNCTION("GOOGLETRANSLATE(B104,""en"",""fr"")"),"Le total")</f>
        <v>Le total</v>
      </c>
    </row>
    <row r="105" spans="1:6" ht="15.75" customHeight="1" x14ac:dyDescent="0.25">
      <c r="A105" s="1" t="s">
        <v>206</v>
      </c>
      <c r="B105" s="1" t="s">
        <v>207</v>
      </c>
      <c r="C105" s="1" t="str">
        <f ca="1">IFERROR(__xludf.DUMMYFUNCTION("GOOGLETRANSLATE(B105,""en"",""ar"")"),"سعر السلعة")</f>
        <v>سعر السلعة</v>
      </c>
      <c r="D105" s="1" t="str">
        <f ca="1">IFERROR(__xludf.DUMMYFUNCTION("GOOGLETRANSLATE(B105,""en"",""zh-CN"")"),"物品价格")</f>
        <v>物品价格</v>
      </c>
      <c r="E105" s="1" t="str">
        <f ca="1">IFERROR(__xludf.DUMMYFUNCTION("GOOGLETRANSLATE(B105,""en"",""ja"")"),"アイテム価格")</f>
        <v>アイテム価格</v>
      </c>
      <c r="F105" s="1" t="str">
        <f ca="1">IFERROR(__xludf.DUMMYFUNCTION("GOOGLETRANSLATE(B105,""en"",""fr"")"),"Prix ​​de l'article")</f>
        <v>Prix ​​de l'article</v>
      </c>
    </row>
    <row r="106" spans="1:6" ht="15.75" customHeight="1" x14ac:dyDescent="0.25">
      <c r="A106" s="1" t="s">
        <v>208</v>
      </c>
      <c r="B106" s="1" t="s">
        <v>209</v>
      </c>
      <c r="C106" s="1" t="str">
        <f ca="1">IFERROR(__xludf.DUMMYFUNCTION("GOOGLETRANSLATE(B106,""en"",""ar"")"),"نوع الدفع")</f>
        <v>نوع الدفع</v>
      </c>
      <c r="D106" s="1" t="str">
        <f ca="1">IFERROR(__xludf.DUMMYFUNCTION("GOOGLETRANSLATE(B106,""en"",""zh-CN"")"),"支付方式")</f>
        <v>支付方式</v>
      </c>
      <c r="E106" s="1" t="str">
        <f ca="1">IFERROR(__xludf.DUMMYFUNCTION("GOOGLETRANSLATE(B106,""en"",""ja"")"),"支払いタイプ")</f>
        <v>支払いタイプ</v>
      </c>
      <c r="F106" s="1" t="str">
        <f ca="1">IFERROR(__xludf.DUMMYFUNCTION("GOOGLETRANSLATE(B106,""en"",""fr"")"),"Type de paiement")</f>
        <v>Type de paiement</v>
      </c>
    </row>
    <row r="107" spans="1:6" ht="15.75" customHeight="1" x14ac:dyDescent="0.25">
      <c r="A107" s="1" t="s">
        <v>210</v>
      </c>
      <c r="B107" s="1" t="s">
        <v>211</v>
      </c>
      <c r="C107" s="1" t="str">
        <f ca="1">IFERROR(__xludf.DUMMYFUNCTION("GOOGLETRANSLATE(B107,""en"",""ar"")"),"طابور #")</f>
        <v>طابور #</v>
      </c>
      <c r="D107" s="1" t="str">
        <f ca="1">IFERROR(__xludf.DUMMYFUNCTION("GOOGLETRANSLATE(B107,""en"",""zh-CN"")"),"队列 ＃")</f>
        <v>队列 ＃</v>
      </c>
      <c r="E107" s="1" t="str">
        <f ca="1">IFERROR(__xludf.DUMMYFUNCTION("GOOGLETRANSLATE(B107,""en"",""ja"")"),"列 ＃")</f>
        <v>列 ＃</v>
      </c>
      <c r="F107" s="1" t="str">
        <f ca="1">IFERROR(__xludf.DUMMYFUNCTION("GOOGLETRANSLATE(B107,""en"",""fr"")"),"File d'attente #")</f>
        <v>File d'attente #</v>
      </c>
    </row>
    <row r="108" spans="1:6" ht="15.75" customHeight="1" x14ac:dyDescent="0.25">
      <c r="A108" s="1" t="s">
        <v>212</v>
      </c>
      <c r="B108" s="1" t="s">
        <v>213</v>
      </c>
      <c r="C108" s="1" t="str">
        <f ca="1">IFERROR(__xludf.DUMMYFUNCTION("GOOGLETRANSLATE(B108,""en"",""ar"")"),"المجموع الإجمالي")</f>
        <v>المجموع الإجمالي</v>
      </c>
      <c r="D108" s="1" t="str">
        <f ca="1">IFERROR(__xludf.DUMMYFUNCTION("GOOGLETRANSLATE(B108,""en"",""zh-CN"")"),"累计")</f>
        <v>累计</v>
      </c>
      <c r="E108" s="1" t="str">
        <f ca="1">IFERROR(__xludf.DUMMYFUNCTION("GOOGLETRANSLATE(B108,""en"",""ja"")"),"総計")</f>
        <v>総計</v>
      </c>
      <c r="F108" s="1" t="str">
        <f ca="1">IFERROR(__xludf.DUMMYFUNCTION("GOOGLETRANSLATE(B108,""en"",""fr"")"),"Total")</f>
        <v>Total</v>
      </c>
    </row>
    <row r="109" spans="1:6" ht="15.75" customHeight="1" x14ac:dyDescent="0.25">
      <c r="A109" s="1" t="s">
        <v>214</v>
      </c>
      <c r="B109" s="1" t="s">
        <v>215</v>
      </c>
      <c r="C109" s="1" t="str">
        <f ca="1">IFERROR(__xludf.DUMMYFUNCTION("GOOGLETRANSLATE(B109,""en"",""ar"")"),"المجموع الفرعي")</f>
        <v>المجموع الفرعي</v>
      </c>
      <c r="D109" s="1" t="str">
        <f ca="1">IFERROR(__xludf.DUMMYFUNCTION("GOOGLETRANSLATE(B109,""en"",""zh-CN"")"),"分组总计")</f>
        <v>分组总计</v>
      </c>
      <c r="E109" s="1" t="str">
        <f ca="1">IFERROR(__xludf.DUMMYFUNCTION("GOOGLETRANSLATE(B109,""en"",""ja"")"),"サブの合計")</f>
        <v>サブの合計</v>
      </c>
      <c r="F109" s="1" t="str">
        <f ca="1">IFERROR(__xludf.DUMMYFUNCTION("GOOGLETRANSLATE(B109,""en"",""fr"")"),"Total")</f>
        <v>Total</v>
      </c>
    </row>
    <row r="110" spans="1:6" ht="15.75" customHeight="1" x14ac:dyDescent="0.25">
      <c r="A110" s="1" t="s">
        <v>216</v>
      </c>
      <c r="B110" s="1" t="s">
        <v>217</v>
      </c>
      <c r="C110" s="1" t="str">
        <f ca="1">IFERROR(__xludf.DUMMYFUNCTION("GOOGLETRANSLATE(B110,""en"",""ar"")"),"إجمالي الخصم")</f>
        <v>إجمالي الخصم</v>
      </c>
      <c r="D110" s="1" t="str">
        <f ca="1">IFERROR(__xludf.DUMMYFUNCTION("GOOGLETRANSLATE(B110,""en"",""zh-CN"")"),"总折扣")</f>
        <v>总折扣</v>
      </c>
      <c r="E110" s="1" t="str">
        <f ca="1">IFERROR(__xludf.DUMMYFUNCTION("GOOGLETRANSLATE(B110,""en"",""ja"")"),"総割引")</f>
        <v>総割引</v>
      </c>
      <c r="F110" s="1" t="str">
        <f ca="1">IFERROR(__xludf.DUMMYFUNCTION("GOOGLETRANSLATE(B110,""en"",""fr"")"),"Remise totale")</f>
        <v>Remise totale</v>
      </c>
    </row>
    <row r="111" spans="1:6" ht="15.75" customHeight="1" x14ac:dyDescent="0.25">
      <c r="A111" s="1" t="s">
        <v>218</v>
      </c>
      <c r="B111" s="1" t="s">
        <v>219</v>
      </c>
      <c r="C111" s="1" t="str">
        <f ca="1">IFERROR(__xludf.DUMMYFUNCTION("GOOGLETRANSLATE(B111,""en"",""ar"")"),"خصم")</f>
        <v>خصم</v>
      </c>
      <c r="D111" s="1" t="str">
        <f ca="1">IFERROR(__xludf.DUMMYFUNCTION("GOOGLETRANSLATE(B111,""en"",""zh-CN"")"),"折扣")</f>
        <v>折扣</v>
      </c>
      <c r="E111" s="1" t="str">
        <f ca="1">IFERROR(__xludf.DUMMYFUNCTION("GOOGLETRANSLATE(B111,""en"",""ja"")"),"割引")</f>
        <v>割引</v>
      </c>
      <c r="F111" s="1" t="str">
        <f ca="1">IFERROR(__xludf.DUMMYFUNCTION("GOOGLETRANSLATE(B111,""en"",""fr"")"),"Remise")</f>
        <v>Remise</v>
      </c>
    </row>
    <row r="112" spans="1:6" ht="15.75" customHeight="1" x14ac:dyDescent="0.25">
      <c r="A112" s="1" t="s">
        <v>220</v>
      </c>
      <c r="B112" s="1" t="s">
        <v>221</v>
      </c>
      <c r="C112" s="1" t="str">
        <f ca="1">IFERROR(__xludf.DUMMYFUNCTION("GOOGLETRANSLATE(B112,""en"",""ar"")"),"مجموع الضريبة")</f>
        <v>مجموع الضريبة</v>
      </c>
      <c r="D112" s="1" t="str">
        <f ca="1">IFERROR(__xludf.DUMMYFUNCTION("GOOGLETRANSLATE(B112,""en"",""zh-CN"")"),"总税收")</f>
        <v>总税收</v>
      </c>
      <c r="E112" s="1" t="str">
        <f ca="1">IFERROR(__xludf.DUMMYFUNCTION("GOOGLETRANSLATE(B112,""en"",""ja"")"),"総税")</f>
        <v>総税</v>
      </c>
      <c r="F112" s="1" t="str">
        <f ca="1">IFERROR(__xludf.DUMMYFUNCTION("GOOGLETRANSLATE(B112,""en"",""fr"")"),"Taxe total")</f>
        <v>Taxe total</v>
      </c>
    </row>
    <row r="113" spans="1:6" ht="15.75" customHeight="1" x14ac:dyDescent="0.25">
      <c r="A113" s="1" t="s">
        <v>222</v>
      </c>
      <c r="B113" s="1" t="s">
        <v>223</v>
      </c>
      <c r="C113" s="1" t="str">
        <f ca="1">IFERROR(__xludf.DUMMYFUNCTION("GOOGLETRANSLATE(B113,""en"",""ar"")"),"#")</f>
        <v>#</v>
      </c>
      <c r="D113" s="1" t="str">
        <f ca="1">IFERROR(__xludf.DUMMYFUNCTION("GOOGLETRANSLATE(B113,""en"",""zh-CN"")"),"CRN＃")</f>
        <v>CRN＃</v>
      </c>
      <c r="E113" s="1" t="str">
        <f ca="1">IFERROR(__xludf.DUMMYFUNCTION("GOOGLETRANSLATE(B113,""en"",""ja"")"),"CRN＃")</f>
        <v>CRN＃</v>
      </c>
      <c r="F113" s="1" t="str">
        <f ca="1">IFERROR(__xludf.DUMMYFUNCTION("GOOGLETRANSLATE(B113,""en"",""fr"")"),"CRN #")</f>
        <v>CRN #</v>
      </c>
    </row>
    <row r="114" spans="1:6" ht="15.75" customHeight="1" x14ac:dyDescent="0.25">
      <c r="A114" s="1" t="s">
        <v>224</v>
      </c>
      <c r="B114" s="1" t="s">
        <v>225</v>
      </c>
      <c r="C114" s="1" t="str">
        <f ca="1">IFERROR(__xludf.DUMMYFUNCTION("GOOGLETRANSLATE(B114,""en"",""ar"")"),"مبلغ CRN")</f>
        <v>مبلغ CRN</v>
      </c>
      <c r="D114" s="1" t="str">
        <f ca="1">IFERROR(__xludf.DUMMYFUNCTION("GOOGLETRANSLATE(B114,""en"",""zh-CN"")"),"CRN金额")</f>
        <v>CRN金额</v>
      </c>
      <c r="E114" s="1" t="str">
        <f ca="1">IFERROR(__xludf.DUMMYFUNCTION("GOOGLETRANSLATE(B114,""en"",""ja"")"),"CRN量")</f>
        <v>CRN量</v>
      </c>
      <c r="F114" s="1" t="str">
        <f ca="1">IFERROR(__xludf.DUMMYFUNCTION("GOOGLETRANSLATE(B114,""en"",""fr"")"),"Montant du CRN")</f>
        <v>Montant du CRN</v>
      </c>
    </row>
    <row r="115" spans="1:6" ht="15.75" customHeight="1" x14ac:dyDescent="0.25">
      <c r="A115" s="1" t="s">
        <v>226</v>
      </c>
      <c r="B115" s="1" t="s">
        <v>227</v>
      </c>
      <c r="C115" s="1" t="str">
        <f ca="1">IFERROR(__xludf.DUMMYFUNCTION("GOOGLETRANSLATE(B115,""en"",""ar"")"),"اشعار دائن")</f>
        <v>اشعار دائن</v>
      </c>
      <c r="D115" s="1" t="str">
        <f ca="1">IFERROR(__xludf.DUMMYFUNCTION("GOOGLETRANSLATE(B115,""en"",""zh-CN"")"),"信用票据")</f>
        <v>信用票据</v>
      </c>
      <c r="E115" s="1" t="str">
        <f ca="1">IFERROR(__xludf.DUMMYFUNCTION("GOOGLETRANSLATE(B115,""en"",""ja"")"),"クレジットノート")</f>
        <v>クレジットノート</v>
      </c>
      <c r="F115" s="1" t="str">
        <f ca="1">IFERROR(__xludf.DUMMYFUNCTION("GOOGLETRANSLATE(B115,""en"",""fr"")"),"Note de crédit")</f>
        <v>Note de crédit</v>
      </c>
    </row>
    <row r="116" spans="1:6" ht="15.75" customHeight="1" x14ac:dyDescent="0.25">
      <c r="A116" s="1" t="s">
        <v>228</v>
      </c>
      <c r="B116" s="1" t="s">
        <v>229</v>
      </c>
      <c r="C116" s="1" t="str">
        <f ca="1">IFERROR(__xludf.DUMMYFUNCTION("GOOGLETRANSLATE(B116,""en"",""ar"")"),"مجموع خط الخصم")</f>
        <v>مجموع خط الخصم</v>
      </c>
      <c r="D116" s="1" t="str">
        <f ca="1">IFERROR(__xludf.DUMMYFUNCTION("GOOGLETRANSLATE(B116,""en"",""zh-CN"")"),"总线折扣")</f>
        <v>总线折扣</v>
      </c>
      <c r="E116" s="1" t="str">
        <f ca="1">IFERROR(__xludf.DUMMYFUNCTION("GOOGLETRANSLATE(B116,""en"",""ja"")"),"全線の割引")</f>
        <v>全線の割引</v>
      </c>
      <c r="F116" s="1" t="str">
        <f ca="1">IFERROR(__xludf.DUMMYFUNCTION("GOOGLETRANSLATE(B116,""en"",""fr"")"),"Total Line Discount")</f>
        <v>Total Line Discount</v>
      </c>
    </row>
    <row r="117" spans="1:6" ht="15.75" customHeight="1" x14ac:dyDescent="0.25">
      <c r="A117" s="1" t="s">
        <v>230</v>
      </c>
      <c r="B117" s="1" t="s">
        <v>231</v>
      </c>
      <c r="C117" s="1" t="str">
        <f ca="1">IFERROR(__xludf.DUMMYFUNCTION("GOOGLETRANSLATE(B117,""en"",""ar"")"),"خط خصم")</f>
        <v>خط خصم</v>
      </c>
      <c r="D117" s="1" t="str">
        <f ca="1">IFERROR(__xludf.DUMMYFUNCTION("GOOGLETRANSLATE(B117,""en"",""zh-CN"")"),"线折扣")</f>
        <v>线折扣</v>
      </c>
      <c r="E117" s="1" t="str">
        <f ca="1">IFERROR(__xludf.DUMMYFUNCTION("GOOGLETRANSLATE(B117,""en"",""ja"")"),"ラインディスカウント")</f>
        <v>ラインディスカウント</v>
      </c>
      <c r="F117" s="1" t="str">
        <f ca="1">IFERROR(__xludf.DUMMYFUNCTION("GOOGLETRANSLATE(B117,""en"",""fr"")"),"Remise en ligne")</f>
        <v>Remise en ligne</v>
      </c>
    </row>
    <row r="118" spans="1:6" ht="15.75" customHeight="1" x14ac:dyDescent="0.25">
      <c r="A118" s="1" t="s">
        <v>232</v>
      </c>
      <c r="B118" s="1" t="s">
        <v>231</v>
      </c>
      <c r="C118" s="1" t="str">
        <f ca="1">IFERROR(__xludf.DUMMYFUNCTION("GOOGLETRANSLATE(B118,""en"",""ar"")"),"خط خصم")</f>
        <v>خط خصم</v>
      </c>
      <c r="D118" s="1" t="str">
        <f ca="1">IFERROR(__xludf.DUMMYFUNCTION("GOOGLETRANSLATE(B118,""en"",""zh-CN"")"),"线折扣")</f>
        <v>线折扣</v>
      </c>
      <c r="E118" s="1" t="str">
        <f ca="1">IFERROR(__xludf.DUMMYFUNCTION("GOOGLETRANSLATE(B118,""en"",""ja"")"),"ラインディスカウント")</f>
        <v>ラインディスカウント</v>
      </c>
      <c r="F118" s="1" t="str">
        <f ca="1">IFERROR(__xludf.DUMMYFUNCTION("GOOGLETRANSLATE(B118,""en"",""fr"")"),"Remise en ligne")</f>
        <v>Remise en ligne</v>
      </c>
    </row>
    <row r="119" spans="1:6" ht="15.75" customHeight="1" x14ac:dyDescent="0.25">
      <c r="A119" s="1" t="s">
        <v>233</v>
      </c>
      <c r="B119" s="1" t="s">
        <v>234</v>
      </c>
      <c r="C119" s="1" t="str">
        <f ca="1">IFERROR(__xludf.DUMMYFUNCTION("GOOGLETRANSLATE(B119,""en"",""ar"")"),"مذكرة الائتمان / معرف استرداد النقود")</f>
        <v>مذكرة الائتمان / معرف استرداد النقود</v>
      </c>
      <c r="D119" s="1" t="str">
        <f ca="1">IFERROR(__xludf.DUMMYFUNCTION("GOOGLETRANSLATE(B119,""en"",""zh-CN"")"),"信用票据/现金退款ID")</f>
        <v>信用票据/现金退款ID</v>
      </c>
      <c r="E119" s="1" t="str">
        <f ca="1">IFERROR(__xludf.DUMMYFUNCTION("GOOGLETRANSLATE(B119,""en"",""ja"")"),"クレジットノート/現金払い戻しID")</f>
        <v>クレジットノート/現金払い戻しID</v>
      </c>
      <c r="F119" s="1" t="str">
        <f ca="1">IFERROR(__xludf.DUMMYFUNCTION("GOOGLETRANSLATE(B119,""en"",""fr"")"),"Note de crédit / ID de remboursement de trésorerie")</f>
        <v>Note de crédit / ID de remboursement de trésorerie</v>
      </c>
    </row>
    <row r="120" spans="1:6" ht="15.75" customHeight="1" x14ac:dyDescent="0.25">
      <c r="A120" s="1" t="s">
        <v>235</v>
      </c>
      <c r="B120" s="1" t="s">
        <v>236</v>
      </c>
      <c r="C120" s="1" t="str">
        <f ca="1">IFERROR(__xludf.DUMMYFUNCTION("GOOGLETRANSLATE(B120,""en"",""ar"")"),"مقدار")</f>
        <v>مقدار</v>
      </c>
      <c r="D120" s="1" t="str">
        <f ca="1">IFERROR(__xludf.DUMMYFUNCTION("GOOGLETRANSLATE(B120,""en"",""zh-CN"")"),"数量")</f>
        <v>数量</v>
      </c>
      <c r="E120" s="1" t="str">
        <f ca="1">IFERROR(__xludf.DUMMYFUNCTION("GOOGLETRANSLATE(B120,""en"",""ja"")"),"額")</f>
        <v>額</v>
      </c>
      <c r="F120" s="1" t="str">
        <f ca="1">IFERROR(__xludf.DUMMYFUNCTION("GOOGLETRANSLATE(B120,""en"",""fr"")"),"Quantité")</f>
        <v>Quantité</v>
      </c>
    </row>
    <row r="121" spans="1:6" ht="15.75" customHeight="1" x14ac:dyDescent="0.25">
      <c r="A121" s="1" t="s">
        <v>237</v>
      </c>
      <c r="B121" s="1" t="s">
        <v>238</v>
      </c>
      <c r="C121" s="1" t="str">
        <f ca="1">IFERROR(__xludf.DUMMYFUNCTION("GOOGLETRANSLATE(B121,""en"",""ar"")"),"نوع")</f>
        <v>نوع</v>
      </c>
      <c r="D121" s="1" t="str">
        <f ca="1">IFERROR(__xludf.DUMMYFUNCTION("GOOGLETRANSLATE(B121,""en"",""zh-CN"")"),"类型")</f>
        <v>类型</v>
      </c>
      <c r="E121" s="1" t="str">
        <f ca="1">IFERROR(__xludf.DUMMYFUNCTION("GOOGLETRANSLATE(B121,""en"",""ja"")"),"タイプ")</f>
        <v>タイプ</v>
      </c>
      <c r="F121" s="1" t="str">
        <f ca="1">IFERROR(__xludf.DUMMYFUNCTION("GOOGLETRANSLATE(B121,""en"",""fr"")"),"Taper")</f>
        <v>Taper</v>
      </c>
    </row>
    <row r="122" spans="1:6" ht="15.75" customHeight="1" x14ac:dyDescent="0.25">
      <c r="A122" s="1" t="s">
        <v>239</v>
      </c>
      <c r="B122" s="1" t="s">
        <v>219</v>
      </c>
      <c r="C122" s="1" t="str">
        <f ca="1">IFERROR(__xludf.DUMMYFUNCTION("GOOGLETRANSLATE(B122,""en"",""ar"")"),"خصم")</f>
        <v>خصم</v>
      </c>
      <c r="D122" s="1" t="str">
        <f ca="1">IFERROR(__xludf.DUMMYFUNCTION("GOOGLETRANSLATE(B122,""en"",""zh-CN"")"),"折扣")</f>
        <v>折扣</v>
      </c>
      <c r="E122" s="1" t="str">
        <f ca="1">IFERROR(__xludf.DUMMYFUNCTION("GOOGLETRANSLATE(B122,""en"",""ja"")"),"割引")</f>
        <v>割引</v>
      </c>
      <c r="F122" s="1" t="str">
        <f ca="1">IFERROR(__xludf.DUMMYFUNCTION("GOOGLETRANSLATE(B122,""en"",""fr"")"),"Remise")</f>
        <v>Remise</v>
      </c>
    </row>
    <row r="123" spans="1:6" ht="15.75" customHeight="1" x14ac:dyDescent="0.25">
      <c r="A123" s="1" t="s">
        <v>240</v>
      </c>
      <c r="B123" s="1" t="s">
        <v>189</v>
      </c>
      <c r="C123" s="1" t="str">
        <f ca="1">IFERROR(__xludf.DUMMYFUNCTION("GOOGLETRANSLATE(B123,""en"",""ar"")"),"إيصال #")</f>
        <v>إيصال #</v>
      </c>
      <c r="D123" s="1" t="str">
        <f ca="1">IFERROR(__xludf.DUMMYFUNCTION("GOOGLETRANSLATE(B123,""en"",""zh-CN"")"),"收据 ＃")</f>
        <v>收据 ＃</v>
      </c>
      <c r="E123" s="1" t="str">
        <f ca="1">IFERROR(__xludf.DUMMYFUNCTION("GOOGLETRANSLATE(B123,""en"",""ja"")"),"レシート ＃")</f>
        <v>レシート ＃</v>
      </c>
      <c r="F123" s="1" t="str">
        <f ca="1">IFERROR(__xludf.DUMMYFUNCTION("GOOGLETRANSLATE(B123,""en"",""fr"")"),"Reçu #")</f>
        <v>Reçu #</v>
      </c>
    </row>
    <row r="124" spans="1:6" ht="15.75" customHeight="1" x14ac:dyDescent="0.25">
      <c r="A124" s="1" t="s">
        <v>241</v>
      </c>
      <c r="B124" s="1" t="s">
        <v>242</v>
      </c>
      <c r="C124" s="1" t="str">
        <f ca="1">IFERROR(__xludf.DUMMYFUNCTION("GOOGLETRANSLATE(B124,""en"",""ar"")"),"صافي")</f>
        <v>صافي</v>
      </c>
      <c r="D124" s="1" t="str">
        <f ca="1">IFERROR(__xludf.DUMMYFUNCTION("GOOGLETRANSLATE(B124,""en"",""zh-CN"")"),"清除")</f>
        <v>清除</v>
      </c>
      <c r="E124" s="1" t="str">
        <f ca="1">IFERROR(__xludf.DUMMYFUNCTION("GOOGLETRANSLATE(B124,""en"",""ja"")"),"クリア")</f>
        <v>クリア</v>
      </c>
      <c r="F124" s="1" t="str">
        <f ca="1">IFERROR(__xludf.DUMMYFUNCTION("GOOGLETRANSLATE(B124,""en"",""fr"")"),"Dégager")</f>
        <v>Dégager</v>
      </c>
    </row>
    <row r="125" spans="1:6" ht="15.75" customHeight="1" x14ac:dyDescent="0.25">
      <c r="A125" s="1" t="s">
        <v>243</v>
      </c>
      <c r="B125" s="1" t="s">
        <v>244</v>
      </c>
      <c r="C125" s="1" t="str">
        <f ca="1">IFERROR(__xludf.DUMMYFUNCTION("GOOGLETRANSLATE(B125,""en"",""ar"")"),"Cler.")</f>
        <v>Cler.</v>
      </c>
      <c r="D125" s="1" t="str">
        <f ca="1">IFERROR(__xludf.DUMMYFUNCTION("GOOGLETRANSLATE(B125,""en"",""zh-CN"")"),"CLR.")</f>
        <v>CLR.</v>
      </c>
      <c r="E125" s="1" t="str">
        <f ca="1">IFERROR(__xludf.DUMMYFUNCTION("GOOGLETRANSLATE(B125,""en"",""ja"")"),"クル")</f>
        <v>クル</v>
      </c>
      <c r="F125" s="1" t="str">
        <f ca="1">IFERROR(__xludf.DUMMYFUNCTION("GOOGLETRANSLATE(B125,""en"",""fr"")"),"CLR")</f>
        <v>CLR</v>
      </c>
    </row>
    <row r="126" spans="1:6" ht="15.75" customHeight="1" x14ac:dyDescent="0.25">
      <c r="A126" s="1" t="s">
        <v>245</v>
      </c>
      <c r="B126" s="1" t="s">
        <v>246</v>
      </c>
      <c r="C126" s="1" t="str">
        <f ca="1">IFERROR(__xludf.DUMMYFUNCTION("GOOGLETRANSLATE(B126,""en"",""ar"")"),"ب / ك")</f>
        <v>ب / ك</v>
      </c>
      <c r="D126" s="1" t="str">
        <f ca="1">IFERROR(__xludf.DUMMYFUNCTION("GOOGLETRANSLATE(B126,""en"",""zh-CN"")"),"B / K.")</f>
        <v>B / K.</v>
      </c>
      <c r="E126" s="1" t="str">
        <f ca="1">IFERROR(__xludf.DUMMYFUNCTION("GOOGLETRANSLATE(B126,""en"",""ja"")"),"B / K.")</f>
        <v>B / K.</v>
      </c>
      <c r="F126" s="1" t="str">
        <f ca="1">IFERROR(__xludf.DUMMYFUNCTION("GOOGLETRANSLATE(B126,""en"",""fr"")"),"B / k")</f>
        <v>B / k</v>
      </c>
    </row>
    <row r="127" spans="1:6" ht="15.75" customHeight="1" x14ac:dyDescent="0.25">
      <c r="A127" s="1" t="s">
        <v>247</v>
      </c>
      <c r="B127" s="1" t="s">
        <v>227</v>
      </c>
      <c r="C127" s="1" t="str">
        <f ca="1">IFERROR(__xludf.DUMMYFUNCTION("GOOGLETRANSLATE(B127,""en"",""ar"")"),"اشعار دائن")</f>
        <v>اشعار دائن</v>
      </c>
      <c r="D127" s="1" t="str">
        <f ca="1">IFERROR(__xludf.DUMMYFUNCTION("GOOGLETRANSLATE(B127,""en"",""zh-CN"")"),"信用票据")</f>
        <v>信用票据</v>
      </c>
      <c r="E127" s="1" t="str">
        <f ca="1">IFERROR(__xludf.DUMMYFUNCTION("GOOGLETRANSLATE(B127,""en"",""ja"")"),"クレジットノート")</f>
        <v>クレジットノート</v>
      </c>
      <c r="F127" s="1" t="str">
        <f ca="1">IFERROR(__xludf.DUMMYFUNCTION("GOOGLETRANSLATE(B127,""en"",""fr"")"),"Note de crédit")</f>
        <v>Note de crédit</v>
      </c>
    </row>
    <row r="128" spans="1:6" ht="15.75" customHeight="1" x14ac:dyDescent="0.25">
      <c r="A128" s="1" t="s">
        <v>248</v>
      </c>
      <c r="B128" s="1" t="s">
        <v>249</v>
      </c>
      <c r="C128" s="1" t="str">
        <f ca="1">IFERROR(__xludf.DUMMYFUNCTION("GOOGLETRANSLATE(B128,""en"",""ar"")"),"طاقم عمل")</f>
        <v>طاقم عمل</v>
      </c>
      <c r="D128" s="1" t="str">
        <f ca="1">IFERROR(__xludf.DUMMYFUNCTION("GOOGLETRANSLATE(B128,""en"",""zh-CN"")"),"职员")</f>
        <v>职员</v>
      </c>
      <c r="E128" s="1" t="str">
        <f ca="1">IFERROR(__xludf.DUMMYFUNCTION("GOOGLETRANSLATE(B128,""en"",""ja"")"),"スタッフ")</f>
        <v>スタッフ</v>
      </c>
      <c r="F128" s="1" t="str">
        <f ca="1">IFERROR(__xludf.DUMMYFUNCTION("GOOGLETRANSLATE(B128,""en"",""fr"")"),"Personnel")</f>
        <v>Personnel</v>
      </c>
    </row>
    <row r="129" spans="1:6" ht="15.75" customHeight="1" x14ac:dyDescent="0.25">
      <c r="A129" s="1" t="s">
        <v>250</v>
      </c>
      <c r="B129" s="1" t="s">
        <v>197</v>
      </c>
      <c r="C129" s="1" t="str">
        <f ca="1">IFERROR(__xludf.DUMMYFUNCTION("GOOGLETRANSLATE(B129,""en"",""ar"")"),"نوع الطلب")</f>
        <v>نوع الطلب</v>
      </c>
      <c r="D129" s="1" t="str">
        <f ca="1">IFERROR(__xludf.DUMMYFUNCTION("GOOGLETRANSLATE(B129,""en"",""zh-CN"")"),"订单类型")</f>
        <v>订单类型</v>
      </c>
      <c r="E129" s="1" t="str">
        <f ca="1">IFERROR(__xludf.DUMMYFUNCTION("GOOGLETRANSLATE(B129,""en"",""ja"")"),"注文タイプ")</f>
        <v>注文タイプ</v>
      </c>
      <c r="F129" s="1" t="str">
        <f ca="1">IFERROR(__xludf.DUMMYFUNCTION("GOOGLETRANSLATE(B129,""en"",""fr"")"),"Type de commande")</f>
        <v>Type de commande</v>
      </c>
    </row>
    <row r="130" spans="1:6" ht="15.75" customHeight="1" x14ac:dyDescent="0.25">
      <c r="A130" s="1" t="s">
        <v>251</v>
      </c>
      <c r="B130" s="1" t="s">
        <v>252</v>
      </c>
      <c r="C130" s="1" t="str">
        <f ca="1">IFERROR(__xludf.DUMMYFUNCTION("GOOGLETRANSLATE(B130,""en"",""ar"")"),"يخلق")</f>
        <v>يخلق</v>
      </c>
      <c r="D130" s="1" t="str">
        <f ca="1">IFERROR(__xludf.DUMMYFUNCTION("GOOGLETRANSLATE(B130,""en"",""zh-CN"")"),"创建")</f>
        <v>创建</v>
      </c>
      <c r="E130" s="1" t="str">
        <f ca="1">IFERROR(__xludf.DUMMYFUNCTION("GOOGLETRANSLATE(B130,""en"",""ja"")"),"作成")</f>
        <v>作成</v>
      </c>
      <c r="F130" s="1" t="str">
        <f ca="1">IFERROR(__xludf.DUMMYFUNCTION("GOOGLETRANSLATE(B130,""en"",""fr"")"),"Créer")</f>
        <v>Créer</v>
      </c>
    </row>
    <row r="131" spans="1:6" ht="15.75" customHeight="1" x14ac:dyDescent="0.25">
      <c r="A131" s="1" t="s">
        <v>253</v>
      </c>
      <c r="B131" s="1" t="s">
        <v>254</v>
      </c>
      <c r="C131" s="1" t="str">
        <f ca="1">IFERROR(__xludf.DUMMYFUNCTION("GOOGLETRANSLATE(B131,""en"",""ar"")"),"حذف")</f>
        <v>حذف</v>
      </c>
      <c r="D131" s="1" t="str">
        <f ca="1">IFERROR(__xludf.DUMMYFUNCTION("GOOGLETRANSLATE(B131,""en"",""zh-CN"")"),"删除")</f>
        <v>删除</v>
      </c>
      <c r="E131" s="1" t="str">
        <f ca="1">IFERROR(__xludf.DUMMYFUNCTION("GOOGLETRANSLATE(B131,""en"",""ja"")"),"消去")</f>
        <v>消去</v>
      </c>
      <c r="F131" s="1" t="str">
        <f ca="1">IFERROR(__xludf.DUMMYFUNCTION("GOOGLETRANSLATE(B131,""en"",""fr"")"),"EFFACER")</f>
        <v>EFFACER</v>
      </c>
    </row>
    <row r="132" spans="1:6" ht="15.75" customHeight="1" x14ac:dyDescent="0.25">
      <c r="A132" s="1" t="s">
        <v>255</v>
      </c>
      <c r="B132" s="1" t="s">
        <v>256</v>
      </c>
      <c r="C132" s="1" t="str">
        <f ca="1">IFERROR(__xludf.DUMMYFUNCTION("GOOGLETRANSLATE(B132,""en"",""ar"")"),"تعديل")</f>
        <v>تعديل</v>
      </c>
      <c r="D132" s="1" t="str">
        <f ca="1">IFERROR(__xludf.DUMMYFUNCTION("GOOGLETRANSLATE(B132,""en"",""zh-CN"")"),"编辑")</f>
        <v>编辑</v>
      </c>
      <c r="E132" s="1" t="str">
        <f ca="1">IFERROR(__xludf.DUMMYFUNCTION("GOOGLETRANSLATE(B132,""en"",""ja"")"),"編集")</f>
        <v>編集</v>
      </c>
      <c r="F132" s="1" t="str">
        <f ca="1">IFERROR(__xludf.DUMMYFUNCTION("GOOGLETRANSLATE(B132,""en"",""fr"")"),"ÉDITER")</f>
        <v>ÉDITER</v>
      </c>
    </row>
    <row r="133" spans="1:6" ht="15.75" customHeight="1" x14ac:dyDescent="0.25">
      <c r="A133" s="1" t="s">
        <v>257</v>
      </c>
      <c r="B133" s="1" t="s">
        <v>258</v>
      </c>
      <c r="C133" s="1" t="str">
        <f ca="1">IFERROR(__xludf.DUMMYFUNCTION("GOOGLETRANSLATE(B133,""en"",""ar"")"),"حفظ")</f>
        <v>حفظ</v>
      </c>
      <c r="D133" s="1" t="str">
        <f ca="1">IFERROR(__xludf.DUMMYFUNCTION("GOOGLETRANSLATE(B133,""en"",""zh-CN"")"),"保存")</f>
        <v>保存</v>
      </c>
      <c r="E133" s="1" t="str">
        <f ca="1">IFERROR(__xludf.DUMMYFUNCTION("GOOGLETRANSLATE(B133,""en"",""ja"")"),"保存する")</f>
        <v>保存する</v>
      </c>
      <c r="F133" s="1" t="str">
        <f ca="1">IFERROR(__xludf.DUMMYFUNCTION("GOOGLETRANSLATE(B133,""en"",""fr"")"),"SAUVER")</f>
        <v>SAUVER</v>
      </c>
    </row>
    <row r="134" spans="1:6" ht="15.75" customHeight="1" x14ac:dyDescent="0.25">
      <c r="A134" s="1" t="s">
        <v>259</v>
      </c>
      <c r="B134" s="1" t="s">
        <v>260</v>
      </c>
      <c r="C134" s="1" t="str">
        <f ca="1">IFERROR(__xludf.DUMMYFUNCTION("GOOGLETRANSLATE(B134,""en"",""ar"")"),"حفظ وصفة")</f>
        <v>حفظ وصفة</v>
      </c>
      <c r="D134" s="1" t="str">
        <f ca="1">IFERROR(__xludf.DUMMYFUNCTION("GOOGLETRANSLATE(B134,""en"",""zh-CN"")"),"保存食谱")</f>
        <v>保存食谱</v>
      </c>
      <c r="E134" s="1" t="str">
        <f ca="1">IFERROR(__xludf.DUMMYFUNCTION("GOOGLETRANSLATE(B134,""en"",""ja"")"),"レシピを保存します")</f>
        <v>レシピを保存します</v>
      </c>
      <c r="F134" s="1" t="str">
        <f ca="1">IFERROR(__xludf.DUMMYFUNCTION("GOOGLETRANSLATE(B134,""en"",""fr"")"),"Sauvegarder la recette")</f>
        <v>Sauvegarder la recette</v>
      </c>
    </row>
    <row r="135" spans="1:6" ht="15.75" customHeight="1" x14ac:dyDescent="0.25">
      <c r="A135" s="1" t="s">
        <v>261</v>
      </c>
      <c r="B135" s="1" t="s">
        <v>252</v>
      </c>
      <c r="C135" s="1" t="str">
        <f ca="1">IFERROR(__xludf.DUMMYFUNCTION("GOOGLETRANSLATE(B135,""en"",""ar"")"),"يخلق")</f>
        <v>يخلق</v>
      </c>
      <c r="D135" s="1" t="str">
        <f ca="1">IFERROR(__xludf.DUMMYFUNCTION("GOOGLETRANSLATE(B135,""en"",""zh-CN"")"),"创建")</f>
        <v>创建</v>
      </c>
      <c r="E135" s="1" t="str">
        <f ca="1">IFERROR(__xludf.DUMMYFUNCTION("GOOGLETRANSLATE(B135,""en"",""ja"")"),"作成")</f>
        <v>作成</v>
      </c>
      <c r="F135" s="1" t="str">
        <f ca="1">IFERROR(__xludf.DUMMYFUNCTION("GOOGLETRANSLATE(B135,""en"",""fr"")"),"Créer")</f>
        <v>Créer</v>
      </c>
    </row>
    <row r="136" spans="1:6" ht="15.75" customHeight="1" x14ac:dyDescent="0.25">
      <c r="A136" s="1" t="s">
        <v>262</v>
      </c>
      <c r="B136" s="1" t="s">
        <v>263</v>
      </c>
      <c r="C136" s="1" t="str">
        <f ca="1">IFERROR(__xludf.DUMMYFUNCTION("GOOGLETRANSLATE(B136,""en"",""ar"")"),"رأي")</f>
        <v>رأي</v>
      </c>
      <c r="D136" s="1" t="str">
        <f ca="1">IFERROR(__xludf.DUMMYFUNCTION("GOOGLETRANSLATE(B136,""en"",""zh-CN"")"),"看法")</f>
        <v>看法</v>
      </c>
      <c r="E136" s="1" t="str">
        <f ca="1">IFERROR(__xludf.DUMMYFUNCTION("GOOGLETRANSLATE(B136,""en"",""ja"")"),"意見")</f>
        <v>意見</v>
      </c>
      <c r="F136" s="1" t="str">
        <f ca="1">IFERROR(__xludf.DUMMYFUNCTION("GOOGLETRANSLATE(B136,""en"",""fr"")"),"Voir")</f>
        <v>Voir</v>
      </c>
    </row>
    <row r="137" spans="1:6" ht="15.75" customHeight="1" x14ac:dyDescent="0.25">
      <c r="A137" s="1" t="s">
        <v>264</v>
      </c>
      <c r="B137" s="1" t="s">
        <v>242</v>
      </c>
      <c r="C137" s="1" t="str">
        <f ca="1">IFERROR(__xludf.DUMMYFUNCTION("GOOGLETRANSLATE(B137,""en"",""ar"")"),"صافي")</f>
        <v>صافي</v>
      </c>
      <c r="D137" s="1" t="str">
        <f ca="1">IFERROR(__xludf.DUMMYFUNCTION("GOOGLETRANSLATE(B137,""en"",""zh-CN"")"),"清除")</f>
        <v>清除</v>
      </c>
      <c r="E137" s="1" t="str">
        <f ca="1">IFERROR(__xludf.DUMMYFUNCTION("GOOGLETRANSLATE(B137,""en"",""ja"")"),"クリア")</f>
        <v>クリア</v>
      </c>
      <c r="F137" s="1" t="str">
        <f ca="1">IFERROR(__xludf.DUMMYFUNCTION("GOOGLETRANSLATE(B137,""en"",""fr"")"),"Dégager")</f>
        <v>Dégager</v>
      </c>
    </row>
    <row r="138" spans="1:6" ht="15.75" customHeight="1" x14ac:dyDescent="0.25">
      <c r="A138" s="1" t="s">
        <v>265</v>
      </c>
      <c r="B138" s="1" t="s">
        <v>266</v>
      </c>
      <c r="C138" s="1" t="str">
        <f ca="1">IFERROR(__xludf.DUMMYFUNCTION("GOOGLETRANSLATE(B138,""en"",""ar"")"),"تجاهل")</f>
        <v>تجاهل</v>
      </c>
      <c r="D138" s="1" t="str">
        <f ca="1">IFERROR(__xludf.DUMMYFUNCTION("GOOGLETRANSLATE(B138,""en"",""zh-CN"")"),"丢弃")</f>
        <v>丢弃</v>
      </c>
      <c r="E138" s="1" t="str">
        <f ca="1">IFERROR(__xludf.DUMMYFUNCTION("GOOGLETRANSLATE(B138,""en"",""ja"")"),"破棄")</f>
        <v>破棄</v>
      </c>
      <c r="F138" s="1" t="str">
        <f ca="1">IFERROR(__xludf.DUMMYFUNCTION("GOOGLETRANSLATE(B138,""en"",""fr"")"),"Jeter")</f>
        <v>Jeter</v>
      </c>
    </row>
    <row r="139" spans="1:6" ht="15.75" customHeight="1" x14ac:dyDescent="0.25">
      <c r="A139" s="1" t="s">
        <v>267</v>
      </c>
      <c r="B139" s="1" t="s">
        <v>268</v>
      </c>
      <c r="C139" s="1" t="str">
        <f ca="1">IFERROR(__xludf.DUMMYFUNCTION("GOOGLETRANSLATE(B139,""en"",""ar"")"),"قريب")</f>
        <v>قريب</v>
      </c>
      <c r="D139" s="1" t="str">
        <f ca="1">IFERROR(__xludf.DUMMYFUNCTION("GOOGLETRANSLATE(B139,""en"",""zh-CN"")"),"关闭")</f>
        <v>关闭</v>
      </c>
      <c r="E139" s="1" t="str">
        <f ca="1">IFERROR(__xludf.DUMMYFUNCTION("GOOGLETRANSLATE(B139,""en"",""ja"")"),"選ぶ")</f>
        <v>選ぶ</v>
      </c>
      <c r="F139" s="1" t="str">
        <f ca="1">IFERROR(__xludf.DUMMYFUNCTION("GOOGLETRANSLATE(B139,""en"",""fr"")"),"Fermer")</f>
        <v>Fermer</v>
      </c>
    </row>
    <row r="140" spans="1:6" ht="15.75" customHeight="1" x14ac:dyDescent="0.25">
      <c r="A140" s="1" t="s">
        <v>269</v>
      </c>
      <c r="B140" s="1" t="s">
        <v>270</v>
      </c>
      <c r="C140" s="1" t="str">
        <f ca="1">IFERROR(__xludf.DUMMYFUNCTION("GOOGLETRANSLATE(B140,""en"",""ar"")"),"مطبعة")</f>
        <v>مطبعة</v>
      </c>
      <c r="D140" s="1" t="str">
        <f ca="1">IFERROR(__xludf.DUMMYFUNCTION("GOOGLETRANSLATE(B140,""en"",""zh-CN"")"),"打印")</f>
        <v>打印</v>
      </c>
      <c r="E140" s="1" t="str">
        <f ca="1">IFERROR(__xludf.DUMMYFUNCTION("GOOGLETRANSLATE(B140,""en"",""ja"")"),"印字")</f>
        <v>印字</v>
      </c>
      <c r="F140" s="1" t="str">
        <f ca="1">IFERROR(__xludf.DUMMYFUNCTION("GOOGLETRANSLATE(B140,""en"",""fr"")"),"Imprimer")</f>
        <v>Imprimer</v>
      </c>
    </row>
    <row r="141" spans="1:6" ht="15.75" customHeight="1" x14ac:dyDescent="0.25">
      <c r="A141" s="1" t="s">
        <v>271</v>
      </c>
      <c r="B141" s="1" t="s">
        <v>272</v>
      </c>
      <c r="C141" s="1" t="str">
        <f ca="1">IFERROR(__xludf.DUMMYFUNCTION("GOOGLETRANSLATE(B141,""en"",""ar"")"),"طباعة &amp; amp؛ يضيف")</f>
        <v>طباعة &amp; amp؛ يضيف</v>
      </c>
      <c r="D141" s="1" t="str">
        <f ca="1">IFERROR(__xludf.DUMMYFUNCTION("GOOGLETRANSLATE(B141,""en"",""zh-CN"")"),"打印＆amp;添加")</f>
        <v>打印＆amp;添加</v>
      </c>
      <c r="E141" s="1" t="str">
        <f ca="1">IFERROR(__xludf.DUMMYFUNCTION("GOOGLETRANSLATE(B141,""en"",""ja"")"),"印刷＆amp;追加")</f>
        <v>印刷＆amp;追加</v>
      </c>
      <c r="F141" s="1" t="str">
        <f ca="1">IFERROR(__xludf.DUMMYFUNCTION("GOOGLETRANSLATE(B141,""en"",""fr"")"),"Imprimer et amplir; Ajouter")</f>
        <v>Imprimer et amplir; Ajouter</v>
      </c>
    </row>
    <row r="142" spans="1:6" ht="15.75" customHeight="1" x14ac:dyDescent="0.25">
      <c r="A142" s="1" t="s">
        <v>273</v>
      </c>
      <c r="B142" s="1" t="s">
        <v>274</v>
      </c>
      <c r="C142" s="1" t="str">
        <f ca="1">IFERROR(__xludf.DUMMYFUNCTION("GOOGLETRANSLATE(B142,""en"",""ar"")"),"دفع")</f>
        <v>دفع</v>
      </c>
      <c r="D142" s="1" t="str">
        <f ca="1">IFERROR(__xludf.DUMMYFUNCTION("GOOGLETRANSLATE(B142,""en"",""zh-CN"")"),"支付")</f>
        <v>支付</v>
      </c>
      <c r="E142" s="1" t="str">
        <f ca="1">IFERROR(__xludf.DUMMYFUNCTION("GOOGLETRANSLATE(B142,""en"",""ja"")"),"支払い")</f>
        <v>支払い</v>
      </c>
      <c r="F142" s="1" t="str">
        <f ca="1">IFERROR(__xludf.DUMMYFUNCTION("GOOGLETRANSLATE(B142,""en"",""fr"")"),"Paiement")</f>
        <v>Paiement</v>
      </c>
    </row>
    <row r="143" spans="1:6" ht="15.75" customHeight="1" x14ac:dyDescent="0.25">
      <c r="A143" s="1" t="s">
        <v>275</v>
      </c>
      <c r="B143" s="1" t="s">
        <v>276</v>
      </c>
      <c r="C143" s="1" t="str">
        <f ca="1">IFERROR(__xludf.DUMMYFUNCTION("GOOGLETRANSLATE(B143,""en"",""ar"")"),"إلغاء")</f>
        <v>إلغاء</v>
      </c>
      <c r="D143" s="1" t="str">
        <f ca="1">IFERROR(__xludf.DUMMYFUNCTION("GOOGLETRANSLATE(B143,""en"",""zh-CN"")"),"取消")</f>
        <v>取消</v>
      </c>
      <c r="E143" s="1" t="str">
        <f ca="1">IFERROR(__xludf.DUMMYFUNCTION("GOOGLETRANSLATE(B143,""en"",""ja"")"),"キャンセル")</f>
        <v>キャンセル</v>
      </c>
      <c r="F143" s="1" t="str">
        <f ca="1">IFERROR(__xludf.DUMMYFUNCTION("GOOGLETRANSLATE(B143,""en"",""fr"")"),"ANNULER")</f>
        <v>ANNULER</v>
      </c>
    </row>
    <row r="144" spans="1:6" ht="15.75" customHeight="1" x14ac:dyDescent="0.25">
      <c r="A144" s="1" t="s">
        <v>277</v>
      </c>
      <c r="B144" s="1" t="s">
        <v>278</v>
      </c>
      <c r="C144" s="1" t="str">
        <f ca="1">IFERROR(__xludf.DUMMYFUNCTION("GOOGLETRANSLATE(B144,""en"",""ar"")"),"يضيف")</f>
        <v>يضيف</v>
      </c>
      <c r="D144" s="1" t="str">
        <f ca="1">IFERROR(__xludf.DUMMYFUNCTION("GOOGLETRANSLATE(B144,""en"",""zh-CN"")"),"添加")</f>
        <v>添加</v>
      </c>
      <c r="E144" s="1" t="str">
        <f ca="1">IFERROR(__xludf.DUMMYFUNCTION("GOOGLETRANSLATE(B144,""en"",""ja"")"),"追加")</f>
        <v>追加</v>
      </c>
      <c r="F144" s="1" t="str">
        <f ca="1">IFERROR(__xludf.DUMMYFUNCTION("GOOGLETRANSLATE(B144,""en"",""fr"")"),"Ajouter")</f>
        <v>Ajouter</v>
      </c>
    </row>
    <row r="145" spans="1:6" ht="15.75" customHeight="1" x14ac:dyDescent="0.25">
      <c r="A145" s="1" t="s">
        <v>279</v>
      </c>
      <c r="B145" s="1" t="s">
        <v>280</v>
      </c>
      <c r="C145" s="1" t="str">
        <f ca="1">IFERROR(__xludf.DUMMYFUNCTION("GOOGLETRANSLATE(B145,""en"",""ar"")"),"طباعة بيل")</f>
        <v>طباعة بيل</v>
      </c>
      <c r="D145" s="1" t="str">
        <f ca="1">IFERROR(__xludf.DUMMYFUNCTION("GOOGLETRANSLATE(B145,""en"",""zh-CN"")"),"打印前账单")</f>
        <v>打印前账单</v>
      </c>
      <c r="E145" s="1" t="str">
        <f ca="1">IFERROR(__xludf.DUMMYFUNCTION("GOOGLETRANSLATE(B145,""en"",""ja"")"),"プリブルを印刷")</f>
        <v>プリブルを印刷</v>
      </c>
      <c r="F145" s="1" t="str">
        <f ca="1">IFERROR(__xludf.DUMMYFUNCTION("GOOGLETRANSLATE(B145,""en"",""fr"")"),"Imprimer Pré-facture")</f>
        <v>Imprimer Pré-facture</v>
      </c>
    </row>
    <row r="146" spans="1:6" ht="15.75" customHeight="1" x14ac:dyDescent="0.25">
      <c r="A146" s="1" t="s">
        <v>281</v>
      </c>
      <c r="B146" s="1" t="s">
        <v>282</v>
      </c>
      <c r="C146" s="1" t="str">
        <f ca="1">IFERROR(__xludf.DUMMYFUNCTION("GOOGLETRANSLATE(B146,""en"",""ar"")"),"نعم")</f>
        <v>نعم</v>
      </c>
      <c r="D146" s="1" t="str">
        <f ca="1">IFERROR(__xludf.DUMMYFUNCTION("GOOGLETRANSLATE(B146,""en"",""zh-CN"")"),"是的")</f>
        <v>是的</v>
      </c>
      <c r="E146" s="1" t="str">
        <f ca="1">IFERROR(__xludf.DUMMYFUNCTION("GOOGLETRANSLATE(B146,""en"",""ja"")"),"はい")</f>
        <v>はい</v>
      </c>
      <c r="F146" s="1" t="str">
        <f ca="1">IFERROR(__xludf.DUMMYFUNCTION("GOOGLETRANSLATE(B146,""en"",""fr"")"),"Oui")</f>
        <v>Oui</v>
      </c>
    </row>
    <row r="147" spans="1:6" ht="15.75" customHeight="1" x14ac:dyDescent="0.25">
      <c r="A147" s="1" t="s">
        <v>283</v>
      </c>
      <c r="B147" s="1" t="s">
        <v>284</v>
      </c>
      <c r="C147" s="1" t="str">
        <f ca="1">IFERROR(__xludf.DUMMYFUNCTION("GOOGLETRANSLATE(B147,""en"",""ar"")"),"رقم")</f>
        <v>رقم</v>
      </c>
      <c r="D147" s="1" t="str">
        <f ca="1">IFERROR(__xludf.DUMMYFUNCTION("GOOGLETRANSLATE(B147,""en"",""zh-CN"")"),"不")</f>
        <v>不</v>
      </c>
      <c r="E147" s="1" t="str">
        <f ca="1">IFERROR(__xludf.DUMMYFUNCTION("GOOGLETRANSLATE(B147,""en"",""ja"")"),"番号")</f>
        <v>番号</v>
      </c>
      <c r="F147" s="1" t="str">
        <f ca="1">IFERROR(__xludf.DUMMYFUNCTION("GOOGLETRANSLATE(B147,""en"",""fr"")"),"Non")</f>
        <v>Non</v>
      </c>
    </row>
    <row r="148" spans="1:6" ht="15.75" customHeight="1" x14ac:dyDescent="0.25">
      <c r="A148" s="1" t="s">
        <v>285</v>
      </c>
      <c r="B148" s="1" t="s">
        <v>127</v>
      </c>
      <c r="C148" s="1" t="str">
        <f ca="1">IFERROR(__xludf.DUMMYFUNCTION("GOOGLETRANSLATE(B148,""en"",""ar"")"),"شراء")</f>
        <v>شراء</v>
      </c>
      <c r="D148" s="1" t="str">
        <f ca="1">IFERROR(__xludf.DUMMYFUNCTION("GOOGLETRANSLATE(B148,""en"",""zh-CN"")"),"购买")</f>
        <v>购买</v>
      </c>
      <c r="E148" s="1" t="str">
        <f ca="1">IFERROR(__xludf.DUMMYFUNCTION("GOOGLETRANSLATE(B148,""en"",""ja"")"),"購入")</f>
        <v>購入</v>
      </c>
      <c r="F148" s="1" t="str">
        <f ca="1">IFERROR(__xludf.DUMMYFUNCTION("GOOGLETRANSLATE(B148,""en"",""fr"")"),"Acheter")</f>
        <v>Acheter</v>
      </c>
    </row>
    <row r="149" spans="1:6" ht="15.75" customHeight="1" x14ac:dyDescent="0.25">
      <c r="A149" s="1" t="s">
        <v>286</v>
      </c>
      <c r="B149" s="1" t="s">
        <v>287</v>
      </c>
      <c r="C149" s="1" t="str">
        <f ca="1">IFERROR(__xludf.DUMMYFUNCTION("GOOGLETRANSLATE(B149,""en"",""ar"")"),"أضف إلى المخزون")</f>
        <v>أضف إلى المخزون</v>
      </c>
      <c r="D149" s="1" t="str">
        <f ca="1">IFERROR(__xludf.DUMMYFUNCTION("GOOGLETRANSLATE(B149,""en"",""zh-CN"")"),"加入股票")</f>
        <v>加入股票</v>
      </c>
      <c r="E149" s="1" t="str">
        <f ca="1">IFERROR(__xludf.DUMMYFUNCTION("GOOGLETRANSLATE(B149,""en"",""ja"")"),"在庫に追加します")</f>
        <v>在庫に追加します</v>
      </c>
      <c r="F149" s="1" t="str">
        <f ca="1">IFERROR(__xludf.DUMMYFUNCTION("GOOGLETRANSLATE(B149,""en"",""fr"")"),"Ajouter au stock")</f>
        <v>Ajouter au stock</v>
      </c>
    </row>
    <row r="150" spans="1:6" ht="15.75" customHeight="1" x14ac:dyDescent="0.25">
      <c r="A150" s="1" t="s">
        <v>288</v>
      </c>
      <c r="B150" s="1" t="s">
        <v>289</v>
      </c>
      <c r="C150" s="1" t="str">
        <f ca="1">IFERROR(__xludf.DUMMYFUNCTION("GOOGLETRANSLATE(B150,""en"",""ar"")"),"يتأكد")</f>
        <v>يتأكد</v>
      </c>
      <c r="D150" s="1" t="str">
        <f ca="1">IFERROR(__xludf.DUMMYFUNCTION("GOOGLETRANSLATE(B150,""en"",""zh-CN"")"),"确认")</f>
        <v>确认</v>
      </c>
      <c r="E150" s="1" t="str">
        <f ca="1">IFERROR(__xludf.DUMMYFUNCTION("GOOGLETRANSLATE(B150,""en"",""ja"")"),"確認")</f>
        <v>確認</v>
      </c>
      <c r="F150" s="1" t="str">
        <f ca="1">IFERROR(__xludf.DUMMYFUNCTION("GOOGLETRANSLATE(B150,""en"",""fr"")"),"Confirmer")</f>
        <v>Confirmer</v>
      </c>
    </row>
    <row r="151" spans="1:6" ht="15.75" customHeight="1" x14ac:dyDescent="0.25">
      <c r="A151" s="1" t="s">
        <v>290</v>
      </c>
      <c r="B151" s="1" t="s">
        <v>291</v>
      </c>
      <c r="C151" s="1" t="str">
        <f ca="1">IFERROR(__xludf.DUMMYFUNCTION("GOOGLETRANSLATE(B151,""en"",""ar"")"),"موافق")</f>
        <v>موافق</v>
      </c>
      <c r="D151" s="1" t="str">
        <f ca="1">IFERROR(__xludf.DUMMYFUNCTION("GOOGLETRANSLATE(B151,""en"",""zh-CN"")"),"行")</f>
        <v>行</v>
      </c>
      <c r="E151" s="1" t="str">
        <f ca="1">IFERROR(__xludf.DUMMYFUNCTION("GOOGLETRANSLATE(B151,""en"",""ja"")"),"Ok")</f>
        <v>Ok</v>
      </c>
      <c r="F151" s="1" t="str">
        <f ca="1">IFERROR(__xludf.DUMMYFUNCTION("GOOGLETRANSLATE(B151,""en"",""fr"")"),"D'accord")</f>
        <v>D'accord</v>
      </c>
    </row>
    <row r="152" spans="1:6" ht="15.75" customHeight="1" x14ac:dyDescent="0.25">
      <c r="A152" s="1" t="s">
        <v>292</v>
      </c>
      <c r="B152" s="1" t="s">
        <v>293</v>
      </c>
      <c r="C152" s="1" t="str">
        <f ca="1">IFERROR(__xludf.DUMMYFUNCTION("GOOGLETRANSLATE(B152,""en"",""ar"")"),"أضف إلى القائمة")</f>
        <v>أضف إلى القائمة</v>
      </c>
      <c r="D152" s="1" t="str">
        <f ca="1">IFERROR(__xludf.DUMMYFUNCTION("GOOGLETRANSLATE(B152,""en"",""zh-CN"")"),"添加到列表中")</f>
        <v>添加到列表中</v>
      </c>
      <c r="E152" s="1" t="str">
        <f ca="1">IFERROR(__xludf.DUMMYFUNCTION("GOOGLETRANSLATE(B152,""en"",""ja"")"),"リストに追加する")</f>
        <v>リストに追加する</v>
      </c>
      <c r="F152" s="1" t="str">
        <f ca="1">IFERROR(__xludf.DUMMYFUNCTION("GOOGLETRANSLATE(B152,""en"",""fr"")"),"Ajouter à la liste")</f>
        <v>Ajouter à la liste</v>
      </c>
    </row>
    <row r="153" spans="1:6" ht="15.75" customHeight="1" x14ac:dyDescent="0.25">
      <c r="A153" s="1" t="s">
        <v>294</v>
      </c>
      <c r="B153" s="1" t="s">
        <v>295</v>
      </c>
      <c r="C153" s="1" t="str">
        <f ca="1">IFERROR(__xludf.DUMMYFUNCTION("GOOGLETRANSLATE(B153,""en"",""ar"")"),"إزالة")</f>
        <v>إزالة</v>
      </c>
      <c r="D153" s="1" t="str">
        <f ca="1">IFERROR(__xludf.DUMMYFUNCTION("GOOGLETRANSLATE(B153,""en"",""zh-CN"")"),"消除")</f>
        <v>消除</v>
      </c>
      <c r="E153" s="1" t="str">
        <f ca="1">IFERROR(__xludf.DUMMYFUNCTION("GOOGLETRANSLATE(B153,""en"",""ja"")"),"削除する")</f>
        <v>削除する</v>
      </c>
      <c r="F153" s="1" t="str">
        <f ca="1">IFERROR(__xludf.DUMMYFUNCTION("GOOGLETRANSLATE(B153,""en"",""fr"")"),"Supprimer")</f>
        <v>Supprimer</v>
      </c>
    </row>
    <row r="154" spans="1:6" ht="15.75" customHeight="1" x14ac:dyDescent="0.25">
      <c r="A154" s="1" t="s">
        <v>296</v>
      </c>
      <c r="B154" s="1" t="s">
        <v>297</v>
      </c>
      <c r="C154" s="1" t="str">
        <f ca="1">IFERROR(__xludf.DUMMYFUNCTION("GOOGLETRANSLATE(B154,""en"",""ar"")"),"التالي")</f>
        <v>التالي</v>
      </c>
      <c r="D154" s="1" t="str">
        <f ca="1">IFERROR(__xludf.DUMMYFUNCTION("GOOGLETRANSLATE(B154,""en"",""zh-CN"")"),"下一个")</f>
        <v>下一个</v>
      </c>
      <c r="E154" s="1" t="str">
        <f ca="1">IFERROR(__xludf.DUMMYFUNCTION("GOOGLETRANSLATE(B154,""en"",""ja"")"),"次")</f>
        <v>次</v>
      </c>
      <c r="F154" s="1" t="str">
        <f ca="1">IFERROR(__xludf.DUMMYFUNCTION("GOOGLETRANSLATE(B154,""en"",""fr"")"),"Suivant")</f>
        <v>Suivant</v>
      </c>
    </row>
    <row r="155" spans="1:6" ht="15.75" customHeight="1" x14ac:dyDescent="0.25">
      <c r="A155" s="1" t="s">
        <v>298</v>
      </c>
      <c r="B155" s="1" t="s">
        <v>299</v>
      </c>
      <c r="C155" s="1" t="str">
        <f ca="1">IFERROR(__xludf.DUMMYFUNCTION("GOOGLETRANSLATE(B155,""en"",""ar"")"),"يدخل")</f>
        <v>يدخل</v>
      </c>
      <c r="D155" s="1" t="str">
        <f ca="1">IFERROR(__xludf.DUMMYFUNCTION("GOOGLETRANSLATE(B155,""en"",""zh-CN"")"),"进入")</f>
        <v>进入</v>
      </c>
      <c r="E155" s="1" t="str">
        <f ca="1">IFERROR(__xludf.DUMMYFUNCTION("GOOGLETRANSLATE(B155,""en"",""ja"")"),"入力")</f>
        <v>入力</v>
      </c>
      <c r="F155" s="1" t="str">
        <f ca="1">IFERROR(__xludf.DUMMYFUNCTION("GOOGLETRANSLATE(B155,""en"",""fr"")"),"Entrer")</f>
        <v>Entrer</v>
      </c>
    </row>
    <row r="156" spans="1:6" ht="15.75" customHeight="1" x14ac:dyDescent="0.25">
      <c r="A156" s="1" t="s">
        <v>300</v>
      </c>
      <c r="B156" s="1" t="s">
        <v>301</v>
      </c>
      <c r="C156" s="1" t="str">
        <f ca="1">IFERROR(__xludf.DUMMYFUNCTION("GOOGLETRANSLATE(B156,""en"",""ar"")"),"إرسال")</f>
        <v>إرسال</v>
      </c>
      <c r="D156" s="1" t="str">
        <f ca="1">IFERROR(__xludf.DUMMYFUNCTION("GOOGLETRANSLATE(B156,""en"",""zh-CN"")"),"发送")</f>
        <v>发送</v>
      </c>
      <c r="E156" s="1" t="str">
        <f ca="1">IFERROR(__xludf.DUMMYFUNCTION("GOOGLETRANSLATE(B156,""en"",""ja"")"),"送信")</f>
        <v>送信</v>
      </c>
      <c r="F156" s="1" t="str">
        <f ca="1">IFERROR(__xludf.DUMMYFUNCTION("GOOGLETRANSLATE(B156,""en"",""fr"")"),"Envoyer")</f>
        <v>Envoyer</v>
      </c>
    </row>
    <row r="157" spans="1:6" ht="15.75" customHeight="1" x14ac:dyDescent="0.25">
      <c r="A157" s="1" t="s">
        <v>302</v>
      </c>
      <c r="B157" s="1" t="s">
        <v>303</v>
      </c>
      <c r="C157" s="1" t="str">
        <f ca="1">IFERROR(__xludf.DUMMYFUNCTION("GOOGLETRANSLATE(B157,""en"",""ar"")"),"عودة")</f>
        <v>عودة</v>
      </c>
      <c r="D157" s="1" t="str">
        <f ca="1">IFERROR(__xludf.DUMMYFUNCTION("GOOGLETRANSLATE(B157,""en"",""zh-CN"")"),"后退")</f>
        <v>后退</v>
      </c>
      <c r="E157" s="1" t="str">
        <f ca="1">IFERROR(__xludf.DUMMYFUNCTION("GOOGLETRANSLATE(B157,""en"",""ja"")"),"戻る")</f>
        <v>戻る</v>
      </c>
      <c r="F157" s="1" t="str">
        <f ca="1">IFERROR(__xludf.DUMMYFUNCTION("GOOGLETRANSLATE(B157,""en"",""fr"")"),"Retour")</f>
        <v>Retour</v>
      </c>
    </row>
    <row r="158" spans="1:6" ht="15.75" customHeight="1" x14ac:dyDescent="0.25">
      <c r="A158" s="1" t="s">
        <v>304</v>
      </c>
      <c r="B158" s="1" t="s">
        <v>305</v>
      </c>
      <c r="C158" s="1" t="str">
        <f ca="1">IFERROR(__xludf.DUMMYFUNCTION("GOOGLETRANSLATE(B158,""en"",""ar"")"),"عنوان إب غير صالح")</f>
        <v>عنوان إب غير صالح</v>
      </c>
      <c r="D158" s="1" t="str">
        <f ca="1">IFERROR(__xludf.DUMMYFUNCTION("GOOGLETRANSLATE(B158,""en"",""zh-CN"")"),"无效的IP地址")</f>
        <v>无效的IP地址</v>
      </c>
      <c r="E158" s="1" t="str">
        <f ca="1">IFERROR(__xludf.DUMMYFUNCTION("GOOGLETRANSLATE(B158,""en"",""ja"")"),"IPアドレスが無効です")</f>
        <v>IPアドレスが無効です</v>
      </c>
      <c r="F158" s="1" t="str">
        <f ca="1">IFERROR(__xludf.DUMMYFUNCTION("GOOGLETRANSLATE(B158,""en"",""fr"")"),"Adresse IP invalide")</f>
        <v>Adresse IP invalide</v>
      </c>
    </row>
    <row r="159" spans="1:6" ht="15.75" customHeight="1" x14ac:dyDescent="0.25">
      <c r="A159" s="1" t="s">
        <v>306</v>
      </c>
      <c r="B159" s="1" t="s">
        <v>307</v>
      </c>
      <c r="C159" s="1" t="str">
        <f ca="1">IFERROR(__xludf.DUMMYFUNCTION("GOOGLETRANSLATE(B159,""en"",""ar"")"),"الفئة المحفوظة بنجاح")</f>
        <v>الفئة المحفوظة بنجاح</v>
      </c>
      <c r="D159" s="1" t="str">
        <f ca="1">IFERROR(__xludf.DUMMYFUNCTION("GOOGLETRANSLATE(B159,""en"",""zh-CN"")"),"类别成功保存")</f>
        <v>类别成功保存</v>
      </c>
      <c r="E159" s="1" t="str">
        <f ca="1">IFERROR(__xludf.DUMMYFUNCTION("GOOGLETRANSLATE(B159,""en"",""ja"")"),"カテゴリが正常に保存されました")</f>
        <v>カテゴリが正常に保存されました</v>
      </c>
      <c r="F159" s="1" t="str">
        <f ca="1">IFERROR(__xludf.DUMMYFUNCTION("GOOGLETRANSLATE(B159,""en"",""fr"")"),"Catégorie sauvegardée avec succès")</f>
        <v>Catégorie sauvegardée avec succès</v>
      </c>
    </row>
    <row r="160" spans="1:6" ht="15.75" customHeight="1" x14ac:dyDescent="0.25">
      <c r="A160" s="1" t="s">
        <v>308</v>
      </c>
      <c r="B160" s="1" t="s">
        <v>309</v>
      </c>
      <c r="C160" s="1" t="str">
        <f ca="1">IFERROR(__xludf.DUMMYFUNCTION("GOOGLETRANSLATE(B160,""en"",""ar"")"),"يرجى ملء الحقول المطلوبة")</f>
        <v>يرجى ملء الحقول المطلوبة</v>
      </c>
      <c r="D160" s="1" t="str">
        <f ca="1">IFERROR(__xludf.DUMMYFUNCTION("GOOGLETRANSLATE(B160,""en"",""zh-CN"")"),"请填写必填字段")</f>
        <v>请填写必填字段</v>
      </c>
      <c r="E160" s="1" t="str">
        <f ca="1">IFERROR(__xludf.DUMMYFUNCTION("GOOGLETRANSLATE(B160,""en"",""ja"")"),"必須フィールドに記入してください")</f>
        <v>必須フィールドに記入してください</v>
      </c>
      <c r="F160" s="1" t="str">
        <f ca="1">IFERROR(__xludf.DUMMYFUNCTION("GOOGLETRANSLATE(B160,""en"",""fr"")"),"S'il vous plaît remplir les champs obligatoires")</f>
        <v>S'il vous plaît remplir les champs obligatoires</v>
      </c>
    </row>
    <row r="161" spans="1:6" ht="15.75" customHeight="1" x14ac:dyDescent="0.25">
      <c r="A161" s="1" t="s">
        <v>310</v>
      </c>
      <c r="B161" s="1" t="s">
        <v>311</v>
      </c>
      <c r="C161" s="1" t="str">
        <f ca="1">IFERROR(__xludf.DUMMYFUNCTION("GOOGLETRANSLATE(B161,""en"",""ar"")"),"تكرار الباركود رقم")</f>
        <v>تكرار الباركود رقم</v>
      </c>
      <c r="D161" s="1" t="str">
        <f ca="1">IFERROR(__xludf.DUMMYFUNCTION("GOOGLETRANSLATE(B161,""en"",""zh-CN"")"),"重复条形码号码")</f>
        <v>重复条形码号码</v>
      </c>
      <c r="E161" s="1" t="str">
        <f ca="1">IFERROR(__xludf.DUMMYFUNCTION("GOOGLETRANSLATE(B161,""en"",""ja"")"),"バーコード番号が重複しています")</f>
        <v>バーコード番号が重複しています</v>
      </c>
      <c r="F161" s="1" t="str">
        <f ca="1">IFERROR(__xludf.DUMMYFUNCTION("GOOGLETRANSLATE(B161,""en"",""fr"")"),"Numéro de code à barres en double")</f>
        <v>Numéro de code à barres en double</v>
      </c>
    </row>
    <row r="162" spans="1:6" ht="15.75" customHeight="1" x14ac:dyDescent="0.25">
      <c r="A162" s="1" t="s">
        <v>312</v>
      </c>
      <c r="B162" s="1" t="s">
        <v>313</v>
      </c>
      <c r="C162" s="1" t="str">
        <f ca="1">IFERROR(__xludf.DUMMYFUNCTION("GOOGLETRANSLATE(B162,""en"",""ar"")"),"لا توجد سجلات")</f>
        <v>لا توجد سجلات</v>
      </c>
      <c r="D162" s="1" t="str">
        <f ca="1">IFERROR(__xludf.DUMMYFUNCTION("GOOGLETRANSLATE(B162,""en"",""zh-CN"")"),"没有找到记录")</f>
        <v>没有找到记录</v>
      </c>
      <c r="E162" s="1" t="str">
        <f ca="1">IFERROR(__xludf.DUMMYFUNCTION("GOOGLETRANSLATE(B162,""en"",""ja"")"),"レコードは見つかりません")</f>
        <v>レコードは見つかりません</v>
      </c>
      <c r="F162" s="1" t="str">
        <f ca="1">IFERROR(__xludf.DUMMYFUNCTION("GOOGLETRANSLATE(B162,""en"",""fr"")"),"Aucun enregistrement trouvé")</f>
        <v>Aucun enregistrement trouvé</v>
      </c>
    </row>
    <row r="163" spans="1:6" ht="15.75" customHeight="1" x14ac:dyDescent="0.25">
      <c r="A163" s="1" t="s">
        <v>314</v>
      </c>
      <c r="B163" s="1" t="s">
        <v>315</v>
      </c>
      <c r="C163" s="1" t="str">
        <f ca="1">IFERROR(__xludf.DUMMYFUNCTION("GOOGLETRANSLATE(B163,""en"",""ar"")"),"المعلومات المحفوظة بنجاح")</f>
        <v>المعلومات المحفوظة بنجاح</v>
      </c>
      <c r="D163" s="1" t="str">
        <f ca="1">IFERROR(__xludf.DUMMYFUNCTION("GOOGLETRANSLATE(B163,""en"",""zh-CN"")"),"信息已成功保存")</f>
        <v>信息已成功保存</v>
      </c>
      <c r="E163" s="1" t="str">
        <f ca="1">IFERROR(__xludf.DUMMYFUNCTION("GOOGLETRANSLATE(B163,""en"",""ja"")"),"情報が正常に保存されました")</f>
        <v>情報が正常に保存されました</v>
      </c>
      <c r="F163" s="1" t="str">
        <f ca="1">IFERROR(__xludf.DUMMYFUNCTION("GOOGLETRANSLATE(B163,""en"",""fr"")"),"Informations sauvegardées avec succès")</f>
        <v>Informations sauvegardées avec succès</v>
      </c>
    </row>
    <row r="164" spans="1:6" ht="15.75" customHeight="1" x14ac:dyDescent="0.25">
      <c r="A164" s="1" t="s">
        <v>316</v>
      </c>
      <c r="B164" s="1" t="s">
        <v>317</v>
      </c>
      <c r="C164" s="1" t="str">
        <f ca="1">IFERROR(__xludf.DUMMYFUNCTION("GOOGLETRANSLATE(B164,""en"",""ar"")"),"آسف!!! لم تختر أي صورة.")</f>
        <v>آسف!!! لم تختر أي صورة.</v>
      </c>
      <c r="D164" s="1" t="str">
        <f ca="1">IFERROR(__xludf.DUMMYFUNCTION("GOOGLETRANSLATE(B164,""en"",""zh-CN"")"),"对不起！！！您尚未选择任何图像。")</f>
        <v>对不起！！！您尚未选择任何图像。</v>
      </c>
      <c r="E164" s="1" t="str">
        <f ca="1">IFERROR(__xludf.DUMMYFUNCTION("GOOGLETRANSLATE(B164,""en"",""ja"")"),"ごめん！！！あなたは任意の画像を選択していません。")</f>
        <v>ごめん！！！あなたは任意の画像を選択していません。</v>
      </c>
      <c r="F164" s="1" t="str">
        <f ca="1">IFERROR(__xludf.DUMMYFUNCTION("GOOGLETRANSLATE(B164,""en"",""fr"")"),"Pardon!!! Vous n'avez sélectionné aucune image.")</f>
        <v>Pardon!!! Vous n'avez sélectionné aucune image.</v>
      </c>
    </row>
    <row r="165" spans="1:6" ht="15.75" customHeight="1" x14ac:dyDescent="0.25">
      <c r="A165" s="1" t="s">
        <v>318</v>
      </c>
      <c r="B165" s="1" t="s">
        <v>319</v>
      </c>
      <c r="C165" s="1" t="str">
        <f ca="1">IFERROR(__xludf.DUMMYFUNCTION("GOOGLETRANSLATE(B165,""en"",""ar"")"),"اسم الفئة موجود بالفعل")</f>
        <v>اسم الفئة موجود بالفعل</v>
      </c>
      <c r="D165" s="1" t="str">
        <f ca="1">IFERROR(__xludf.DUMMYFUNCTION("GOOGLETRANSLATE(B165,""en"",""zh-CN"")"),"类别名称已存在")</f>
        <v>类别名称已存在</v>
      </c>
      <c r="E165" s="1" t="str">
        <f ca="1">IFERROR(__xludf.DUMMYFUNCTION("GOOGLETRANSLATE(B165,""en"",""ja"")"),"カテゴリ名はすでに存在しています")</f>
        <v>カテゴリ名はすでに存在しています</v>
      </c>
      <c r="F165" s="1" t="str">
        <f ca="1">IFERROR(__xludf.DUMMYFUNCTION("GOOGLETRANSLATE(B165,""en"",""fr"")"),"Nom de la catégorie est déjà existant")</f>
        <v>Nom de la catégorie est déjà existant</v>
      </c>
    </row>
    <row r="166" spans="1:6" ht="15.75" customHeight="1" x14ac:dyDescent="0.25">
      <c r="A166" s="1" t="s">
        <v>320</v>
      </c>
      <c r="B166" s="1" t="s">
        <v>321</v>
      </c>
      <c r="C166" s="1" t="str">
        <f ca="1">IFERROR(__xludf.DUMMYFUNCTION("GOOGLETRANSLATE(B166,""en"",""ar"")"),"عملية ناجحة")</f>
        <v>عملية ناجحة</v>
      </c>
      <c r="D166" s="1" t="str">
        <f ca="1">IFERROR(__xludf.DUMMYFUNCTION("GOOGLETRANSLATE(B166,""en"",""zh-CN"")"),"交易成功")</f>
        <v>交易成功</v>
      </c>
      <c r="E166" s="1" t="str">
        <f ca="1">IFERROR(__xludf.DUMMYFUNCTION("GOOGLETRANSLATE(B166,""en"",""ja"")"),"トランザクションは成功しました")</f>
        <v>トランザクションは成功しました</v>
      </c>
      <c r="F166" s="1" t="str">
        <f ca="1">IFERROR(__xludf.DUMMYFUNCTION("GOOGLETRANSLATE(B166,""en"",""fr"")"),"La transaction réussit")</f>
        <v>La transaction réussit</v>
      </c>
    </row>
    <row r="167" spans="1:6" ht="15.75" customHeight="1" x14ac:dyDescent="0.25">
      <c r="A167" s="1" t="s">
        <v>322</v>
      </c>
      <c r="B167" s="1" t="s">
        <v>323</v>
      </c>
      <c r="C167" s="1" t="str">
        <f ca="1">IFERROR(__xludf.DUMMYFUNCTION("GOOGLETRANSLATE(B167,""en"",""ar"")"),"مشكلة مع النسخ الاحتياطي. حاول مرة أخرى.")</f>
        <v>مشكلة مع النسخ الاحتياطي. حاول مرة أخرى.</v>
      </c>
      <c r="D167" s="1" t="str">
        <f ca="1">IFERROR(__xludf.DUMMYFUNCTION("GOOGLETRANSLATE(B167,""en"",""zh-CN"")"),"备份问题.TRY再次。")</f>
        <v>备份问题.TRY再次。</v>
      </c>
      <c r="E167" s="1" t="str">
        <f ca="1">IFERROR(__xludf.DUMMYFUNCTION("GOOGLETRANSLATE(B167,""en"",""ja"")"),"backup.tryに問題があります。")</f>
        <v>backup.tryに問題があります。</v>
      </c>
      <c r="F167" s="1" t="str">
        <f ca="1">IFERROR(__xludf.DUMMYFUNCTION("GOOGLETRANSLATE(B167,""en"",""fr"")"),"Problème avec Backup.try à nouveau.")</f>
        <v>Problème avec Backup.try à nouveau.</v>
      </c>
    </row>
    <row r="168" spans="1:6" ht="15.75" customHeight="1" x14ac:dyDescent="0.25">
      <c r="A168" s="1" t="s">
        <v>324</v>
      </c>
      <c r="B168" s="1" t="s">
        <v>325</v>
      </c>
      <c r="C168" s="1" t="str">
        <f ca="1">IFERROR(__xludf.DUMMYFUNCTION("GOOGLETRANSLATE(B168,""en"",""ar"")"),"لا توجد بيانات المسح المستلمة!")</f>
        <v>لا توجد بيانات المسح المستلمة!</v>
      </c>
      <c r="D168" s="1" t="str">
        <f ca="1">IFERROR(__xludf.DUMMYFUNCTION("GOOGLETRANSLATE(B168,""en"",""zh-CN"")"),"没有收到扫描数据！")</f>
        <v>没有收到扫描数据！</v>
      </c>
      <c r="E168" s="1" t="str">
        <f ca="1">IFERROR(__xludf.DUMMYFUNCTION("GOOGLETRANSLATE(B168,""en"",""ja"")"),"スキャンデータは受信されませんでした。")</f>
        <v>スキャンデータは受信されませんでした。</v>
      </c>
      <c r="F168" s="1" t="str">
        <f ca="1">IFERROR(__xludf.DUMMYFUNCTION("GOOGLETRANSLATE(B168,""en"",""fr"")"),"Aucune donnée de numérisation reçue!")</f>
        <v>Aucune donnée de numérisation reçue!</v>
      </c>
    </row>
    <row r="169" spans="1:6" ht="15.75" customHeight="1" x14ac:dyDescent="0.25">
      <c r="A169" s="1" t="s">
        <v>326</v>
      </c>
      <c r="B169" s="1" t="s">
        <v>327</v>
      </c>
      <c r="C169" s="1" t="str">
        <f ca="1">IFERROR(__xludf.DUMMYFUNCTION("GOOGLETRANSLATE(B169,""en"",""ar"")"),"لا يوجد عنصر محدد")</f>
        <v>لا يوجد عنصر محدد</v>
      </c>
      <c r="D169" s="1" t="str">
        <f ca="1">IFERROR(__xludf.DUMMYFUNCTION("GOOGLETRANSLATE(B169,""en"",""zh-CN"")"),"没有选择项目")</f>
        <v>没有选择项目</v>
      </c>
      <c r="E169" s="1" t="str">
        <f ca="1">IFERROR(__xludf.DUMMYFUNCTION("GOOGLETRANSLATE(B169,""en"",""ja"")"),"アイテムが選択されていません")</f>
        <v>アイテムが選択されていません</v>
      </c>
      <c r="F169" s="1" t="str">
        <f ca="1">IFERROR(__xludf.DUMMYFUNCTION("GOOGLETRANSLATE(B169,""en"",""fr"")"),"Aucun élément sélectionné")</f>
        <v>Aucun élément sélectionné</v>
      </c>
    </row>
    <row r="170" spans="1:6" ht="15.75" customHeight="1" x14ac:dyDescent="0.25">
      <c r="A170" s="1" t="s">
        <v>328</v>
      </c>
      <c r="B170" s="1" t="s">
        <v>329</v>
      </c>
      <c r="C170" s="1" t="str">
        <f ca="1">IFERROR(__xludf.DUMMYFUNCTION("GOOGLETRANSLATE(B170,""en"",""ar"")"),"لم يتم العثور على عنصر جديد")</f>
        <v>لم يتم العثور على عنصر جديد</v>
      </c>
      <c r="D170" s="1" t="str">
        <f ca="1">IFERROR(__xludf.DUMMYFUNCTION("GOOGLETRANSLATE(B170,""en"",""zh-CN"")"),"没有找到新的项目")</f>
        <v>没有找到新的项目</v>
      </c>
      <c r="E170" s="1" t="str">
        <f ca="1">IFERROR(__xludf.DUMMYFUNCTION("GOOGLETRANSLATE(B170,""en"",""ja"")"),"新しいアイテムが見つかりませんでした")</f>
        <v>新しいアイテムが見つかりませんでした</v>
      </c>
      <c r="F170" s="1" t="str">
        <f ca="1">IFERROR(__xludf.DUMMYFUNCTION("GOOGLETRANSLATE(B170,""en"",""fr"")"),"Aucun nouvel élément trouvé")</f>
        <v>Aucun nouvel élément trouvé</v>
      </c>
    </row>
    <row r="171" spans="1:6" ht="15.75" customHeight="1" x14ac:dyDescent="0.25">
      <c r="A171" s="1" t="s">
        <v>330</v>
      </c>
      <c r="B171" s="1" t="s">
        <v>331</v>
      </c>
      <c r="C171" s="1" t="str">
        <f ca="1">IFERROR(__xludf.DUMMYFUNCTION("GOOGLETRANSLATE(B171,""en"",""ar"")"),"الرجاء إدخال بريد إلكتروني صحيح")</f>
        <v>الرجاء إدخال بريد إلكتروني صحيح</v>
      </c>
      <c r="D171" s="1" t="str">
        <f ca="1">IFERROR(__xludf.DUMMYFUNCTION("GOOGLETRANSLATE(B171,""en"",""zh-CN"")"),"请输入有效的电子邮件")</f>
        <v>请输入有效的电子邮件</v>
      </c>
      <c r="E171" s="1" t="str">
        <f ca="1">IFERROR(__xludf.DUMMYFUNCTION("GOOGLETRANSLATE(B171,""en"",""ja"")"),"有効なEメールを入力してください")</f>
        <v>有効なEメールを入力してください</v>
      </c>
      <c r="F171" s="1" t="str">
        <f ca="1">IFERROR(__xludf.DUMMYFUNCTION("GOOGLETRANSLATE(B171,""en"",""fr"")"),"S'il vous plaît entrer un email valide")</f>
        <v>S'il vous plaît entrer un email valide</v>
      </c>
    </row>
    <row r="172" spans="1:6" ht="15.75" customHeight="1" x14ac:dyDescent="0.25">
      <c r="A172" s="1" t="s">
        <v>332</v>
      </c>
      <c r="B172" s="1" t="s">
        <v>333</v>
      </c>
      <c r="C172" s="1" t="str">
        <f ca="1">IFERROR(__xludf.DUMMYFUNCTION("GOOGLETRANSLATE(B172,""en"",""ar"")"),"هذا السبب موجود بالفعل")</f>
        <v>هذا السبب موجود بالفعل</v>
      </c>
      <c r="D172" s="1" t="str">
        <f ca="1">IFERROR(__xludf.DUMMYFUNCTION("GOOGLETRANSLATE(B172,""en"",""zh-CN"")"),"这个原因已经存在")</f>
        <v>这个原因已经存在</v>
      </c>
      <c r="E172" s="1" t="str">
        <f ca="1">IFERROR(__xludf.DUMMYFUNCTION("GOOGLETRANSLATE(B172,""en"",""ja"")"),"この理由はすでに存在しています")</f>
        <v>この理由はすでに存在しています</v>
      </c>
      <c r="F172" s="1" t="str">
        <f ca="1">IFERROR(__xludf.DUMMYFUNCTION("GOOGLETRANSLATE(B172,""en"",""fr"")"),"Cette raison existe déjà")</f>
        <v>Cette raison existe déjà</v>
      </c>
    </row>
    <row r="173" spans="1:6" ht="15.75" customHeight="1" x14ac:dyDescent="0.25">
      <c r="A173" s="1" t="s">
        <v>334</v>
      </c>
      <c r="B173" s="1" t="s">
        <v>335</v>
      </c>
      <c r="C173" s="1" t="str">
        <f ca="1">IFERROR(__xludf.DUMMYFUNCTION("GOOGLETRANSLATE(B173,""en"",""ar"")"),"وقد تم إنشاء السبب بنجاح")</f>
        <v>وقد تم إنشاء السبب بنجاح</v>
      </c>
      <c r="D173" s="1" t="str">
        <f ca="1">IFERROR(__xludf.DUMMYFUNCTION("GOOGLETRANSLATE(B173,""en"",""zh-CN"")"),"原因已成功创建")</f>
        <v>原因已成功创建</v>
      </c>
      <c r="E173" s="1" t="str">
        <f ca="1">IFERROR(__xludf.DUMMYFUNCTION("GOOGLETRANSLATE(B173,""en"",""ja"")"),"理由は正常に作成されました")</f>
        <v>理由は正常に作成されました</v>
      </c>
      <c r="F173" s="1" t="str">
        <f ca="1">IFERROR(__xludf.DUMMYFUNCTION("GOOGLETRANSLATE(B173,""en"",""fr"")"),"La raison a été créée avec succès")</f>
        <v>La raison a été créée avec succès</v>
      </c>
    </row>
    <row r="174" spans="1:6" ht="15.75" customHeight="1" x14ac:dyDescent="0.25">
      <c r="A174" s="1" t="s">
        <v>336</v>
      </c>
      <c r="B174" s="1" t="s">
        <v>337</v>
      </c>
      <c r="C174" s="1" t="str">
        <f ca="1">IFERROR(__xludf.DUMMYFUNCTION("GOOGLETRANSLATE(B174,""en"",""ar"")"),"تم حذف السبب بنجاح")</f>
        <v>تم حذف السبب بنجاح</v>
      </c>
      <c r="D174" s="1" t="str">
        <f ca="1">IFERROR(__xludf.DUMMYFUNCTION("GOOGLETRANSLATE(B174,""en"",""zh-CN"")"),"原因已成功删除")</f>
        <v>原因已成功删除</v>
      </c>
      <c r="E174" s="1" t="str">
        <f ca="1">IFERROR(__xludf.DUMMYFUNCTION("GOOGLETRANSLATE(B174,""en"",""ja"")"),"理由は正常に削除されました")</f>
        <v>理由は正常に削除されました</v>
      </c>
      <c r="F174" s="1" t="str">
        <f ca="1">IFERROR(__xludf.DUMMYFUNCTION("GOOGLETRANSLATE(B174,""en"",""fr"")"),"La raison a été supprimée avec succès")</f>
        <v>La raison a été supprimée avec succès</v>
      </c>
    </row>
    <row r="175" spans="1:6" ht="15.75" customHeight="1" x14ac:dyDescent="0.25">
      <c r="A175" s="1" t="s">
        <v>338</v>
      </c>
      <c r="B175" s="1" t="s">
        <v>339</v>
      </c>
      <c r="C175" s="1" t="str">
        <f ca="1">IFERROR(__xludf.DUMMYFUNCTION("GOOGLETRANSLATE(B175,""en"",""ar"")"),"الطابعة غير متصلة")</f>
        <v>الطابعة غير متصلة</v>
      </c>
      <c r="D175" s="1" t="str">
        <f ca="1">IFERROR(__xludf.DUMMYFUNCTION("GOOGLETRANSLATE(B175,""en"",""zh-CN"")"),"打印机未连接")</f>
        <v>打印机未连接</v>
      </c>
      <c r="E175" s="1" t="str">
        <f ca="1">IFERROR(__xludf.DUMMYFUNCTION("GOOGLETRANSLATE(B175,""en"",""ja"")"),"プリンタは接続されていません")</f>
        <v>プリンタは接続されていません</v>
      </c>
      <c r="F175" s="1" t="str">
        <f ca="1">IFERROR(__xludf.DUMMYFUNCTION("GOOGLETRANSLATE(B175,""en"",""fr"")"),"L'imprimante n'est pas connectée")</f>
        <v>L'imprimante n'est pas connectée</v>
      </c>
    </row>
    <row r="176" spans="1:6" ht="15.75" customHeight="1" x14ac:dyDescent="0.25">
      <c r="A176" s="1" t="s">
        <v>340</v>
      </c>
      <c r="B176" s="1" t="s">
        <v>341</v>
      </c>
      <c r="C176" s="1" t="str">
        <f ca="1">IFERROR(__xludf.DUMMYFUNCTION("GOOGLETRANSLATE(B176,""en"",""ar"")")," هذا الجهاز لا يدعم Bluetooth")</f>
        <v xml:space="preserve"> هذا الجهاز لا يدعم Bluetooth</v>
      </c>
      <c r="D176" s="1" t="str">
        <f ca="1">IFERROR(__xludf.DUMMYFUNCTION("GOOGLETRANSLATE(B176,""en"",""zh-CN"")")," 该设备不支持蓝牙")</f>
        <v xml:space="preserve"> 该设备不支持蓝牙</v>
      </c>
      <c r="E176" s="1" t="str">
        <f ca="1">IFERROR(__xludf.DUMMYFUNCTION("GOOGLETRANSLATE(B176,""en"",""ja"")")," このデバイスはBluetoothをサポートしません")</f>
        <v xml:space="preserve"> このデバイスはBluetoothをサポートしません</v>
      </c>
      <c r="F176" s="1" t="str">
        <f ca="1">IFERROR(__xludf.DUMMYFUNCTION("GOOGLETRANSLATE(B176,""en"",""fr"")")," Cet appareil ne prend pas en charge Bluetooth")</f>
        <v xml:space="preserve"> Cet appareil ne prend pas en charge Bluetooth</v>
      </c>
    </row>
    <row r="177" spans="1:6" ht="15.75" customHeight="1" x14ac:dyDescent="0.25">
      <c r="A177" s="1" t="s">
        <v>342</v>
      </c>
      <c r="B177" s="1" t="s">
        <v>343</v>
      </c>
      <c r="C177" s="1" t="str">
        <f ca="1">IFERROR(__xludf.DUMMYFUNCTION("GOOGLETRANSLATE(B177,""en"",""ar"")"),"عودة وحدة القيمة")</f>
        <v>عودة وحدة القيمة</v>
      </c>
      <c r="D177" s="1" t="str">
        <f ca="1">IFERROR(__xludf.DUMMYFUNCTION("GOOGLETRANSLATE(B177,""en"",""zh-CN"")"),"返回单位值")</f>
        <v>返回单位值</v>
      </c>
      <c r="E177" s="1" t="str">
        <f ca="1">IFERROR(__xludf.DUMMYFUNCTION("GOOGLETRANSLATE(B177,""en"",""ja"")"),"戻りユニット値")</f>
        <v>戻りユニット値</v>
      </c>
      <c r="F177" s="1" t="str">
        <f ca="1">IFERROR(__xludf.DUMMYFUNCTION("GOOGLETRANSLATE(B177,""en"",""fr"")"),"Valeur de l'unité de retour")</f>
        <v>Valeur de l'unité de retour</v>
      </c>
    </row>
    <row r="178" spans="1:6" ht="15.75" customHeight="1" x14ac:dyDescent="0.25">
      <c r="A178" s="1" t="s">
        <v>344</v>
      </c>
      <c r="B178" s="1" t="s">
        <v>345</v>
      </c>
      <c r="C178" s="1" t="str">
        <f ca="1">IFERROR(__xludf.DUMMYFUNCTION("GOOGLETRANSLATE(B178,""en"",""ar"")"),"العودة الكمية")</f>
        <v>العودة الكمية</v>
      </c>
      <c r="D178" s="1" t="str">
        <f ca="1">IFERROR(__xludf.DUMMYFUNCTION("GOOGLETRANSLATE(B178,""en"",""zh-CN"")"),"返回数量")</f>
        <v>返回数量</v>
      </c>
      <c r="E178" s="1" t="str">
        <f ca="1">IFERROR(__xludf.DUMMYFUNCTION("GOOGLETRANSLATE(B178,""en"",""ja"")"),"返品数")</f>
        <v>返品数</v>
      </c>
      <c r="F178" s="1" t="str">
        <f ca="1">IFERROR(__xludf.DUMMYFUNCTION("GOOGLETRANSLATE(B178,""en"",""fr"")"),"Retour Qté")</f>
        <v>Retour Qté</v>
      </c>
    </row>
    <row r="179" spans="1:6" ht="15.75" customHeight="1" x14ac:dyDescent="0.25">
      <c r="A179" s="1" t="s">
        <v>346</v>
      </c>
      <c r="B179" s="1" t="s">
        <v>347</v>
      </c>
      <c r="C179" s="1" t="str">
        <f ca="1">IFERROR(__xludf.DUMMYFUNCTION("GOOGLETRANSLATE(B179,""en"",""ar"")"),"عودة وحدة السعر")</f>
        <v>عودة وحدة السعر</v>
      </c>
      <c r="D179" s="1" t="str">
        <f ca="1">IFERROR(__xludf.DUMMYFUNCTION("GOOGLETRANSLATE(B179,""en"",""zh-CN"")"),"退货单价")</f>
        <v>退货单价</v>
      </c>
      <c r="E179" s="1" t="str">
        <f ca="1">IFERROR(__xludf.DUMMYFUNCTION("GOOGLETRANSLATE(B179,""en"",""ja"")"),"リターン単位価格")</f>
        <v>リターン単位価格</v>
      </c>
      <c r="F179" s="1" t="str">
        <f ca="1">IFERROR(__xludf.DUMMYFUNCTION("GOOGLETRANSLATE(B179,""en"",""fr"")"),"Unité de retour Price")</f>
        <v>Unité de retour Price</v>
      </c>
    </row>
    <row r="180" spans="1:6" ht="15.75" customHeight="1" x14ac:dyDescent="0.25">
      <c r="A180" s="1" t="s">
        <v>348</v>
      </c>
      <c r="B180" s="1" t="s">
        <v>349</v>
      </c>
      <c r="C180" s="1" t="str">
        <f ca="1">IFERROR(__xludf.DUMMYFUNCTION("GOOGLETRANSLATE(B180,""en"",""ar"")"),"إضافة الأسهم")</f>
        <v>إضافة الأسهم</v>
      </c>
      <c r="D180" s="1" t="str">
        <f ca="1">IFERROR(__xludf.DUMMYFUNCTION("GOOGLETRANSLATE(B180,""en"",""zh-CN"")"),"添加库存")</f>
        <v>添加库存</v>
      </c>
      <c r="E180" s="1" t="str">
        <f ca="1">IFERROR(__xludf.DUMMYFUNCTION("GOOGLETRANSLATE(B180,""en"",""ja"")"),"在庫を加える")</f>
        <v>在庫を加える</v>
      </c>
      <c r="F180" s="1" t="str">
        <f ca="1">IFERROR(__xludf.DUMMYFUNCTION("GOOGLETRANSLATE(B180,""en"",""fr"")"),"Ajouter du stock")</f>
        <v>Ajouter du stock</v>
      </c>
    </row>
    <row r="181" spans="1:6" ht="15.75" customHeight="1" x14ac:dyDescent="0.25">
      <c r="A181" s="1" t="s">
        <v>350</v>
      </c>
      <c r="B181" s="1" t="s">
        <v>351</v>
      </c>
      <c r="C181" s="1" t="str">
        <f ca="1">IFERROR(__xludf.DUMMYFUNCTION("GOOGLETRANSLATE(B181,""en"",""ar"")"),"بدء التحول")</f>
        <v>بدء التحول</v>
      </c>
      <c r="D181" s="1" t="str">
        <f ca="1">IFERROR(__xludf.DUMMYFUNCTION("GOOGLETRANSLATE(B181,""en"",""zh-CN"")"),"开始班次")</f>
        <v>开始班次</v>
      </c>
      <c r="E181" s="1" t="str">
        <f ca="1">IFERROR(__xludf.DUMMYFUNCTION("GOOGLETRANSLATE(B181,""en"",""ja"")"),"Shiftを起動します")</f>
        <v>Shiftを起動します</v>
      </c>
      <c r="F181" s="1" t="str">
        <f ca="1">IFERROR(__xludf.DUMMYFUNCTION("GOOGLETRANSLATE(B181,""en"",""fr"")"),"Commencer à passer")</f>
        <v>Commencer à passer</v>
      </c>
    </row>
    <row r="182" spans="1:6" ht="15.75" customHeight="1" x14ac:dyDescent="0.25">
      <c r="A182" s="1" t="s">
        <v>352</v>
      </c>
      <c r="B182" s="1" t="s">
        <v>353</v>
      </c>
      <c r="C182" s="1" t="str">
        <f ca="1">IFERROR(__xludf.DUMMYFUNCTION("GOOGLETRANSLATE(B182,""en"",""ar"")"),"الذهاب إلى backoffice.")</f>
        <v>الذهاب إلى backoffice.</v>
      </c>
      <c r="D182" s="1" t="str">
        <f ca="1">IFERROR(__xludf.DUMMYFUNCTION("GOOGLETRANSLATE(B182,""en"",""zh-CN"")"),"去Backoffice.")</f>
        <v>去Backoffice.</v>
      </c>
      <c r="E182" s="1" t="str">
        <f ca="1">IFERROR(__xludf.DUMMYFUNCTION("GOOGLETRANSLATE(B182,""en"",""ja"")"),"バックオフィスに行きます")</f>
        <v>バックオフィスに行きます</v>
      </c>
      <c r="F182" s="1" t="str">
        <f ca="1">IFERROR(__xludf.DUMMYFUNCTION("GOOGLETRANSLATE(B182,""en"",""fr"")"),"Aller à la backoffice")</f>
        <v>Aller à la backoffice</v>
      </c>
    </row>
    <row r="183" spans="1:6" ht="15.75" customHeight="1" x14ac:dyDescent="0.25">
      <c r="A183" s="1" t="s">
        <v>354</v>
      </c>
      <c r="B183" s="1" t="s">
        <v>355</v>
      </c>
      <c r="C183" s="1" t="str">
        <f ca="1">IFERROR(__xludf.DUMMYFUNCTION("GOOGLETRANSLATE(B183,""en"",""ar"")"),"يبدأ")</f>
        <v>يبدأ</v>
      </c>
      <c r="D183" s="1" t="str">
        <f ca="1">IFERROR(__xludf.DUMMYFUNCTION("GOOGLETRANSLATE(B183,""en"",""zh-CN"")"),"开始")</f>
        <v>开始</v>
      </c>
      <c r="E183" s="1" t="str">
        <f ca="1">IFERROR(__xludf.DUMMYFUNCTION("GOOGLETRANSLATE(B183,""en"",""ja"")"),"始める")</f>
        <v>始める</v>
      </c>
      <c r="F183" s="1" t="str">
        <f ca="1">IFERROR(__xludf.DUMMYFUNCTION("GOOGLETRANSLATE(B183,""en"",""fr"")"),"Démarrer")</f>
        <v>Démarrer</v>
      </c>
    </row>
    <row r="184" spans="1:6" ht="15.75" customHeight="1" x14ac:dyDescent="0.25">
      <c r="A184" s="1" t="s">
        <v>356</v>
      </c>
      <c r="B184" s="1" t="s">
        <v>357</v>
      </c>
      <c r="C184" s="1" t="str">
        <f ca="1">IFERROR(__xludf.DUMMYFUNCTION("GOOGLETRANSLATE(B184,""en"",""ar"")"),"طلب الزبون")</f>
        <v>طلب الزبون</v>
      </c>
      <c r="D184" s="1" t="str">
        <f ca="1">IFERROR(__xludf.DUMMYFUNCTION("GOOGLETRANSLATE(B184,""en"",""zh-CN"")"),"客户订单")</f>
        <v>客户订单</v>
      </c>
      <c r="E184" s="1" t="str">
        <f ca="1">IFERROR(__xludf.DUMMYFUNCTION("GOOGLETRANSLATE(B184,""en"",""ja"")"),"顧客注文")</f>
        <v>顧客注文</v>
      </c>
      <c r="F184" s="1" t="str">
        <f ca="1">IFERROR(__xludf.DUMMYFUNCTION("GOOGLETRANSLATE(B184,""en"",""fr"")"),"Commande du client")</f>
        <v>Commande du client</v>
      </c>
    </row>
    <row r="185" spans="1:6" ht="15.75" customHeight="1" x14ac:dyDescent="0.25">
      <c r="A185" s="1" t="s">
        <v>358</v>
      </c>
      <c r="B185" s="1" t="s">
        <v>359</v>
      </c>
      <c r="C185" s="1" t="str">
        <f ca="1">IFERROR(__xludf.DUMMYFUNCTION("GOOGLETRANSLATE(B185,""en"",""ar"")"),"إدارة المدين")</f>
        <v>إدارة المدين</v>
      </c>
      <c r="D185" s="1" t="str">
        <f ca="1">IFERROR(__xludf.DUMMYFUNCTION("GOOGLETRANSLATE(B185,""en"",""zh-CN"")"),"债务人管理")</f>
        <v>债务人管理</v>
      </c>
      <c r="E185" s="1" t="str">
        <f ca="1">IFERROR(__xludf.DUMMYFUNCTION("GOOGLETRANSLATE(B185,""en"",""ja"")"),"債務者経営")</f>
        <v>債務者経営</v>
      </c>
      <c r="F185" s="1" t="str">
        <f ca="1">IFERROR(__xludf.DUMMYFUNCTION("GOOGLETRANSLATE(B185,""en"",""fr"")"),"Gestion du débiteur")</f>
        <v>Gestion du débiteur</v>
      </c>
    </row>
    <row r="186" spans="1:6" ht="15.75" customHeight="1" x14ac:dyDescent="0.25">
      <c r="A186" s="1" t="s">
        <v>360</v>
      </c>
      <c r="B186" s="1" t="s">
        <v>361</v>
      </c>
      <c r="C186" s="1" t="str">
        <f ca="1">IFERROR(__xludf.DUMMYFUNCTION("GOOGLETRANSLATE(B186,""en"",""ar"")"),"إدارة المدين (الفاتورة الائتمان)")</f>
        <v>إدارة المدين (الفاتورة الائتمان)</v>
      </c>
      <c r="D186" s="1" t="str">
        <f ca="1">IFERROR(__xludf.DUMMYFUNCTION("GOOGLETRANSLATE(B186,""en"",""zh-CN"")"),"债务人管理（信用发票）")</f>
        <v>债务人管理（信用发票）</v>
      </c>
      <c r="E186" s="1" t="str">
        <f ca="1">IFERROR(__xludf.DUMMYFUNCTION("GOOGLETRANSLATE(B186,""en"",""ja"")"),"債務者管理（クレジット請求書）")</f>
        <v>債務者管理（クレジット請求書）</v>
      </c>
      <c r="F186" s="1" t="str">
        <f ca="1">IFERROR(__xludf.DUMMYFUNCTION("GOOGLETRANSLATE(B186,""en"",""fr"")"),"Gestion du débiteur (facture de crédit)")</f>
        <v>Gestion du débiteur (facture de crédit)</v>
      </c>
    </row>
    <row r="187" spans="1:6" ht="15.75" customHeight="1" x14ac:dyDescent="0.25">
      <c r="A187" s="1" t="s">
        <v>362</v>
      </c>
      <c r="B187" s="1" t="s">
        <v>363</v>
      </c>
      <c r="C187" s="1" t="str">
        <f ca="1">IFERROR(__xludf.DUMMYFUNCTION("GOOGLETRANSLATE(B187,""en"",""ar"")"),"تقرير مبيعات المنتج")</f>
        <v>تقرير مبيعات المنتج</v>
      </c>
      <c r="D187" s="1" t="str">
        <f ca="1">IFERROR(__xludf.DUMMYFUNCTION("GOOGLETRANSLATE(B187,""en"",""zh-CN"")"),"产品明智的销售报告")</f>
        <v>产品明智的销售报告</v>
      </c>
      <c r="E187" s="1" t="str">
        <f ca="1">IFERROR(__xludf.DUMMYFUNCTION("GOOGLETRANSLATE(B187,""en"",""ja"")"),"製品賢明な売上報告書")</f>
        <v>製品賢明な売上報告書</v>
      </c>
      <c r="F187" s="1" t="str">
        <f ca="1">IFERROR(__xludf.DUMMYFUNCTION("GOOGLETRANSLATE(B187,""en"",""fr"")"),"Rapport des ventes sages sur le produit")</f>
        <v>Rapport des ventes sages sur le produit</v>
      </c>
    </row>
    <row r="188" spans="1:6" ht="15.75" customHeight="1" x14ac:dyDescent="0.25">
      <c r="A188" s="1" t="s">
        <v>364</v>
      </c>
      <c r="B188" s="1" t="s">
        <v>176</v>
      </c>
      <c r="C188" s="1" t="str">
        <f ca="1">IFERROR(__xludf.DUMMYFUNCTION("GOOGLETRANSLATE(B188,""en"",""ar"")"),"تقرير المبيعات")</f>
        <v>تقرير المبيعات</v>
      </c>
      <c r="D188" s="1" t="str">
        <f ca="1">IFERROR(__xludf.DUMMYFUNCTION("GOOGLETRANSLATE(B188,""en"",""zh-CN"")"),"销售报告")</f>
        <v>销售报告</v>
      </c>
      <c r="E188" s="1" t="str">
        <f ca="1">IFERROR(__xludf.DUMMYFUNCTION("GOOGLETRANSLATE(B188,""en"",""ja"")"),"販売レポート")</f>
        <v>販売レポート</v>
      </c>
      <c r="F188" s="1" t="str">
        <f ca="1">IFERROR(__xludf.DUMMYFUNCTION("GOOGLETRANSLATE(B188,""en"",""fr"")"),"Rapport des ventes")</f>
        <v>Rapport des ventes</v>
      </c>
    </row>
    <row r="189" spans="1:6" ht="15.75" customHeight="1" x14ac:dyDescent="0.25">
      <c r="A189" s="1" t="s">
        <v>365</v>
      </c>
      <c r="B189" s="1" t="s">
        <v>366</v>
      </c>
      <c r="C189" s="1" t="str">
        <f ca="1">IFERROR(__xludf.DUMMYFUNCTION("GOOGLETRANSLATE(B189,""en"",""ar"")"),"تقرير مبيعات الصندوق اليومي")</f>
        <v>تقرير مبيعات الصندوق اليومي</v>
      </c>
      <c r="D189" s="1" t="str">
        <f ca="1">IFERROR(__xludf.DUMMYFUNCTION("GOOGLETRANSLATE(B189,""en"",""zh-CN"")"),"收银员日报销售报告")</f>
        <v>收银员日报销售报告</v>
      </c>
      <c r="E189" s="1" t="str">
        <f ca="1">IFERROR(__xludf.DUMMYFUNCTION("GOOGLETRANSLATE(B189,""en"",""ja"")"),"レジ係の毎日の売上報告書")</f>
        <v>レジ係の毎日の売上報告書</v>
      </c>
      <c r="F189" s="1" t="str">
        <f ca="1">IFERROR(__xludf.DUMMYFUNCTION("GOOGLETRANSLATE(B189,""en"",""fr"")"),"Rapport de vente quotidien au caissier")</f>
        <v>Rapport de vente quotidien au caissier</v>
      </c>
    </row>
    <row r="190" spans="1:6" ht="15.75" customHeight="1" x14ac:dyDescent="0.25">
      <c r="A190" s="1" t="s">
        <v>367</v>
      </c>
      <c r="B190" s="1" t="s">
        <v>368</v>
      </c>
      <c r="C190" s="1" t="str">
        <f ca="1">IFERROR(__xludf.DUMMYFUNCTION("GOOGLETRANSLATE(B190,""en"",""ar"")"),"عرض الإيصالات الماضية")</f>
        <v>عرض الإيصالات الماضية</v>
      </c>
      <c r="D190" s="1" t="str">
        <f ca="1">IFERROR(__xludf.DUMMYFUNCTION("GOOGLETRANSLATE(B190,""en"",""zh-CN"")"),"查看过去的收据")</f>
        <v>查看过去的收据</v>
      </c>
      <c r="E190" s="1" t="str">
        <f ca="1">IFERROR(__xludf.DUMMYFUNCTION("GOOGLETRANSLATE(B190,""en"",""ja"")"),"過去の領収書を見る")</f>
        <v>過去の領収書を見る</v>
      </c>
      <c r="F190" s="1" t="str">
        <f ca="1">IFERROR(__xludf.DUMMYFUNCTION("GOOGLETRANSLATE(B190,""en"",""fr"")"),"Voir les recettes passées")</f>
        <v>Voir les recettes passées</v>
      </c>
    </row>
    <row r="191" spans="1:6" ht="15.75" customHeight="1" x14ac:dyDescent="0.25">
      <c r="A191" s="1" t="s">
        <v>369</v>
      </c>
      <c r="B191" s="1" t="s">
        <v>370</v>
      </c>
      <c r="C191" s="1" t="str">
        <f ca="1">IFERROR(__xludf.DUMMYFUNCTION("GOOGLETRANSLATE(B191,""en"",""ar"")"),"عرض المبالغ المستردة النقدية")</f>
        <v>عرض المبالغ المستردة النقدية</v>
      </c>
      <c r="D191" s="1" t="str">
        <f ca="1">IFERROR(__xludf.DUMMYFUNCTION("GOOGLETRANSLATE(B191,""en"",""zh-CN"")"),"查看现金退款")</f>
        <v>查看现金退款</v>
      </c>
      <c r="E191" s="1" t="str">
        <f ca="1">IFERROR(__xludf.DUMMYFUNCTION("GOOGLETRANSLATE(B191,""en"",""ja"")"),"現金払い戻しを見る")</f>
        <v>現金払い戻しを見る</v>
      </c>
      <c r="F191" s="1" t="str">
        <f ca="1">IFERROR(__xludf.DUMMYFUNCTION("GOOGLETRANSLATE(B191,""en"",""fr"")"),"Afficher les remboursements en espèces")</f>
        <v>Afficher les remboursements en espèces</v>
      </c>
    </row>
    <row r="192" spans="1:6" ht="15.75" customHeight="1" x14ac:dyDescent="0.25">
      <c r="A192" s="1" t="s">
        <v>371</v>
      </c>
      <c r="B192" s="1" t="s">
        <v>372</v>
      </c>
      <c r="C192" s="1" t="str">
        <f ca="1">IFERROR(__xludf.DUMMYFUNCTION("GOOGLETRANSLATE(B192,""en"",""ar"")"),"عرض ملاحظات الائتمان الماضية")</f>
        <v>عرض ملاحظات الائتمان الماضية</v>
      </c>
      <c r="D192" s="1" t="str">
        <f ca="1">IFERROR(__xludf.DUMMYFUNCTION("GOOGLETRANSLATE(B192,""en"",""zh-CN"")"),"查看过去的信用备注")</f>
        <v>查看过去的信用备注</v>
      </c>
      <c r="E192" s="1" t="str">
        <f ca="1">IFERROR(__xludf.DUMMYFUNCTION("GOOGLETRANSLATE(B192,""en"",""ja"")"),"過去のクレジットノートを表示します")</f>
        <v>過去のクレジットノートを表示します</v>
      </c>
      <c r="F192" s="1" t="str">
        <f ca="1">IFERROR(__xludf.DUMMYFUNCTION("GOOGLETRANSLATE(B192,""en"",""fr"")"),"Voir les billets de crédit antérieurs")</f>
        <v>Voir les billets de crédit antérieurs</v>
      </c>
    </row>
    <row r="193" spans="1:6" ht="15.75" customHeight="1" x14ac:dyDescent="0.25">
      <c r="A193" s="1" t="s">
        <v>373</v>
      </c>
      <c r="B193" s="1" t="s">
        <v>374</v>
      </c>
      <c r="C193" s="1" t="str">
        <f ca="1">IFERROR(__xludf.DUMMYFUNCTION("GOOGLETRANSLATE(B193,""en"",""ar"")"),"تقرير درج النقود")</f>
        <v>تقرير درج النقود</v>
      </c>
      <c r="D193" s="1" t="str">
        <f ca="1">IFERROR(__xludf.DUMMYFUNCTION("GOOGLETRANSLATE(B193,""en"",""zh-CN"")"),"现金抽屉报告")</f>
        <v>现金抽屉报告</v>
      </c>
      <c r="E193" s="1" t="str">
        <f ca="1">IFERROR(__xludf.DUMMYFUNCTION("GOOGLETRANSLATE(B193,""en"",""ja"")"),"現金引き出しレポート")</f>
        <v>現金引き出しレポート</v>
      </c>
      <c r="F193" s="1" t="str">
        <f ca="1">IFERROR(__xludf.DUMMYFUNCTION("GOOGLETRANSLATE(B193,""en"",""fr"")"),"Rapport de tiroir caisse")</f>
        <v>Rapport de tiroir caisse</v>
      </c>
    </row>
    <row r="194" spans="1:6" ht="15.75" customHeight="1" x14ac:dyDescent="0.25">
      <c r="A194" s="1" t="s">
        <v>375</v>
      </c>
      <c r="B194" s="1" t="s">
        <v>376</v>
      </c>
      <c r="C194" s="1" t="str">
        <f ca="1">IFERROR(__xludf.DUMMYFUNCTION("GOOGLETRANSLATE(B194,""en"",""ar"")"),"طلب المطبخ")</f>
        <v>طلب المطبخ</v>
      </c>
      <c r="D194" s="1" t="str">
        <f ca="1">IFERROR(__xludf.DUMMYFUNCTION("GOOGLETRANSLATE(B194,""en"",""zh-CN"")"),"厨房订单")</f>
        <v>厨房订单</v>
      </c>
      <c r="E194" s="1" t="str">
        <f ca="1">IFERROR(__xludf.DUMMYFUNCTION("GOOGLETRANSLATE(B194,""en"",""ja"")"),"キッチンオーダー")</f>
        <v>キッチンオーダー</v>
      </c>
      <c r="F194" s="1" t="str">
        <f ca="1">IFERROR(__xludf.DUMMYFUNCTION("GOOGLETRANSLATE(B194,""en"",""fr"")"),"Commande de cuisine")</f>
        <v>Commande de cuisine</v>
      </c>
    </row>
    <row r="195" spans="1:6" ht="15.75" customHeight="1" x14ac:dyDescent="0.25">
      <c r="A195" s="1" t="s">
        <v>377</v>
      </c>
      <c r="B195" s="1" t="s">
        <v>378</v>
      </c>
      <c r="C195" s="1" t="str">
        <f ca="1">IFERROR(__xludf.DUMMYFUNCTION("GOOGLETRANSLATE(B195,""en"",""ar"")"),"تحديث طلب المطبخ")</f>
        <v>تحديث طلب المطبخ</v>
      </c>
      <c r="D195" s="1" t="str">
        <f ca="1">IFERROR(__xludf.DUMMYFUNCTION("GOOGLETRANSLATE(B195,""en"",""zh-CN"")"),"厨房订单更新")</f>
        <v>厨房订单更新</v>
      </c>
      <c r="E195" s="1" t="str">
        <f ca="1">IFERROR(__xludf.DUMMYFUNCTION("GOOGLETRANSLATE(B195,""en"",""ja"")"),"キッチンオーダーアップデート")</f>
        <v>キッチンオーダーアップデート</v>
      </c>
      <c r="F195" s="1" t="str">
        <f ca="1">IFERROR(__xludf.DUMMYFUNCTION("GOOGLETRANSLATE(B195,""en"",""fr"")"),"Mise à jour de la commande de cuisine")</f>
        <v>Mise à jour de la commande de cuisine</v>
      </c>
    </row>
    <row r="196" spans="1:6" ht="15.75" customHeight="1" x14ac:dyDescent="0.25">
      <c r="A196" s="1" t="s">
        <v>379</v>
      </c>
      <c r="B196" s="1" t="s">
        <v>380</v>
      </c>
      <c r="C196" s="1" t="str">
        <f ca="1">IFERROR(__xludf.DUMMYFUNCTION("GOOGLETRANSLATE(B196,""en"",""ar"")"),"حجز مبيعات الحكمة")</f>
        <v>حجز مبيعات الحكمة</v>
      </c>
      <c r="D196" s="1" t="str">
        <f ca="1">IFERROR(__xludf.DUMMYFUNCTION("GOOGLETRANSLATE(B196,""en"",""zh-CN"")"),"预订明智的销售")</f>
        <v>预订明智的销售</v>
      </c>
      <c r="E196" s="1" t="str">
        <f ca="1">IFERROR(__xludf.DUMMYFUNCTION("GOOGLETRANSLATE(B196,""en"",""ja"")"),"予約賢明な売上高")</f>
        <v>予約賢明な売上高</v>
      </c>
      <c r="F196" s="1" t="str">
        <f ca="1">IFERROR(__xludf.DUMMYFUNCTION("GOOGLETRANSLATE(B196,""en"",""fr"")"),"Ventes sages sur réservation")</f>
        <v>Ventes sages sur réservation</v>
      </c>
    </row>
    <row r="197" spans="1:6" ht="15.75" customHeight="1" x14ac:dyDescent="0.25">
      <c r="A197" s="1" t="s">
        <v>381</v>
      </c>
      <c r="B197" s="1" t="s">
        <v>382</v>
      </c>
      <c r="C197" s="1" t="str">
        <f ca="1">IFERROR(__xludf.DUMMYFUNCTION("GOOGLETRANSLATE(B197,""en"",""ar"")"),"أسترجاع النقود")</f>
        <v>أسترجاع النقود</v>
      </c>
      <c r="D197" s="1" t="str">
        <f ca="1">IFERROR(__xludf.DUMMYFUNCTION("GOOGLETRANSLATE(B197,""en"",""zh-CN"")"),"现金退款")</f>
        <v>现金退款</v>
      </c>
      <c r="E197" s="1" t="str">
        <f ca="1">IFERROR(__xludf.DUMMYFUNCTION("GOOGLETRANSLATE(B197,""en"",""ja"")"),"払い戻し")</f>
        <v>払い戻し</v>
      </c>
      <c r="F197" s="1" t="str">
        <f ca="1">IFERROR(__xludf.DUMMYFUNCTION("GOOGLETRANSLATE(B197,""en"",""fr"")"),"Remboursement de l'argent")</f>
        <v>Remboursement de l'argent</v>
      </c>
    </row>
    <row r="198" spans="1:6" ht="15.75" customHeight="1" x14ac:dyDescent="0.25">
      <c r="A198" s="1" t="s">
        <v>383</v>
      </c>
      <c r="B198" s="1" t="s">
        <v>384</v>
      </c>
      <c r="C198" s="1" t="str">
        <f ca="1">IFERROR(__xludf.DUMMYFUNCTION("GOOGLETRANSLATE(B198,""en"",""ar"")"),"بحث استرداد النقدي")</f>
        <v>بحث استرداد النقدي</v>
      </c>
      <c r="D198" s="1" t="str">
        <f ca="1">IFERROR(__xludf.DUMMYFUNCTION("GOOGLETRANSLATE(B198,""en"",""zh-CN"")"),"搜索现金退款")</f>
        <v>搜索现金退款</v>
      </c>
      <c r="E198" s="1" t="str">
        <f ca="1">IFERROR(__xludf.DUMMYFUNCTION("GOOGLETRANSLATE(B198,""en"",""ja"")"),"現金払い戻しを検索")</f>
        <v>現金払い戻しを検索</v>
      </c>
      <c r="F198" s="1" t="str">
        <f ca="1">IFERROR(__xludf.DUMMYFUNCTION("GOOGLETRANSLATE(B198,""en"",""fr"")"),"Recherche de remboursement")</f>
        <v>Recherche de remboursement</v>
      </c>
    </row>
    <row r="199" spans="1:6" ht="15.75" customHeight="1" x14ac:dyDescent="0.25">
      <c r="A199" s="1" t="s">
        <v>385</v>
      </c>
      <c r="B199" s="1" t="s">
        <v>386</v>
      </c>
      <c r="C199" s="1" t="str">
        <f ca="1">IFERROR(__xludf.DUMMYFUNCTION("GOOGLETRANSLATE(B199,""en"",""ar"")"),"تقرير الدائنين")</f>
        <v>تقرير الدائنين</v>
      </c>
      <c r="D199" s="1" t="str">
        <f ca="1">IFERROR(__xludf.DUMMYFUNCTION("GOOGLETRANSLATE(B199,""en"",""zh-CN"")"),"债权人报告")</f>
        <v>债权人报告</v>
      </c>
      <c r="E199" s="1" t="str">
        <f ca="1">IFERROR(__xludf.DUMMYFUNCTION("GOOGLETRANSLATE(B199,""en"",""ja"")"),"債権者報告")</f>
        <v>債権者報告</v>
      </c>
      <c r="F199" s="1" t="str">
        <f ca="1">IFERROR(__xludf.DUMMYFUNCTION("GOOGLETRANSLATE(B199,""en"",""fr"")"),"Rapport des créanciers")</f>
        <v>Rapport des créanciers</v>
      </c>
    </row>
    <row r="200" spans="1:6" ht="15.75" customHeight="1" x14ac:dyDescent="0.25">
      <c r="A200" s="1" t="s">
        <v>387</v>
      </c>
      <c r="B200" s="1" t="s">
        <v>388</v>
      </c>
      <c r="C200" s="1" t="str">
        <f ca="1">IFERROR(__xludf.DUMMYFUNCTION("GOOGLETRANSLATE(B200,""en"",""ar"")"),"موقع")</f>
        <v>موقع</v>
      </c>
      <c r="D200" s="1" t="str">
        <f ca="1">IFERROR(__xludf.DUMMYFUNCTION("GOOGLETRANSLATE(B200,""en"",""zh-CN"")"),"地点")</f>
        <v>地点</v>
      </c>
      <c r="E200" s="1" t="str">
        <f ca="1">IFERROR(__xludf.DUMMYFUNCTION("GOOGLETRANSLATE(B200,""en"",""ja"")"),"位置")</f>
        <v>位置</v>
      </c>
      <c r="F200" s="1" t="str">
        <f ca="1">IFERROR(__xludf.DUMMYFUNCTION("GOOGLETRANSLATE(B200,""en"",""fr"")"),"Emplacement")</f>
        <v>Emplacement</v>
      </c>
    </row>
    <row r="201" spans="1:6" ht="15.75" customHeight="1" x14ac:dyDescent="0.25">
      <c r="A201" s="1" t="s">
        <v>389</v>
      </c>
      <c r="B201" s="1" t="s">
        <v>390</v>
      </c>
      <c r="C201" s="1" t="str">
        <f ca="1">IFERROR(__xludf.DUMMYFUNCTION("GOOGLETRANSLATE(B201,""en"",""ar"")"),"إلغاء مذكرة الائتمان / استرداد النقود")</f>
        <v>إلغاء مذكرة الائتمان / استرداد النقود</v>
      </c>
      <c r="D201" s="1" t="str">
        <f ca="1">IFERROR(__xludf.DUMMYFUNCTION("GOOGLETRANSLATE(B201,""en"",""zh-CN"")"),"取消信用票据/现金退款")</f>
        <v>取消信用票据/现金退款</v>
      </c>
      <c r="E201" s="1" t="str">
        <f ca="1">IFERROR(__xludf.DUMMYFUNCTION("GOOGLETRANSLATE(B201,""en"",""ja"")"),"クレジットノート/現金払い戻しをキャンセルします")</f>
        <v>クレジットノート/現金払い戻しをキャンセルします</v>
      </c>
      <c r="F201" s="1" t="str">
        <f ca="1">IFERROR(__xludf.DUMMYFUNCTION("GOOGLETRANSLATE(B201,""en"",""fr"")"),"Annuler la note de crédit / remboursement de trésorerie")</f>
        <v>Annuler la note de crédit / remboursement de trésorerie</v>
      </c>
    </row>
    <row r="202" spans="1:6" ht="15.75" customHeight="1" x14ac:dyDescent="0.25">
      <c r="A202" s="1" t="s">
        <v>391</v>
      </c>
      <c r="B202" s="1" t="s">
        <v>392</v>
      </c>
      <c r="C202" s="1" t="str">
        <f ca="1">IFERROR(__xludf.DUMMYFUNCTION("GOOGLETRANSLATE(B202,""en"",""ar"")"),"إلغاء الإيصالات")</f>
        <v>إلغاء الإيصالات</v>
      </c>
      <c r="D202" s="1" t="str">
        <f ca="1">IFERROR(__xludf.DUMMYFUNCTION("GOOGLETRANSLATE(B202,""en"",""zh-CN"")"),"取消收据")</f>
        <v>取消收据</v>
      </c>
      <c r="E202" s="1" t="str">
        <f ca="1">IFERROR(__xludf.DUMMYFUNCTION("GOOGLETRANSLATE(B202,""en"",""ja"")"),"領収書をキャンセルします")</f>
        <v>領収書をキャンセルします</v>
      </c>
      <c r="F202" s="1" t="str">
        <f ca="1">IFERROR(__xludf.DUMMYFUNCTION("GOOGLETRANSLATE(B202,""en"",""fr"")"),"Annuler les reçus")</f>
        <v>Annuler les reçus</v>
      </c>
    </row>
    <row r="203" spans="1:6" ht="15.75" customHeight="1" x14ac:dyDescent="0.25">
      <c r="A203" s="1" t="s">
        <v>393</v>
      </c>
      <c r="B203" s="1" t="s">
        <v>394</v>
      </c>
      <c r="C203" s="1" t="str">
        <f ca="1">IFERROR(__xludf.DUMMYFUNCTION("GOOGLETRANSLATE(B203,""en"",""ar"")"),"سجلات واضحة")</f>
        <v>سجلات واضحة</v>
      </c>
      <c r="D203" s="1" t="str">
        <f ca="1">IFERROR(__xludf.DUMMYFUNCTION("GOOGLETRANSLATE(B203,""en"",""zh-CN"")"),"清晰的记录")</f>
        <v>清晰的记录</v>
      </c>
      <c r="E203" s="1" t="str">
        <f ca="1">IFERROR(__xludf.DUMMYFUNCTION("GOOGLETRANSLATE(B203,""en"",""ja"")"),"クリアレコード")</f>
        <v>クリアレコード</v>
      </c>
      <c r="F203" s="1" t="str">
        <f ca="1">IFERROR(__xludf.DUMMYFUNCTION("GOOGLETRANSLATE(B203,""en"",""fr"")"),"Clear Records")</f>
        <v>Clear Records</v>
      </c>
    </row>
    <row r="204" spans="1:6" ht="15.75" customHeight="1" x14ac:dyDescent="0.25">
      <c r="A204" s="1" t="s">
        <v>395</v>
      </c>
      <c r="B204" s="1" t="s">
        <v>396</v>
      </c>
      <c r="C204" s="1" t="str">
        <f ca="1">IFERROR(__xludf.DUMMYFUNCTION("GOOGLETRANSLATE(B204,""en"",""ar"")"),"مسح جميع سجلات العينة")</f>
        <v>مسح جميع سجلات العينة</v>
      </c>
      <c r="D204" s="1" t="str">
        <f ca="1">IFERROR(__xludf.DUMMYFUNCTION("GOOGLETRANSLATE(B204,""en"",""zh-CN"")"),"清除所有样本记录")</f>
        <v>清除所有样本记录</v>
      </c>
      <c r="E204" s="1" t="str">
        <f ca="1">IFERROR(__xludf.DUMMYFUNCTION("GOOGLETRANSLATE(B204,""en"",""ja"")"),"すべてのサンプルレコードをクリアする")</f>
        <v>すべてのサンプルレコードをクリアする</v>
      </c>
      <c r="F204" s="1" t="str">
        <f ca="1">IFERROR(__xludf.DUMMYFUNCTION("GOOGLETRANSLATE(B204,""en"",""fr"")"),"Effacer tous les enregistrements d'échantillons")</f>
        <v>Effacer tous les enregistrements d'échantillons</v>
      </c>
    </row>
    <row r="205" spans="1:6" ht="15.75" customHeight="1" x14ac:dyDescent="0.25">
      <c r="A205" s="1" t="s">
        <v>397</v>
      </c>
      <c r="B205" s="1" t="s">
        <v>398</v>
      </c>
      <c r="C205" s="1" t="str">
        <f ca="1">IFERROR(__xludf.DUMMYFUNCTION("GOOGLETRANSLATE(B205,""en"",""ar"")"),"تحميل البيانات إلى سحابة")</f>
        <v>تحميل البيانات إلى سحابة</v>
      </c>
      <c r="D205" s="1" t="str">
        <f ca="1">IFERROR(__xludf.DUMMYFUNCTION("GOOGLETRANSLATE(B205,""en"",""zh-CN"")"),"将数据上传到云")</f>
        <v>将数据上传到云</v>
      </c>
      <c r="E205" s="1" t="str">
        <f ca="1">IFERROR(__xludf.DUMMYFUNCTION("GOOGLETRANSLATE(B205,""en"",""ja"")"),"クラウドにデータをアップロードします")</f>
        <v>クラウドにデータをアップロードします</v>
      </c>
      <c r="F205" s="1" t="str">
        <f ca="1">IFERROR(__xludf.DUMMYFUNCTION("GOOGLETRANSLATE(B205,""en"",""fr"")"),"Télécharger des données sur le cloud")</f>
        <v>Télécharger des données sur le cloud</v>
      </c>
    </row>
    <row r="206" spans="1:6" ht="15.75" customHeight="1" x14ac:dyDescent="0.25">
      <c r="A206" s="1" t="s">
        <v>399</v>
      </c>
      <c r="B206" s="1" t="s">
        <v>400</v>
      </c>
      <c r="C206" s="1" t="str">
        <f ca="1">IFERROR(__xludf.DUMMYFUNCTION("GOOGLETRANSLATE(B206,""en"",""ar"")"),"لغة")</f>
        <v>لغة</v>
      </c>
      <c r="D206" s="1" t="str">
        <f ca="1">IFERROR(__xludf.DUMMYFUNCTION("GOOGLETRANSLATE(B206,""en"",""zh-CN"")"),"语")</f>
        <v>语</v>
      </c>
      <c r="E206" s="1" t="str">
        <f ca="1">IFERROR(__xludf.DUMMYFUNCTION("GOOGLETRANSLATE(B206,""en"",""ja"")"),"言語")</f>
        <v>言語</v>
      </c>
      <c r="F206" s="1" t="str">
        <f ca="1">IFERROR(__xludf.DUMMYFUNCTION("GOOGLETRANSLATE(B206,""en"",""fr"")"),"Langue")</f>
        <v>Langue</v>
      </c>
    </row>
    <row r="207" spans="1:6" ht="15.75" customHeight="1" x14ac:dyDescent="0.25">
      <c r="A207" s="1" t="s">
        <v>401</v>
      </c>
      <c r="B207" s="1" t="s">
        <v>402</v>
      </c>
      <c r="C207" s="1" t="str">
        <f ca="1">IFERROR(__xludf.DUMMYFUNCTION("GOOGLETRANSLATE(B207,""en"",""ar"")"),"تقرير حركة الأسهم طباعة بواسطة")</f>
        <v>تقرير حركة الأسهم طباعة بواسطة</v>
      </c>
      <c r="D207" s="1" t="str">
        <f ca="1">IFERROR(__xludf.DUMMYFUNCTION("GOOGLETRANSLATE(B207,""en"",""zh-CN"")"),"库存运动报告打印")</f>
        <v>库存运动报告打印</v>
      </c>
      <c r="E207" s="1" t="str">
        <f ca="1">IFERROR(__xludf.DUMMYFUNCTION("GOOGLETRANSLATE(B207,""en"",""ja"")"),"在庫移動レポート")</f>
        <v>在庫移動レポート</v>
      </c>
      <c r="F207" s="1" t="str">
        <f ca="1">IFERROR(__xludf.DUMMYFUNCTION("GOOGLETRANSLATE(B207,""en"",""fr"")"),"Rapport de mouvement stock impression par")</f>
        <v>Rapport de mouvement stock impression par</v>
      </c>
    </row>
    <row r="208" spans="1:6" ht="15.75" customHeight="1" x14ac:dyDescent="0.25">
      <c r="A208" s="1" t="s">
        <v>403</v>
      </c>
      <c r="B208" s="1" t="s">
        <v>404</v>
      </c>
      <c r="C208" s="1" t="str">
        <f ca="1">IFERROR(__xludf.DUMMYFUNCTION("GOOGLETRANSLATE(B208,""en"",""ar"")"),"رمز")</f>
        <v>رمز</v>
      </c>
      <c r="D208" s="1" t="str">
        <f ca="1">IFERROR(__xludf.DUMMYFUNCTION("GOOGLETRANSLATE(B208,""en"",""zh-CN"")"),"代码")</f>
        <v>代码</v>
      </c>
      <c r="E208" s="1" t="str">
        <f ca="1">IFERROR(__xludf.DUMMYFUNCTION("GOOGLETRANSLATE(B208,""en"",""ja"")"),"コード")</f>
        <v>コード</v>
      </c>
      <c r="F208" s="1" t="str">
        <f ca="1">IFERROR(__xludf.DUMMYFUNCTION("GOOGLETRANSLATE(B208,""en"",""fr"")"),"Code")</f>
        <v>Code</v>
      </c>
    </row>
    <row r="209" spans="1:6" ht="15.75" customHeight="1" x14ac:dyDescent="0.25">
      <c r="A209" s="1" t="s">
        <v>405</v>
      </c>
      <c r="B209" s="1" t="s">
        <v>406</v>
      </c>
      <c r="C209" s="1" t="str">
        <f ca="1">IFERROR(__xludf.DUMMYFUNCTION("GOOGLETRANSLATE(B209,""en"",""ar"")"),"اسم")</f>
        <v>اسم</v>
      </c>
      <c r="D209" s="1" t="str">
        <f ca="1">IFERROR(__xludf.DUMMYFUNCTION("GOOGLETRANSLATE(B209,""en"",""zh-CN"")"),"名称")</f>
        <v>名称</v>
      </c>
      <c r="E209" s="1" t="str">
        <f ca="1">IFERROR(__xludf.DUMMYFUNCTION("GOOGLETRANSLATE(B209,""en"",""ja"")"),"名前")</f>
        <v>名前</v>
      </c>
      <c r="F209" s="1" t="str">
        <f ca="1">IFERROR(__xludf.DUMMYFUNCTION("GOOGLETRANSLATE(B209,""en"",""fr"")"),"Nom")</f>
        <v>Nom</v>
      </c>
    </row>
    <row r="210" spans="1:6" ht="15.75" customHeight="1" x14ac:dyDescent="0.25">
      <c r="A210" s="1" t="s">
        <v>407</v>
      </c>
      <c r="B210" s="1" t="s">
        <v>408</v>
      </c>
      <c r="C210" s="1" t="str">
        <f ca="1">IFERROR(__xludf.DUMMYFUNCTION("GOOGLETRANSLATE(B210,""en"",""ar"")"),"وضع حساب الضرائب")</f>
        <v>وضع حساب الضرائب</v>
      </c>
      <c r="D210" s="1" t="str">
        <f ca="1">IFERROR(__xludf.DUMMYFUNCTION("GOOGLETRANSLATE(B210,""en"",""zh-CN"")"),"税项计算模式")</f>
        <v>税项计算模式</v>
      </c>
      <c r="E210" s="1" t="str">
        <f ca="1">IFERROR(__xludf.DUMMYFUNCTION("GOOGLETRANSLATE(B210,""en"",""ja"")"),"税計算モード")</f>
        <v>税計算モード</v>
      </c>
      <c r="F210" s="1" t="str">
        <f ca="1">IFERROR(__xludf.DUMMYFUNCTION("GOOGLETRANSLATE(B210,""en"",""fr"")"),"Mode de calcul de la taxe")</f>
        <v>Mode de calcul de la taxe</v>
      </c>
    </row>
    <row r="211" spans="1:6" ht="15.75" customHeight="1" x14ac:dyDescent="0.25">
      <c r="A211" s="1" t="s">
        <v>409</v>
      </c>
      <c r="B211" s="1" t="s">
        <v>410</v>
      </c>
      <c r="C211" s="1" t="str">
        <f ca="1">IFERROR(__xludf.DUMMYFUNCTION("GOOGLETRANSLATE(B211,""en"",""ar"")"),"وضع عرض البند في واجهة الفواتير")</f>
        <v>وضع عرض البند في واجهة الفواتير</v>
      </c>
      <c r="D211" s="1" t="str">
        <f ca="1">IFERROR(__xludf.DUMMYFUNCTION("GOOGLETRANSLATE(B211,""en"",""zh-CN"")"),"计费界面中的项目显示模式")</f>
        <v>计费界面中的项目显示模式</v>
      </c>
      <c r="E211" s="1" t="str">
        <f ca="1">IFERROR(__xludf.DUMMYFUNCTION("GOOGLETRANSLATE(B211,""en"",""ja"")"),"請求インタフェースの項目表示モード")</f>
        <v>請求インタフェースの項目表示モード</v>
      </c>
      <c r="F211" s="1" t="str">
        <f ca="1">IFERROR(__xludf.DUMMYFUNCTION("GOOGLETRANSLATE(B211,""en"",""fr"")"),"Mode d'affichage de l'élément dans l'interface de facturation")</f>
        <v>Mode d'affichage de l'élément dans l'interface de facturation</v>
      </c>
    </row>
    <row r="212" spans="1:6" ht="15.75" customHeight="1" x14ac:dyDescent="0.25">
      <c r="A212" s="1" t="s">
        <v>411</v>
      </c>
      <c r="B212" s="1" t="s">
        <v>412</v>
      </c>
      <c r="C212" s="1" t="str">
        <f ca="1">IFERROR(__xludf.DUMMYFUNCTION("GOOGLETRANSLATE(B212,""en"",""ar"")"),"تخطيط الشاشة الرئيسية")</f>
        <v>تخطيط الشاشة الرئيسية</v>
      </c>
      <c r="D212" s="1" t="str">
        <f ca="1">IFERROR(__xludf.DUMMYFUNCTION("GOOGLETRANSLATE(B212,""en"",""zh-CN"")"),"主屏幕布局")</f>
        <v>主屏幕布局</v>
      </c>
      <c r="E212" s="1" t="str">
        <f ca="1">IFERROR(__xludf.DUMMYFUNCTION("GOOGLETRANSLATE(B212,""en"",""ja"")"),"ホーム画面のレイアウト")</f>
        <v>ホーム画面のレイアウト</v>
      </c>
      <c r="F212" s="1" t="str">
        <f ca="1">IFERROR(__xludf.DUMMYFUNCTION("GOOGLETRANSLATE(B212,""en"",""fr"")"),"Disposition d'écran d'accueil")</f>
        <v>Disposition d'écran d'accueil</v>
      </c>
    </row>
    <row r="213" spans="1:6" ht="15.75" customHeight="1" x14ac:dyDescent="0.25">
      <c r="A213" s="1" t="s">
        <v>413</v>
      </c>
      <c r="B213" s="1" t="s">
        <v>414</v>
      </c>
      <c r="C213" s="1" t="str">
        <f ca="1">IFERROR(__xludf.DUMMYFUNCTION("GOOGLETRANSLATE(B213,""en"",""ar"")"),"تخطيط السلعة")</f>
        <v>تخطيط السلعة</v>
      </c>
      <c r="D213" s="1" t="str">
        <f ca="1">IFERROR(__xludf.DUMMYFUNCTION("GOOGLETRANSLATE(B213,""en"",""zh-CN"")"),"物品购物车布局")</f>
        <v>物品购物车布局</v>
      </c>
      <c r="E213" s="1" t="str">
        <f ca="1">IFERROR(__xludf.DUMMYFUNCTION("GOOGLETRANSLATE(B213,""en"",""ja"")"),"アイテムカートのレイアウト")</f>
        <v>アイテムカートのレイアウト</v>
      </c>
      <c r="F213" s="1" t="str">
        <f ca="1">IFERROR(__xludf.DUMMYFUNCTION("GOOGLETRANSLATE(B213,""en"",""fr"")"),"Panier de l'article")</f>
        <v>Panier de l'article</v>
      </c>
    </row>
    <row r="214" spans="1:6" ht="15.75" customHeight="1" x14ac:dyDescent="0.25">
      <c r="A214" s="1" t="s">
        <v>415</v>
      </c>
      <c r="B214" s="1" t="s">
        <v>416</v>
      </c>
      <c r="C214" s="1" t="str">
        <f ca="1">IFERROR(__xludf.DUMMYFUNCTION("GOOGLETRANSLATE(B214,""en"",""ar"")"),"قائمة البند")</f>
        <v>قائمة البند</v>
      </c>
      <c r="D214" s="1" t="str">
        <f ca="1">IFERROR(__xludf.DUMMYFUNCTION("GOOGLETRANSLATE(B214,""en"",""zh-CN"")"),"项目菜单")</f>
        <v>项目菜单</v>
      </c>
      <c r="E214" s="1" t="str">
        <f ca="1">IFERROR(__xludf.DUMMYFUNCTION("GOOGLETRANSLATE(B214,""en"",""ja"")"),"アイテムメニュー")</f>
        <v>アイテムメニュー</v>
      </c>
      <c r="F214" s="1" t="str">
        <f ca="1">IFERROR(__xludf.DUMMYFUNCTION("GOOGLETRANSLATE(B214,""en"",""fr"")"),"Menu de l'article")</f>
        <v>Menu de l'article</v>
      </c>
    </row>
    <row r="215" spans="1:6" ht="15.75" customHeight="1" x14ac:dyDescent="0.25">
      <c r="A215" s="1" t="s">
        <v>417</v>
      </c>
      <c r="B215" s="1" t="s">
        <v>418</v>
      </c>
      <c r="C215" s="1" t="str">
        <f ca="1">IFERROR(__xludf.DUMMYFUNCTION("GOOGLETRANSLATE(B215,""en"",""ar"")"),"رقم كوت:")</f>
        <v>رقم كوت:</v>
      </c>
      <c r="D215" s="1" t="str">
        <f ca="1">IFERROR(__xludf.DUMMYFUNCTION("GOOGLETRANSLATE(B215,""en"",""zh-CN"")"),"kot号码：")</f>
        <v>kot号码：</v>
      </c>
      <c r="E215" s="1" t="str">
        <f ca="1">IFERROR(__xludf.DUMMYFUNCTION("GOOGLETRANSLATE(B215,""en"",""ja"")"),"コット数：")</f>
        <v>コット数：</v>
      </c>
      <c r="F215" s="1" t="str">
        <f ca="1">IFERROR(__xludf.DUMMYFUNCTION("GOOGLETRANSLATE(B215,""en"",""fr"")"),"Numéro de Kot:")</f>
        <v>Numéro de Kot:</v>
      </c>
    </row>
    <row r="216" spans="1:6" ht="15.75" customHeight="1" x14ac:dyDescent="0.25">
      <c r="A216" s="1" t="s">
        <v>419</v>
      </c>
      <c r="B216" s="1" t="s">
        <v>420</v>
      </c>
      <c r="C216" s="1" t="str">
        <f ca="1">IFERROR(__xludf.DUMMYFUNCTION("GOOGLETRANSLATE(B216,""en"",""ar"")"),"نوع السجلات")</f>
        <v>نوع السجلات</v>
      </c>
      <c r="D216" s="1" t="str">
        <f ca="1">IFERROR(__xludf.DUMMYFUNCTION("GOOGLETRANSLATE(B216,""en"",""zh-CN"")"),"清除记录类型")</f>
        <v>清除记录类型</v>
      </c>
      <c r="E216" s="1" t="str">
        <f ca="1">IFERROR(__xludf.DUMMYFUNCTION("GOOGLETRANSLATE(B216,""en"",""ja"")"),"クリアレコードタイプ")</f>
        <v>クリアレコードタイプ</v>
      </c>
      <c r="F216" s="1" t="str">
        <f ca="1">IFERROR(__xludf.DUMMYFUNCTION("GOOGLETRANSLATE(B216,""en"",""fr"")"),"Type d'enregistrement effacé")</f>
        <v>Type d'enregistrement effacé</v>
      </c>
    </row>
    <row r="217" spans="1:6" ht="15.75" customHeight="1" x14ac:dyDescent="0.25">
      <c r="A217" s="1" t="s">
        <v>421</v>
      </c>
      <c r="B217" s="1" t="s">
        <v>422</v>
      </c>
      <c r="C217" s="1" t="str">
        <f ca="1">IFERROR(__xludf.DUMMYFUNCTION("GOOGLETRANSLATE(B217,""en"",""ar"")"),"معلومات العمل")</f>
        <v>معلومات العمل</v>
      </c>
      <c r="D217" s="1" t="str">
        <f ca="1">IFERROR(__xludf.DUMMYFUNCTION("GOOGLETRANSLATE(B217,""en"",""zh-CN"")"),"商业信息")</f>
        <v>商业信息</v>
      </c>
      <c r="E217" s="1" t="str">
        <f ca="1">IFERROR(__xludf.DUMMYFUNCTION("GOOGLETRANSLATE(B217,""en"",""ja"")"),"ビジネス情報")</f>
        <v>ビジネス情報</v>
      </c>
      <c r="F217" s="1" t="str">
        <f ca="1">IFERROR(__xludf.DUMMYFUNCTION("GOOGLETRANSLATE(B217,""en"",""fr"")"),"INFORMATIONS D'AFFAIRES")</f>
        <v>INFORMATIONS D'AFFAIRES</v>
      </c>
    </row>
    <row r="218" spans="1:6" ht="15.75" customHeight="1" x14ac:dyDescent="0.25">
      <c r="A218" s="1" t="s">
        <v>423</v>
      </c>
      <c r="B218" s="1" t="s">
        <v>424</v>
      </c>
      <c r="C218" s="1" t="str">
        <f ca="1">IFERROR(__xludf.DUMMYFUNCTION("GOOGLETRANSLATE(B218,""en"",""ar"")"),"الهاتف الشخصي")</f>
        <v>الهاتف الشخصي</v>
      </c>
      <c r="D218" s="1" t="str">
        <f ca="1">IFERROR(__xludf.DUMMYFUNCTION("GOOGLETRANSLATE(B218,""en"",""zh-CN"")"),"个人电话")</f>
        <v>个人电话</v>
      </c>
      <c r="E218" s="1" t="str">
        <f ca="1">IFERROR(__xludf.DUMMYFUNCTION("GOOGLETRANSLATE(B218,""en"",""ja"")"),"個人電話")</f>
        <v>個人電話</v>
      </c>
      <c r="F218" s="1" t="str">
        <f ca="1">IFERROR(__xludf.DUMMYFUNCTION("GOOGLETRANSLATE(B218,""en"",""fr"")"),"Téléphone personnel")</f>
        <v>Téléphone personnel</v>
      </c>
    </row>
    <row r="219" spans="1:6" ht="15.75" customHeight="1" x14ac:dyDescent="0.25">
      <c r="A219" s="1" t="s">
        <v>425</v>
      </c>
      <c r="B219" s="1" t="s">
        <v>426</v>
      </c>
      <c r="C219" s="1" t="str">
        <f ca="1">IFERROR(__xludf.DUMMYFUNCTION("GOOGLETRANSLATE(B219,""en"",""ar"")"),"البريد الإلكتروني الشخصي")</f>
        <v>البريد الإلكتروني الشخصي</v>
      </c>
      <c r="D219" s="1" t="str">
        <f ca="1">IFERROR(__xludf.DUMMYFUNCTION("GOOGLETRANSLATE(B219,""en"",""zh-CN"")"),"私人邮箱")</f>
        <v>私人邮箱</v>
      </c>
      <c r="E219" s="1" t="str">
        <f ca="1">IFERROR(__xludf.DUMMYFUNCTION("GOOGLETRANSLATE(B219,""en"",""ja"")"),"個人的なメール")</f>
        <v>個人的なメール</v>
      </c>
      <c r="F219" s="1" t="str">
        <f ca="1">IFERROR(__xludf.DUMMYFUNCTION("GOOGLETRANSLATE(B219,""en"",""fr"")"),"Email personnel")</f>
        <v>Email personnel</v>
      </c>
    </row>
    <row r="220" spans="1:6" ht="15.75" customHeight="1" x14ac:dyDescent="0.25">
      <c r="A220" s="1" t="s">
        <v>427</v>
      </c>
      <c r="B220" s="1" t="s">
        <v>428</v>
      </c>
      <c r="C220" s="1" t="str">
        <f ca="1">IFERROR(__xludf.DUMMYFUNCTION("GOOGLETRANSLATE(B220,""en"",""ar"")"),"تحول النهاية")</f>
        <v>تحول النهاية</v>
      </c>
      <c r="D220" s="1" t="str">
        <f ca="1">IFERROR(__xludf.DUMMYFUNCTION("GOOGLETRANSLATE(B220,""en"",""zh-CN"")"),"转移结束")</f>
        <v>转移结束</v>
      </c>
      <c r="E220" s="1" t="str">
        <f ca="1">IFERROR(__xludf.DUMMYFUNCTION("GOOGLETRANSLATE(B220,""en"",""ja"")"),"シフトエンド")</f>
        <v>シフトエンド</v>
      </c>
      <c r="F220" s="1" t="str">
        <f ca="1">IFERROR(__xludf.DUMMYFUNCTION("GOOGLETRANSLATE(B220,""en"",""fr"")"),"Extrémité de changement de vitesse")</f>
        <v>Extrémité de changement de vitesse</v>
      </c>
    </row>
    <row r="221" spans="1:6" ht="15.75" customHeight="1" x14ac:dyDescent="0.25">
      <c r="A221" s="1" t="s">
        <v>429</v>
      </c>
      <c r="B221" s="1" t="s">
        <v>430</v>
      </c>
      <c r="C221" s="1" t="str">
        <f ca="1">IFERROR(__xludf.DUMMYFUNCTION("GOOGLETRANSLATE(B221,""en"",""ar"")"),"تشغيل عملية نهاية التحول")</f>
        <v>تشغيل عملية نهاية التحول</v>
      </c>
      <c r="D221" s="1" t="str">
        <f ca="1">IFERROR(__xludf.DUMMYFUNCTION("GOOGLETRANSLATE(B221,""en"",""zh-CN"")"),"运行Shift End Process")</f>
        <v>运行Shift End Process</v>
      </c>
      <c r="E221" s="1" t="str">
        <f ca="1">IFERROR(__xludf.DUMMYFUNCTION("GOOGLETRANSLATE(B221,""en"",""ja"")"),"スフト終了プロセスを実行します")</f>
        <v>スフト終了プロセスを実行します</v>
      </c>
      <c r="F221" s="1" t="str">
        <f ca="1">IFERROR(__xludf.DUMMYFUNCTION("GOOGLETRANSLATE(B221,""en"",""fr"")"),"Exécuter le processus de fin de travail")</f>
        <v>Exécuter le processus de fin de travail</v>
      </c>
    </row>
    <row r="222" spans="1:6" ht="15.75" customHeight="1" x14ac:dyDescent="0.25">
      <c r="A222" s="1" t="s">
        <v>431</v>
      </c>
      <c r="B222" s="1" t="s">
        <v>432</v>
      </c>
      <c r="C222" s="1" t="str">
        <f ca="1">IFERROR(__xludf.DUMMYFUNCTION("GOOGLETRANSLATE(B222,""en"",""ar"")"),"إلغاء اليوم النهائي")</f>
        <v>إلغاء اليوم النهائي</v>
      </c>
      <c r="D222" s="1" t="str">
        <f ca="1">IFERROR(__xludf.DUMMYFUNCTION("GOOGLETRANSLATE(B222,""en"",""zh-CN"")"),"取消日期")</f>
        <v>取消日期</v>
      </c>
      <c r="E222" s="1" t="str">
        <f ca="1">IFERROR(__xludf.DUMMYFUNCTION("GOOGLETRANSLATE(B222,""en"",""ja"")"),"日端をキャンセルします")</f>
        <v>日端をキャンセルします</v>
      </c>
      <c r="F222" s="1" t="str">
        <f ca="1">IFERROR(__xludf.DUMMYFUNCTION("GOOGLETRANSLATE(B222,""en"",""fr"")"),"Annuler la fin de la journée")</f>
        <v>Annuler la fin de la journée</v>
      </c>
    </row>
    <row r="223" spans="1:6" ht="15.75" customHeight="1" x14ac:dyDescent="0.25">
      <c r="A223" s="1" t="s">
        <v>433</v>
      </c>
      <c r="B223" s="1" t="s">
        <v>434</v>
      </c>
      <c r="C223" s="1" t="str">
        <f ca="1">IFERROR(__xludf.DUMMYFUNCTION("GOOGLETRANSLATE(B223,""en"",""ar"")"),"دعم")</f>
        <v>دعم</v>
      </c>
      <c r="D223" s="1" t="str">
        <f ca="1">IFERROR(__xludf.DUMMYFUNCTION("GOOGLETRANSLATE(B223,""en"",""zh-CN"")"),"备用")</f>
        <v>备用</v>
      </c>
      <c r="E223" s="1" t="str">
        <f ca="1">IFERROR(__xludf.DUMMYFUNCTION("GOOGLETRANSLATE(B223,""en"",""ja"")"),"バックアップ")</f>
        <v>バックアップ</v>
      </c>
      <c r="F223" s="1" t="str">
        <f ca="1">IFERROR(__xludf.DUMMYFUNCTION("GOOGLETRANSLATE(B223,""en"",""fr"")"),"Sauvegarde")</f>
        <v>Sauvegarde</v>
      </c>
    </row>
    <row r="224" spans="1:6" ht="15.75" customHeight="1" x14ac:dyDescent="0.25">
      <c r="A224" s="1" t="s">
        <v>435</v>
      </c>
      <c r="B224" s="1" t="s">
        <v>436</v>
      </c>
      <c r="C224" s="1" t="str">
        <f ca="1">IFERROR(__xludf.DUMMYFUNCTION("GOOGLETRANSLATE(B224,""en"",""ar"")"),"أدخل كلمة مرور المسؤول لتمكين خيار نهاية اليوم")</f>
        <v>أدخل كلمة مرور المسؤول لتمكين خيار نهاية اليوم</v>
      </c>
      <c r="D224" s="1" t="str">
        <f ca="1">IFERROR(__xludf.DUMMYFUNCTION("GOOGLETRANSLATE(B224,""en"",""zh-CN"")"),"输入您的管理员密码以启用Daile End选项")</f>
        <v>输入您的管理员密码以启用Daile End选项</v>
      </c>
      <c r="E224" s="1" t="str">
        <f ca="1">IFERROR(__xludf.DUMMYFUNCTION("GOOGLETRANSLATE(B224,""en"",""ja"")"),"Day Endオプションを有効にするには、管理者パスワードを入力してください")</f>
        <v>Day Endオプションを有効にするには、管理者パスワードを入力してください</v>
      </c>
      <c r="F224" s="1" t="str">
        <f ca="1">IFERROR(__xludf.DUMMYFUNCTION("GOOGLETRANSLATE(B224,""en"",""fr"")"),"Entrez votre mot de passe administrateur pour activer l'option de fin de journée")</f>
        <v>Entrez votre mot de passe administrateur pour activer l'option de fin de journée</v>
      </c>
    </row>
    <row r="225" spans="1:6" ht="15.75" customHeight="1" x14ac:dyDescent="0.25">
      <c r="A225" s="1" t="s">
        <v>437</v>
      </c>
      <c r="B225" s="1" t="s">
        <v>438</v>
      </c>
      <c r="C225" s="1" t="str">
        <f ca="1">IFERROR(__xludf.DUMMYFUNCTION("GOOGLETRANSLATE(B225,""en"",""ar"")"),"أدخل كلمة مرور المسؤول لتمكين خيار Shift End.")</f>
        <v>أدخل كلمة مرور المسؤول لتمكين خيار Shift End.</v>
      </c>
      <c r="D225" s="1" t="str">
        <f ca="1">IFERROR(__xludf.DUMMYFUNCTION("GOOGLETRANSLATE(B225,""en"",""zh-CN"")"),"输入您的管理员密码以启用Shift End选项。")</f>
        <v>输入您的管理员密码以启用Shift End选项。</v>
      </c>
      <c r="E225" s="1" t="str">
        <f ca="1">IFERROR(__xludf.DUMMYFUNCTION("GOOGLETRANSLATE(B225,""en"",""ja"")"),"Shift Endオプションを有効にするには、管理者パスワードを入力してください。")</f>
        <v>Shift Endオプションを有効にするには、管理者パスワードを入力してください。</v>
      </c>
      <c r="F225" s="1" t="str">
        <f ca="1">IFERROR(__xludf.DUMMYFUNCTION("GOOGLETRANSLATE(B225,""en"",""fr"")"),"Entrez votre mot de passe administrateur pour activer l'option de fin de décalage.")</f>
        <v>Entrez votre mot de passe administrateur pour activer l'option de fin de décalage.</v>
      </c>
    </row>
    <row r="226" spans="1:6" ht="15.75" customHeight="1" x14ac:dyDescent="0.25">
      <c r="A226" s="1" t="s">
        <v>439</v>
      </c>
      <c r="B226" s="1" t="s">
        <v>440</v>
      </c>
      <c r="C226" s="1" t="str">
        <f ca="1">IFERROR(__xludf.DUMMYFUNCTION("GOOGLETRANSLATE(B226,""en"",""ar"")"),"أدخل كلمة مرور المشرف لتعطيل خيار Shift End.")</f>
        <v>أدخل كلمة مرور المشرف لتعطيل خيار Shift End.</v>
      </c>
      <c r="D226" s="1" t="str">
        <f ca="1">IFERROR(__xludf.DUMMYFUNCTION("GOOGLETRANSLATE(B226,""en"",""zh-CN"")"),"输入您的管理员密码以禁用Shift End选项。")</f>
        <v>输入您的管理员密码以禁用Shift End选项。</v>
      </c>
      <c r="E226" s="1" t="str">
        <f ca="1">IFERROR(__xludf.DUMMYFUNCTION("GOOGLETRANSLATE(B226,""en"",""ja"")"),"Shift Endオプションを無効にするには、管理者パスワードを入力してください。")</f>
        <v>Shift Endオプションを無効にするには、管理者パスワードを入力してください。</v>
      </c>
      <c r="F226" s="1" t="str">
        <f ca="1">IFERROR(__xludf.DUMMYFUNCTION("GOOGLETRANSLATE(B226,""en"",""fr"")"),"Entrez votre mot de passe administrateur pour désactiver l'option de fin de décalage.")</f>
        <v>Entrez votre mot de passe administrateur pour désactiver l'option de fin de décalage.</v>
      </c>
    </row>
    <row r="227" spans="1:6" ht="15.75" customHeight="1" x14ac:dyDescent="0.25">
      <c r="A227" s="1" t="s">
        <v>441</v>
      </c>
      <c r="B227" s="1" t="s">
        <v>442</v>
      </c>
      <c r="C227" s="1" t="str">
        <f ca="1">IFERROR(__xludf.DUMMYFUNCTION("GOOGLETRANSLATE(B227,""en"",""ar"")"),"أدخل كلمة مرور المسؤول الخاص بك لتعطيل خيار نهاية اليوم")</f>
        <v>أدخل كلمة مرور المسؤول الخاص بك لتعطيل خيار نهاية اليوم</v>
      </c>
      <c r="D227" s="1" t="str">
        <f ca="1">IFERROR(__xludf.DUMMYFUNCTION("GOOGLETRANSLATE(B227,""en"",""zh-CN"")"),"输入您的管理员密码以禁用Daile End选项")</f>
        <v>输入您的管理员密码以禁用Daile End选项</v>
      </c>
      <c r="E227" s="1" t="str">
        <f ca="1">IFERROR(__xludf.DUMMYFUNCTION("GOOGLETRANSLATE(B227,""en"",""ja"")"),"Day Endオプションを無効にするには、管理者パスワードを入力してください")</f>
        <v>Day Endオプションを無効にするには、管理者パスワードを入力してください</v>
      </c>
      <c r="F227" s="1" t="str">
        <f ca="1">IFERROR(__xludf.DUMMYFUNCTION("GOOGLETRANSLATE(B227,""en"",""fr"")"),"Entrez votre mot de passe administrateur pour désactiver l'option de fin de journée")</f>
        <v>Entrez votre mot de passe administrateur pour désactiver l'option de fin de journée</v>
      </c>
    </row>
    <row r="228" spans="1:6" ht="15.75" customHeight="1" x14ac:dyDescent="0.25">
      <c r="A228" s="1" t="s">
        <v>443</v>
      </c>
      <c r="B228" s="1" t="s">
        <v>444</v>
      </c>
      <c r="C228" s="1" t="str">
        <f ca="1">IFERROR(__xludf.DUMMYFUNCTION("GOOGLETRANSLATE(B228,""en"",""ar"")"),"نفس العنصر إضافة طريقة للسلة")</f>
        <v>نفس العنصر إضافة طريقة للسلة</v>
      </c>
      <c r="D228" s="1" t="str">
        <f ca="1">IFERROR(__xludf.DUMMYFUNCTION("GOOGLETRANSLATE(B228,""en"",""zh-CN"")"),"与购物车相同的项目添加方法")</f>
        <v>与购物车相同的项目添加方法</v>
      </c>
      <c r="E228" s="1" t="str">
        <f ca="1">IFERROR(__xludf.DUMMYFUNCTION("GOOGLETRANSLATE(B228,""en"",""ja"")"),"カートへの同じ項目追加方法")</f>
        <v>カートへの同じ項目追加方法</v>
      </c>
      <c r="F228" s="1" t="str">
        <f ca="1">IFERROR(__xludf.DUMMYFUNCTION("GOOGLETRANSLATE(B228,""en"",""fr"")"),"Le même article ajoutant la méthode au panier")</f>
        <v>Le même article ajoutant la méthode au panier</v>
      </c>
    </row>
    <row r="229" spans="1:6" ht="15.75" customHeight="1" x14ac:dyDescent="0.25">
      <c r="A229" s="1" t="s">
        <v>445</v>
      </c>
      <c r="B229" s="1" t="s">
        <v>446</v>
      </c>
      <c r="C229" s="1" t="str">
        <f ca="1">IFERROR(__xludf.DUMMYFUNCTION("GOOGLETRANSLATE(B229,""en"",""ar"")"),"مسح جميع السجلات")</f>
        <v>مسح جميع السجلات</v>
      </c>
      <c r="D229" s="1" t="str">
        <f ca="1">IFERROR(__xludf.DUMMYFUNCTION("GOOGLETRANSLATE(B229,""en"",""zh-CN"")"),"清除所有记录")</f>
        <v>清除所有记录</v>
      </c>
      <c r="E229" s="1" t="str">
        <f ca="1">IFERROR(__xludf.DUMMYFUNCTION("GOOGLETRANSLATE(B229,""en"",""ja"")"),"すべてのレコードをクリアする")</f>
        <v>すべてのレコードをクリアする</v>
      </c>
      <c r="F229" s="1" t="str">
        <f ca="1">IFERROR(__xludf.DUMMYFUNCTION("GOOGLETRANSLATE(B229,""en"",""fr"")"),"Effacer tous les enregistrements")</f>
        <v>Effacer tous les enregistrements</v>
      </c>
    </row>
    <row r="230" spans="1:6" ht="15.75" customHeight="1" x14ac:dyDescent="0.25">
      <c r="A230" s="1" t="s">
        <v>447</v>
      </c>
      <c r="B230" s="1" t="s">
        <v>448</v>
      </c>
      <c r="C230" s="1" t="str">
        <f ca="1">IFERROR(__xludf.DUMMYFUNCTION("GOOGLETRANSLATE(B230,""en"",""ar"")"),"سجلات الاستلام فقط")</f>
        <v>سجلات الاستلام فقط</v>
      </c>
      <c r="D230" s="1" t="str">
        <f ca="1">IFERROR(__xludf.DUMMYFUNCTION("GOOGLETRANSLATE(B230,""en"",""zh-CN"")"),"只收据记录")</f>
        <v>只收据记录</v>
      </c>
      <c r="E230" s="1" t="str">
        <f ca="1">IFERROR(__xludf.DUMMYFUNCTION("GOOGLETRANSLATE(B230,""en"",""ja"")"),"レシートレコードのみ")</f>
        <v>レシートレコードのみ</v>
      </c>
      <c r="F230" s="1" t="str">
        <f ca="1">IFERROR(__xludf.DUMMYFUNCTION("GOOGLETRANSLATE(B230,""en"",""fr"")"),"Seuls les enregistrements de reçu")</f>
        <v>Seuls les enregistrements de reçu</v>
      </c>
    </row>
    <row r="231" spans="1:6" ht="15.75" customHeight="1" x14ac:dyDescent="0.25">
      <c r="A231" s="1" t="s">
        <v>449</v>
      </c>
      <c r="B231" s="1" t="s">
        <v>450</v>
      </c>
      <c r="C231" s="1" t="str">
        <f ca="1">IFERROR(__xludf.DUMMYFUNCTION("GOOGLETRANSLATE(B231,""en"",""ar"")"),"فقط المنتجات، الفئة، الأسهم، العائد والسجلات")</f>
        <v>فقط المنتجات، الفئة، الأسهم، العائد والسجلات</v>
      </c>
      <c r="D231" s="1" t="str">
        <f ca="1">IFERROR(__xludf.DUMMYFUNCTION("GOOGLETRANSLATE(B231,""en"",""zh-CN"")"),"只有产品，类别，库存，返回和收据记录")</f>
        <v>只有产品，类别，库存，返回和收据记录</v>
      </c>
      <c r="E231" s="1" t="str">
        <f ca="1">IFERROR(__xludf.DUMMYFUNCTION("GOOGLETRANSLATE(B231,""en"",""ja"")"),"製品、カテゴリ、株式、返品、レシートレコードのみ")</f>
        <v>製品、カテゴリ、株式、返品、レシートレコードのみ</v>
      </c>
      <c r="F231" s="1" t="str">
        <f ca="1">IFERROR(__xludf.DUMMYFUNCTION("GOOGLETRANSLATE(B231,""en"",""fr"")"),"Seuls les produits, catégorie, stock, retour et reçu des enregistrements")</f>
        <v>Seuls les produits, catégorie, stock, retour et reçu des enregistrements</v>
      </c>
    </row>
    <row r="232" spans="1:6" ht="15.75" customHeight="1" x14ac:dyDescent="0.25">
      <c r="A232" s="1" t="s">
        <v>451</v>
      </c>
      <c r="B232" s="1" t="s">
        <v>452</v>
      </c>
      <c r="C232" s="1" t="str">
        <f ca="1">IFERROR(__xludf.DUMMYFUNCTION("GOOGLETRANSLATE(B232,""en"",""ar"")"),"الأسهم والعودة فقط")</f>
        <v>الأسهم والعودة فقط</v>
      </c>
      <c r="D232" s="1" t="str">
        <f ca="1">IFERROR(__xludf.DUMMYFUNCTION("GOOGLETRANSLATE(B232,""en"",""zh-CN"")"),"只有股票和返回")</f>
        <v>只有股票和返回</v>
      </c>
      <c r="E232" s="1" t="str">
        <f ca="1">IFERROR(__xludf.DUMMYFUNCTION("GOOGLETRANSLATE(B232,""en"",""ja"")"),"在庫と帰りのみ")</f>
        <v>在庫と帰りのみ</v>
      </c>
      <c r="F232" s="1" t="str">
        <f ca="1">IFERROR(__xludf.DUMMYFUNCTION("GOOGLETRANSLATE(B232,""en"",""fr"")"),"Seulement des actions et de retour")</f>
        <v>Seulement des actions et de retour</v>
      </c>
    </row>
    <row r="233" spans="1:6" ht="15.75" customHeight="1" x14ac:dyDescent="0.25">
      <c r="A233" s="1" t="s">
        <v>453</v>
      </c>
      <c r="B233" s="1" t="s">
        <v>454</v>
      </c>
      <c r="C233" s="1" t="str">
        <f ca="1">IFERROR(__xludf.DUMMYFUNCTION("GOOGLETRANSLATE(B233,""en"",""ar"")"),"سبب جديد")</f>
        <v>سبب جديد</v>
      </c>
      <c r="D233" s="1" t="str">
        <f ca="1">IFERROR(__xludf.DUMMYFUNCTION("GOOGLETRANSLATE(B233,""en"",""zh-CN"")"),"新的原因")</f>
        <v>新的原因</v>
      </c>
      <c r="E233" s="1" t="str">
        <f ca="1">IFERROR(__xludf.DUMMYFUNCTION("GOOGLETRANSLATE(B233,""en"",""ja"")"),"新しい理由")</f>
        <v>新しい理由</v>
      </c>
      <c r="F233" s="1" t="str">
        <f ca="1">IFERROR(__xludf.DUMMYFUNCTION("GOOGLETRANSLATE(B233,""en"",""fr"")"),"Nouvelle raison")</f>
        <v>Nouvelle raison</v>
      </c>
    </row>
    <row r="234" spans="1:6" ht="15.75" customHeight="1" x14ac:dyDescent="0.25">
      <c r="A234" s="1" t="s">
        <v>455</v>
      </c>
      <c r="B234" s="1" t="s">
        <v>456</v>
      </c>
      <c r="C234" s="1" t="str">
        <f ca="1">IFERROR(__xludf.DUMMYFUNCTION("GOOGLETRANSLATE(B234,""en"",""ar"")"),"حذف السبب")</f>
        <v>حذف السبب</v>
      </c>
      <c r="D234" s="1" t="str">
        <f ca="1">IFERROR(__xludf.DUMMYFUNCTION("GOOGLETRANSLATE(B234,""en"",""zh-CN"")"),"删除原因")</f>
        <v>删除原因</v>
      </c>
      <c r="E234" s="1" t="str">
        <f ca="1">IFERROR(__xludf.DUMMYFUNCTION("GOOGLETRANSLATE(B234,""en"",""ja"")"),"理由を削除します")</f>
        <v>理由を削除します</v>
      </c>
      <c r="F234" s="1" t="str">
        <f ca="1">IFERROR(__xludf.DUMMYFUNCTION("GOOGLETRANSLATE(B234,""en"",""fr"")"),"Supprimer la raison")</f>
        <v>Supprimer la raison</v>
      </c>
    </row>
    <row r="235" spans="1:6" ht="15.75" customHeight="1" x14ac:dyDescent="0.25">
      <c r="A235" s="1" t="s">
        <v>457</v>
      </c>
      <c r="B235" s="1" t="s">
        <v>458</v>
      </c>
      <c r="C235" s="1" t="str">
        <f ca="1">IFERROR(__xludf.DUMMYFUNCTION("GOOGLETRANSLATE(B235,""en"",""ar"")"),"هل أنت متأكد أنك تريد حذف هذا السبب؟")</f>
        <v>هل أنت متأكد أنك تريد حذف هذا السبب؟</v>
      </c>
      <c r="D235" s="1" t="str">
        <f ca="1">IFERROR(__xludf.DUMMYFUNCTION("GOOGLETRANSLATE(B235,""en"",""zh-CN"")"),"您确定要删除此原因吗？")</f>
        <v>您确定要删除此原因吗？</v>
      </c>
      <c r="E235" s="1" t="str">
        <f ca="1">IFERROR(__xludf.DUMMYFUNCTION("GOOGLETRANSLATE(B235,""en"",""ja"")"),"この理由を削除してよろしいですか？")</f>
        <v>この理由を削除してよろしいですか？</v>
      </c>
      <c r="F235" s="1" t="str">
        <f ca="1">IFERROR(__xludf.DUMMYFUNCTION("GOOGLETRANSLATE(B235,""en"",""fr"")"),"Êtes-vous sûr de vouloir supprimer cette raison?")</f>
        <v>Êtes-vous sûr de vouloir supprimer cette raison?</v>
      </c>
    </row>
    <row r="236" spans="1:6" ht="15.75" customHeight="1" x14ac:dyDescent="0.25">
      <c r="A236" s="1" t="s">
        <v>459</v>
      </c>
      <c r="B236" s="1" t="s">
        <v>460</v>
      </c>
      <c r="C236" s="1" t="str">
        <f ca="1">IFERROR(__xludf.DUMMYFUNCTION("GOOGLETRANSLATE(B236,""en"",""ar"")"),"جرد")</f>
        <v>جرد</v>
      </c>
      <c r="D236" s="1" t="str">
        <f ca="1">IFERROR(__xludf.DUMMYFUNCTION("GOOGLETRANSLATE(B236,""en"",""zh-CN"")"),"存货")</f>
        <v>存货</v>
      </c>
      <c r="E236" s="1" t="str">
        <f ca="1">IFERROR(__xludf.DUMMYFUNCTION("GOOGLETRANSLATE(B236,""en"",""ja"")"),"在庫")</f>
        <v>在庫</v>
      </c>
      <c r="F236" s="1" t="str">
        <f ca="1">IFERROR(__xludf.DUMMYFUNCTION("GOOGLETRANSLATE(B236,""en"",""fr"")"),"Inventaire")</f>
        <v>Inventaire</v>
      </c>
    </row>
    <row r="237" spans="1:6" ht="15.75" customHeight="1" x14ac:dyDescent="0.25">
      <c r="A237" s="1" t="s">
        <v>461</v>
      </c>
      <c r="B237" s="1" t="s">
        <v>462</v>
      </c>
      <c r="C237" s="1" t="str">
        <f ca="1">IFERROR(__xludf.DUMMYFUNCTION("GOOGLETRANSLATE(B237,""en"",""ar"")"),"لا يسمح المسافات")</f>
        <v>لا يسمح المسافات</v>
      </c>
      <c r="D237" s="1" t="str">
        <f ca="1">IFERROR(__xludf.DUMMYFUNCTION("GOOGLETRANSLATE(B237,""en"",""zh-CN"")"),"不允许使用空间")</f>
        <v>不允许使用空间</v>
      </c>
      <c r="E237" s="1" t="str">
        <f ca="1">IFERROR(__xludf.DUMMYFUNCTION("GOOGLETRANSLATE(B237,""en"",""ja"")"),"スペースは許可されていません")</f>
        <v>スペースは許可されていません</v>
      </c>
      <c r="F237" s="1" t="str">
        <f ca="1">IFERROR(__xludf.DUMMYFUNCTION("GOOGLETRANSLATE(B237,""en"",""fr"")"),"Les espaces ne sont pas autorisés")</f>
        <v>Les espaces ne sont pas autorisés</v>
      </c>
    </row>
    <row r="238" spans="1:6" ht="15.75" customHeight="1" x14ac:dyDescent="0.25">
      <c r="A238" s="1" t="s">
        <v>463</v>
      </c>
      <c r="B238" s="1" t="s">
        <v>464</v>
      </c>
      <c r="C238" s="1" t="str">
        <f ca="1">IFERROR(__xludf.DUMMYFUNCTION("GOOGLETRANSLATE(B238,""en"",""ar"")"),"هاتف")</f>
        <v>هاتف</v>
      </c>
      <c r="D238" s="1" t="str">
        <f ca="1">IFERROR(__xludf.DUMMYFUNCTION("GOOGLETRANSLATE(B238,""en"",""zh-CN"")"),"电话")</f>
        <v>电话</v>
      </c>
      <c r="E238" s="1" t="str">
        <f ca="1">IFERROR(__xludf.DUMMYFUNCTION("GOOGLETRANSLATE(B238,""en"",""ja"")"),"電話")</f>
        <v>電話</v>
      </c>
      <c r="F238" s="1" t="str">
        <f ca="1">IFERROR(__xludf.DUMMYFUNCTION("GOOGLETRANSLATE(B238,""en"",""fr"")"),"Téléphoner")</f>
        <v>Téléphoner</v>
      </c>
    </row>
    <row r="239" spans="1:6" ht="15.75" customHeight="1" x14ac:dyDescent="0.25">
      <c r="A239" s="1" t="s">
        <v>465</v>
      </c>
      <c r="B239" s="1" t="s">
        <v>466</v>
      </c>
      <c r="C239" s="1" t="str">
        <f ca="1">IFERROR(__xludf.DUMMYFUNCTION("GOOGLETRANSLATE(B239,""en"",""ar"")"),"بريد الالكتروني")</f>
        <v>بريد الالكتروني</v>
      </c>
      <c r="D239" s="1" t="str">
        <f ca="1">IFERROR(__xludf.DUMMYFUNCTION("GOOGLETRANSLATE(B239,""en"",""zh-CN"")"),"电子邮件")</f>
        <v>电子邮件</v>
      </c>
      <c r="E239" s="1" t="str">
        <f ca="1">IFERROR(__xludf.DUMMYFUNCTION("GOOGLETRANSLATE(B239,""en"",""ja"")"),"Eメール")</f>
        <v>Eメール</v>
      </c>
      <c r="F239" s="1" t="str">
        <f ca="1">IFERROR(__xludf.DUMMYFUNCTION("GOOGLETRANSLATE(B239,""en"",""fr"")"),"E-mail")</f>
        <v>E-mail</v>
      </c>
    </row>
    <row r="240" spans="1:6" ht="15.75" customHeight="1" x14ac:dyDescent="0.25">
      <c r="A240" s="1" t="s">
        <v>467</v>
      </c>
      <c r="B240" s="1" t="s">
        <v>468</v>
      </c>
      <c r="C240" s="1" t="str">
        <f ca="1">IFERROR(__xludf.DUMMYFUNCTION("GOOGLETRANSLATE(B240,""en"",""ar"")"),"التعليق (اختياري)")</f>
        <v>التعليق (اختياري)</v>
      </c>
      <c r="D240" s="1" t="str">
        <f ca="1">IFERROR(__xludf.DUMMYFUNCTION("GOOGLETRANSLATE(B240,""en"",""zh-CN"")"),"评论（可选）")</f>
        <v>评论（可选）</v>
      </c>
      <c r="E240" s="1" t="str">
        <f ca="1">IFERROR(__xludf.DUMMYFUNCTION("GOOGLETRANSLATE(B240,""en"",""ja"")"),"コメント（オプション）")</f>
        <v>コメント（オプション）</v>
      </c>
      <c r="F240" s="1" t="str">
        <f ca="1">IFERROR(__xludf.DUMMYFUNCTION("GOOGLETRANSLATE(B240,""en"",""fr"")"),"Commentaire (facultatif)")</f>
        <v>Commentaire (facultatif)</v>
      </c>
    </row>
    <row r="241" spans="1:6" ht="15.75" customHeight="1" x14ac:dyDescent="0.25">
      <c r="A241" s="1" t="s">
        <v>469</v>
      </c>
      <c r="B241" s="1" t="s">
        <v>470</v>
      </c>
      <c r="C241" s="1" t="str">
        <f ca="1">IFERROR(__xludf.DUMMYFUNCTION("GOOGLETRANSLATE(B241,""en"",""ar"")"),"متصل")</f>
        <v>متصل</v>
      </c>
      <c r="D241" s="1" t="str">
        <f ca="1">IFERROR(__xludf.DUMMYFUNCTION("GOOGLETRANSLATE(B241,""en"",""zh-CN"")"),"在线的")</f>
        <v>在线的</v>
      </c>
      <c r="E241" s="1" t="str">
        <f ca="1">IFERROR(__xludf.DUMMYFUNCTION("GOOGLETRANSLATE(B241,""en"",""ja"")"),"オンライン")</f>
        <v>オンライン</v>
      </c>
      <c r="F241" s="1" t="str">
        <f ca="1">IFERROR(__xludf.DUMMYFUNCTION("GOOGLETRANSLATE(B241,""en"",""fr"")"),"En ligne")</f>
        <v>En ligne</v>
      </c>
    </row>
    <row r="242" spans="1:6" ht="15.75" customHeight="1" x14ac:dyDescent="0.25">
      <c r="A242" s="1" t="s">
        <v>471</v>
      </c>
      <c r="B242" s="1" t="s">
        <v>472</v>
      </c>
      <c r="C242" s="1" t="str">
        <f ca="1">IFERROR(__xludf.DUMMYFUNCTION("GOOGLETRANSLATE(B242,""en"",""ar"")"),"محلي")</f>
        <v>محلي</v>
      </c>
      <c r="D242" s="1" t="str">
        <f ca="1">IFERROR(__xludf.DUMMYFUNCTION("GOOGLETRANSLATE(B242,""en"",""zh-CN"")"),"当地的")</f>
        <v>当地的</v>
      </c>
      <c r="E242" s="1" t="str">
        <f ca="1">IFERROR(__xludf.DUMMYFUNCTION("GOOGLETRANSLATE(B242,""en"",""ja"")"),"ローカル")</f>
        <v>ローカル</v>
      </c>
      <c r="F242" s="1" t="str">
        <f ca="1">IFERROR(__xludf.DUMMYFUNCTION("GOOGLETRANSLATE(B242,""en"",""fr"")"),"Local")</f>
        <v>Local</v>
      </c>
    </row>
    <row r="243" spans="1:6" ht="15.75" customHeight="1" x14ac:dyDescent="0.25">
      <c r="A243" s="1" t="s">
        <v>473</v>
      </c>
      <c r="B243" s="1" t="s">
        <v>474</v>
      </c>
      <c r="C243" s="1" t="str">
        <f ca="1">IFERROR(__xludf.DUMMYFUNCTION("GOOGLETRANSLATE(B243,""en"",""ar"")"),"اختر صورة")</f>
        <v>اختر صورة</v>
      </c>
      <c r="D243" s="1" t="str">
        <f ca="1">IFERROR(__xludf.DUMMYFUNCTION("GOOGLETRANSLATE(B243,""en"",""zh-CN"")"),"选择映像")</f>
        <v>选择映像</v>
      </c>
      <c r="E243" s="1" t="str">
        <f ca="1">IFERROR(__xludf.DUMMYFUNCTION("GOOGLETRANSLATE(B243,""en"",""ja"")"),"画像を選択してください")</f>
        <v>画像を選択してください</v>
      </c>
      <c r="F243" s="1" t="str">
        <f ca="1">IFERROR(__xludf.DUMMYFUNCTION("GOOGLETRANSLATE(B243,""en"",""fr"")"),"Sélectionner l'image")</f>
        <v>Sélectionner l'image</v>
      </c>
    </row>
    <row r="244" spans="1:6" ht="15.75" customHeight="1" x14ac:dyDescent="0.25">
      <c r="A244" s="1" t="s">
        <v>475</v>
      </c>
      <c r="B244" s="1" t="s">
        <v>476</v>
      </c>
      <c r="C244" s="1" t="str">
        <f ca="1">IFERROR(__xludf.DUMMYFUNCTION("GOOGLETRANSLATE(B244,""en"",""ar"")"),"يلغي")</f>
        <v>يلغي</v>
      </c>
      <c r="D244" s="1" t="str">
        <f ca="1">IFERROR(__xludf.DUMMYFUNCTION("GOOGLETRANSLATE(B244,""en"",""zh-CN"")"),"取消")</f>
        <v>取消</v>
      </c>
      <c r="E244" s="1" t="str">
        <f ca="1">IFERROR(__xludf.DUMMYFUNCTION("GOOGLETRANSLATE(B244,""en"",""ja"")"),"キャンセル")</f>
        <v>キャンセル</v>
      </c>
      <c r="F244" s="1" t="str">
        <f ca="1">IFERROR(__xludf.DUMMYFUNCTION("GOOGLETRANSLATE(B244,""en"",""fr"")"),"Annuler")</f>
        <v>Annuler</v>
      </c>
    </row>
    <row r="245" spans="1:6" ht="15.75" customHeight="1" x14ac:dyDescent="0.25">
      <c r="A245" s="1" t="s">
        <v>477</v>
      </c>
      <c r="B245" s="1" t="s">
        <v>478</v>
      </c>
      <c r="C245" s="1" t="str">
        <f ca="1">IFERROR(__xludf.DUMMYFUNCTION("GOOGLETRANSLATE(B245,""en"",""ar"")"),"تنسيق ملف غير صالح")</f>
        <v>تنسيق ملف غير صالح</v>
      </c>
      <c r="D245" s="1" t="str">
        <f ca="1">IFERROR(__xludf.DUMMYFUNCTION("GOOGLETRANSLATE(B245,""en"",""zh-CN"")"),"文件格式无效")</f>
        <v>文件格式无效</v>
      </c>
      <c r="E245" s="1" t="str">
        <f ca="1">IFERROR(__xludf.DUMMYFUNCTION("GOOGLETRANSLATE(B245,""en"",""ja"")"),"無効なファイルフォーマット")</f>
        <v>無効なファイルフォーマット</v>
      </c>
      <c r="F245" s="1" t="str">
        <f ca="1">IFERROR(__xludf.DUMMYFUNCTION("GOOGLETRANSLATE(B245,""en"",""fr"")"),"Format de fichier non valide")</f>
        <v>Format de fichier non valide</v>
      </c>
    </row>
    <row r="246" spans="1:6" ht="15.75" customHeight="1" x14ac:dyDescent="0.25">
      <c r="A246" s="1" t="s">
        <v>479</v>
      </c>
      <c r="B246" s="1" t="s">
        <v>480</v>
      </c>
      <c r="C246" s="1" t="str">
        <f ca="1">IFERROR(__xludf.DUMMYFUNCTION("GOOGLETRANSLATE(B246,""en"",""ar"")"),"خطأ في الإتصال")</f>
        <v>خطأ في الإتصال</v>
      </c>
      <c r="D246" s="1" t="str">
        <f ca="1">IFERROR(__xludf.DUMMYFUNCTION("GOOGLETRANSLATE(B246,""en"",""zh-CN"")"),"连接错误")</f>
        <v>连接错误</v>
      </c>
      <c r="E246" s="1" t="str">
        <f ca="1">IFERROR(__xludf.DUMMYFUNCTION("GOOGLETRANSLATE(B246,""en"",""ja"")"),"接続エラー")</f>
        <v>接続エラー</v>
      </c>
      <c r="F246" s="1" t="str">
        <f ca="1">IFERROR(__xludf.DUMMYFUNCTION("GOOGLETRANSLATE(B246,""en"",""fr"")"),"Erreur de connexion")</f>
        <v>Erreur de connexion</v>
      </c>
    </row>
    <row r="247" spans="1:6" ht="15.75" customHeight="1" x14ac:dyDescent="0.25">
      <c r="A247" s="1" t="s">
        <v>481</v>
      </c>
      <c r="B247" s="1" t="s">
        <v>482</v>
      </c>
      <c r="C247" s="1" t="str">
        <f ca="1">IFERROR(__xludf.DUMMYFUNCTION("GOOGLETRANSLATE(B247,""en"",""ar"")"),"*الاسم التجاري")</f>
        <v>*الاسم التجاري</v>
      </c>
      <c r="D247" s="1" t="str">
        <f ca="1">IFERROR(__xludf.DUMMYFUNCTION("GOOGLETRANSLATE(B247,""en"",""zh-CN"")"),"*商业名称")</f>
        <v>*商业名称</v>
      </c>
      <c r="E247" s="1" t="str">
        <f ca="1">IFERROR(__xludf.DUMMYFUNCTION("GOOGLETRANSLATE(B247,""en"",""ja"")"),"*商号")</f>
        <v>*商号</v>
      </c>
      <c r="F247" s="1" t="str">
        <f ca="1">IFERROR(__xludf.DUMMYFUNCTION("GOOGLETRANSLATE(B247,""en"",""fr"")"),"* Nom d'entreprise")</f>
        <v>* Nom d'entreprise</v>
      </c>
    </row>
    <row r="248" spans="1:6" ht="15.75" customHeight="1" x14ac:dyDescent="0.25">
      <c r="A248" s="1" t="s">
        <v>483</v>
      </c>
      <c r="B248" s="1" t="s">
        <v>484</v>
      </c>
      <c r="C248" s="1" t="str">
        <f ca="1">IFERROR(__xludf.DUMMYFUNCTION("GOOGLETRANSLATE(B248,""en"",""ar"")"),"معلومات عامة")</f>
        <v>معلومات عامة</v>
      </c>
      <c r="D248" s="1" t="str">
        <f ca="1">IFERROR(__xludf.DUMMYFUNCTION("GOOGLETRANSLATE(B248,""en"",""zh-CN"")"),"一般信息")</f>
        <v>一般信息</v>
      </c>
      <c r="E248" s="1" t="str">
        <f ca="1">IFERROR(__xludf.DUMMYFUNCTION("GOOGLETRANSLATE(B248,""en"",""ja"")"),"一般情報")</f>
        <v>一般情報</v>
      </c>
      <c r="F248" s="1" t="str">
        <f ca="1">IFERROR(__xludf.DUMMYFUNCTION("GOOGLETRANSLATE(B248,""en"",""fr"")"),"INFORMATIONS GÉNÉRALES")</f>
        <v>INFORMATIONS GÉNÉRALES</v>
      </c>
    </row>
    <row r="249" spans="1:6" ht="15.75" customHeight="1" x14ac:dyDescent="0.25">
      <c r="A249" s="1" t="s">
        <v>485</v>
      </c>
      <c r="B249" s="1" t="s">
        <v>486</v>
      </c>
      <c r="C249" s="1" t="str">
        <f ca="1">IFERROR(__xludf.DUMMYFUNCTION("GOOGLETRANSLATE(B249,""en"",""ar"")"),"هاتف العمل")</f>
        <v>هاتف العمل</v>
      </c>
      <c r="D249" s="1" t="str">
        <f ca="1">IFERROR(__xludf.DUMMYFUNCTION("GOOGLETRANSLATE(B249,""en"",""zh-CN"")"),"商务手机")</f>
        <v>商务手机</v>
      </c>
      <c r="E249" s="1" t="str">
        <f ca="1">IFERROR(__xludf.DUMMYFUNCTION("GOOGLETRANSLATE(B249,""en"",""ja"")"),"ビジネス用電話機")</f>
        <v>ビジネス用電話機</v>
      </c>
      <c r="F249" s="1" t="str">
        <f ca="1">IFERROR(__xludf.DUMMYFUNCTION("GOOGLETRANSLATE(B249,""en"",""fr"")"),"Téléphone de travail")</f>
        <v>Téléphone de travail</v>
      </c>
    </row>
    <row r="250" spans="1:6" ht="15.75" customHeight="1" x14ac:dyDescent="0.25">
      <c r="A250" s="1" t="s">
        <v>487</v>
      </c>
      <c r="B250" s="1" t="s">
        <v>466</v>
      </c>
      <c r="C250" s="1" t="str">
        <f ca="1">IFERROR(__xludf.DUMMYFUNCTION("GOOGLETRANSLATE(B250,""en"",""ar"")"),"بريد الالكتروني")</f>
        <v>بريد الالكتروني</v>
      </c>
      <c r="D250" s="1" t="str">
        <f ca="1">IFERROR(__xludf.DUMMYFUNCTION("GOOGLETRANSLATE(B250,""en"",""zh-CN"")"),"电子邮件")</f>
        <v>电子邮件</v>
      </c>
      <c r="E250" s="1" t="str">
        <f ca="1">IFERROR(__xludf.DUMMYFUNCTION("GOOGLETRANSLATE(B250,""en"",""ja"")"),"Eメール")</f>
        <v>Eメール</v>
      </c>
      <c r="F250" s="1" t="str">
        <f ca="1">IFERROR(__xludf.DUMMYFUNCTION("GOOGLETRANSLATE(B250,""en"",""fr"")"),"E-mail")</f>
        <v>E-mail</v>
      </c>
    </row>
    <row r="251" spans="1:6" ht="15.75" customHeight="1" x14ac:dyDescent="0.25">
      <c r="A251" s="1" t="s">
        <v>488</v>
      </c>
      <c r="B251" s="1" t="s">
        <v>489</v>
      </c>
      <c r="C251" s="1" t="str">
        <f ca="1">IFERROR(__xludf.DUMMYFUNCTION("GOOGLETRANSLATE(B251,""en"",""ar"")"),"بريد العمل")</f>
        <v>بريد العمل</v>
      </c>
      <c r="D251" s="1" t="str">
        <f ca="1">IFERROR(__xludf.DUMMYFUNCTION("GOOGLETRANSLATE(B251,""en"",""zh-CN"")"),"商业电子邮件")</f>
        <v>商业电子邮件</v>
      </c>
      <c r="E251" s="1" t="str">
        <f ca="1">IFERROR(__xludf.DUMMYFUNCTION("GOOGLETRANSLATE(B251,""en"",""ja"")"),"ビジネスメール")</f>
        <v>ビジネスメール</v>
      </c>
      <c r="F251" s="1" t="str">
        <f ca="1">IFERROR(__xludf.DUMMYFUNCTION("GOOGLETRANSLATE(B251,""en"",""fr"")"),"Email professionnel")</f>
        <v>Email professionnel</v>
      </c>
    </row>
    <row r="252" spans="1:6" ht="15.75" customHeight="1" x14ac:dyDescent="0.25">
      <c r="A252" s="1" t="s">
        <v>490</v>
      </c>
      <c r="B252" s="1" t="s">
        <v>491</v>
      </c>
      <c r="C252" s="1" t="str">
        <f ca="1">IFERROR(__xludf.DUMMYFUNCTION("GOOGLETRANSLATE(B252,""en"",""ar"")"),"*عنوان العمل")</f>
        <v>*عنوان العمل</v>
      </c>
      <c r="D252" s="1" t="str">
        <f ca="1">IFERROR(__xludf.DUMMYFUNCTION("GOOGLETRANSLATE(B252,""en"",""zh-CN"")"),"*商业地址")</f>
        <v>*商业地址</v>
      </c>
      <c r="E252" s="1" t="str">
        <f ca="1">IFERROR(__xludf.DUMMYFUNCTION("GOOGLETRANSLATE(B252,""en"",""ja"")"),"*職場の住所")</f>
        <v>*職場の住所</v>
      </c>
      <c r="F252" s="1" t="str">
        <f ca="1">IFERROR(__xludf.DUMMYFUNCTION("GOOGLETRANSLATE(B252,""en"",""fr"")"),"*Adresse d'affaires")</f>
        <v>*Adresse d'affaires</v>
      </c>
    </row>
    <row r="253" spans="1:6" ht="15.75" customHeight="1" x14ac:dyDescent="0.25">
      <c r="A253" s="1" t="s">
        <v>492</v>
      </c>
      <c r="B253" s="1" t="s">
        <v>493</v>
      </c>
      <c r="C253" s="1" t="str">
        <f ca="1">IFERROR(__xludf.DUMMYFUNCTION("GOOGLETRANSLATE(B253,""en"",""ar"")"),"*مدينة")</f>
        <v>*مدينة</v>
      </c>
      <c r="D253" s="1" t="str">
        <f ca="1">IFERROR(__xludf.DUMMYFUNCTION("GOOGLETRANSLATE(B253,""en"",""zh-CN"")"),"*城市")</f>
        <v>*城市</v>
      </c>
      <c r="E253" s="1" t="str">
        <f ca="1">IFERROR(__xludf.DUMMYFUNCTION("GOOGLETRANSLATE(B253,""en"",""ja"")"),"*市")</f>
        <v>*市</v>
      </c>
      <c r="F253" s="1" t="str">
        <f ca="1">IFERROR(__xludf.DUMMYFUNCTION("GOOGLETRANSLATE(B253,""en"",""fr"")"),"*Ville")</f>
        <v>*Ville</v>
      </c>
    </row>
    <row r="254" spans="1:6" ht="15.75" customHeight="1" x14ac:dyDescent="0.25">
      <c r="A254" s="1" t="s">
        <v>494</v>
      </c>
      <c r="B254" s="1" t="s">
        <v>495</v>
      </c>
      <c r="C254" s="1" t="str">
        <f ca="1">IFERROR(__xludf.DUMMYFUNCTION("GOOGLETRANSLATE(B254,""en"",""ar"")"),"عملة")</f>
        <v>عملة</v>
      </c>
      <c r="D254" s="1" t="str">
        <f ca="1">IFERROR(__xludf.DUMMYFUNCTION("GOOGLETRANSLATE(B254,""en"",""zh-CN"")"),"货币")</f>
        <v>货币</v>
      </c>
      <c r="E254" s="1" t="str">
        <f ca="1">IFERROR(__xludf.DUMMYFUNCTION("GOOGLETRANSLATE(B254,""en"",""ja"")"),"通貨")</f>
        <v>通貨</v>
      </c>
      <c r="F254" s="1" t="str">
        <f ca="1">IFERROR(__xludf.DUMMYFUNCTION("GOOGLETRANSLATE(B254,""en"",""fr"")"),"Devise")</f>
        <v>Devise</v>
      </c>
    </row>
    <row r="255" spans="1:6" ht="15.75" customHeight="1" x14ac:dyDescent="0.25">
      <c r="A255" s="1" t="s">
        <v>496</v>
      </c>
      <c r="B255" s="1" t="s">
        <v>497</v>
      </c>
      <c r="C255" s="1" t="str">
        <f ca="1">IFERROR(__xludf.DUMMYFUNCTION("GOOGLETRANSLATE(B255,""en"",""ar"")"),"رسالة تذييل الفاتورة (اختياري)")</f>
        <v>رسالة تذييل الفاتورة (اختياري)</v>
      </c>
      <c r="D255" s="1" t="str">
        <f ca="1">IFERROR(__xludf.DUMMYFUNCTION("GOOGLETRANSLATE(B255,""en"",""zh-CN"")"),"发票页脚消息（可选）")</f>
        <v>发票页脚消息（可选）</v>
      </c>
      <c r="E255" s="1" t="str">
        <f ca="1">IFERROR(__xludf.DUMMYFUNCTION("GOOGLETRANSLATE(B255,""en"",""ja"")"),"請求書フッターメッセージ（オプション）")</f>
        <v>請求書フッターメッセージ（オプション）</v>
      </c>
      <c r="F255" s="1" t="str">
        <f ca="1">IFERROR(__xludf.DUMMYFUNCTION("GOOGLETRANSLATE(B255,""en"",""fr"")"),"Pied de page de facture (facultatif)")</f>
        <v>Pied de page de facture (facultatif)</v>
      </c>
    </row>
    <row r="256" spans="1:6" ht="15.75" customHeight="1" x14ac:dyDescent="0.25">
      <c r="A256" s="1" t="s">
        <v>498</v>
      </c>
      <c r="B256" s="1" t="s">
        <v>499</v>
      </c>
      <c r="C256" s="1" t="str">
        <f ca="1">IFERROR(__xludf.DUMMYFUNCTION("GOOGLETRANSLATE(B256,""en"",""ar"")"),"وضع الفندق")</f>
        <v>وضع الفندق</v>
      </c>
      <c r="D256" s="1" t="str">
        <f ca="1">IFERROR(__xludf.DUMMYFUNCTION("GOOGLETRANSLATE(B256,""en"",""zh-CN"")"),"酒店模式")</f>
        <v>酒店模式</v>
      </c>
      <c r="E256" s="1" t="str">
        <f ca="1">IFERROR(__xludf.DUMMYFUNCTION("GOOGLETRANSLATE(B256,""en"",""ja"")"),"ホテルモード")</f>
        <v>ホテルモード</v>
      </c>
      <c r="F256" s="1" t="str">
        <f ca="1">IFERROR(__xludf.DUMMYFUNCTION("GOOGLETRANSLATE(B256,""en"",""fr"")"),"Mode hôtelier")</f>
        <v>Mode hôtelier</v>
      </c>
    </row>
    <row r="257" spans="1:6" ht="15.75" customHeight="1" x14ac:dyDescent="0.25">
      <c r="A257" s="1" t="s">
        <v>500</v>
      </c>
      <c r="B257" s="1" t="s">
        <v>501</v>
      </c>
      <c r="C257" s="1" t="str">
        <f ca="1">IFERROR(__xludf.DUMMYFUNCTION("GOOGLETRANSLATE(B257,""en"",""ar"")"),"مساحة لتوقيع العملاء على الإيصالات")</f>
        <v>مساحة لتوقيع العملاء على الإيصالات</v>
      </c>
      <c r="D257" s="1" t="str">
        <f ca="1">IFERROR(__xludf.DUMMYFUNCTION("GOOGLETRANSLATE(B257,""en"",""zh-CN"")"),"收据上客户签名的空间")</f>
        <v>收据上客户签名的空间</v>
      </c>
      <c r="E257" s="1" t="str">
        <f ca="1">IFERROR(__xludf.DUMMYFUNCTION("GOOGLETRANSLATE(B257,""en"",""ja"")"),"領収書の顧客署名のためのスペース")</f>
        <v>領収書の顧客署名のためのスペース</v>
      </c>
      <c r="F257" s="1" t="str">
        <f ca="1">IFERROR(__xludf.DUMMYFUNCTION("GOOGLETRANSLATE(B257,""en"",""fr"")"),"Espace pour la signature du client sur les recettes")</f>
        <v>Espace pour la signature du client sur les recettes</v>
      </c>
    </row>
    <row r="258" spans="1:6" ht="15.75" customHeight="1" x14ac:dyDescent="0.25">
      <c r="A258" s="1" t="s">
        <v>502</v>
      </c>
      <c r="B258" s="1" t="s">
        <v>503</v>
      </c>
      <c r="C258" s="1" t="str">
        <f ca="1">IFERROR(__xludf.DUMMYFUNCTION("GOOGLETRANSLATE(B258,""en"",""ar"")"),"إعداد البرامج")</f>
        <v>إعداد البرامج</v>
      </c>
      <c r="D258" s="1" t="str">
        <f ca="1">IFERROR(__xludf.DUMMYFUNCTION("GOOGLETRANSLATE(B258,""en"",""zh-CN"")"),"软件设置")</f>
        <v>软件设置</v>
      </c>
      <c r="E258" s="1" t="str">
        <f ca="1">IFERROR(__xludf.DUMMYFUNCTION("GOOGLETRANSLATE(B258,""en"",""ja"")"),"ソフトウェアの設定")</f>
        <v>ソフトウェアの設定</v>
      </c>
      <c r="F258" s="1" t="str">
        <f ca="1">IFERROR(__xludf.DUMMYFUNCTION("GOOGLETRANSLATE(B258,""en"",""fr"")"),"Configuration du logiciel")</f>
        <v>Configuration du logiciel</v>
      </c>
    </row>
    <row r="259" spans="1:6" ht="15.75" customHeight="1" x14ac:dyDescent="0.25">
      <c r="A259" s="1" t="s">
        <v>504</v>
      </c>
      <c r="B259" s="1" t="s">
        <v>505</v>
      </c>
      <c r="C259" s="1" t="str">
        <f ca="1">IFERROR(__xludf.DUMMYFUNCTION("GOOGLETRANSLATE(B259,""en"",""ar"")"),"الشعار على الإيصال")</f>
        <v>الشعار على الإيصال</v>
      </c>
      <c r="D259" s="1" t="str">
        <f ca="1">IFERROR(__xludf.DUMMYFUNCTION("GOOGLETRANSLATE(B259,""en"",""zh-CN"")"),"收据上的徽标")</f>
        <v>收据上的徽标</v>
      </c>
      <c r="E259" s="1" t="str">
        <f ca="1">IFERROR(__xludf.DUMMYFUNCTION("GOOGLETRANSLATE(B259,""en"",""ja"")"),"領収書にロゴ")</f>
        <v>領収書にロゴ</v>
      </c>
      <c r="F259" s="1" t="str">
        <f ca="1">IFERROR(__xludf.DUMMYFUNCTION("GOOGLETRANSLATE(B259,""en"",""fr"")"),"Logo sur le reçu")</f>
        <v>Logo sur le reçu</v>
      </c>
    </row>
    <row r="260" spans="1:6" ht="15.75" customHeight="1" x14ac:dyDescent="0.25">
      <c r="A260" s="1" t="s">
        <v>506</v>
      </c>
      <c r="B260" s="1" t="s">
        <v>507</v>
      </c>
      <c r="C260" s="1" t="str">
        <f ca="1">IFERROR(__xludf.DUMMYFUNCTION("GOOGLETRANSLATE(B260,""en"",""ar"")"),"ربط درج النقود مع الطابعة")</f>
        <v>ربط درج النقود مع الطابعة</v>
      </c>
      <c r="D260" s="1" t="str">
        <f ca="1">IFERROR(__xludf.DUMMYFUNCTION("GOOGLETRANSLATE(B260,""en"",""zh-CN"")"),"用打印机连接现金抽屉")</f>
        <v>用打印机连接现金抽屉</v>
      </c>
      <c r="E260" s="1" t="str">
        <f ca="1">IFERROR(__xludf.DUMMYFUNCTION("GOOGLETRANSLATE(B260,""en"",""ja"")"),"キャッシュドロワーをプリンタと接続します")</f>
        <v>キャッシュドロワーをプリンタと接続します</v>
      </c>
      <c r="F260" s="1" t="str">
        <f ca="1">IFERROR(__xludf.DUMMYFUNCTION("GOOGLETRANSLATE(B260,""en"",""fr"")"),"Connectez le tiroir caisse avec une imprimante")</f>
        <v>Connectez le tiroir caisse avec une imprimante</v>
      </c>
    </row>
    <row r="261" spans="1:6" ht="15.75" customHeight="1" x14ac:dyDescent="0.25">
      <c r="A261" s="1" t="s">
        <v>508</v>
      </c>
      <c r="B261" s="1" t="s">
        <v>509</v>
      </c>
      <c r="C261" s="1" t="str">
        <f ca="1">IFERROR(__xludf.DUMMYFUNCTION("GOOGLETRANSLATE(B261,""en"",""ar"")"),"وحدة القياس")</f>
        <v>وحدة القياس</v>
      </c>
      <c r="D261" s="1" t="str">
        <f ca="1">IFERROR(__xludf.DUMMYFUNCTION("GOOGLETRANSLATE(B261,""en"",""zh-CN"")"),"单位测量")</f>
        <v>单位测量</v>
      </c>
      <c r="E261" s="1" t="str">
        <f ca="1">IFERROR(__xludf.DUMMYFUNCTION("GOOGLETRANSLATE(B261,""en"",""ja"")"),"ユニット測定")</f>
        <v>ユニット測定</v>
      </c>
      <c r="F261" s="1" t="str">
        <f ca="1">IFERROR(__xludf.DUMMYFUNCTION("GOOGLETRANSLATE(B261,""en"",""fr"")"),"Mesure de l'unité")</f>
        <v>Mesure de l'unité</v>
      </c>
    </row>
    <row r="262" spans="1:6" ht="15.75" customHeight="1" x14ac:dyDescent="0.25">
      <c r="A262" s="1" t="s">
        <v>510</v>
      </c>
      <c r="B262" s="1" t="s">
        <v>511</v>
      </c>
      <c r="C262" s="1" t="str">
        <f ca="1">IFERROR(__xludf.DUMMYFUNCTION("GOOGLETRANSLATE(B262,""en"",""ar"")"),"عرض بني")</f>
        <v>عرض بني</v>
      </c>
      <c r="D262" s="1" t="str">
        <f ca="1">IFERROR(__xludf.DUMMYFUNCTION("GOOGLETRANSLATE(B262,""en"",""zh-CN"")"),"查看者")</f>
        <v>查看者</v>
      </c>
      <c r="E262" s="1" t="str">
        <f ca="1">IFERROR(__xludf.DUMMYFUNCTION("GOOGLETRANSLATE(B262,""en"",""ja"")"),"見る者")</f>
        <v>見る者</v>
      </c>
      <c r="F262" s="1" t="str">
        <f ca="1">IFERROR(__xludf.DUMMYFUNCTION("GOOGLETRANSLATE(B262,""en"",""fr"")"),"Vu par")</f>
        <v>Vu par</v>
      </c>
    </row>
    <row r="263" spans="1:6" ht="15.75" customHeight="1" x14ac:dyDescent="0.25">
      <c r="A263" s="1" t="s">
        <v>512</v>
      </c>
      <c r="B263" s="1" t="s">
        <v>513</v>
      </c>
      <c r="C263" s="1" t="str">
        <f ca="1">IFERROR(__xludf.DUMMYFUNCTION("GOOGLETRANSLATE(B263,""en"",""ar"")"),"إيصالات طباعة مع")</f>
        <v>إيصالات طباعة مع</v>
      </c>
      <c r="D263" s="1" t="str">
        <f ca="1">IFERROR(__xludf.DUMMYFUNCTION("GOOGLETRANSLATE(B263,""en"",""zh-CN"")"),"收据打印")</f>
        <v>收据打印</v>
      </c>
      <c r="E263" s="1" t="str">
        <f ca="1">IFERROR(__xludf.DUMMYFUNCTION("GOOGLETRANSLATE(B263,""en"",""ja"")"),"領収書印刷")</f>
        <v>領収書印刷</v>
      </c>
      <c r="F263" s="1" t="str">
        <f ca="1">IFERROR(__xludf.DUMMYFUNCTION("GOOGLETRANSLATE(B263,""en"",""fr"")"),"Recettes imprimées avec")</f>
        <v>Recettes imprimées avec</v>
      </c>
    </row>
    <row r="264" spans="1:6" ht="15.75" customHeight="1" x14ac:dyDescent="0.25">
      <c r="A264" s="1" t="s">
        <v>514</v>
      </c>
      <c r="B264" s="1" t="s">
        <v>515</v>
      </c>
      <c r="C264" s="1" t="str">
        <f ca="1">IFERROR(__xludf.DUMMYFUNCTION("GOOGLETRANSLATE(B264,""en"",""ar"")"),"قائمة إضافية في واجهة الفواتير")</f>
        <v>قائمة إضافية في واجهة الفواتير</v>
      </c>
      <c r="D264" s="1" t="str">
        <f ca="1">IFERROR(__xludf.DUMMYFUNCTION("GOOGLETRANSLATE(B264,""en"",""zh-CN"")"),"计费界面中的额外菜单")</f>
        <v>计费界面中的额外菜单</v>
      </c>
      <c r="E264" s="1" t="str">
        <f ca="1">IFERROR(__xludf.DUMMYFUNCTION("GOOGLETRANSLATE(B264,""en"",""ja"")"),"請求インターフェースの追加メニュー")</f>
        <v>請求インターフェースの追加メニュー</v>
      </c>
      <c r="F264" s="1" t="str">
        <f ca="1">IFERROR(__xludf.DUMMYFUNCTION("GOOGLETRANSLATE(B264,""en"",""fr"")"),"Menu supplémentaire dans l'interface de facturation")</f>
        <v>Menu supplémentaire dans l'interface de facturation</v>
      </c>
    </row>
    <row r="265" spans="1:6" ht="15.75" customHeight="1" x14ac:dyDescent="0.25">
      <c r="A265" s="1" t="s">
        <v>516</v>
      </c>
      <c r="B265" s="1" t="s">
        <v>517</v>
      </c>
      <c r="C265" s="1" t="str">
        <f ca="1">IFERROR(__xludf.DUMMYFUNCTION("GOOGLETRANSLATE(B265,""en"",""ar"")"),"بيل")</f>
        <v>بيل</v>
      </c>
      <c r="D265" s="1" t="str">
        <f ca="1">IFERROR(__xludf.DUMMYFUNCTION("GOOGLETRANSLATE(B265,""en"",""zh-CN"")"),"寄票据")</f>
        <v>寄票据</v>
      </c>
      <c r="E265" s="1" t="str">
        <f ca="1">IFERROR(__xludf.DUMMYFUNCTION("GOOGLETRANSLATE(B265,""en"",""ja"")"),"プリルビル")</f>
        <v>プリルビル</v>
      </c>
      <c r="F265" s="1" t="str">
        <f ca="1">IFERROR(__xludf.DUMMYFUNCTION("GOOGLETRANSLATE(B265,""en"",""fr"")"),"Pré-facture")</f>
        <v>Pré-facture</v>
      </c>
    </row>
    <row r="266" spans="1:6" ht="15.75" customHeight="1" x14ac:dyDescent="0.25">
      <c r="A266" s="1" t="s">
        <v>518</v>
      </c>
      <c r="B266" s="1" t="s">
        <v>519</v>
      </c>
      <c r="C266" s="1" t="str">
        <f ca="1">IFERROR(__xludf.DUMMYFUNCTION("GOOGLETRANSLATE(B266,""en"",""ar"")"),"أضف الأسهم سريعة")</f>
        <v>أضف الأسهم سريعة</v>
      </c>
      <c r="D266" s="1" t="str">
        <f ca="1">IFERROR(__xludf.DUMMYFUNCTION("GOOGLETRANSLATE(B266,""en"",""zh-CN"")"),"加快股票")</f>
        <v>加快股票</v>
      </c>
      <c r="E266" s="1" t="str">
        <f ca="1">IFERROR(__xludf.DUMMYFUNCTION("GOOGLETRANSLATE(B266,""en"",""ja"")"),"クイックストックを追加します")</f>
        <v>クイックストックを追加します</v>
      </c>
      <c r="F266" s="1" t="str">
        <f ca="1">IFERROR(__xludf.DUMMYFUNCTION("GOOGLETRANSLATE(B266,""en"",""fr"")"),"Ajouter un stock rapide")</f>
        <v>Ajouter un stock rapide</v>
      </c>
    </row>
    <row r="267" spans="1:6" ht="15.75" customHeight="1" x14ac:dyDescent="0.25">
      <c r="A267" s="1" t="s">
        <v>520</v>
      </c>
      <c r="B267" s="1" t="s">
        <v>521</v>
      </c>
      <c r="C267" s="1" t="str">
        <f ca="1">IFERROR(__xludf.DUMMYFUNCTION("GOOGLETRANSLATE(B267,""en"",""ar"")"),"الباركود الداخلي")</f>
        <v>الباركود الداخلي</v>
      </c>
      <c r="D267" s="1" t="str">
        <f ca="1">IFERROR(__xludf.DUMMYFUNCTION("GOOGLETRANSLATE(B267,""en"",""zh-CN"")"),"内部条形码")</f>
        <v>内部条形码</v>
      </c>
      <c r="E267" s="1" t="str">
        <f ca="1">IFERROR(__xludf.DUMMYFUNCTION("GOOGLETRANSLATE(B267,""en"",""ja"")"),"内部バーコード")</f>
        <v>内部バーコード</v>
      </c>
      <c r="F267" s="1" t="str">
        <f ca="1">IFERROR(__xludf.DUMMYFUNCTION("GOOGLETRANSLATE(B267,""en"",""fr"")"),"Code à barres interne")</f>
        <v>Code à barres interne</v>
      </c>
    </row>
    <row r="268" spans="1:6" ht="15.75" customHeight="1" x14ac:dyDescent="0.25">
      <c r="A268" s="1" t="s">
        <v>522</v>
      </c>
      <c r="B268" s="1" t="s">
        <v>523</v>
      </c>
      <c r="C268" s="1" t="str">
        <f ca="1">IFERROR(__xludf.DUMMYFUNCTION("GOOGLETRANSLATE(B268,""en"",""ar"")"),"معاملات الدرج النقدية")</f>
        <v>معاملات الدرج النقدية</v>
      </c>
      <c r="D268" s="1" t="str">
        <f ca="1">IFERROR(__xludf.DUMMYFUNCTION("GOOGLETRANSLATE(B268,""en"",""zh-CN"")"),"现金抽屉交易")</f>
        <v>现金抽屉交易</v>
      </c>
      <c r="E268" s="1" t="str">
        <f ca="1">IFERROR(__xludf.DUMMYFUNCTION("GOOGLETRANSLATE(B268,""en"",""ja"")"),"キャッシュドローン取引")</f>
        <v>キャッシュドローン取引</v>
      </c>
      <c r="F268" s="1" t="str">
        <f ca="1">IFERROR(__xludf.DUMMYFUNCTION("GOOGLETRANSLATE(B268,""en"",""fr"")"),"Transactions de tiroir")</f>
        <v>Transactions de tiroir</v>
      </c>
    </row>
    <row r="269" spans="1:6" ht="15.75" customHeight="1" x14ac:dyDescent="0.25">
      <c r="A269" s="1" t="s">
        <v>524</v>
      </c>
      <c r="B269" s="1" t="s">
        <v>525</v>
      </c>
      <c r="C269" s="1" t="str">
        <f ca="1">IFERROR(__xludf.DUMMYFUNCTION("GOOGLETRANSLATE(B269,""en"",""ar"")"),"عرض خيارات الدفع في واجهة الفواتير")</f>
        <v>عرض خيارات الدفع في واجهة الفواتير</v>
      </c>
      <c r="D269" s="1" t="str">
        <f ca="1">IFERROR(__xludf.DUMMYFUNCTION("GOOGLETRANSLATE(B269,""en"",""zh-CN"")"),"付款选项显示在结算界面中")</f>
        <v>付款选项显示在结算界面中</v>
      </c>
      <c r="E269" s="1" t="str">
        <f ca="1">IFERROR(__xludf.DUMMYFUNCTION("GOOGLETRANSLATE(B269,""en"",""ja"")"),"請求オプション請求インターフェースに表示されます")</f>
        <v>請求オプション請求インターフェースに表示されます</v>
      </c>
      <c r="F269" s="1" t="str">
        <f ca="1">IFERROR(__xludf.DUMMYFUNCTION("GOOGLETRANSLATE(B269,""en"",""fr"")"),"Options de paiement Affichage dans l'interface de facturation")</f>
        <v>Options de paiement Affichage dans l'interface de facturation</v>
      </c>
    </row>
    <row r="270" spans="1:6" ht="15.75" customHeight="1" x14ac:dyDescent="0.25">
      <c r="A270" s="1" t="s">
        <v>526</v>
      </c>
      <c r="B270" s="1" t="s">
        <v>527</v>
      </c>
      <c r="C270" s="1" t="str">
        <f ca="1">IFERROR(__xludf.DUMMYFUNCTION("GOOGLETRANSLATE(B270,""en"",""ar"")"),"نقدي")</f>
        <v>نقدي</v>
      </c>
      <c r="D270" s="1" t="str">
        <f ca="1">IFERROR(__xludf.DUMMYFUNCTION("GOOGLETRANSLATE(B270,""en"",""zh-CN"")"),"现金")</f>
        <v>现金</v>
      </c>
      <c r="E270" s="1" t="str">
        <f ca="1">IFERROR(__xludf.DUMMYFUNCTION("GOOGLETRANSLATE(B270,""en"",""ja"")"),"現金")</f>
        <v>現金</v>
      </c>
      <c r="F270" s="1" t="str">
        <f ca="1">IFERROR(__xludf.DUMMYFUNCTION("GOOGLETRANSLATE(B270,""en"",""fr"")"),"En espèces")</f>
        <v>En espèces</v>
      </c>
    </row>
    <row r="271" spans="1:6" ht="15.75" customHeight="1" x14ac:dyDescent="0.25">
      <c r="A271" s="1" t="s">
        <v>528</v>
      </c>
      <c r="B271" s="1" t="s">
        <v>529</v>
      </c>
      <c r="C271" s="1" t="str">
        <f ca="1">IFERROR(__xludf.DUMMYFUNCTION("GOOGLETRANSLATE(B271,""en"",""ar"")"),"التحقق من")</f>
        <v>التحقق من</v>
      </c>
      <c r="D271" s="1" t="str">
        <f ca="1">IFERROR(__xludf.DUMMYFUNCTION("GOOGLETRANSLATE(B271,""en"",""zh-CN"")"),"查看")</f>
        <v>查看</v>
      </c>
      <c r="E271" s="1" t="str">
        <f ca="1">IFERROR(__xludf.DUMMYFUNCTION("GOOGLETRANSLATE(B271,""en"",""ja"")"),"チェック")</f>
        <v>チェック</v>
      </c>
      <c r="F271" s="1" t="str">
        <f ca="1">IFERROR(__xludf.DUMMYFUNCTION("GOOGLETRANSLATE(B271,""en"",""fr"")"),"Chèque")</f>
        <v>Chèque</v>
      </c>
    </row>
    <row r="272" spans="1:6" ht="15.75" customHeight="1" x14ac:dyDescent="0.25">
      <c r="A272" s="1" t="s">
        <v>530</v>
      </c>
      <c r="B272" s="1" t="s">
        <v>531</v>
      </c>
      <c r="C272" s="1" t="str">
        <f ca="1">IFERROR(__xludf.DUMMYFUNCTION("GOOGLETRANSLATE(B272,""en"",""ar"")"),"نقاط")</f>
        <v>نقاط</v>
      </c>
      <c r="D272" s="1" t="str">
        <f ca="1">IFERROR(__xludf.DUMMYFUNCTION("GOOGLETRANSLATE(B272,""en"",""zh-CN"")"),"点")</f>
        <v>点</v>
      </c>
      <c r="E272" s="1" t="str">
        <f ca="1">IFERROR(__xludf.DUMMYFUNCTION("GOOGLETRANSLATE(B272,""en"",""ja"")"),"ポイント")</f>
        <v>ポイント</v>
      </c>
      <c r="F272" s="1" t="str">
        <f ca="1">IFERROR(__xludf.DUMMYFUNCTION("GOOGLETRANSLATE(B272,""en"",""fr"")"),"Points")</f>
        <v>Points</v>
      </c>
    </row>
    <row r="273" spans="1:6" ht="15.75" customHeight="1" x14ac:dyDescent="0.25">
      <c r="A273" s="1" t="s">
        <v>532</v>
      </c>
      <c r="B273" s="1" t="s">
        <v>533</v>
      </c>
      <c r="C273" s="1" t="str">
        <f ca="1">IFERROR(__xludf.DUMMYFUNCTION("GOOGLETRANSLATE(B273,""en"",""ar"")"),"ائتمان")</f>
        <v>ائتمان</v>
      </c>
      <c r="D273" s="1" t="str">
        <f ca="1">IFERROR(__xludf.DUMMYFUNCTION("GOOGLETRANSLATE(B273,""en"",""zh-CN"")"),"信用")</f>
        <v>信用</v>
      </c>
      <c r="E273" s="1" t="str">
        <f ca="1">IFERROR(__xludf.DUMMYFUNCTION("GOOGLETRANSLATE(B273,""en"",""ja"")"),"クレジット")</f>
        <v>クレジット</v>
      </c>
      <c r="F273" s="1" t="str">
        <f ca="1">IFERROR(__xludf.DUMMYFUNCTION("GOOGLETRANSLATE(B273,""en"",""fr"")"),"Crédit")</f>
        <v>Crédit</v>
      </c>
    </row>
    <row r="274" spans="1:6" ht="15.75" customHeight="1" x14ac:dyDescent="0.25">
      <c r="A274" s="1" t="s">
        <v>534</v>
      </c>
      <c r="B274" s="1" t="s">
        <v>227</v>
      </c>
      <c r="C274" s="1" t="str">
        <f ca="1">IFERROR(__xludf.DUMMYFUNCTION("GOOGLETRANSLATE(B274,""en"",""ar"")"),"اشعار دائن")</f>
        <v>اشعار دائن</v>
      </c>
      <c r="D274" s="1" t="str">
        <f ca="1">IFERROR(__xludf.DUMMYFUNCTION("GOOGLETRANSLATE(B274,""en"",""zh-CN"")"),"信用票据")</f>
        <v>信用票据</v>
      </c>
      <c r="E274" s="1" t="str">
        <f ca="1">IFERROR(__xludf.DUMMYFUNCTION("GOOGLETRANSLATE(B274,""en"",""ja"")"),"クレジットノート")</f>
        <v>クレジットノート</v>
      </c>
      <c r="F274" s="1" t="str">
        <f ca="1">IFERROR(__xludf.DUMMYFUNCTION("GOOGLETRANSLATE(B274,""en"",""fr"")"),"Note de crédit")</f>
        <v>Note de crédit</v>
      </c>
    </row>
    <row r="275" spans="1:6" ht="15.75" customHeight="1" x14ac:dyDescent="0.25">
      <c r="A275" s="1" t="s">
        <v>535</v>
      </c>
      <c r="B275" s="1" t="s">
        <v>536</v>
      </c>
      <c r="C275" s="1" t="str">
        <f ca="1">IFERROR(__xludf.DUMMYFUNCTION("GOOGLETRANSLATE(B275,""en"",""ar"")"),"استرداد النقود / مذكرة الائتمان")</f>
        <v>استرداد النقود / مذكرة الائتمان</v>
      </c>
      <c r="D275" s="1" t="str">
        <f ca="1">IFERROR(__xludf.DUMMYFUNCTION("GOOGLETRANSLATE(B275,""en"",""zh-CN"")"),"现金退款/信用额")</f>
        <v>现金退款/信用额</v>
      </c>
      <c r="E275" s="1" t="str">
        <f ca="1">IFERROR(__xludf.DUMMYFUNCTION("GOOGLETRANSLATE(B275,""en"",""ja"")"),"現金払い戻し/クレジットノート")</f>
        <v>現金払い戻し/クレジットノート</v>
      </c>
      <c r="F275" s="1" t="str">
        <f ca="1">IFERROR(__xludf.DUMMYFUNCTION("GOOGLETRANSLATE(B275,""en"",""fr"")"),"Remboursement de trésorerie / Note de crédit")</f>
        <v>Remboursement de trésorerie / Note de crédit</v>
      </c>
    </row>
    <row r="276" spans="1:6" ht="15.75" customHeight="1" x14ac:dyDescent="0.25">
      <c r="A276" s="1" t="s">
        <v>537</v>
      </c>
      <c r="B276" s="1" t="s">
        <v>249</v>
      </c>
      <c r="C276" s="1" t="str">
        <f ca="1">IFERROR(__xludf.DUMMYFUNCTION("GOOGLETRANSLATE(B276,""en"",""ar"")"),"طاقم عمل")</f>
        <v>طاقم عمل</v>
      </c>
      <c r="D276" s="1" t="str">
        <f ca="1">IFERROR(__xludf.DUMMYFUNCTION("GOOGLETRANSLATE(B276,""en"",""zh-CN"")"),"职员")</f>
        <v>职员</v>
      </c>
      <c r="E276" s="1" t="str">
        <f ca="1">IFERROR(__xludf.DUMMYFUNCTION("GOOGLETRANSLATE(B276,""en"",""ja"")"),"スタッフ")</f>
        <v>スタッフ</v>
      </c>
      <c r="F276" s="1" t="str">
        <f ca="1">IFERROR(__xludf.DUMMYFUNCTION("GOOGLETRANSLATE(B276,""en"",""fr"")"),"Personnel")</f>
        <v>Personnel</v>
      </c>
    </row>
    <row r="277" spans="1:6" ht="15.75" customHeight="1" x14ac:dyDescent="0.25">
      <c r="A277" s="1" t="s">
        <v>538</v>
      </c>
      <c r="B277" s="1" t="s">
        <v>539</v>
      </c>
      <c r="C277" s="1" t="str">
        <f ca="1">IFERROR(__xludf.DUMMYFUNCTION("GOOGLETRANSLATE(B277,""en"",""ar"")"),"حجز استلام Wise.")</f>
        <v>حجز استلام Wise.</v>
      </c>
      <c r="D277" s="1" t="str">
        <f ca="1">IFERROR(__xludf.DUMMYFUNCTION("GOOGLETRANSLATE(B277,""en"",""zh-CN"")"),"预约明智收据")</f>
        <v>预约明智收据</v>
      </c>
      <c r="E277" s="1" t="str">
        <f ca="1">IFERROR(__xludf.DUMMYFUNCTION("GOOGLETRANSLATE(B277,""en"",""ja"")"),"予約ワイズレシート")</f>
        <v>予約ワイズレシート</v>
      </c>
      <c r="F277" s="1" t="str">
        <f ca="1">IFERROR(__xludf.DUMMYFUNCTION("GOOGLETRANSLATE(B277,""en"",""fr"")"),"Référentiel de réservation")</f>
        <v>Référentiel de réservation</v>
      </c>
    </row>
    <row r="278" spans="1:6" ht="15.75" customHeight="1" x14ac:dyDescent="0.25">
      <c r="A278" s="1" t="s">
        <v>540</v>
      </c>
      <c r="B278" s="1" t="s">
        <v>541</v>
      </c>
      <c r="C278" s="1" t="str">
        <f ca="1">IFERROR(__xludf.DUMMYFUNCTION("GOOGLETRANSLATE(B278,""en"",""ar"")"),"نوع أمر متعدد")</f>
        <v>نوع أمر متعدد</v>
      </c>
      <c r="D278" s="1" t="str">
        <f ca="1">IFERROR(__xludf.DUMMYFUNCTION("GOOGLETRANSLATE(B278,""en"",""zh-CN"")"),"多个订单类型")</f>
        <v>多个订单类型</v>
      </c>
      <c r="E278" s="1" t="str">
        <f ca="1">IFERROR(__xludf.DUMMYFUNCTION("GOOGLETRANSLATE(B278,""en"",""ja"")"),"複数の注文タイプ")</f>
        <v>複数の注文タイプ</v>
      </c>
      <c r="F278" s="1" t="str">
        <f ca="1">IFERROR(__xludf.DUMMYFUNCTION("GOOGLETRANSLATE(B278,""en"",""fr"")"),"Type de commande multiple")</f>
        <v>Type de commande multiple</v>
      </c>
    </row>
    <row r="279" spans="1:6" ht="15.75" customHeight="1" x14ac:dyDescent="0.25">
      <c r="A279" s="1" t="s">
        <v>542</v>
      </c>
      <c r="B279" s="1" t="s">
        <v>543</v>
      </c>
      <c r="C279" s="1" t="str">
        <f ca="1">IFERROR(__xludf.DUMMYFUNCTION("GOOGLETRANSLATE(B279,""en"",""ar"")"),"ردود فعل العملاء")</f>
        <v>ردود فعل العملاء</v>
      </c>
      <c r="D279" s="1" t="str">
        <f ca="1">IFERROR(__xludf.DUMMYFUNCTION("GOOGLETRANSLATE(B279,""en"",""zh-CN"")"),"客户的反馈意见")</f>
        <v>客户的反馈意见</v>
      </c>
      <c r="E279" s="1" t="str">
        <f ca="1">IFERROR(__xludf.DUMMYFUNCTION("GOOGLETRANSLATE(B279,""en"",""ja"")"),"お客様の声")</f>
        <v>お客様の声</v>
      </c>
      <c r="F279" s="1" t="str">
        <f ca="1">IFERROR(__xludf.DUMMYFUNCTION("GOOGLETRANSLATE(B279,""en"",""fr"")"),"Commentaires des clients")</f>
        <v>Commentaires des clients</v>
      </c>
    </row>
    <row r="280" spans="1:6" ht="15.75" customHeight="1" x14ac:dyDescent="0.25">
      <c r="A280" s="1" t="s">
        <v>544</v>
      </c>
      <c r="B280" s="1" t="s">
        <v>545</v>
      </c>
      <c r="C280" s="1" t="str">
        <f ca="1">IFERROR(__xludf.DUMMYFUNCTION("GOOGLETRANSLATE(B280,""en"",""ar"")"),"كوت")</f>
        <v>كوت</v>
      </c>
      <c r="D280" s="1" t="str">
        <f ca="1">IFERROR(__xludf.DUMMYFUNCTION("GOOGLETRANSLATE(B280,""en"",""zh-CN"")"),"kot.")</f>
        <v>kot.</v>
      </c>
      <c r="E280" s="1" t="str">
        <f ca="1">IFERROR(__xludf.DUMMYFUNCTION("GOOGLETRANSLATE(B280,""en"",""ja"")"),"kot.")</f>
        <v>kot.</v>
      </c>
      <c r="F280" s="1" t="str">
        <f ca="1">IFERROR(__xludf.DUMMYFUNCTION("GOOGLETRANSLATE(B280,""en"",""fr"")"),"Kot")</f>
        <v>Kot</v>
      </c>
    </row>
    <row r="281" spans="1:6" ht="15.75" customHeight="1" x14ac:dyDescent="0.25">
      <c r="A281" s="1" t="s">
        <v>546</v>
      </c>
      <c r="B281" s="1" t="s">
        <v>547</v>
      </c>
      <c r="C281" s="1" t="str">
        <f ca="1">IFERROR(__xludf.DUMMYFUNCTION("GOOGLETRANSLATE(B281,""en"",""ar"")"),"إيصال عقد")</f>
        <v>إيصال عقد</v>
      </c>
      <c r="D281" s="1" t="str">
        <f ca="1">IFERROR(__xludf.DUMMYFUNCTION("GOOGLETRANSLATE(B281,""en"",""zh-CN"")"),"收据持有")</f>
        <v>收据持有</v>
      </c>
      <c r="E281" s="1" t="str">
        <f ca="1">IFERROR(__xludf.DUMMYFUNCTION("GOOGLETRANSLATE(B281,""en"",""ja"")"),"領収書保持")</f>
        <v>領収書保持</v>
      </c>
      <c r="F281" s="1" t="str">
        <f ca="1">IFERROR(__xludf.DUMMYFUNCTION("GOOGLETRANSLATE(B281,""en"",""fr"")"),"Titulaire de la réception")</f>
        <v>Titulaire de la réception</v>
      </c>
    </row>
    <row r="282" spans="1:6" ht="15.75" customHeight="1" x14ac:dyDescent="0.25">
      <c r="A282" s="1" t="s">
        <v>548</v>
      </c>
      <c r="B282" s="1" t="s">
        <v>549</v>
      </c>
      <c r="C282" s="1" t="str">
        <f ca="1">IFERROR(__xludf.DUMMYFUNCTION("GOOGLETRANSLATE(B282,""en"",""ar"")"),"قبل مشروع القانون إلغاء القفل")</f>
        <v>قبل مشروع القانون إلغاء القفل</v>
      </c>
      <c r="D282" s="1" t="str">
        <f ca="1">IFERROR(__xludf.DUMMYFUNCTION("GOOGLETRANSLATE(B282,""en"",""zh-CN"")"),"预比例取消锁定")</f>
        <v>预比例取消锁定</v>
      </c>
      <c r="E282" s="1" t="str">
        <f ca="1">IFERROR(__xludf.DUMMYFUNCTION("GOOGLETRANSLATE(B282,""en"",""ja"")"),"PRE BILLのキャンセルロック")</f>
        <v>PRE BILLのキャンセルロック</v>
      </c>
      <c r="F282" s="1" t="str">
        <f ca="1">IFERROR(__xludf.DUMMYFUNCTION("GOOGLETRANSLATE(B282,""en"",""fr"")"),"Pref Bill Annuler la serrure")</f>
        <v>Pref Bill Annuler la serrure</v>
      </c>
    </row>
    <row r="283" spans="1:6" ht="15.75" customHeight="1" x14ac:dyDescent="0.25">
      <c r="A283" s="1" t="s">
        <v>550</v>
      </c>
      <c r="B283" s="1" t="s">
        <v>551</v>
      </c>
      <c r="C283" s="1" t="str">
        <f ca="1">IFERROR(__xludf.DUMMYFUNCTION("GOOGLETRANSLATE(B283,""en"",""ar"")"),"وحدة الولاء")</f>
        <v>وحدة الولاء</v>
      </c>
      <c r="D283" s="1" t="str">
        <f ca="1">IFERROR(__xludf.DUMMYFUNCTION("GOOGLETRANSLATE(B283,""en"",""zh-CN"")"),"忠诚模块")</f>
        <v>忠诚模块</v>
      </c>
      <c r="E283" s="1" t="str">
        <f ca="1">IFERROR(__xludf.DUMMYFUNCTION("GOOGLETRANSLATE(B283,""en"",""ja"")"),"ロイヤルティモジュール")</f>
        <v>ロイヤルティモジュール</v>
      </c>
      <c r="F283" s="1" t="str">
        <f ca="1">IFERROR(__xludf.DUMMYFUNCTION("GOOGLETRANSLATE(B283,""en"",""fr"")"),"Module de fidélité")</f>
        <v>Module de fidélité</v>
      </c>
    </row>
    <row r="284" spans="1:6" ht="15.75" customHeight="1" x14ac:dyDescent="0.25">
      <c r="A284" s="1" t="s">
        <v>552</v>
      </c>
      <c r="B284" s="1" t="s">
        <v>553</v>
      </c>
      <c r="C284" s="1" t="str">
        <f ca="1">IFERROR(__xludf.DUMMYFUNCTION("GOOGLETRANSLATE(B284,""en"",""ar"")"),"خط الرأس 1.")</f>
        <v>خط الرأس 1.</v>
      </c>
      <c r="D284" s="1" t="str">
        <f ca="1">IFERROR(__xludf.DUMMYFUNCTION("GOOGLETRANSLATE(B284,""en"",""zh-CN"")"),"标题LINE1.")</f>
        <v>标题LINE1.</v>
      </c>
      <c r="E284" s="1" t="str">
        <f ca="1">IFERROR(__xludf.DUMMYFUNCTION("GOOGLETRANSLATE(B284,""en"",""ja"")"),"ヘッダーライン1")</f>
        <v>ヘッダーライン1</v>
      </c>
      <c r="F284" s="1" t="str">
        <f ca="1">IFERROR(__xludf.DUMMYFUNCTION("GOOGLETRANSLATE(B284,""en"",""fr"")"),"Ligne d'en-tête1")</f>
        <v>Ligne d'en-tête1</v>
      </c>
    </row>
    <row r="285" spans="1:6" ht="15.75" customHeight="1" x14ac:dyDescent="0.25">
      <c r="A285" s="1" t="s">
        <v>554</v>
      </c>
      <c r="B285" s="1" t="s">
        <v>555</v>
      </c>
      <c r="C285" s="1" t="str">
        <f ca="1">IFERROR(__xludf.DUMMYFUNCTION("GOOGLETRANSLATE(B285,""en"",""ar"")"),"خط الرأس 2.")</f>
        <v>خط الرأس 2.</v>
      </c>
      <c r="D285" s="1" t="str">
        <f ca="1">IFERROR(__xludf.DUMMYFUNCTION("GOOGLETRANSLATE(B285,""en"",""zh-CN"")"),"标题线2")</f>
        <v>标题线2</v>
      </c>
      <c r="E285" s="1" t="str">
        <f ca="1">IFERROR(__xludf.DUMMYFUNCTION("GOOGLETRANSLATE(B285,""en"",""ja"")"),"ヘッダーライン2")</f>
        <v>ヘッダーライン2</v>
      </c>
      <c r="F285" s="1" t="str">
        <f ca="1">IFERROR(__xludf.DUMMYFUNCTION("GOOGLETRANSLATE(B285,""en"",""fr"")"),"Ligne d'en-tête2")</f>
        <v>Ligne d'en-tête2</v>
      </c>
    </row>
    <row r="286" spans="1:6" ht="15.75" customHeight="1" x14ac:dyDescent="0.25">
      <c r="A286" s="1" t="s">
        <v>556</v>
      </c>
      <c r="B286" s="1" t="s">
        <v>531</v>
      </c>
      <c r="C286" s="1" t="str">
        <f ca="1">IFERROR(__xludf.DUMMYFUNCTION("GOOGLETRANSLATE(B286,""en"",""ar"")"),"نقاط")</f>
        <v>نقاط</v>
      </c>
      <c r="D286" s="1" t="str">
        <f ca="1">IFERROR(__xludf.DUMMYFUNCTION("GOOGLETRANSLATE(B286,""en"",""zh-CN"")"),"点")</f>
        <v>点</v>
      </c>
      <c r="E286" s="1" t="str">
        <f ca="1">IFERROR(__xludf.DUMMYFUNCTION("GOOGLETRANSLATE(B286,""en"",""ja"")"),"ポイント")</f>
        <v>ポイント</v>
      </c>
      <c r="F286" s="1" t="str">
        <f ca="1">IFERROR(__xludf.DUMMYFUNCTION("GOOGLETRANSLATE(B286,""en"",""fr"")"),"Points")</f>
        <v>Points</v>
      </c>
    </row>
    <row r="287" spans="1:6" ht="15.75" customHeight="1" x14ac:dyDescent="0.25">
      <c r="A287" s="1" t="s">
        <v>557</v>
      </c>
      <c r="B287" s="1" t="s">
        <v>558</v>
      </c>
      <c r="C287" s="1" t="str">
        <f ca="1">IFERROR(__xludf.DUMMYFUNCTION("GOOGLETRANSLATE(B287,""en"",""ar"")"),"الموظف الحكمة الفواتير")</f>
        <v>الموظف الحكمة الفواتير</v>
      </c>
      <c r="D287" s="1" t="str">
        <f ca="1">IFERROR(__xludf.DUMMYFUNCTION("GOOGLETRANSLATE(B287,""en"",""zh-CN"")"),"员工明智的结算")</f>
        <v>员工明智的结算</v>
      </c>
      <c r="E287" s="1" t="str">
        <f ca="1">IFERROR(__xludf.DUMMYFUNCTION("GOOGLETRANSLATE(B287,""en"",""ja"")"),"従業員の賢明な請求")</f>
        <v>従業員の賢明な請求</v>
      </c>
      <c r="F287" s="1" t="str">
        <f ca="1">IFERROR(__xludf.DUMMYFUNCTION("GOOGLETRANSLATE(B287,""en"",""fr"")"),"Facturation WISE Employee")</f>
        <v>Facturation WISE Employee</v>
      </c>
    </row>
    <row r="288" spans="1:6" ht="15.75" customHeight="1" x14ac:dyDescent="0.25">
      <c r="A288" s="1" t="s">
        <v>559</v>
      </c>
      <c r="B288" s="1" t="s">
        <v>560</v>
      </c>
      <c r="C288" s="1" t="str">
        <f ca="1">IFERROR(__xludf.DUMMYFUNCTION("GOOGLETRANSLATE(B288,""en"",""ar"")"),"موظف")</f>
        <v>موظف</v>
      </c>
      <c r="D288" s="1" t="str">
        <f ca="1">IFERROR(__xludf.DUMMYFUNCTION("GOOGLETRANSLATE(B288,""en"",""zh-CN"")"),"员工")</f>
        <v>员工</v>
      </c>
      <c r="E288" s="1" t="str">
        <f ca="1">IFERROR(__xludf.DUMMYFUNCTION("GOOGLETRANSLATE(B288,""en"",""ja"")"),"従業員")</f>
        <v>従業員</v>
      </c>
      <c r="F288" s="1" t="str">
        <f ca="1">IFERROR(__xludf.DUMMYFUNCTION("GOOGLETRANSLATE(B288,""en"",""fr"")"),"Employé")</f>
        <v>Employé</v>
      </c>
    </row>
    <row r="289" spans="1:6" ht="15.75" customHeight="1" x14ac:dyDescent="0.25">
      <c r="A289" s="1" t="s">
        <v>561</v>
      </c>
      <c r="B289" s="1" t="s">
        <v>562</v>
      </c>
      <c r="C289" s="1" t="str">
        <f ca="1">IFERROR(__xludf.DUMMYFUNCTION("GOOGLETRANSLATE(B289,""en"",""ar"")"),"طلب")</f>
        <v>طلب</v>
      </c>
      <c r="D289" s="1" t="str">
        <f ca="1">IFERROR(__xludf.DUMMYFUNCTION("GOOGLETRANSLATE(B289,""en"",""zh-CN"")"),"订购")</f>
        <v>订购</v>
      </c>
      <c r="E289" s="1" t="str">
        <f ca="1">IFERROR(__xludf.DUMMYFUNCTION("GOOGLETRANSLATE(B289,""en"",""ja"")"),"注文")</f>
        <v>注文</v>
      </c>
      <c r="F289" s="1" t="str">
        <f ca="1">IFERROR(__xludf.DUMMYFUNCTION("GOOGLETRANSLATE(B289,""en"",""fr"")"),"Commandement")</f>
        <v>Commandement</v>
      </c>
    </row>
    <row r="290" spans="1:6" ht="15.75" customHeight="1" x14ac:dyDescent="0.25">
      <c r="A290" s="1" t="s">
        <v>563</v>
      </c>
      <c r="B290" s="1" t="s">
        <v>564</v>
      </c>
      <c r="C290" s="1" t="str">
        <f ca="1">IFERROR(__xludf.DUMMYFUNCTION("GOOGLETRANSLATE(B290,""en"",""ar"")"),"وكيل الحكمة استلام")</f>
        <v>وكيل الحكمة استلام</v>
      </c>
      <c r="D290" s="1" t="str">
        <f ca="1">IFERROR(__xludf.DUMMYFUNCTION("GOOGLETRANSLATE(B290,""en"",""zh-CN"")"),"代理商明智收据")</f>
        <v>代理商明智收据</v>
      </c>
      <c r="E290" s="1" t="str">
        <f ca="1">IFERROR(__xludf.DUMMYFUNCTION("GOOGLETRANSLATE(B290,""en"",""ja"")"),"エージェントワイズレシート")</f>
        <v>エージェントワイズレシート</v>
      </c>
      <c r="F290" s="1" t="str">
        <f ca="1">IFERROR(__xludf.DUMMYFUNCTION("GOOGLETRANSLATE(B290,""en"",""fr"")"),"Agent Sage Reçu")</f>
        <v>Agent Sage Reçu</v>
      </c>
    </row>
    <row r="291" spans="1:6" ht="15.75" customHeight="1" x14ac:dyDescent="0.25">
      <c r="A291" s="1" t="s">
        <v>565</v>
      </c>
      <c r="B291" s="1" t="s">
        <v>566</v>
      </c>
      <c r="C291" s="1" t="str">
        <f ca="1">IFERROR(__xludf.DUMMYFUNCTION("GOOGLETRANSLATE(B291,""en"",""ar"")"),"مقياس الباركود")</f>
        <v>مقياس الباركود</v>
      </c>
      <c r="D291" s="1" t="str">
        <f ca="1">IFERROR(__xludf.DUMMYFUNCTION("GOOGLETRANSLATE(B291,""en"",""zh-CN"")"),"比例条形码")</f>
        <v>比例条形码</v>
      </c>
      <c r="E291" s="1" t="str">
        <f ca="1">IFERROR(__xludf.DUMMYFUNCTION("GOOGLETRANSLATE(B291,""en"",""ja"")"),"スケールバーコード")</f>
        <v>スケールバーコード</v>
      </c>
      <c r="F291" s="1" t="str">
        <f ca="1">IFERROR(__xludf.DUMMYFUNCTION("GOOGLETRANSLATE(B291,""en"",""fr"")"),"Code à barres d'échelle")</f>
        <v>Code à barres d'échelle</v>
      </c>
    </row>
    <row r="292" spans="1:6" ht="15.75" customHeight="1" x14ac:dyDescent="0.25">
      <c r="A292" s="1" t="s">
        <v>567</v>
      </c>
      <c r="B292" s="1" t="s">
        <v>568</v>
      </c>
      <c r="C292" s="1" t="str">
        <f ca="1">IFERROR(__xludf.DUMMYFUNCTION("GOOGLETRANSLATE(B292,""en"",""ar"")"),"هدف كوت")</f>
        <v>هدف كوت</v>
      </c>
      <c r="D292" s="1" t="str">
        <f ca="1">IFERROR(__xludf.DUMMYFUNCTION("GOOGLETRANSLATE(B292,""en"",""zh-CN"")"),"KOT目标")</f>
        <v>KOT目标</v>
      </c>
      <c r="E292" s="1" t="str">
        <f ca="1">IFERROR(__xludf.DUMMYFUNCTION("GOOGLETRANSLATE(B292,""en"",""ja"")"),"コットターゲット")</f>
        <v>コットターゲット</v>
      </c>
      <c r="F292" s="1" t="str">
        <f ca="1">IFERROR(__xludf.DUMMYFUNCTION("GOOGLETRANSLATE(B292,""en"",""fr"")"),"Cible de kot")</f>
        <v>Cible de kot</v>
      </c>
    </row>
    <row r="293" spans="1:6" ht="15.75" customHeight="1" x14ac:dyDescent="0.25">
      <c r="A293" s="1" t="s">
        <v>569</v>
      </c>
      <c r="B293" s="1" t="s">
        <v>570</v>
      </c>
      <c r="C293" s="1" t="str">
        <f ca="1">IFERROR(__xludf.DUMMYFUNCTION("GOOGLETRANSLATE(B293,""en"",""ar"")"),"طابعة نموذج")</f>
        <v>طابعة نموذج</v>
      </c>
      <c r="D293" s="1" t="str">
        <f ca="1">IFERROR(__xludf.DUMMYFUNCTION("GOOGLETRANSLATE(B293,""en"",""zh-CN"")"),"打印机型号")</f>
        <v>打印机型号</v>
      </c>
      <c r="E293" s="1" t="str">
        <f ca="1">IFERROR(__xludf.DUMMYFUNCTION("GOOGLETRANSLATE(B293,""en"",""ja"")"),"プリンタモデル")</f>
        <v>プリンタモデル</v>
      </c>
      <c r="F293" s="1" t="str">
        <f ca="1">IFERROR(__xludf.DUMMYFUNCTION("GOOGLETRANSLATE(B293,""en"",""fr"")"),"Modèle d'imprimante")</f>
        <v>Modèle d'imprimante</v>
      </c>
    </row>
    <row r="294" spans="1:6" ht="15.75" customHeight="1" x14ac:dyDescent="0.25">
      <c r="A294" s="1" t="s">
        <v>571</v>
      </c>
      <c r="B294" s="1" t="s">
        <v>572</v>
      </c>
      <c r="C294" s="1" t="str">
        <f ca="1">IFERROR(__xludf.DUMMYFUNCTION("GOOGLETRANSLATE(B294,""en"",""ar"")"),"منفذ عرض العملاء")</f>
        <v>منفذ عرض العملاء</v>
      </c>
      <c r="D294" s="1" t="str">
        <f ca="1">IFERROR(__xludf.DUMMYFUNCTION("GOOGLETRANSLATE(B294,""en"",""zh-CN"")"),"客户展示港口")</f>
        <v>客户展示港口</v>
      </c>
      <c r="E294" s="1" t="str">
        <f ca="1">IFERROR(__xludf.DUMMYFUNCTION("GOOGLETRANSLATE(B294,""en"",""ja"")"),"カスタマーディスプレイポート")</f>
        <v>カスタマーディスプレイポート</v>
      </c>
      <c r="F294" s="1" t="str">
        <f ca="1">IFERROR(__xludf.DUMMYFUNCTION("GOOGLETRANSLATE(B294,""en"",""fr"")"),"Port d'affichage client")</f>
        <v>Port d'affichage client</v>
      </c>
    </row>
    <row r="295" spans="1:6" ht="15.75" customHeight="1" x14ac:dyDescent="0.25">
      <c r="A295" s="1" t="s">
        <v>573</v>
      </c>
      <c r="B295" s="1" t="s">
        <v>574</v>
      </c>
      <c r="C295" s="1" t="str">
        <f ca="1">IFERROR(__xludf.DUMMYFUNCTION("GOOGLETRANSLATE(B295,""en"",""ar"")"),"إيصال البريد الإلكتروني")</f>
        <v>إيصال البريد الإلكتروني</v>
      </c>
      <c r="D295" s="1" t="str">
        <f ca="1">IFERROR(__xludf.DUMMYFUNCTION("GOOGLETRANSLATE(B295,""en"",""zh-CN"")"),"电子邮件收据")</f>
        <v>电子邮件收据</v>
      </c>
      <c r="E295" s="1" t="str">
        <f ca="1">IFERROR(__xludf.DUMMYFUNCTION("GOOGLETRANSLATE(B295,""en"",""ja"")"),"メール受信")</f>
        <v>メール受信</v>
      </c>
      <c r="F295" s="1" t="str">
        <f ca="1">IFERROR(__xludf.DUMMYFUNCTION("GOOGLETRANSLATE(B295,""en"",""fr"")"),"Reçu par e-mail")</f>
        <v>Reçu par e-mail</v>
      </c>
    </row>
    <row r="296" spans="1:6" ht="15.75" customHeight="1" x14ac:dyDescent="0.25">
      <c r="A296" s="1" t="s">
        <v>575</v>
      </c>
      <c r="B296" s="1" t="s">
        <v>576</v>
      </c>
      <c r="C296" s="1" t="str">
        <f ca="1">IFERROR(__xludf.DUMMYFUNCTION("GOOGLETRANSLATE(B296,""en"",""ar"")"),"استلام الرسائل القصيرة")</f>
        <v>استلام الرسائل القصيرة</v>
      </c>
      <c r="D296" s="1" t="str">
        <f ca="1">IFERROR(__xludf.DUMMYFUNCTION("GOOGLETRANSLATE(B296,""en"",""zh-CN"")"),"短信收据")</f>
        <v>短信收据</v>
      </c>
      <c r="E296" s="1" t="str">
        <f ca="1">IFERROR(__xludf.DUMMYFUNCTION("GOOGLETRANSLATE(B296,""en"",""ja"")"),"SMS領収書")</f>
        <v>SMS領収書</v>
      </c>
      <c r="F296" s="1" t="str">
        <f ca="1">IFERROR(__xludf.DUMMYFUNCTION("GOOGLETRANSLATE(B296,""en"",""fr"")"),"Réception SMS")</f>
        <v>Réception SMS</v>
      </c>
    </row>
    <row r="297" spans="1:6" ht="15.75" customHeight="1" x14ac:dyDescent="0.25">
      <c r="A297" s="1" t="s">
        <v>577</v>
      </c>
      <c r="B297" s="1" t="s">
        <v>578</v>
      </c>
      <c r="C297" s="1" t="str">
        <f ca="1">IFERROR(__xludf.DUMMYFUNCTION("GOOGLETRANSLATE(B297,""en"",""ar"")"),"نوع المحطة")</f>
        <v>نوع المحطة</v>
      </c>
      <c r="D297" s="1" t="str">
        <f ca="1">IFERROR(__xludf.DUMMYFUNCTION("GOOGLETRANSLATE(B297,""en"",""zh-CN"")"),"终端类型")</f>
        <v>终端类型</v>
      </c>
      <c r="E297" s="1" t="str">
        <f ca="1">IFERROR(__xludf.DUMMYFUNCTION("GOOGLETRANSLATE(B297,""en"",""ja"")"),"ターミナルタイプ")</f>
        <v>ターミナルタイプ</v>
      </c>
      <c r="F297" s="1" t="str">
        <f ca="1">IFERROR(__xludf.DUMMYFUNCTION("GOOGLETRANSLATE(B297,""en"",""fr"")"),"Type de terminal")</f>
        <v>Type de terminal</v>
      </c>
    </row>
    <row r="298" spans="1:6" ht="15.75" customHeight="1" x14ac:dyDescent="0.25">
      <c r="A298" s="1" t="s">
        <v>579</v>
      </c>
      <c r="B298" s="1" t="s">
        <v>270</v>
      </c>
      <c r="C298" s="1" t="str">
        <f ca="1">IFERROR(__xludf.DUMMYFUNCTION("GOOGLETRANSLATE(B298,""en"",""ar"")"),"مطبعة")</f>
        <v>مطبعة</v>
      </c>
      <c r="D298" s="1" t="str">
        <f ca="1">IFERROR(__xludf.DUMMYFUNCTION("GOOGLETRANSLATE(B298,""en"",""zh-CN"")"),"打印")</f>
        <v>打印</v>
      </c>
      <c r="E298" s="1" t="str">
        <f ca="1">IFERROR(__xludf.DUMMYFUNCTION("GOOGLETRANSLATE(B298,""en"",""ja"")"),"印字")</f>
        <v>印字</v>
      </c>
      <c r="F298" s="1" t="str">
        <f ca="1">IFERROR(__xludf.DUMMYFUNCTION("GOOGLETRANSLATE(B298,""en"",""fr"")"),"Imprimer")</f>
        <v>Imprimer</v>
      </c>
    </row>
    <row r="299" spans="1:6" ht="15.75" customHeight="1" x14ac:dyDescent="0.25">
      <c r="A299" s="1" t="s">
        <v>580</v>
      </c>
      <c r="B299" s="1" t="s">
        <v>581</v>
      </c>
      <c r="C299" s="1" t="str">
        <f ca="1">IFERROR(__xludf.DUMMYFUNCTION("GOOGLETRANSLATE(B299,""en"",""ar"")"),"مفتاح الترخيص")</f>
        <v>مفتاح الترخيص</v>
      </c>
      <c r="D299" s="1" t="str">
        <f ca="1">IFERROR(__xludf.DUMMYFUNCTION("GOOGLETRANSLATE(B299,""en"",""zh-CN"")"),"注册码")</f>
        <v>注册码</v>
      </c>
      <c r="E299" s="1" t="str">
        <f ca="1">IFERROR(__xludf.DUMMYFUNCTION("GOOGLETRANSLATE(B299,""en"",""ja"")"),"ライセンスキー")</f>
        <v>ライセンスキー</v>
      </c>
      <c r="F299" s="1" t="str">
        <f ca="1">IFERROR(__xludf.DUMMYFUNCTION("GOOGLETRANSLATE(B299,""en"",""fr"")"),"Clé de licence")</f>
        <v>Clé de licence</v>
      </c>
    </row>
    <row r="300" spans="1:6" ht="15.75" customHeight="1" x14ac:dyDescent="0.25">
      <c r="A300" s="1" t="s">
        <v>582</v>
      </c>
      <c r="B300" s="1" t="s">
        <v>583</v>
      </c>
      <c r="C300" s="1" t="str">
        <f ca="1">IFERROR(__xludf.DUMMYFUNCTION("GOOGLETRANSLATE(B300,""en"",""ar"")"),"مفتاح التنشيط الجديد")</f>
        <v>مفتاح التنشيط الجديد</v>
      </c>
      <c r="D300" s="1" t="str">
        <f ca="1">IFERROR(__xludf.DUMMYFUNCTION("GOOGLETRANSLATE(B300,""en"",""zh-CN"")"),"新激活钥匙")</f>
        <v>新激活钥匙</v>
      </c>
      <c r="E300" s="1" t="str">
        <f ca="1">IFERROR(__xludf.DUMMYFUNCTION("GOOGLETRANSLATE(B300,""en"",""ja"")"),"新しいアクティベーションキー")</f>
        <v>新しいアクティベーションキー</v>
      </c>
      <c r="F300" s="1" t="str">
        <f ca="1">IFERROR(__xludf.DUMMYFUNCTION("GOOGLETRANSLATE(B300,""en"",""fr"")"),"Nouvelle clé d'activation")</f>
        <v>Nouvelle clé d'activation</v>
      </c>
    </row>
    <row r="301" spans="1:6" ht="15.75" customHeight="1" x14ac:dyDescent="0.25">
      <c r="A301" s="1" t="s">
        <v>584</v>
      </c>
      <c r="B301" s="1" t="s">
        <v>581</v>
      </c>
      <c r="C301" s="1" t="str">
        <f ca="1">IFERROR(__xludf.DUMMYFUNCTION("GOOGLETRANSLATE(B301,""en"",""ar"")"),"مفتاح الترخيص")</f>
        <v>مفتاح الترخيص</v>
      </c>
      <c r="D301" s="1" t="str">
        <f ca="1">IFERROR(__xludf.DUMMYFUNCTION("GOOGLETRANSLATE(B301,""en"",""zh-CN"")"),"注册码")</f>
        <v>注册码</v>
      </c>
      <c r="E301" s="1" t="str">
        <f ca="1">IFERROR(__xludf.DUMMYFUNCTION("GOOGLETRANSLATE(B301,""en"",""ja"")"),"ライセンスキー")</f>
        <v>ライセンスキー</v>
      </c>
      <c r="F301" s="1" t="str">
        <f ca="1">IFERROR(__xludf.DUMMYFUNCTION("GOOGLETRANSLATE(B301,""en"",""fr"")"),"Clé de licence")</f>
        <v>Clé de licence</v>
      </c>
    </row>
    <row r="302" spans="1:6" ht="15.75" customHeight="1" x14ac:dyDescent="0.25">
      <c r="A302" s="1" t="s">
        <v>585</v>
      </c>
      <c r="B302" s="1" t="s">
        <v>586</v>
      </c>
      <c r="C302" s="1" t="str">
        <f ca="1">IFERROR(__xludf.DUMMYFUNCTION("GOOGLETRANSLATE(B302,""en"",""ar"")"),"الاسم التجاري")</f>
        <v>الاسم التجاري</v>
      </c>
      <c r="D302" s="1" t="str">
        <f ca="1">IFERROR(__xludf.DUMMYFUNCTION("GOOGLETRANSLATE(B302,""en"",""zh-CN"")"),"商业名称")</f>
        <v>商业名称</v>
      </c>
      <c r="E302" s="1" t="str">
        <f ca="1">IFERROR(__xludf.DUMMYFUNCTION("GOOGLETRANSLATE(B302,""en"",""ja"")"),"商号")</f>
        <v>商号</v>
      </c>
      <c r="F302" s="1" t="str">
        <f ca="1">IFERROR(__xludf.DUMMYFUNCTION("GOOGLETRANSLATE(B302,""en"",""fr"")"),"Nom d'entreprise")</f>
        <v>Nom d'entreprise</v>
      </c>
    </row>
    <row r="303" spans="1:6" ht="15.75" customHeight="1" x14ac:dyDescent="0.25">
      <c r="A303" s="1" t="s">
        <v>587</v>
      </c>
      <c r="B303" s="1" t="s">
        <v>406</v>
      </c>
      <c r="C303" s="1" t="str">
        <f ca="1">IFERROR(__xludf.DUMMYFUNCTION("GOOGLETRANSLATE(B303,""en"",""ar"")"),"اسم")</f>
        <v>اسم</v>
      </c>
      <c r="D303" s="1" t="str">
        <f ca="1">IFERROR(__xludf.DUMMYFUNCTION("GOOGLETRANSLATE(B303,""en"",""zh-CN"")"),"名称")</f>
        <v>名称</v>
      </c>
      <c r="E303" s="1" t="str">
        <f ca="1">IFERROR(__xludf.DUMMYFUNCTION("GOOGLETRANSLATE(B303,""en"",""ja"")"),"名前")</f>
        <v>名前</v>
      </c>
      <c r="F303" s="1" t="str">
        <f ca="1">IFERROR(__xludf.DUMMYFUNCTION("GOOGLETRANSLATE(B303,""en"",""fr"")"),"Nom")</f>
        <v>Nom</v>
      </c>
    </row>
    <row r="304" spans="1:6" ht="15.75" customHeight="1" x14ac:dyDescent="0.25">
      <c r="A304" s="1" t="s">
        <v>588</v>
      </c>
      <c r="B304" s="1" t="s">
        <v>589</v>
      </c>
      <c r="C304" s="1" t="str">
        <f ca="1">IFERROR(__xludf.DUMMYFUNCTION("GOOGLETRANSLATE(B304,""en"",""ar"")"),"الاسم الشخصي")</f>
        <v>الاسم الشخصي</v>
      </c>
      <c r="D304" s="1" t="str">
        <f ca="1">IFERROR(__xludf.DUMMYFUNCTION("GOOGLETRANSLATE(B304,""en"",""zh-CN"")"),"个人名称")</f>
        <v>个人名称</v>
      </c>
      <c r="E304" s="1" t="str">
        <f ca="1">IFERROR(__xludf.DUMMYFUNCTION("GOOGLETRANSLATE(B304,""en"",""ja"")"),"個人名")</f>
        <v>個人名</v>
      </c>
      <c r="F304" s="1" t="str">
        <f ca="1">IFERROR(__xludf.DUMMYFUNCTION("GOOGLETRANSLATE(B304,""en"",""fr"")"),"Nom personnel")</f>
        <v>Nom personnel</v>
      </c>
    </row>
    <row r="305" spans="1:6" ht="15.75" customHeight="1" x14ac:dyDescent="0.25">
      <c r="A305" s="1" t="s">
        <v>590</v>
      </c>
      <c r="B305" s="1" t="s">
        <v>591</v>
      </c>
      <c r="C305" s="1" t="str">
        <f ca="1">IFERROR(__xludf.DUMMYFUNCTION("GOOGLETRANSLATE(B305,""en"",""ar"")"),"المسمى الوظيفي")</f>
        <v>المسمى الوظيفي</v>
      </c>
      <c r="D305" s="1" t="str">
        <f ca="1">IFERROR(__xludf.DUMMYFUNCTION("GOOGLETRANSLATE(B305,""en"",""zh-CN"")"),"职称")</f>
        <v>职称</v>
      </c>
      <c r="E305" s="1" t="str">
        <f ca="1">IFERROR(__xludf.DUMMYFUNCTION("GOOGLETRANSLATE(B305,""en"",""ja"")"),"職名")</f>
        <v>職名</v>
      </c>
      <c r="F305" s="1" t="str">
        <f ca="1">IFERROR(__xludf.DUMMYFUNCTION("GOOGLETRANSLATE(B305,""en"",""fr"")"),"Titre d'emploi")</f>
        <v>Titre d'emploi</v>
      </c>
    </row>
    <row r="306" spans="1:6" ht="15.75" customHeight="1" x14ac:dyDescent="0.25">
      <c r="A306" s="1" t="s">
        <v>592</v>
      </c>
      <c r="B306" s="1" t="s">
        <v>464</v>
      </c>
      <c r="C306" s="1" t="str">
        <f ca="1">IFERROR(__xludf.DUMMYFUNCTION("GOOGLETRANSLATE(B306,""en"",""ar"")"),"هاتف")</f>
        <v>هاتف</v>
      </c>
      <c r="D306" s="1" t="str">
        <f ca="1">IFERROR(__xludf.DUMMYFUNCTION("GOOGLETRANSLATE(B306,""en"",""zh-CN"")"),"电话")</f>
        <v>电话</v>
      </c>
      <c r="E306" s="1" t="str">
        <f ca="1">IFERROR(__xludf.DUMMYFUNCTION("GOOGLETRANSLATE(B306,""en"",""ja"")"),"電話")</f>
        <v>電話</v>
      </c>
      <c r="F306" s="1" t="str">
        <f ca="1">IFERROR(__xludf.DUMMYFUNCTION("GOOGLETRANSLATE(B306,""en"",""fr"")"),"Téléphoner")</f>
        <v>Téléphoner</v>
      </c>
    </row>
    <row r="307" spans="1:6" ht="15.75" customHeight="1" x14ac:dyDescent="0.25">
      <c r="A307" s="1" t="s">
        <v>593</v>
      </c>
      <c r="B307" s="1" t="s">
        <v>486</v>
      </c>
      <c r="C307" s="1" t="str">
        <f ca="1">IFERROR(__xludf.DUMMYFUNCTION("GOOGLETRANSLATE(B307,""en"",""ar"")"),"هاتف العمل")</f>
        <v>هاتف العمل</v>
      </c>
      <c r="D307" s="1" t="str">
        <f ca="1">IFERROR(__xludf.DUMMYFUNCTION("GOOGLETRANSLATE(B307,""en"",""zh-CN"")"),"商务手机")</f>
        <v>商务手机</v>
      </c>
      <c r="E307" s="1" t="str">
        <f ca="1">IFERROR(__xludf.DUMMYFUNCTION("GOOGLETRANSLATE(B307,""en"",""ja"")"),"ビジネス用電話機")</f>
        <v>ビジネス用電話機</v>
      </c>
      <c r="F307" s="1" t="str">
        <f ca="1">IFERROR(__xludf.DUMMYFUNCTION("GOOGLETRANSLATE(B307,""en"",""fr"")"),"Téléphone de travail")</f>
        <v>Téléphone de travail</v>
      </c>
    </row>
    <row r="308" spans="1:6" ht="15.75" customHeight="1" x14ac:dyDescent="0.25">
      <c r="A308" s="1" t="s">
        <v>594</v>
      </c>
      <c r="B308" s="1" t="s">
        <v>466</v>
      </c>
      <c r="C308" s="1" t="str">
        <f ca="1">IFERROR(__xludf.DUMMYFUNCTION("GOOGLETRANSLATE(B308,""en"",""ar"")"),"بريد الالكتروني")</f>
        <v>بريد الالكتروني</v>
      </c>
      <c r="D308" s="1" t="str">
        <f ca="1">IFERROR(__xludf.DUMMYFUNCTION("GOOGLETRANSLATE(B308,""en"",""zh-CN"")"),"电子邮件")</f>
        <v>电子邮件</v>
      </c>
      <c r="E308" s="1" t="str">
        <f ca="1">IFERROR(__xludf.DUMMYFUNCTION("GOOGLETRANSLATE(B308,""en"",""ja"")"),"Eメール")</f>
        <v>Eメール</v>
      </c>
      <c r="F308" s="1" t="str">
        <f ca="1">IFERROR(__xludf.DUMMYFUNCTION("GOOGLETRANSLATE(B308,""en"",""fr"")"),"E-mail")</f>
        <v>E-mail</v>
      </c>
    </row>
    <row r="309" spans="1:6" ht="15.75" customHeight="1" x14ac:dyDescent="0.25">
      <c r="A309" s="1" t="s">
        <v>595</v>
      </c>
      <c r="B309" s="1" t="s">
        <v>199</v>
      </c>
      <c r="C309" s="1" t="str">
        <f ca="1">IFERROR(__xludf.DUMMYFUNCTION("GOOGLETRANSLATE(B309,""en"",""ar"")"),"تبوك")</f>
        <v>تبوك</v>
      </c>
      <c r="D309" s="1" t="str">
        <f ca="1">IFERROR(__xludf.DUMMYFUNCTION("GOOGLETRANSLATE(B309,""en"",""zh-CN"")"),"地址")</f>
        <v>地址</v>
      </c>
      <c r="E309" s="1" t="str">
        <f ca="1">IFERROR(__xludf.DUMMYFUNCTION("GOOGLETRANSLATE(B309,""en"",""ja"")"),"住所")</f>
        <v>住所</v>
      </c>
      <c r="F309" s="1" t="str">
        <f ca="1">IFERROR(__xludf.DUMMYFUNCTION("GOOGLETRANSLATE(B309,""en"",""fr"")"),"Adresse")</f>
        <v>Adresse</v>
      </c>
    </row>
    <row r="310" spans="1:6" ht="15.75" customHeight="1" x14ac:dyDescent="0.25">
      <c r="A310" s="1" t="s">
        <v>596</v>
      </c>
      <c r="B310" s="1" t="s">
        <v>597</v>
      </c>
      <c r="C310" s="1" t="str">
        <f ca="1">IFERROR(__xludf.DUMMYFUNCTION("GOOGLETRANSLATE(B310,""en"",""ar"")"),"عنوان العمل")</f>
        <v>عنوان العمل</v>
      </c>
      <c r="D310" s="1" t="str">
        <f ca="1">IFERROR(__xludf.DUMMYFUNCTION("GOOGLETRANSLATE(B310,""en"",""zh-CN"")"),"商业地址")</f>
        <v>商业地址</v>
      </c>
      <c r="E310" s="1" t="str">
        <f ca="1">IFERROR(__xludf.DUMMYFUNCTION("GOOGLETRANSLATE(B310,""en"",""ja"")"),"職場の住所")</f>
        <v>職場の住所</v>
      </c>
      <c r="F310" s="1" t="str">
        <f ca="1">IFERROR(__xludf.DUMMYFUNCTION("GOOGLETRANSLATE(B310,""en"",""fr"")"),"Adresse d'affaires")</f>
        <v>Adresse d'affaires</v>
      </c>
    </row>
    <row r="311" spans="1:6" ht="15.75" customHeight="1" x14ac:dyDescent="0.25">
      <c r="A311" s="1" t="s">
        <v>598</v>
      </c>
      <c r="B311" s="1" t="s">
        <v>599</v>
      </c>
      <c r="C311" s="1" t="str">
        <f ca="1">IFERROR(__xludf.DUMMYFUNCTION("GOOGLETRANSLATE(B311,""en"",""ar"")"),"مدينة")</f>
        <v>مدينة</v>
      </c>
      <c r="D311" s="1" t="str">
        <f ca="1">IFERROR(__xludf.DUMMYFUNCTION("GOOGLETRANSLATE(B311,""en"",""zh-CN"")"),"城市")</f>
        <v>城市</v>
      </c>
      <c r="E311" s="1" t="str">
        <f ca="1">IFERROR(__xludf.DUMMYFUNCTION("GOOGLETRANSLATE(B311,""en"",""ja"")"),"市")</f>
        <v>市</v>
      </c>
      <c r="F311" s="1" t="str">
        <f ca="1">IFERROR(__xludf.DUMMYFUNCTION("GOOGLETRANSLATE(B311,""en"",""fr"")"),"Ville")</f>
        <v>Ville</v>
      </c>
    </row>
    <row r="312" spans="1:6" ht="15.75" customHeight="1" x14ac:dyDescent="0.25">
      <c r="A312" s="1" t="s">
        <v>600</v>
      </c>
      <c r="B312" s="1" t="s">
        <v>601</v>
      </c>
      <c r="C312" s="1" t="str">
        <f ca="1">IFERROR(__xludf.DUMMYFUNCTION("GOOGLETRANSLATE(B312,""en"",""ar"")"),"دولة")</f>
        <v>دولة</v>
      </c>
      <c r="D312" s="1" t="str">
        <f ca="1">IFERROR(__xludf.DUMMYFUNCTION("GOOGLETRANSLATE(B312,""en"",""zh-CN"")"),"国家")</f>
        <v>国家</v>
      </c>
      <c r="E312" s="1" t="str">
        <f ca="1">IFERROR(__xludf.DUMMYFUNCTION("GOOGLETRANSLATE(B312,""en"",""ja"")"),"国")</f>
        <v>国</v>
      </c>
      <c r="F312" s="1" t="str">
        <f ca="1">IFERROR(__xludf.DUMMYFUNCTION("GOOGLETRANSLATE(B312,""en"",""fr"")"),"Pays")</f>
        <v>Pays</v>
      </c>
    </row>
    <row r="313" spans="1:6" ht="15.75" customHeight="1" x14ac:dyDescent="0.25">
      <c r="A313" s="1" t="s">
        <v>602</v>
      </c>
      <c r="B313" s="1" t="s">
        <v>495</v>
      </c>
      <c r="C313" s="1" t="str">
        <f ca="1">IFERROR(__xludf.DUMMYFUNCTION("GOOGLETRANSLATE(B313,""en"",""ar"")"),"عملة")</f>
        <v>عملة</v>
      </c>
      <c r="D313" s="1" t="str">
        <f ca="1">IFERROR(__xludf.DUMMYFUNCTION("GOOGLETRANSLATE(B313,""en"",""zh-CN"")"),"货币")</f>
        <v>货币</v>
      </c>
      <c r="E313" s="1" t="str">
        <f ca="1">IFERROR(__xludf.DUMMYFUNCTION("GOOGLETRANSLATE(B313,""en"",""ja"")"),"通貨")</f>
        <v>通貨</v>
      </c>
      <c r="F313" s="1" t="str">
        <f ca="1">IFERROR(__xludf.DUMMYFUNCTION("GOOGLETRANSLATE(B313,""en"",""fr"")"),"Devise")</f>
        <v>Devise</v>
      </c>
    </row>
    <row r="314" spans="1:6" ht="15.75" customHeight="1" x14ac:dyDescent="0.25">
      <c r="A314" s="1" t="s">
        <v>603</v>
      </c>
      <c r="B314" s="1" t="s">
        <v>604</v>
      </c>
      <c r="C314" s="1" t="str">
        <f ca="1">IFERROR(__xludf.DUMMYFUNCTION("GOOGLETRANSLATE(B314,""en"",""ar"")"),"كلمة المرور")</f>
        <v>كلمة المرور</v>
      </c>
      <c r="D314" s="1" t="str">
        <f ca="1">IFERROR(__xludf.DUMMYFUNCTION("GOOGLETRANSLATE(B314,""en"",""zh-CN"")"),"密码")</f>
        <v>密码</v>
      </c>
      <c r="E314" s="1" t="str">
        <f ca="1">IFERROR(__xludf.DUMMYFUNCTION("GOOGLETRANSLATE(B314,""en"",""ja"")"),"パスワード")</f>
        <v>パスワード</v>
      </c>
      <c r="F314" s="1" t="str">
        <f ca="1">IFERROR(__xludf.DUMMYFUNCTION("GOOGLETRANSLATE(B314,""en"",""fr"")"),"Mot de passe")</f>
        <v>Mot de passe</v>
      </c>
    </row>
    <row r="315" spans="1:6" ht="15.75" customHeight="1" x14ac:dyDescent="0.25">
      <c r="A315" s="1" t="s">
        <v>605</v>
      </c>
      <c r="B315" s="1" t="s">
        <v>606</v>
      </c>
      <c r="C315" s="1" t="str">
        <f ca="1">IFERROR(__xludf.DUMMYFUNCTION("GOOGLETRANSLATE(B315,""en"",""ar"")"),"تعيين كلمة مرور المسؤول")</f>
        <v>تعيين كلمة مرور المسؤول</v>
      </c>
      <c r="D315" s="1" t="str">
        <f ca="1">IFERROR(__xludf.DUMMYFUNCTION("GOOGLETRANSLATE(B315,""en"",""zh-CN"")"),"设置管理员密码")</f>
        <v>设置管理员密码</v>
      </c>
      <c r="E315" s="1" t="str">
        <f ca="1">IFERROR(__xludf.DUMMYFUNCTION("GOOGLETRANSLATE(B315,""en"",""ja"")"),"管理者パスワードを設定します")</f>
        <v>管理者パスワードを設定します</v>
      </c>
      <c r="F315" s="1" t="str">
        <f ca="1">IFERROR(__xludf.DUMMYFUNCTION("GOOGLETRANSLATE(B315,""en"",""fr"")"),"Définir le mot de passe administrateur")</f>
        <v>Définir le mot de passe administrateur</v>
      </c>
    </row>
    <row r="316" spans="1:6" ht="15.75" customHeight="1" x14ac:dyDescent="0.25">
      <c r="A316" s="1" t="s">
        <v>607</v>
      </c>
      <c r="B316" s="1" t="s">
        <v>608</v>
      </c>
      <c r="C316" s="1" t="str">
        <f ca="1">IFERROR(__xludf.DUMMYFUNCTION("GOOGLETRANSLATE(B316,""en"",""ar"")"),"نوع الخصم")</f>
        <v>نوع الخصم</v>
      </c>
      <c r="D316" s="1" t="str">
        <f ca="1">IFERROR(__xludf.DUMMYFUNCTION("GOOGLETRANSLATE(B316,""en"",""zh-CN"")"),"折扣类型")</f>
        <v>折扣类型</v>
      </c>
      <c r="E316" s="1" t="str">
        <f ca="1">IFERROR(__xludf.DUMMYFUNCTION("GOOGLETRANSLATE(B316,""en"",""ja"")"),"割引タイプ")</f>
        <v>割引タイプ</v>
      </c>
      <c r="F316" s="1" t="str">
        <f ca="1">IFERROR(__xludf.DUMMYFUNCTION("GOOGLETRANSLATE(B316,""en"",""fr"")"),"Type de réduction")</f>
        <v>Type de réduction</v>
      </c>
    </row>
    <row r="317" spans="1:6" ht="15.75" customHeight="1" x14ac:dyDescent="0.25">
      <c r="A317" s="1" t="s">
        <v>609</v>
      </c>
      <c r="B317" s="1" t="s">
        <v>610</v>
      </c>
      <c r="C317" s="1" t="str">
        <f ca="1">IFERROR(__xludf.DUMMYFUNCTION("GOOGLETRANSLATE(B317,""en"",""ar"")"),"تغيير كلمة المرور المسؤول")</f>
        <v>تغيير كلمة المرور المسؤول</v>
      </c>
      <c r="D317" s="1" t="str">
        <f ca="1">IFERROR(__xludf.DUMMYFUNCTION("GOOGLETRANSLATE(B317,""en"",""zh-CN"")"),"更改管理员密码")</f>
        <v>更改管理员密码</v>
      </c>
      <c r="E317" s="1" t="str">
        <f ca="1">IFERROR(__xludf.DUMMYFUNCTION("GOOGLETRANSLATE(B317,""en"",""ja"")"),"管理者パスワードを変更してください")</f>
        <v>管理者パスワードを変更してください</v>
      </c>
      <c r="F317" s="1" t="str">
        <f ca="1">IFERROR(__xludf.DUMMYFUNCTION("GOOGLETRANSLATE(B317,""en"",""fr"")"),"Modifier le mot de passe administrateur")</f>
        <v>Modifier le mot de passe administrateur</v>
      </c>
    </row>
    <row r="318" spans="1:6" ht="15.75" customHeight="1" x14ac:dyDescent="0.25">
      <c r="A318" s="1" t="s">
        <v>611</v>
      </c>
      <c r="B318" s="1" t="s">
        <v>612</v>
      </c>
      <c r="C318" s="1" t="str">
        <f ca="1">IFERROR(__xludf.DUMMYFUNCTION("GOOGLETRANSLATE(B318,""en"",""ar"")"),"فاتورة رسالة تذييل الرسالة")</f>
        <v>فاتورة رسالة تذييل الرسالة</v>
      </c>
      <c r="D318" s="1" t="str">
        <f ca="1">IFERROR(__xludf.DUMMYFUNCTION("GOOGLETRANSLATE(B318,""en"",""zh-CN"")"),"发票页脚消息")</f>
        <v>发票页脚消息</v>
      </c>
      <c r="E318" s="1" t="str">
        <f ca="1">IFERROR(__xludf.DUMMYFUNCTION("GOOGLETRANSLATE(B318,""en"",""ja"")"),"請求書フッターメッセージ")</f>
        <v>請求書フッターメッセージ</v>
      </c>
      <c r="F318" s="1" t="str">
        <f ca="1">IFERROR(__xludf.DUMMYFUNCTION("GOOGLETRANSLATE(B318,""en"",""fr"")"),"Pied de page de facture")</f>
        <v>Pied de page de facture</v>
      </c>
    </row>
    <row r="319" spans="1:6" ht="15.75" customHeight="1" x14ac:dyDescent="0.25">
      <c r="A319" s="1" t="s">
        <v>613</v>
      </c>
      <c r="B319" s="1" t="s">
        <v>400</v>
      </c>
      <c r="C319" s="1" t="str">
        <f ca="1">IFERROR(__xludf.DUMMYFUNCTION("GOOGLETRANSLATE(B319,""en"",""ar"")"),"لغة")</f>
        <v>لغة</v>
      </c>
      <c r="D319" s="1" t="str">
        <f ca="1">IFERROR(__xludf.DUMMYFUNCTION("GOOGLETRANSLATE(B319,""en"",""zh-CN"")"),"语")</f>
        <v>语</v>
      </c>
      <c r="E319" s="1" t="str">
        <f ca="1">IFERROR(__xludf.DUMMYFUNCTION("GOOGLETRANSLATE(B319,""en"",""ja"")"),"言語")</f>
        <v>言語</v>
      </c>
      <c r="F319" s="1" t="str">
        <f ca="1">IFERROR(__xludf.DUMMYFUNCTION("GOOGLETRANSLATE(B319,""en"",""fr"")"),"Langue")</f>
        <v>Langue</v>
      </c>
    </row>
    <row r="320" spans="1:6" ht="15.75" customHeight="1" x14ac:dyDescent="0.25">
      <c r="A320" s="1" t="s">
        <v>614</v>
      </c>
      <c r="B320" s="1" t="s">
        <v>615</v>
      </c>
      <c r="C320" s="1" t="str">
        <f ca="1">IFERROR(__xludf.DUMMYFUNCTION("GOOGLETRANSLATE(B320,""en"",""ar"")"),"وضع أمين الصندوق متعددة")</f>
        <v>وضع أمين الصندوق متعددة</v>
      </c>
      <c r="D320" s="1" t="str">
        <f ca="1">IFERROR(__xludf.DUMMYFUNCTION("GOOGLETRANSLATE(B320,""en"",""zh-CN"")"),"多个收银员模式")</f>
        <v>多个收银员模式</v>
      </c>
      <c r="E320" s="1" t="str">
        <f ca="1">IFERROR(__xludf.DUMMYFUNCTION("GOOGLETRANSLATE(B320,""en"",""ja"")"),"複数のレジ係モード")</f>
        <v>複数のレジ係モード</v>
      </c>
      <c r="F320" s="1" t="str">
        <f ca="1">IFERROR(__xludf.DUMMYFUNCTION("GOOGLETRANSLATE(B320,""en"",""fr"")"),"Mode de caissier multiple")</f>
        <v>Mode de caissier multiple</v>
      </c>
    </row>
    <row r="321" spans="1:6" ht="15.75" customHeight="1" x14ac:dyDescent="0.25">
      <c r="A321" s="1" t="s">
        <v>616</v>
      </c>
      <c r="B321" s="1" t="s">
        <v>617</v>
      </c>
      <c r="C321" s="1" t="str">
        <f ca="1">IFERROR(__xludf.DUMMYFUNCTION("GOOGLETRANSLATE(B321,""en"",""ar"")"),"رقم الخط الطباعة في الإيصالات")</f>
        <v>رقم الخط الطباعة في الإيصالات</v>
      </c>
      <c r="D321" s="1" t="str">
        <f ca="1">IFERROR(__xludf.DUMMYFUNCTION("GOOGLETRANSLATE(B321,""en"",""zh-CN"")"),"在收据中打印行号")</f>
        <v>在收据中打印行号</v>
      </c>
      <c r="E321" s="1" t="str">
        <f ca="1">IFERROR(__xludf.DUMMYFUNCTION("GOOGLETRANSLATE(B321,""en"",""ja"")"),"領収書の行番号を印刷します")</f>
        <v>領収書の行番号を印刷します</v>
      </c>
      <c r="F321" s="1" t="str">
        <f ca="1">IFERROR(__xludf.DUMMYFUNCTION("GOOGLETRANSLATE(B321,""en"",""fr"")"),"Numéro de ligne d'impression dans les reçus")</f>
        <v>Numéro de ligne d'impression dans les reçus</v>
      </c>
    </row>
    <row r="322" spans="1:6" ht="15.75" customHeight="1" x14ac:dyDescent="0.25">
      <c r="A322" s="1" t="s">
        <v>618</v>
      </c>
      <c r="B322" s="1" t="s">
        <v>619</v>
      </c>
      <c r="C322" s="1" t="str">
        <f ca="1">IFERROR(__xludf.DUMMYFUNCTION("GOOGLETRANSLATE(B322,""en"",""ar"")"),"خيار الباركود")</f>
        <v>خيار الباركود</v>
      </c>
      <c r="D322" s="1" t="str">
        <f ca="1">IFERROR(__xludf.DUMMYFUNCTION("GOOGLETRANSLATE(B322,""en"",""zh-CN"")"),"条形码选项")</f>
        <v>条形码选项</v>
      </c>
      <c r="E322" s="1" t="str">
        <f ca="1">IFERROR(__xludf.DUMMYFUNCTION("GOOGLETRANSLATE(B322,""en"",""ja"")"),"バーコードオプション")</f>
        <v>バーコードオプション</v>
      </c>
      <c r="F322" s="1" t="str">
        <f ca="1">IFERROR(__xludf.DUMMYFUNCTION("GOOGLETRANSLATE(B322,""en"",""fr"")"),"Option de code à barres")</f>
        <v>Option de code à barres</v>
      </c>
    </row>
    <row r="323" spans="1:6" ht="15.75" customHeight="1" x14ac:dyDescent="0.25">
      <c r="A323" s="1" t="s">
        <v>620</v>
      </c>
      <c r="B323" s="1" t="s">
        <v>621</v>
      </c>
      <c r="C323" s="1" t="str">
        <f ca="1">IFERROR(__xludf.DUMMYFUNCTION("GOOGLETRANSLATE(B323,""en"",""ar"")"),"بيانات المستخدم")</f>
        <v>بيانات المستخدم</v>
      </c>
      <c r="D323" s="1" t="str">
        <f ca="1">IFERROR(__xludf.DUMMYFUNCTION("GOOGLETRANSLATE(B323,""en"",""zh-CN"")"),"用户详细信息")</f>
        <v>用户详细信息</v>
      </c>
      <c r="E323" s="1" t="str">
        <f ca="1">IFERROR(__xludf.DUMMYFUNCTION("GOOGLETRANSLATE(B323,""en"",""ja"")"),"ユーザーの詳細")</f>
        <v>ユーザーの詳細</v>
      </c>
      <c r="F323" s="1" t="str">
        <f ca="1">IFERROR(__xludf.DUMMYFUNCTION("GOOGLETRANSLATE(B323,""en"",""fr"")"),"Détails des utilisateurs")</f>
        <v>Détails des utilisateurs</v>
      </c>
    </row>
    <row r="324" spans="1:6" ht="15.75" customHeight="1" x14ac:dyDescent="0.25">
      <c r="A324" s="1" t="s">
        <v>622</v>
      </c>
      <c r="B324" s="1" t="s">
        <v>623</v>
      </c>
      <c r="C324" s="1" t="str">
        <f ca="1">IFERROR(__xludf.DUMMYFUNCTION("GOOGLETRANSLATE(B324,""en"",""ar"")"),"تفاصيل البرنامج")</f>
        <v>تفاصيل البرنامج</v>
      </c>
      <c r="D324" s="1" t="str">
        <f ca="1">IFERROR(__xludf.DUMMYFUNCTION("GOOGLETRANSLATE(B324,""en"",""zh-CN"")"),"软件详细信息")</f>
        <v>软件详细信息</v>
      </c>
      <c r="E324" s="1" t="str">
        <f ca="1">IFERROR(__xludf.DUMMYFUNCTION("GOOGLETRANSLATE(B324,""en"",""ja"")"),"ソフトウェアの詳細")</f>
        <v>ソフトウェアの詳細</v>
      </c>
      <c r="F324" s="1" t="str">
        <f ca="1">IFERROR(__xludf.DUMMYFUNCTION("GOOGLETRANSLATE(B324,""en"",""fr"")"),"Détails du logiciel")</f>
        <v>Détails du logiciel</v>
      </c>
    </row>
    <row r="325" spans="1:6" ht="15.75" customHeight="1" x14ac:dyDescent="0.25">
      <c r="A325" s="1" t="s">
        <v>624</v>
      </c>
      <c r="B325" s="1" t="s">
        <v>625</v>
      </c>
      <c r="C325" s="1" t="str">
        <f ca="1">IFERROR(__xludf.DUMMYFUNCTION("GOOGLETRANSLATE(B325,""en"",""ar"")"),"تفاصيل بوابة الويب")</f>
        <v>تفاصيل بوابة الويب</v>
      </c>
      <c r="D325" s="1" t="str">
        <f ca="1">IFERROR(__xludf.DUMMYFUNCTION("GOOGLETRANSLATE(B325,""en"",""zh-CN"")"),"网络门户详细信息")</f>
        <v>网络门户详细信息</v>
      </c>
      <c r="E325" s="1" t="str">
        <f ca="1">IFERROR(__xludf.DUMMYFUNCTION("GOOGLETRANSLATE(B325,""en"",""ja"")"),"Webポータルの詳細")</f>
        <v>Webポータルの詳細</v>
      </c>
      <c r="F325" s="1" t="str">
        <f ca="1">IFERROR(__xludf.DUMMYFUNCTION("GOOGLETRANSLATE(B325,""en"",""fr"")"),"Détails du portail Web")</f>
        <v>Détails du portail Web</v>
      </c>
    </row>
    <row r="326" spans="1:6" ht="15.75" customHeight="1" x14ac:dyDescent="0.25">
      <c r="A326" s="1" t="s">
        <v>626</v>
      </c>
      <c r="B326" s="1" t="s">
        <v>627</v>
      </c>
      <c r="C326" s="1" t="str">
        <f ca="1">IFERROR(__xludf.DUMMYFUNCTION("GOOGLETRANSLATE(B326,""en"",""ar"")"),"هاتف")</f>
        <v>هاتف</v>
      </c>
      <c r="D326" s="1" t="str">
        <f ca="1">IFERROR(__xludf.DUMMYFUNCTION("GOOGLETRANSLATE(B326,""en"",""zh-CN"")"),"电话")</f>
        <v>电话</v>
      </c>
      <c r="E326" s="1" t="str">
        <f ca="1">IFERROR(__xludf.DUMMYFUNCTION("GOOGLETRANSLATE(B326,""en"",""ja"")"),"電話")</f>
        <v>電話</v>
      </c>
      <c r="F326" s="1" t="str">
        <f ca="1">IFERROR(__xludf.DUMMYFUNCTION("GOOGLETRANSLATE(B326,""en"",""fr"")"),"Téléphone")</f>
        <v>Téléphone</v>
      </c>
    </row>
    <row r="327" spans="1:6" ht="15.75" customHeight="1" x14ac:dyDescent="0.25">
      <c r="A327" s="1" t="s">
        <v>628</v>
      </c>
      <c r="B327" s="1" t="s">
        <v>629</v>
      </c>
      <c r="C327" s="1" t="str">
        <f ca="1">IFERROR(__xludf.DUMMYFUNCTION("GOOGLETRANSLATE(B327,""en"",""ar"")"),"اضبط كلمة مرور المسؤول")</f>
        <v>اضبط كلمة مرور المسؤول</v>
      </c>
      <c r="D327" s="1" t="str">
        <f ca="1">IFERROR(__xludf.DUMMYFUNCTION("GOOGLETRANSLATE(B327,""en"",""zh-CN"")"),"设置管理员密码")</f>
        <v>设置管理员密码</v>
      </c>
      <c r="E327" s="1" t="str">
        <f ca="1">IFERROR(__xludf.DUMMYFUNCTION("GOOGLETRANSLATE(B327,""en"",""ja"")"),"管理者パスワードを設定します")</f>
        <v>管理者パスワードを設定します</v>
      </c>
      <c r="F327" s="1" t="str">
        <f ca="1">IFERROR(__xludf.DUMMYFUNCTION("GOOGLETRANSLATE(B327,""en"",""fr"")"),"Définir le mot de passe administrateur")</f>
        <v>Définir le mot de passe administrateur</v>
      </c>
    </row>
    <row r="328" spans="1:6" ht="15.75" customHeight="1" x14ac:dyDescent="0.25">
      <c r="A328" s="1" t="s">
        <v>630</v>
      </c>
      <c r="B328" s="1" t="s">
        <v>631</v>
      </c>
      <c r="C328" s="1" t="str">
        <f ca="1">IFERROR(__xludf.DUMMYFUNCTION("GOOGLETRANSLATE(B328,""en"",""ar"")"),"كلمة المرور غير مطابقة. حاول مجددا")</f>
        <v>كلمة المرور غير مطابقة. حاول مجددا</v>
      </c>
      <c r="D328" s="1" t="str">
        <f ca="1">IFERROR(__xludf.DUMMYFUNCTION("GOOGLETRANSLATE(B328,""en"",""zh-CN"")"),"密码不匹配。再试一次")</f>
        <v>密码不匹配。再试一次</v>
      </c>
      <c r="E328" s="1" t="str">
        <f ca="1">IFERROR(__xludf.DUMMYFUNCTION("GOOGLETRANSLATE(B328,""en"",""ja"")"),"パスワードが一致していません。再試行")</f>
        <v>パスワードが一致していません。再試行</v>
      </c>
      <c r="F328" s="1" t="str">
        <f ca="1">IFERROR(__xludf.DUMMYFUNCTION("GOOGLETRANSLATE(B328,""en"",""fr"")"),"Les mots de passe ne correspondent pas. Essayer à nouveau")</f>
        <v>Les mots de passe ne correspondent pas. Essayer à nouveau</v>
      </c>
    </row>
    <row r="329" spans="1:6" ht="15.75" customHeight="1" x14ac:dyDescent="0.25">
      <c r="A329" s="1" t="s">
        <v>632</v>
      </c>
      <c r="B329" s="1" t="s">
        <v>633</v>
      </c>
      <c r="C329" s="1" t="str">
        <f ca="1">IFERROR(__xludf.DUMMYFUNCTION("GOOGLETRANSLATE(B329,""en"",""ar"")"),"بعد تعيين كلمة المرور، سيتم تمكينه تلقائيا في واجهة تسجيل الدخول")</f>
        <v>بعد تعيين كلمة المرور، سيتم تمكينه تلقائيا في واجهة تسجيل الدخول</v>
      </c>
      <c r="D329" s="1" t="str">
        <f ca="1">IFERROR(__xludf.DUMMYFUNCTION("GOOGLETRANSLATE(B329,""en"",""zh-CN"")"),"设置密码后，它将在登录界面中自动启用")</f>
        <v>设置密码后，它将在登录界面中自动启用</v>
      </c>
      <c r="E329" s="1" t="str">
        <f ca="1">IFERROR(__xludf.DUMMYFUNCTION("GOOGLETRANSLATE(B329,""en"",""ja"")"),"パスワードを設定した後、ログインインターフェイスで自動的に有効になります")</f>
        <v>パスワードを設定した後、ログインインターフェイスで自動的に有効になります</v>
      </c>
      <c r="F329" s="1" t="str">
        <f ca="1">IFERROR(__xludf.DUMMYFUNCTION("GOOGLETRANSLATE(B329,""en"",""fr"")"),"Après avoir défini le mot de passe, il sera automatiquement activé dans l'interface de connexion.")</f>
        <v>Après avoir défini le mot de passe, il sera automatiquement activé dans l'interface de connexion.</v>
      </c>
    </row>
    <row r="330" spans="1:6" ht="15.75" customHeight="1" x14ac:dyDescent="0.25">
      <c r="A330" s="1" t="s">
        <v>634</v>
      </c>
      <c r="B330" s="1" t="s">
        <v>635</v>
      </c>
      <c r="C330" s="1" t="str">
        <f ca="1">IFERROR(__xludf.DUMMYFUNCTION("GOOGLETRANSLATE(B330,""en"",""ar"")"),"تقديم كلمة مرور")</f>
        <v>تقديم كلمة مرور</v>
      </c>
      <c r="D330" s="1" t="str">
        <f ca="1">IFERROR(__xludf.DUMMYFUNCTION("GOOGLETRANSLATE(B330,""en"",""zh-CN"")"),"提供密码")</f>
        <v>提供密码</v>
      </c>
      <c r="E330" s="1" t="str">
        <f ca="1">IFERROR(__xludf.DUMMYFUNCTION("GOOGLETRANSLATE(B330,""en"",""ja"")"),"パスワードを入力してください")</f>
        <v>パスワードを入力してください</v>
      </c>
      <c r="F330" s="1" t="str">
        <f ca="1">IFERROR(__xludf.DUMMYFUNCTION("GOOGLETRANSLATE(B330,""en"",""fr"")"),"Fournir un mot de passe")</f>
        <v>Fournir un mot de passe</v>
      </c>
    </row>
    <row r="331" spans="1:6" ht="15.75" customHeight="1" x14ac:dyDescent="0.25">
      <c r="A331" s="1" t="s">
        <v>636</v>
      </c>
      <c r="B331" s="1" t="s">
        <v>637</v>
      </c>
      <c r="C331" s="1" t="str">
        <f ca="1">IFERROR(__xludf.DUMMYFUNCTION("GOOGLETRANSLATE(B331,""en"",""ar"")"),"تأكيد كلمة المرور")</f>
        <v>تأكيد كلمة المرور</v>
      </c>
      <c r="D331" s="1" t="str">
        <f ca="1">IFERROR(__xludf.DUMMYFUNCTION("GOOGLETRANSLATE(B331,""en"",""zh-CN"")"),"确认密码")</f>
        <v>确认密码</v>
      </c>
      <c r="E331" s="1" t="str">
        <f ca="1">IFERROR(__xludf.DUMMYFUNCTION("GOOGLETRANSLATE(B331,""en"",""ja"")"),"パスワードを確認してください")</f>
        <v>パスワードを確認してください</v>
      </c>
      <c r="F331" s="1" t="str">
        <f ca="1">IFERROR(__xludf.DUMMYFUNCTION("GOOGLETRANSLATE(B331,""en"",""fr"")"),"Confirmez le mot de passe")</f>
        <v>Confirmez le mot de passe</v>
      </c>
    </row>
    <row r="332" spans="1:6" ht="15.75" customHeight="1" x14ac:dyDescent="0.25">
      <c r="A332" s="1" t="s">
        <v>638</v>
      </c>
      <c r="B332" s="1" t="s">
        <v>639</v>
      </c>
      <c r="C332" s="1" t="str">
        <f ca="1">IFERROR(__xludf.DUMMYFUNCTION("GOOGLETRANSLATE(B332,""en"",""ar"")"),"يتم إنشاء كلمة مرور المسؤول بنجاح")</f>
        <v>يتم إنشاء كلمة مرور المسؤول بنجاح</v>
      </c>
      <c r="D332" s="1" t="str">
        <f ca="1">IFERROR(__xludf.DUMMYFUNCTION("GOOGLETRANSLATE(B332,""en"",""zh-CN"")"),"管理密码已成功创建")</f>
        <v>管理密码已成功创建</v>
      </c>
      <c r="E332" s="1" t="str">
        <f ca="1">IFERROR(__xludf.DUMMYFUNCTION("GOOGLETRANSLATE(B332,""en"",""ja"")"),"管理者パスワードは正常に作成されます")</f>
        <v>管理者パスワードは正常に作成されます</v>
      </c>
      <c r="F332" s="1" t="str">
        <f ca="1">IFERROR(__xludf.DUMMYFUNCTION("GOOGLETRANSLATE(B332,""en"",""fr"")"),"Le mot de passe administrateur est créé avec succès")</f>
        <v>Le mot de passe administrateur est créé avec succès</v>
      </c>
    </row>
    <row r="333" spans="1:6" ht="15.75" customHeight="1" x14ac:dyDescent="0.25">
      <c r="A333" s="1" t="s">
        <v>640</v>
      </c>
      <c r="B333" s="1" t="s">
        <v>641</v>
      </c>
      <c r="C333" s="1" t="str">
        <f ca="1">IFERROR(__xludf.DUMMYFUNCTION("GOOGLETRANSLATE(B333,""en"",""ar"")"),"تعيينه الآن")</f>
        <v>تعيينه الآن</v>
      </c>
      <c r="D333" s="1" t="str">
        <f ca="1">IFERROR(__xludf.DUMMYFUNCTION("GOOGLETRANSLATE(B333,""en"",""zh-CN"")"),"立即设置")</f>
        <v>立即设置</v>
      </c>
      <c r="E333" s="1" t="str">
        <f ca="1">IFERROR(__xludf.DUMMYFUNCTION("GOOGLETRANSLATE(B333,""en"",""ja"")"),"今それを設定してください")</f>
        <v>今それを設定してください</v>
      </c>
      <c r="F333" s="1" t="str">
        <f ca="1">IFERROR(__xludf.DUMMYFUNCTION("GOOGLETRANSLATE(B333,""en"",""fr"")"),"Définissez-le maintenant")</f>
        <v>Définissez-le maintenant</v>
      </c>
    </row>
    <row r="334" spans="1:6" ht="15.75" customHeight="1" x14ac:dyDescent="0.25">
      <c r="A334" s="1" t="s">
        <v>642</v>
      </c>
      <c r="B334" s="1" t="s">
        <v>643</v>
      </c>
      <c r="C334" s="1" t="str">
        <f ca="1">IFERROR(__xludf.DUMMYFUNCTION("GOOGLETRANSLATE(B334,""en"",""ar"")"),"تغيير كلمة المرور")</f>
        <v>تغيير كلمة المرور</v>
      </c>
      <c r="D334" s="1" t="str">
        <f ca="1">IFERROR(__xludf.DUMMYFUNCTION("GOOGLETRANSLATE(B334,""en"",""zh-CN"")"),"更改密码")</f>
        <v>更改密码</v>
      </c>
      <c r="E334" s="1" t="str">
        <f ca="1">IFERROR(__xludf.DUMMYFUNCTION("GOOGLETRANSLATE(B334,""en"",""ja"")"),"パスワードを変更する")</f>
        <v>パスワードを変更する</v>
      </c>
      <c r="F334" s="1" t="str">
        <f ca="1">IFERROR(__xludf.DUMMYFUNCTION("GOOGLETRANSLATE(B334,""en"",""fr"")"),"Changer le mot de passe")</f>
        <v>Changer le mot de passe</v>
      </c>
    </row>
    <row r="335" spans="1:6" ht="15.75" customHeight="1" x14ac:dyDescent="0.25">
      <c r="A335" s="1" t="s">
        <v>644</v>
      </c>
      <c r="B335" s="1" t="s">
        <v>645</v>
      </c>
      <c r="C335" s="1" t="str">
        <f ca="1">IFERROR(__xludf.DUMMYFUNCTION("GOOGLETRANSLATE(B335,""en"",""ar"")"),"كلمة السر الجديدة")</f>
        <v>كلمة السر الجديدة</v>
      </c>
      <c r="D335" s="1" t="str">
        <f ca="1">IFERROR(__xludf.DUMMYFUNCTION("GOOGLETRANSLATE(B335,""en"",""zh-CN"")"),"新密码")</f>
        <v>新密码</v>
      </c>
      <c r="E335" s="1" t="str">
        <f ca="1">IFERROR(__xludf.DUMMYFUNCTION("GOOGLETRANSLATE(B335,""en"",""ja"")"),"新しいパスワード")</f>
        <v>新しいパスワード</v>
      </c>
      <c r="F335" s="1" t="str">
        <f ca="1">IFERROR(__xludf.DUMMYFUNCTION("GOOGLETRANSLATE(B335,""en"",""fr"")"),"nouveau mot de passe")</f>
        <v>nouveau mot de passe</v>
      </c>
    </row>
    <row r="336" spans="1:6" ht="15.75" customHeight="1" x14ac:dyDescent="0.25">
      <c r="A336" s="1" t="s">
        <v>646</v>
      </c>
      <c r="B336" s="1" t="s">
        <v>647</v>
      </c>
      <c r="C336" s="1" t="str">
        <f ca="1">IFERROR(__xludf.DUMMYFUNCTION("GOOGLETRANSLATE(B336,""en"",""ar"")"),"كلمة سر قديمة")</f>
        <v>كلمة سر قديمة</v>
      </c>
      <c r="D336" s="1" t="str">
        <f ca="1">IFERROR(__xludf.DUMMYFUNCTION("GOOGLETRANSLATE(B336,""en"",""zh-CN"")"),"旧密码")</f>
        <v>旧密码</v>
      </c>
      <c r="E336" s="1" t="str">
        <f ca="1">IFERROR(__xludf.DUMMYFUNCTION("GOOGLETRANSLATE(B336,""en"",""ja"")"),"以前のパスワード")</f>
        <v>以前のパスワード</v>
      </c>
      <c r="F336" s="1" t="str">
        <f ca="1">IFERROR(__xludf.DUMMYFUNCTION("GOOGLETRANSLATE(B336,""en"",""fr"")"),"ancien mot de passe")</f>
        <v>ancien mot de passe</v>
      </c>
    </row>
    <row r="337" spans="1:6" ht="15.75" customHeight="1" x14ac:dyDescent="0.25">
      <c r="A337" s="1" t="s">
        <v>648</v>
      </c>
      <c r="B337" s="1" t="s">
        <v>637</v>
      </c>
      <c r="C337" s="1" t="str">
        <f ca="1">IFERROR(__xludf.DUMMYFUNCTION("GOOGLETRANSLATE(B337,""en"",""ar"")"),"تأكيد كلمة المرور")</f>
        <v>تأكيد كلمة المرور</v>
      </c>
      <c r="D337" s="1" t="str">
        <f ca="1">IFERROR(__xludf.DUMMYFUNCTION("GOOGLETRANSLATE(B337,""en"",""zh-CN"")"),"确认密码")</f>
        <v>确认密码</v>
      </c>
      <c r="E337" s="1" t="str">
        <f ca="1">IFERROR(__xludf.DUMMYFUNCTION("GOOGLETRANSLATE(B337,""en"",""ja"")"),"パスワードを確認してください")</f>
        <v>パスワードを確認してください</v>
      </c>
      <c r="F337" s="1" t="str">
        <f ca="1">IFERROR(__xludf.DUMMYFUNCTION("GOOGLETRANSLATE(B337,""en"",""fr"")"),"Confirmez le mot de passe")</f>
        <v>Confirmez le mot de passe</v>
      </c>
    </row>
    <row r="338" spans="1:6" ht="15.75" customHeight="1" x14ac:dyDescent="0.25">
      <c r="A338" s="1" t="s">
        <v>649</v>
      </c>
      <c r="B338" s="1" t="s">
        <v>650</v>
      </c>
      <c r="C338" s="1" t="str">
        <f ca="1">IFERROR(__xludf.DUMMYFUNCTION("GOOGLETRANSLATE(B338,""en"",""ar"")"),"تم تغيير كلمة المرور بنجاح")</f>
        <v>تم تغيير كلمة المرور بنجاح</v>
      </c>
      <c r="D338" s="1" t="str">
        <f ca="1">IFERROR(__xludf.DUMMYFUNCTION("GOOGLETRANSLATE(B338,""en"",""zh-CN"")"),"密码已成功更改")</f>
        <v>密码已成功更改</v>
      </c>
      <c r="E338" s="1" t="str">
        <f ca="1">IFERROR(__xludf.DUMMYFUNCTION("GOOGLETRANSLATE(B338,""en"",""ja"")"),"パスワードは正常に変更されました")</f>
        <v>パスワードは正常に変更されました</v>
      </c>
      <c r="F338" s="1" t="str">
        <f ca="1">IFERROR(__xludf.DUMMYFUNCTION("GOOGLETRANSLATE(B338,""en"",""fr"")"),"Le mot de passe a été modifié avec succès")</f>
        <v>Le mot de passe a été modifié avec succès</v>
      </c>
    </row>
    <row r="339" spans="1:6" ht="15.75" customHeight="1" x14ac:dyDescent="0.25">
      <c r="A339" s="1" t="s">
        <v>651</v>
      </c>
      <c r="B339" s="1" t="s">
        <v>652</v>
      </c>
      <c r="C339" s="1" t="str">
        <f ca="1">IFERROR(__xludf.DUMMYFUNCTION("GOOGLETRANSLATE(B339,""en"",""ar"")"),"كلمة المرور غير متطابقة، حاول مرة أخرى")</f>
        <v>كلمة المرور غير متطابقة، حاول مرة أخرى</v>
      </c>
      <c r="D339" s="1" t="str">
        <f ca="1">IFERROR(__xludf.DUMMYFUNCTION("GOOGLETRANSLATE(B339,""en"",""zh-CN"")"),"密码不匹配，再试一次")</f>
        <v>密码不匹配，再试一次</v>
      </c>
      <c r="E339" s="1" t="str">
        <f ca="1">IFERROR(__xludf.DUMMYFUNCTION("GOOGLETRANSLATE(B339,""en"",""ja"")"),"パスワードが一致しない、もう一度やり直してください")</f>
        <v>パスワードが一致しない、もう一度やり直してください</v>
      </c>
      <c r="F339" s="1" t="str">
        <f ca="1">IFERROR(__xludf.DUMMYFUNCTION("GOOGLETRANSLATE(B339,""en"",""fr"")"),"Mot de passe ne correspond pas, essayez à nouveau")</f>
        <v>Mot de passe ne correspond pas, essayez à nouveau</v>
      </c>
    </row>
    <row r="340" spans="1:6" ht="15.75" customHeight="1" x14ac:dyDescent="0.25">
      <c r="A340" s="1" t="s">
        <v>653</v>
      </c>
      <c r="B340" s="1" t="s">
        <v>654</v>
      </c>
      <c r="C340" s="1" t="str">
        <f ca="1">IFERROR(__xludf.DUMMYFUNCTION("GOOGLETRANSLATE(B340,""en"",""ar"")"),"كلمة السر القديمة غير صحيحة")</f>
        <v>كلمة السر القديمة غير صحيحة</v>
      </c>
      <c r="D340" s="1" t="str">
        <f ca="1">IFERROR(__xludf.DUMMYFUNCTION("GOOGLETRANSLATE(B340,""en"",""zh-CN"")"),"旧密码不正确")</f>
        <v>旧密码不正确</v>
      </c>
      <c r="E340" s="1" t="str">
        <f ca="1">IFERROR(__xludf.DUMMYFUNCTION("GOOGLETRANSLATE(B340,""en"",""ja"")"),"古いパスワードが正しくありません")</f>
        <v>古いパスワードが正しくありません</v>
      </c>
      <c r="F340" s="1" t="str">
        <f ca="1">IFERROR(__xludf.DUMMYFUNCTION("GOOGLETRANSLATE(B340,""en"",""fr"")"),"Mot de passe ancien incorrect")</f>
        <v>Mot de passe ancien incorrect</v>
      </c>
    </row>
    <row r="341" spans="1:6" ht="15.75" customHeight="1" x14ac:dyDescent="0.25">
      <c r="A341" s="1" t="s">
        <v>655</v>
      </c>
      <c r="B341" s="1" t="s">
        <v>656</v>
      </c>
      <c r="C341" s="1" t="str">
        <f ca="1">IFERROR(__xludf.DUMMYFUNCTION("GOOGLETRANSLATE(B341,""en"",""ar"")"),"كود المنتج")</f>
        <v>كود المنتج</v>
      </c>
      <c r="D341" s="1" t="str">
        <f ca="1">IFERROR(__xludf.DUMMYFUNCTION("GOOGLETRANSLATE(B341,""en"",""zh-CN"")"),"产品代码")</f>
        <v>产品代码</v>
      </c>
      <c r="E341" s="1" t="str">
        <f ca="1">IFERROR(__xludf.DUMMYFUNCTION("GOOGLETRANSLATE(B341,""en"",""ja"")"),"製品コード")</f>
        <v>製品コード</v>
      </c>
      <c r="F341" s="1" t="str">
        <f ca="1">IFERROR(__xludf.DUMMYFUNCTION("GOOGLETRANSLATE(B341,""en"",""fr"")"),"Code produit")</f>
        <v>Code produit</v>
      </c>
    </row>
    <row r="342" spans="1:6" ht="15.75" customHeight="1" x14ac:dyDescent="0.25">
      <c r="A342" s="1" t="s">
        <v>657</v>
      </c>
      <c r="B342" s="1" t="s">
        <v>474</v>
      </c>
      <c r="C342" s="1" t="str">
        <f ca="1">IFERROR(__xludf.DUMMYFUNCTION("GOOGLETRANSLATE(B342,""en"",""ar"")"),"اختر صورة")</f>
        <v>اختر صورة</v>
      </c>
      <c r="D342" s="1" t="str">
        <f ca="1">IFERROR(__xludf.DUMMYFUNCTION("GOOGLETRANSLATE(B342,""en"",""zh-CN"")"),"选择映像")</f>
        <v>选择映像</v>
      </c>
      <c r="E342" s="1" t="str">
        <f ca="1">IFERROR(__xludf.DUMMYFUNCTION("GOOGLETRANSLATE(B342,""en"",""ja"")"),"画像を選択してください")</f>
        <v>画像を選択してください</v>
      </c>
      <c r="F342" s="1" t="str">
        <f ca="1">IFERROR(__xludf.DUMMYFUNCTION("GOOGLETRANSLATE(B342,""en"",""fr"")"),"Sélectionner l'image")</f>
        <v>Sélectionner l'image</v>
      </c>
    </row>
    <row r="343" spans="1:6" ht="15.75" customHeight="1" x14ac:dyDescent="0.25">
      <c r="A343" s="1" t="s">
        <v>658</v>
      </c>
      <c r="B343" s="1" t="s">
        <v>659</v>
      </c>
      <c r="C343" s="1" t="str">
        <f ca="1">IFERROR(__xludf.DUMMYFUNCTION("GOOGLETRANSLATE(B343,""en"",""ar"")"),"طباعة نسخة مكررة من الإيصالات")</f>
        <v>طباعة نسخة مكررة من الإيصالات</v>
      </c>
      <c r="D343" s="1" t="str">
        <f ca="1">IFERROR(__xludf.DUMMYFUNCTION("GOOGLETRANSLATE(B343,""en"",""zh-CN"")"),"打印收据的重复副本")</f>
        <v>打印收据的重复副本</v>
      </c>
      <c r="E343" s="1" t="str">
        <f ca="1">IFERROR(__xludf.DUMMYFUNCTION("GOOGLETRANSLATE(B343,""en"",""ja"")"),"領収書の重複コピーを印刷します")</f>
        <v>領収書の重複コピーを印刷します</v>
      </c>
      <c r="F343" s="1" t="str">
        <f ca="1">IFERROR(__xludf.DUMMYFUNCTION("GOOGLETRANSLATE(B343,""en"",""fr"")"),"Imprimer la copie en double des recettes")</f>
        <v>Imprimer la copie en double des recettes</v>
      </c>
    </row>
    <row r="344" spans="1:6" ht="15.75" customHeight="1" x14ac:dyDescent="0.25">
      <c r="A344" s="1" t="s">
        <v>660</v>
      </c>
      <c r="B344" s="1" t="s">
        <v>661</v>
      </c>
      <c r="C344" s="1" t="str">
        <f ca="1">IFERROR(__xludf.DUMMYFUNCTION("GOOGLETRANSLATE(B344,""en"",""ar"")"),"طريقة انتهاء الصلاحية الأسهم")</f>
        <v>طريقة انتهاء الصلاحية الأسهم</v>
      </c>
      <c r="D344" s="1" t="str">
        <f ca="1">IFERROR(__xludf.DUMMYFUNCTION("GOOGLETRANSLATE(B344,""en"",""zh-CN"")"),"库存到期模式")</f>
        <v>库存到期模式</v>
      </c>
      <c r="E344" s="1" t="str">
        <f ca="1">IFERROR(__xludf.DUMMYFUNCTION("GOOGLETRANSLATE(B344,""en"",""ja"")"),"在庫切れモード")</f>
        <v>在庫切れモード</v>
      </c>
      <c r="F344" s="1" t="str">
        <f ca="1">IFERROR(__xludf.DUMMYFUNCTION("GOOGLETRANSLATE(B344,""en"",""fr"")"),"Mode d'expiration des actions")</f>
        <v>Mode d'expiration des actions</v>
      </c>
    </row>
    <row r="345" spans="1:6" ht="15.75" customHeight="1" x14ac:dyDescent="0.25">
      <c r="A345" s="1" t="s">
        <v>662</v>
      </c>
      <c r="B345" s="1" t="s">
        <v>663</v>
      </c>
      <c r="C345" s="1" t="str">
        <f ca="1">IFERROR(__xludf.DUMMYFUNCTION("GOOGLETRANSLATE(B345,""en"",""ar"")"),"كتلة منتهية الصلاحية الأسهم")</f>
        <v>كتلة منتهية الصلاحية الأسهم</v>
      </c>
      <c r="D345" s="1" t="str">
        <f ca="1">IFERROR(__xludf.DUMMYFUNCTION("GOOGLETRANSLATE(B345,""en"",""zh-CN"")"),"阻止已过期股票")</f>
        <v>阻止已过期股票</v>
      </c>
      <c r="E345" s="1" t="str">
        <f ca="1">IFERROR(__xludf.DUMMYFUNCTION("GOOGLETRANSLATE(B345,""en"",""ja"")"),"期限切れの在庫をブロック")</f>
        <v>期限切れの在庫をブロック</v>
      </c>
      <c r="F345" s="1" t="str">
        <f ca="1">IFERROR(__xludf.DUMMYFUNCTION("GOOGLETRANSLATE(B345,""en"",""fr"")"),"Bloquer le stock expiré")</f>
        <v>Bloquer le stock expiré</v>
      </c>
    </row>
    <row r="346" spans="1:6" ht="15.75" customHeight="1" x14ac:dyDescent="0.25">
      <c r="A346" s="1" t="s">
        <v>664</v>
      </c>
      <c r="B346" s="1" t="s">
        <v>665</v>
      </c>
      <c r="C346" s="1" t="str">
        <f ca="1">IFERROR(__xludf.DUMMYFUNCTION("GOOGLETRANSLATE(B346,""en"",""ar"")"),"إيصال طباعة تلقائيا")</f>
        <v>إيصال طباعة تلقائيا</v>
      </c>
      <c r="D346" s="1" t="str">
        <f ca="1">IFERROR(__xludf.DUMMYFUNCTION("GOOGLETRANSLATE(B346,""en"",""zh-CN"")"),"自动打印收据")</f>
        <v>自动打印收据</v>
      </c>
      <c r="E346" s="1" t="str">
        <f ca="1">IFERROR(__xludf.DUMMYFUNCTION("GOOGLETRANSLATE(B346,""en"",""ja"")"),"自動的に領収書を印刷します")</f>
        <v>自動的に領収書を印刷します</v>
      </c>
      <c r="F346" s="1" t="str">
        <f ca="1">IFERROR(__xludf.DUMMYFUNCTION("GOOGLETRANSLATE(B346,""en"",""fr"")"),"Imprimer automatiquement la réception")</f>
        <v>Imprimer automatiquement la réception</v>
      </c>
    </row>
    <row r="347" spans="1:6" ht="15.75" customHeight="1" x14ac:dyDescent="0.25">
      <c r="A347" s="1" t="s">
        <v>666</v>
      </c>
      <c r="B347" s="1" t="s">
        <v>667</v>
      </c>
      <c r="C347" s="1" t="str">
        <f ca="1">IFERROR(__xludf.DUMMYFUNCTION("GOOGLETRANSLATE(B347,""en"",""ar"")"),"حذف المنتج")</f>
        <v>حذف المنتج</v>
      </c>
      <c r="D347" s="1" t="str">
        <f ca="1">IFERROR(__xludf.DUMMYFUNCTION("GOOGLETRANSLATE(B347,""en"",""zh-CN"")"),"删除产品")</f>
        <v>删除产品</v>
      </c>
      <c r="E347" s="1" t="str">
        <f ca="1">IFERROR(__xludf.DUMMYFUNCTION("GOOGLETRANSLATE(B347,""en"",""ja"")"),"商品を削除します")</f>
        <v>商品を削除します</v>
      </c>
      <c r="F347" s="1" t="str">
        <f ca="1">IFERROR(__xludf.DUMMYFUNCTION("GOOGLETRANSLATE(B347,""en"",""fr"")"),"Supprimer le produit")</f>
        <v>Supprimer le produit</v>
      </c>
    </row>
    <row r="348" spans="1:6" ht="15.75" customHeight="1" x14ac:dyDescent="0.25">
      <c r="A348" s="1" t="s">
        <v>668</v>
      </c>
      <c r="B348" s="1" t="s">
        <v>669</v>
      </c>
      <c r="C348" s="1" t="str">
        <f ca="1">IFERROR(__xludf.DUMMYFUNCTION("GOOGLETRANSLATE(B348,""en"",""ar"")"),"هل أنت متأكد أنك تريد حذف العنصر؟")</f>
        <v>هل أنت متأكد أنك تريد حذف العنصر؟</v>
      </c>
      <c r="D348" s="1" t="str">
        <f ca="1">IFERROR(__xludf.DUMMYFUNCTION("GOOGLETRANSLATE(B348,""en"",""zh-CN"")"),"您确定要删除该项目吗？")</f>
        <v>您确定要删除该项目吗？</v>
      </c>
      <c r="E348" s="1" t="str">
        <f ca="1">IFERROR(__xludf.DUMMYFUNCTION("GOOGLETRANSLATE(B348,""en"",""ja"")"),"アイテムを削除してよろしいですか？")</f>
        <v>アイテムを削除してよろしいですか？</v>
      </c>
      <c r="F348" s="1" t="str">
        <f ca="1">IFERROR(__xludf.DUMMYFUNCTION("GOOGLETRANSLATE(B348,""en"",""fr"")"),"Êtes-vous sûr de vouloir supprimer l'article?")</f>
        <v>Êtes-vous sûr de vouloir supprimer l'article?</v>
      </c>
    </row>
    <row r="349" spans="1:6" ht="15.75" customHeight="1" x14ac:dyDescent="0.25">
      <c r="A349" s="1" t="s">
        <v>670</v>
      </c>
      <c r="B349" s="1" t="s">
        <v>406</v>
      </c>
      <c r="C349" s="1" t="str">
        <f ca="1">IFERROR(__xludf.DUMMYFUNCTION("GOOGLETRANSLATE(B349,""en"",""ar"")"),"اسم")</f>
        <v>اسم</v>
      </c>
      <c r="D349" s="1" t="str">
        <f ca="1">IFERROR(__xludf.DUMMYFUNCTION("GOOGLETRANSLATE(B349,""en"",""zh-CN"")"),"名称")</f>
        <v>名称</v>
      </c>
      <c r="E349" s="1" t="str">
        <f ca="1">IFERROR(__xludf.DUMMYFUNCTION("GOOGLETRANSLATE(B349,""en"",""ja"")"),"名前")</f>
        <v>名前</v>
      </c>
      <c r="F349" s="1" t="str">
        <f ca="1">IFERROR(__xludf.DUMMYFUNCTION("GOOGLETRANSLATE(B349,""en"",""fr"")"),"Nom")</f>
        <v>Nom</v>
      </c>
    </row>
    <row r="350" spans="1:6" ht="15.75" customHeight="1" x14ac:dyDescent="0.25">
      <c r="A350" s="1" t="s">
        <v>671</v>
      </c>
      <c r="B350" s="1" t="s">
        <v>672</v>
      </c>
      <c r="C350" s="1" t="str">
        <f ca="1">IFERROR(__xludf.DUMMYFUNCTION("GOOGLETRANSLATE(B350,""en"",""ar"")"),"الباركود")</f>
        <v>الباركود</v>
      </c>
      <c r="D350" s="1" t="str">
        <f ca="1">IFERROR(__xludf.DUMMYFUNCTION("GOOGLETRANSLATE(B350,""en"",""zh-CN"")"),"条码")</f>
        <v>条码</v>
      </c>
      <c r="E350" s="1" t="str">
        <f ca="1">IFERROR(__xludf.DUMMYFUNCTION("GOOGLETRANSLATE(B350,""en"",""ja"")"),"バーコード")</f>
        <v>バーコード</v>
      </c>
      <c r="F350" s="1" t="str">
        <f ca="1">IFERROR(__xludf.DUMMYFUNCTION("GOOGLETRANSLATE(B350,""en"",""fr"")"),"code à barre")</f>
        <v>code à barre</v>
      </c>
    </row>
    <row r="351" spans="1:6" ht="15.75" customHeight="1" x14ac:dyDescent="0.25">
      <c r="A351" s="1" t="s">
        <v>673</v>
      </c>
      <c r="B351" s="1" t="s">
        <v>674</v>
      </c>
      <c r="C351" s="1" t="str">
        <f ca="1">IFERROR(__xludf.DUMMYFUNCTION("GOOGLETRANSLATE(B351,""en"",""ar"")"),"فئة")</f>
        <v>فئة</v>
      </c>
      <c r="D351" s="1" t="str">
        <f ca="1">IFERROR(__xludf.DUMMYFUNCTION("GOOGLETRANSLATE(B351,""en"",""zh-CN"")"),"类别")</f>
        <v>类别</v>
      </c>
      <c r="E351" s="1" t="str">
        <f ca="1">IFERROR(__xludf.DUMMYFUNCTION("GOOGLETRANSLATE(B351,""en"",""ja"")"),"カテゴリー")</f>
        <v>カテゴリー</v>
      </c>
      <c r="F351" s="1" t="str">
        <f ca="1">IFERROR(__xludf.DUMMYFUNCTION("GOOGLETRANSLATE(B351,""en"",""fr"")"),"Catégorie")</f>
        <v>Catégorie</v>
      </c>
    </row>
    <row r="352" spans="1:6" ht="15.75" customHeight="1" x14ac:dyDescent="0.25">
      <c r="A352" s="1" t="s">
        <v>675</v>
      </c>
      <c r="B352" s="1" t="s">
        <v>676</v>
      </c>
      <c r="C352" s="1" t="str">
        <f ca="1">IFERROR(__xludf.DUMMYFUNCTION("GOOGLETRANSLATE(B352,""en"",""ar"")"),"تصنيف فرعي")</f>
        <v>تصنيف فرعي</v>
      </c>
      <c r="D352" s="1" t="str">
        <f ca="1">IFERROR(__xludf.DUMMYFUNCTION("GOOGLETRANSLATE(B352,""en"",""zh-CN"")"),"子类别")</f>
        <v>子类别</v>
      </c>
      <c r="E352" s="1" t="str">
        <f ca="1">IFERROR(__xludf.DUMMYFUNCTION("GOOGLETRANSLATE(B352,""en"",""ja"")"),"サブカテゴリ")</f>
        <v>サブカテゴリ</v>
      </c>
      <c r="F352" s="1" t="str">
        <f ca="1">IFERROR(__xludf.DUMMYFUNCTION("GOOGLETRANSLATE(B352,""en"",""fr"")"),"Sous-catégorie")</f>
        <v>Sous-catégorie</v>
      </c>
    </row>
    <row r="353" spans="1:6" ht="15.75" customHeight="1" x14ac:dyDescent="0.25">
      <c r="A353" s="1" t="s">
        <v>677</v>
      </c>
      <c r="B353" s="1" t="s">
        <v>678</v>
      </c>
      <c r="C353" s="1" t="str">
        <f ca="1">IFERROR(__xludf.DUMMYFUNCTION("GOOGLETRANSLATE(B353,""en"",""ar"")"),"قياس")</f>
        <v>قياس</v>
      </c>
      <c r="D353" s="1" t="str">
        <f ca="1">IFERROR(__xludf.DUMMYFUNCTION("GOOGLETRANSLATE(B353,""en"",""zh-CN"")"),"测量")</f>
        <v>测量</v>
      </c>
      <c r="E353" s="1" t="str">
        <f ca="1">IFERROR(__xludf.DUMMYFUNCTION("GOOGLETRANSLATE(B353,""en"",""ja"")"),"計測")</f>
        <v>計測</v>
      </c>
      <c r="F353" s="1" t="str">
        <f ca="1">IFERROR(__xludf.DUMMYFUNCTION("GOOGLETRANSLATE(B353,""en"",""fr"")"),"La mesure")</f>
        <v>La mesure</v>
      </c>
    </row>
    <row r="354" spans="1:6" ht="15.75" customHeight="1" x14ac:dyDescent="0.25">
      <c r="A354" s="1" t="s">
        <v>679</v>
      </c>
      <c r="B354" s="1" t="s">
        <v>680</v>
      </c>
      <c r="C354" s="1" t="str">
        <f ca="1">IFERROR(__xludf.DUMMYFUNCTION("GOOGLETRANSLATE(B354,""en"",""ar"")"),"ضريبة")</f>
        <v>ضريبة</v>
      </c>
      <c r="D354" s="1" t="str">
        <f ca="1">IFERROR(__xludf.DUMMYFUNCTION("GOOGLETRANSLATE(B354,""en"",""zh-CN"")"),"税")</f>
        <v>税</v>
      </c>
      <c r="E354" s="1" t="str">
        <f ca="1">IFERROR(__xludf.DUMMYFUNCTION("GOOGLETRANSLATE(B354,""en"",""ja"")"),"税")</f>
        <v>税</v>
      </c>
      <c r="F354" s="1" t="str">
        <f ca="1">IFERROR(__xludf.DUMMYFUNCTION("GOOGLETRANSLATE(B354,""en"",""fr"")"),"Impôt")</f>
        <v>Impôt</v>
      </c>
    </row>
    <row r="355" spans="1:6" ht="15.75" customHeight="1" x14ac:dyDescent="0.25">
      <c r="A355" s="1" t="s">
        <v>681</v>
      </c>
      <c r="B355" s="1" t="s">
        <v>682</v>
      </c>
      <c r="C355" s="1" t="str">
        <f ca="1">IFERROR(__xludf.DUMMYFUNCTION("GOOGLETRANSLATE(B355,""en"",""ar"")"),"سعر البيع")</f>
        <v>سعر البيع</v>
      </c>
      <c r="D355" s="1" t="str">
        <f ca="1">IFERROR(__xludf.DUMMYFUNCTION("GOOGLETRANSLATE(B355,""en"",""zh-CN"")"),"售价")</f>
        <v>售价</v>
      </c>
      <c r="E355" s="1" t="str">
        <f ca="1">IFERROR(__xludf.DUMMYFUNCTION("GOOGLETRANSLATE(B355,""en"",""ja"")"),"販売価格")</f>
        <v>販売価格</v>
      </c>
      <c r="F355" s="1" t="str">
        <f ca="1">IFERROR(__xludf.DUMMYFUNCTION("GOOGLETRANSLATE(B355,""en"",""fr"")"),"Prix ​​de vente")</f>
        <v>Prix ​​de vente</v>
      </c>
    </row>
    <row r="356" spans="1:6" ht="15.75" customHeight="1" x14ac:dyDescent="0.25">
      <c r="A356" s="1" t="s">
        <v>683</v>
      </c>
      <c r="B356" s="1" t="s">
        <v>684</v>
      </c>
      <c r="C356" s="1" t="str">
        <f ca="1">IFERROR(__xludf.DUMMYFUNCTION("GOOGLETRANSLATE(B356,""en"",""ar"")"),"اسم المنتج")</f>
        <v>اسم المنتج</v>
      </c>
      <c r="D356" s="1" t="str">
        <f ca="1">IFERROR(__xludf.DUMMYFUNCTION("GOOGLETRANSLATE(B356,""en"",""zh-CN"")"),"产品名称")</f>
        <v>产品名称</v>
      </c>
      <c r="E356" s="1" t="str">
        <f ca="1">IFERROR(__xludf.DUMMYFUNCTION("GOOGLETRANSLATE(B356,""en"",""ja"")"),"商品名")</f>
        <v>商品名</v>
      </c>
      <c r="F356" s="1" t="str">
        <f ca="1">IFERROR(__xludf.DUMMYFUNCTION("GOOGLETRANSLATE(B356,""en"",""fr"")"),"Nom du produit")</f>
        <v>Nom du produit</v>
      </c>
    </row>
    <row r="357" spans="1:6" ht="15.75" customHeight="1" x14ac:dyDescent="0.25">
      <c r="A357" s="1" t="s">
        <v>685</v>
      </c>
      <c r="B357" s="1" t="s">
        <v>686</v>
      </c>
      <c r="C357" s="1" t="str">
        <f ca="1">IFERROR(__xludf.DUMMYFUNCTION("GOOGLETRANSLATE(B357,""en"",""ar"")"),"وصف")</f>
        <v>وصف</v>
      </c>
      <c r="D357" s="1" t="str">
        <f ca="1">IFERROR(__xludf.DUMMYFUNCTION("GOOGLETRANSLATE(B357,""en"",""zh-CN"")"),"描述")</f>
        <v>描述</v>
      </c>
      <c r="E357" s="1" t="str">
        <f ca="1">IFERROR(__xludf.DUMMYFUNCTION("GOOGLETRANSLATE(B357,""en"",""ja"")"),"説明")</f>
        <v>説明</v>
      </c>
      <c r="F357" s="1" t="str">
        <f ca="1">IFERROR(__xludf.DUMMYFUNCTION("GOOGLETRANSLATE(B357,""en"",""fr"")"),"La description")</f>
        <v>La description</v>
      </c>
    </row>
    <row r="358" spans="1:6" ht="15.75" customHeight="1" x14ac:dyDescent="0.25">
      <c r="A358" s="1" t="s">
        <v>687</v>
      </c>
      <c r="B358" s="1" t="s">
        <v>688</v>
      </c>
      <c r="C358" s="1" t="str">
        <f ca="1">IFERROR(__xludf.DUMMYFUNCTION("GOOGLETRANSLATE(B358,""en"",""ar"")"),"وصفة الإدارة")</f>
        <v>وصفة الإدارة</v>
      </c>
      <c r="D358" s="1" t="str">
        <f ca="1">IFERROR(__xludf.DUMMYFUNCTION("GOOGLETRANSLATE(B358,""en"",""zh-CN"")"),"食谱管理")</f>
        <v>食谱管理</v>
      </c>
      <c r="E358" s="1" t="str">
        <f ca="1">IFERROR(__xludf.DUMMYFUNCTION("GOOGLETRANSLATE(B358,""en"",""ja"")"),"レシピ管理")</f>
        <v>レシピ管理</v>
      </c>
      <c r="F358" s="1" t="str">
        <f ca="1">IFERROR(__xludf.DUMMYFUNCTION("GOOGLETRANSLATE(B358,""en"",""fr"")"),"Gestion de la recette")</f>
        <v>Gestion de la recette</v>
      </c>
    </row>
    <row r="359" spans="1:6" ht="15.75" customHeight="1" x14ac:dyDescent="0.25">
      <c r="A359" s="1" t="s">
        <v>689</v>
      </c>
      <c r="B359" s="1" t="s">
        <v>656</v>
      </c>
      <c r="C359" s="1" t="str">
        <f ca="1">IFERROR(__xludf.DUMMYFUNCTION("GOOGLETRANSLATE(B359,""en"",""ar"")"),"كود المنتج")</f>
        <v>كود المنتج</v>
      </c>
      <c r="D359" s="1" t="str">
        <f ca="1">IFERROR(__xludf.DUMMYFUNCTION("GOOGLETRANSLATE(B359,""en"",""zh-CN"")"),"产品代码")</f>
        <v>产品代码</v>
      </c>
      <c r="E359" s="1" t="str">
        <f ca="1">IFERROR(__xludf.DUMMYFUNCTION("GOOGLETRANSLATE(B359,""en"",""ja"")"),"製品コード")</f>
        <v>製品コード</v>
      </c>
      <c r="F359" s="1" t="str">
        <f ca="1">IFERROR(__xludf.DUMMYFUNCTION("GOOGLETRANSLATE(B359,""en"",""fr"")"),"Code produit")</f>
        <v>Code produit</v>
      </c>
    </row>
    <row r="360" spans="1:6" ht="15.75" customHeight="1" x14ac:dyDescent="0.25">
      <c r="A360" s="1" t="s">
        <v>690</v>
      </c>
      <c r="B360" s="1" t="s">
        <v>180</v>
      </c>
      <c r="C360" s="1" t="str">
        <f ca="1">IFERROR(__xludf.DUMMYFUNCTION("GOOGLETRANSLATE(B360,""en"",""ar"")"),"الكمية")</f>
        <v>الكمية</v>
      </c>
      <c r="D360" s="1" t="str">
        <f ca="1">IFERROR(__xludf.DUMMYFUNCTION("GOOGLETRANSLATE(B360,""en"",""zh-CN"")"),"QTY.")</f>
        <v>QTY.</v>
      </c>
      <c r="E360" s="1" t="str">
        <f ca="1">IFERROR(__xludf.DUMMYFUNCTION("GOOGLETRANSLATE(B360,""en"",""ja"")"),"q")</f>
        <v>q</v>
      </c>
      <c r="F360" s="1" t="str">
        <f ca="1">IFERROR(__xludf.DUMMYFUNCTION("GOOGLETRANSLATE(B360,""en"",""fr"")"),"Quantité")</f>
        <v>Quantité</v>
      </c>
    </row>
    <row r="361" spans="1:6" ht="15.75" customHeight="1" x14ac:dyDescent="0.25">
      <c r="A361" s="1" t="s">
        <v>691</v>
      </c>
      <c r="B361" s="1" t="s">
        <v>692</v>
      </c>
      <c r="C361" s="1" t="str">
        <f ca="1">IFERROR(__xludf.DUMMYFUNCTION("GOOGLETRANSLATE(B361,""en"",""ar"")"),"تاريخ انتهاء الصلاحية")</f>
        <v>تاريخ انتهاء الصلاحية</v>
      </c>
      <c r="D361" s="1" t="str">
        <f ca="1">IFERROR(__xludf.DUMMYFUNCTION("GOOGLETRANSLATE(B361,""en"",""zh-CN"")"),"到期日期")</f>
        <v>到期日期</v>
      </c>
      <c r="E361" s="1" t="str">
        <f ca="1">IFERROR(__xludf.DUMMYFUNCTION("GOOGLETRANSLATE(B361,""en"",""ja"")"),"有効期限")</f>
        <v>有効期限</v>
      </c>
      <c r="F361" s="1" t="str">
        <f ca="1">IFERROR(__xludf.DUMMYFUNCTION("GOOGLETRANSLATE(B361,""en"",""fr"")"),"Date d'expiration")</f>
        <v>Date d'expiration</v>
      </c>
    </row>
    <row r="362" spans="1:6" ht="15.75" customHeight="1" x14ac:dyDescent="0.25">
      <c r="A362" s="1" t="s">
        <v>693</v>
      </c>
      <c r="B362" s="1" t="s">
        <v>694</v>
      </c>
      <c r="C362" s="1" t="str">
        <f ca="1">IFERROR(__xludf.DUMMYFUNCTION("GOOGLETRANSLATE(B362,""en"",""ar"")"),"حدد نوع عملك")</f>
        <v>حدد نوع عملك</v>
      </c>
      <c r="D362" s="1" t="str">
        <f ca="1">IFERROR(__xludf.DUMMYFUNCTION("GOOGLETRANSLATE(B362,""en"",""zh-CN"")"),"选择您的业务类型")</f>
        <v>选择您的业务类型</v>
      </c>
      <c r="E362" s="1" t="str">
        <f ca="1">IFERROR(__xludf.DUMMYFUNCTION("GOOGLETRANSLATE(B362,""en"",""ja"")"),"ビジネスタイプを選択してください")</f>
        <v>ビジネスタイプを選択してください</v>
      </c>
      <c r="F362" s="1" t="str">
        <f ca="1">IFERROR(__xludf.DUMMYFUNCTION("GOOGLETRANSLATE(B362,""en"",""fr"")"),"Sélectionnez votre type d'entreprise")</f>
        <v>Sélectionnez votre type d'entreprise</v>
      </c>
    </row>
    <row r="363" spans="1:6" ht="15.75" customHeight="1" x14ac:dyDescent="0.25">
      <c r="A363" s="1" t="s">
        <v>695</v>
      </c>
      <c r="B363" s="1" t="s">
        <v>696</v>
      </c>
      <c r="C363" s="1" t="str">
        <f ca="1">IFERROR(__xludf.DUMMYFUNCTION("GOOGLETRANSLATE(B363,""en"",""ar"")"),"نوع العمل")</f>
        <v>نوع العمل</v>
      </c>
      <c r="D363" s="1" t="str">
        <f ca="1">IFERROR(__xludf.DUMMYFUNCTION("GOOGLETRANSLATE(B363,""en"",""zh-CN"")"),"业务类型")</f>
        <v>业务类型</v>
      </c>
      <c r="E363" s="1" t="str">
        <f ca="1">IFERROR(__xludf.DUMMYFUNCTION("GOOGLETRANSLATE(B363,""en"",""ja"")"),"事業の種類")</f>
        <v>事業の種類</v>
      </c>
      <c r="F363" s="1" t="str">
        <f ca="1">IFERROR(__xludf.DUMMYFUNCTION("GOOGLETRANSLATE(B363,""en"",""fr"")"),"Type d'entreprise")</f>
        <v>Type d'entreprise</v>
      </c>
    </row>
    <row r="364" spans="1:6" ht="15.75" customHeight="1" x14ac:dyDescent="0.25">
      <c r="A364" s="1" t="s">
        <v>697</v>
      </c>
      <c r="B364" s="1" t="s">
        <v>698</v>
      </c>
      <c r="C364" s="1" t="str">
        <f ca="1">IFERROR(__xludf.DUMMYFUNCTION("GOOGLETRANSLATE(B364,""en"",""ar"")"),"يرجى اختيار نوع العمل")</f>
        <v>يرجى اختيار نوع العمل</v>
      </c>
      <c r="D364" s="1" t="str">
        <f ca="1">IFERROR(__xludf.DUMMYFUNCTION("GOOGLETRANSLATE(B364,""en"",""zh-CN"")"),"请选择业务类型")</f>
        <v>请选择业务类型</v>
      </c>
      <c r="E364" s="1" t="str">
        <f ca="1">IFERROR(__xludf.DUMMYFUNCTION("GOOGLETRANSLATE(B364,""en"",""ja"")"),"ビジネスタイプを選択してください")</f>
        <v>ビジネスタイプを選択してください</v>
      </c>
      <c r="F364" s="1" t="str">
        <f ca="1">IFERROR(__xludf.DUMMYFUNCTION("GOOGLETRANSLATE(B364,""en"",""fr"")"),"Veuillez sélectionner le type d'entreprise")</f>
        <v>Veuillez sélectionner le type d'entreprise</v>
      </c>
    </row>
    <row r="365" spans="1:6" ht="15.75" customHeight="1" x14ac:dyDescent="0.25">
      <c r="A365" s="1" t="s">
        <v>699</v>
      </c>
      <c r="B365" s="1" t="s">
        <v>700</v>
      </c>
      <c r="C365" s="1" t="str">
        <f ca="1">IFERROR(__xludf.DUMMYFUNCTION("GOOGLETRANSLATE(B365,""en"",""ar"")"),"أدخل البريد الإلكتروني")</f>
        <v>أدخل البريد الإلكتروني</v>
      </c>
      <c r="D365" s="1" t="str">
        <f ca="1">IFERROR(__xludf.DUMMYFUNCTION("GOOGLETRANSLATE(B365,""en"",""zh-CN"")"),"输入电子邮件")</f>
        <v>输入电子邮件</v>
      </c>
      <c r="E365" s="1" t="str">
        <f ca="1">IFERROR(__xludf.DUMMYFUNCTION("GOOGLETRANSLATE(B365,""en"",""ja"")"),"メールアドレスを入力して")</f>
        <v>メールアドレスを入力して</v>
      </c>
      <c r="F365" s="1" t="str">
        <f ca="1">IFERROR(__xludf.DUMMYFUNCTION("GOOGLETRANSLATE(B365,""en"",""fr"")"),"Entrez le courrier électronique")</f>
        <v>Entrez le courrier électronique</v>
      </c>
    </row>
    <row r="366" spans="1:6" ht="15.75" customHeight="1" x14ac:dyDescent="0.25">
      <c r="A366" s="1" t="s">
        <v>701</v>
      </c>
      <c r="B366" s="1" t="s">
        <v>702</v>
      </c>
      <c r="C366" s="1" t="str">
        <f ca="1">IFERROR(__xludf.DUMMYFUNCTION("GOOGLETRANSLATE(B366,""en"",""ar"")"),"عنوان البريد الإلكتروني غير صالح")</f>
        <v>عنوان البريد الإلكتروني غير صالح</v>
      </c>
      <c r="D366" s="1" t="str">
        <f ca="1">IFERROR(__xludf.DUMMYFUNCTION("GOOGLETRANSLATE(B366,""en"",""zh-CN"")"),"无效的邮件地址")</f>
        <v>无效的邮件地址</v>
      </c>
      <c r="E366" s="1" t="str">
        <f ca="1">IFERROR(__xludf.DUMMYFUNCTION("GOOGLETRANSLATE(B366,""en"",""ja"")"),"無効なメールアドレス")</f>
        <v>無効なメールアドレス</v>
      </c>
      <c r="F366" s="1" t="str">
        <f ca="1">IFERROR(__xludf.DUMMYFUNCTION("GOOGLETRANSLATE(B366,""en"",""fr"")"),"Adresse e-mail invalide")</f>
        <v>Adresse e-mail invalide</v>
      </c>
    </row>
    <row r="367" spans="1:6" ht="15.75" customHeight="1" x14ac:dyDescent="0.25">
      <c r="A367" s="1" t="s">
        <v>703</v>
      </c>
      <c r="B367" s="1" t="s">
        <v>704</v>
      </c>
      <c r="C367" s="1" t="str">
        <f ca="1">IFERROR(__xludf.DUMMYFUNCTION("GOOGLETRANSLATE(B367,""en"",""ar"")"),"تعيين عنوان البريد الإلكتروني صالح قبل الاتصال بنا")</f>
        <v>تعيين عنوان البريد الإلكتروني صالح قبل الاتصال بنا</v>
      </c>
      <c r="D367" s="1" t="str">
        <f ca="1">IFERROR(__xludf.DUMMYFUNCTION("GOOGLETRANSLATE(B367,""en"",""zh-CN"")"),"在联系我们之前设置有效的电子邮件地址")</f>
        <v>在联系我们之前设置有效的电子邮件地址</v>
      </c>
      <c r="E367" s="1" t="str">
        <f ca="1">IFERROR(__xludf.DUMMYFUNCTION("GOOGLETRANSLATE(B367,""en"",""ja"")"),"お問い合わせ前に有効なEメールアドレスを設定してください")</f>
        <v>お問い合わせ前に有効なEメールアドレスを設定してください</v>
      </c>
      <c r="F367" s="1" t="str">
        <f ca="1">IFERROR(__xludf.DUMMYFUNCTION("GOOGLETRANSLATE(B367,""en"",""fr"")"),"Définir l'adresse e-mail valide avant de nous contacter")</f>
        <v>Définir l'adresse e-mail valide avant de nous contacter</v>
      </c>
    </row>
    <row r="368" spans="1:6" ht="15.75" customHeight="1" x14ac:dyDescent="0.25">
      <c r="A368" s="1" t="s">
        <v>705</v>
      </c>
      <c r="B368" s="1" t="s">
        <v>706</v>
      </c>
      <c r="C368" s="1" t="str">
        <f ca="1">IFERROR(__xludf.DUMMYFUNCTION("GOOGLETRANSLATE(B368,""en"",""ar"")"),"العنصر")</f>
        <v>العنصر</v>
      </c>
      <c r="D368" s="1" t="str">
        <f ca="1">IFERROR(__xludf.DUMMYFUNCTION("GOOGLETRANSLATE(B368,""en"",""zh-CN"")"),"物品")</f>
        <v>物品</v>
      </c>
      <c r="E368" s="1" t="str">
        <f ca="1">IFERROR(__xludf.DUMMYFUNCTION("GOOGLETRANSLATE(B368,""en"",""ja"")"),"アイテム")</f>
        <v>アイテム</v>
      </c>
      <c r="F368" s="1" t="str">
        <f ca="1">IFERROR(__xludf.DUMMYFUNCTION("GOOGLETRANSLATE(B368,""en"",""fr"")"),"Article")</f>
        <v>Article</v>
      </c>
    </row>
    <row r="369" spans="1:6" ht="15.75" customHeight="1" x14ac:dyDescent="0.25">
      <c r="A369" s="1" t="s">
        <v>707</v>
      </c>
      <c r="B369" s="1" t="s">
        <v>180</v>
      </c>
      <c r="C369" s="1" t="str">
        <f ca="1">IFERROR(__xludf.DUMMYFUNCTION("GOOGLETRANSLATE(B369,""en"",""ar"")"),"الكمية")</f>
        <v>الكمية</v>
      </c>
      <c r="D369" s="1" t="str">
        <f ca="1">IFERROR(__xludf.DUMMYFUNCTION("GOOGLETRANSLATE(B369,""en"",""zh-CN"")"),"QTY.")</f>
        <v>QTY.</v>
      </c>
      <c r="E369" s="1" t="str">
        <f ca="1">IFERROR(__xludf.DUMMYFUNCTION("GOOGLETRANSLATE(B369,""en"",""ja"")"),"q")</f>
        <v>q</v>
      </c>
      <c r="F369" s="1" t="str">
        <f ca="1">IFERROR(__xludf.DUMMYFUNCTION("GOOGLETRANSLATE(B369,""en"",""fr"")"),"Quantité")</f>
        <v>Quantité</v>
      </c>
    </row>
    <row r="370" spans="1:6" ht="15.75" customHeight="1" x14ac:dyDescent="0.25">
      <c r="A370" s="1" t="s">
        <v>708</v>
      </c>
      <c r="B370" s="1" t="s">
        <v>709</v>
      </c>
      <c r="C370" s="1" t="str">
        <f ca="1">IFERROR(__xludf.DUMMYFUNCTION("GOOGLETRANSLATE(B370,""en"",""ar"")"),"السعر")</f>
        <v>السعر</v>
      </c>
      <c r="D370" s="1" t="str">
        <f ca="1">IFERROR(__xludf.DUMMYFUNCTION("GOOGLETRANSLATE(B370,""en"",""zh-CN"")"),"价格")</f>
        <v>价格</v>
      </c>
      <c r="E370" s="1" t="str">
        <f ca="1">IFERROR(__xludf.DUMMYFUNCTION("GOOGLETRANSLATE(B370,""en"",""ja"")"),"価格")</f>
        <v>価格</v>
      </c>
      <c r="F370" s="1" t="str">
        <f ca="1">IFERROR(__xludf.DUMMYFUNCTION("GOOGLETRANSLATE(B370,""en"",""fr"")"),"Prix")</f>
        <v>Prix</v>
      </c>
    </row>
    <row r="371" spans="1:6" ht="15.75" customHeight="1" x14ac:dyDescent="0.25">
      <c r="A371" s="1" t="s">
        <v>710</v>
      </c>
      <c r="B371" s="1" t="s">
        <v>711</v>
      </c>
      <c r="C371" s="1" t="str">
        <f ca="1">IFERROR(__xludf.DUMMYFUNCTION("GOOGLETRANSLATE(B371,""en"",""ar"")"),"رمز الصنف")</f>
        <v>رمز الصنف</v>
      </c>
      <c r="D371" s="1" t="str">
        <f ca="1">IFERROR(__xludf.DUMMYFUNCTION("GOOGLETRANSLATE(B371,""en"",""zh-CN"")"),"项目代码")</f>
        <v>项目代码</v>
      </c>
      <c r="E371" s="1" t="str">
        <f ca="1">IFERROR(__xludf.DUMMYFUNCTION("GOOGLETRANSLATE(B371,""en"",""ja"")"),"アイテムコード")</f>
        <v>アイテムコード</v>
      </c>
      <c r="F371" s="1" t="str">
        <f ca="1">IFERROR(__xludf.DUMMYFUNCTION("GOOGLETRANSLATE(B371,""en"",""fr"")"),"Code de l'article")</f>
        <v>Code de l'article</v>
      </c>
    </row>
    <row r="372" spans="1:6" ht="15.75" customHeight="1" x14ac:dyDescent="0.25">
      <c r="A372" s="1" t="s">
        <v>712</v>
      </c>
      <c r="B372" s="1" t="s">
        <v>406</v>
      </c>
      <c r="C372" s="1" t="str">
        <f ca="1">IFERROR(__xludf.DUMMYFUNCTION("GOOGLETRANSLATE(B372,""en"",""ar"")"),"اسم")</f>
        <v>اسم</v>
      </c>
      <c r="D372" s="1" t="str">
        <f ca="1">IFERROR(__xludf.DUMMYFUNCTION("GOOGLETRANSLATE(B372,""en"",""zh-CN"")"),"名称")</f>
        <v>名称</v>
      </c>
      <c r="E372" s="1" t="str">
        <f ca="1">IFERROR(__xludf.DUMMYFUNCTION("GOOGLETRANSLATE(B372,""en"",""ja"")"),"名前")</f>
        <v>名前</v>
      </c>
      <c r="F372" s="1" t="str">
        <f ca="1">IFERROR(__xludf.DUMMYFUNCTION("GOOGLETRANSLATE(B372,""en"",""fr"")"),"Nom")</f>
        <v>Nom</v>
      </c>
    </row>
    <row r="373" spans="1:6" ht="15.75" customHeight="1" x14ac:dyDescent="0.25">
      <c r="A373" s="1" t="s">
        <v>713</v>
      </c>
      <c r="B373" s="1" t="s">
        <v>709</v>
      </c>
      <c r="C373" s="1" t="str">
        <f ca="1">IFERROR(__xludf.DUMMYFUNCTION("GOOGLETRANSLATE(B373,""en"",""ar"")"),"السعر")</f>
        <v>السعر</v>
      </c>
      <c r="D373" s="1" t="str">
        <f ca="1">IFERROR(__xludf.DUMMYFUNCTION("GOOGLETRANSLATE(B373,""en"",""zh-CN"")"),"价格")</f>
        <v>价格</v>
      </c>
      <c r="E373" s="1" t="str">
        <f ca="1">IFERROR(__xludf.DUMMYFUNCTION("GOOGLETRANSLATE(B373,""en"",""ja"")"),"価格")</f>
        <v>価格</v>
      </c>
      <c r="F373" s="1" t="str">
        <f ca="1">IFERROR(__xludf.DUMMYFUNCTION("GOOGLETRANSLATE(B373,""en"",""fr"")"),"Prix")</f>
        <v>Prix</v>
      </c>
    </row>
    <row r="374" spans="1:6" ht="15.75" customHeight="1" x14ac:dyDescent="0.25">
      <c r="A374" s="1" t="s">
        <v>714</v>
      </c>
      <c r="B374" s="1" t="s">
        <v>219</v>
      </c>
      <c r="C374" s="1" t="str">
        <f ca="1">IFERROR(__xludf.DUMMYFUNCTION("GOOGLETRANSLATE(B374,""en"",""ar"")"),"خصم")</f>
        <v>خصم</v>
      </c>
      <c r="D374" s="1" t="str">
        <f ca="1">IFERROR(__xludf.DUMMYFUNCTION("GOOGLETRANSLATE(B374,""en"",""zh-CN"")"),"折扣")</f>
        <v>折扣</v>
      </c>
      <c r="E374" s="1" t="str">
        <f ca="1">IFERROR(__xludf.DUMMYFUNCTION("GOOGLETRANSLATE(B374,""en"",""ja"")"),"割引")</f>
        <v>割引</v>
      </c>
      <c r="F374" s="1" t="str">
        <f ca="1">IFERROR(__xludf.DUMMYFUNCTION("GOOGLETRANSLATE(B374,""en"",""fr"")"),"Remise")</f>
        <v>Remise</v>
      </c>
    </row>
    <row r="375" spans="1:6" ht="15.75" customHeight="1" x14ac:dyDescent="0.25">
      <c r="A375" s="1" t="s">
        <v>715</v>
      </c>
      <c r="B375" s="1" t="s">
        <v>716</v>
      </c>
      <c r="C375" s="1" t="str">
        <f ca="1">IFERROR(__xludf.DUMMYFUNCTION("GOOGLETRANSLATE(B375,""en"",""ar"")"),"المخزون")</f>
        <v>المخزون</v>
      </c>
      <c r="D375" s="1" t="str">
        <f ca="1">IFERROR(__xludf.DUMMYFUNCTION("GOOGLETRANSLATE(B375,""en"",""zh-CN"")"),"库存")</f>
        <v>库存</v>
      </c>
      <c r="E375" s="1" t="str">
        <f ca="1">IFERROR(__xludf.DUMMYFUNCTION("GOOGLETRANSLATE(B375,""en"",""ja"")"),"ストック")</f>
        <v>ストック</v>
      </c>
      <c r="F375" s="1" t="str">
        <f ca="1">IFERROR(__xludf.DUMMYFUNCTION("GOOGLETRANSLATE(B375,""en"",""fr"")"),"Stocker")</f>
        <v>Stocker</v>
      </c>
    </row>
    <row r="376" spans="1:6" ht="15.75" customHeight="1" x14ac:dyDescent="0.25">
      <c r="A376" s="1" t="s">
        <v>717</v>
      </c>
      <c r="B376" s="1" t="s">
        <v>215</v>
      </c>
      <c r="C376" s="1" t="str">
        <f ca="1">IFERROR(__xludf.DUMMYFUNCTION("GOOGLETRANSLATE(B376,""en"",""ar"")"),"المجموع الفرعي")</f>
        <v>المجموع الفرعي</v>
      </c>
      <c r="D376" s="1" t="str">
        <f ca="1">IFERROR(__xludf.DUMMYFUNCTION("GOOGLETRANSLATE(B376,""en"",""zh-CN"")"),"分组总计")</f>
        <v>分组总计</v>
      </c>
      <c r="E376" s="1" t="str">
        <f ca="1">IFERROR(__xludf.DUMMYFUNCTION("GOOGLETRANSLATE(B376,""en"",""ja"")"),"サブの合計")</f>
        <v>サブの合計</v>
      </c>
      <c r="F376" s="1" t="str">
        <f ca="1">IFERROR(__xludf.DUMMYFUNCTION("GOOGLETRANSLATE(B376,""en"",""fr"")"),"Total")</f>
        <v>Total</v>
      </c>
    </row>
    <row r="377" spans="1:6" ht="15.75" customHeight="1" x14ac:dyDescent="0.25">
      <c r="A377" s="1" t="s">
        <v>718</v>
      </c>
      <c r="B377" s="1" t="s">
        <v>719</v>
      </c>
      <c r="C377" s="1" t="str">
        <f ca="1">IFERROR(__xludf.DUMMYFUNCTION("GOOGLETRANSLATE(B377,""en"",""ar"")"),"مجموع")</f>
        <v>مجموع</v>
      </c>
      <c r="D377" s="1" t="str">
        <f ca="1">IFERROR(__xludf.DUMMYFUNCTION("GOOGLETRANSLATE(B377,""en"",""zh-CN"")"),"全部的")</f>
        <v>全部的</v>
      </c>
      <c r="E377" s="1" t="str">
        <f ca="1">IFERROR(__xludf.DUMMYFUNCTION("GOOGLETRANSLATE(B377,""en"",""ja"")"),"合計")</f>
        <v>合計</v>
      </c>
      <c r="F377" s="1" t="str">
        <f ca="1">IFERROR(__xludf.DUMMYFUNCTION("GOOGLETRANSLATE(B377,""en"",""fr"")"),"LE TOTAL")</f>
        <v>LE TOTAL</v>
      </c>
    </row>
    <row r="378" spans="1:6" ht="15.75" customHeight="1" x14ac:dyDescent="0.25">
      <c r="A378" s="1" t="s">
        <v>720</v>
      </c>
      <c r="B378" s="1" t="s">
        <v>721</v>
      </c>
      <c r="C378" s="1" t="str">
        <f ca="1">IFERROR(__xludf.DUMMYFUNCTION("GOOGLETRANSLATE(B378,""en"",""ar"")"),"الشحنة")</f>
        <v>الشحنة</v>
      </c>
      <c r="D378" s="1" t="str">
        <f ca="1">IFERROR(__xludf.DUMMYFUNCTION("GOOGLETRANSLATE(B378,""en"",""zh-CN"")"),"收费")</f>
        <v>收费</v>
      </c>
      <c r="E378" s="1" t="str">
        <f ca="1">IFERROR(__xludf.DUMMYFUNCTION("GOOGLETRANSLATE(B378,""en"",""ja"")"),"充電")</f>
        <v>充電</v>
      </c>
      <c r="F378" s="1" t="str">
        <f ca="1">IFERROR(__xludf.DUMMYFUNCTION("GOOGLETRANSLATE(B378,""en"",""fr"")"),"Charger")</f>
        <v>Charger</v>
      </c>
    </row>
    <row r="379" spans="1:6" ht="15.75" customHeight="1" x14ac:dyDescent="0.25">
      <c r="A379" s="1" t="s">
        <v>722</v>
      </c>
      <c r="B379" s="1" t="s">
        <v>219</v>
      </c>
      <c r="C379" s="1" t="str">
        <f ca="1">IFERROR(__xludf.DUMMYFUNCTION("GOOGLETRANSLATE(B379,""en"",""ar"")"),"خصم")</f>
        <v>خصم</v>
      </c>
      <c r="D379" s="1" t="str">
        <f ca="1">IFERROR(__xludf.DUMMYFUNCTION("GOOGLETRANSLATE(B379,""en"",""zh-CN"")"),"折扣")</f>
        <v>折扣</v>
      </c>
      <c r="E379" s="1" t="str">
        <f ca="1">IFERROR(__xludf.DUMMYFUNCTION("GOOGLETRANSLATE(B379,""en"",""ja"")"),"割引")</f>
        <v>割引</v>
      </c>
      <c r="F379" s="1" t="str">
        <f ca="1">IFERROR(__xludf.DUMMYFUNCTION("GOOGLETRANSLATE(B379,""en"",""fr"")"),"Remise")</f>
        <v>Remise</v>
      </c>
    </row>
    <row r="380" spans="1:6" ht="15.75" customHeight="1" x14ac:dyDescent="0.25">
      <c r="A380" s="1" t="s">
        <v>723</v>
      </c>
      <c r="B380" s="1" t="s">
        <v>724</v>
      </c>
      <c r="C380" s="1" t="str">
        <f ca="1">IFERROR(__xludf.DUMMYFUNCTION("GOOGLETRANSLATE(B380,""en"",""ar"")"),"السعر الكلي")</f>
        <v>السعر الكلي</v>
      </c>
      <c r="D380" s="1" t="str">
        <f ca="1">IFERROR(__xludf.DUMMYFUNCTION("GOOGLETRANSLATE(B380,""en"",""zh-CN"")"),"总价")</f>
        <v>总价</v>
      </c>
      <c r="E380" s="1" t="str">
        <f ca="1">IFERROR(__xludf.DUMMYFUNCTION("GOOGLETRANSLATE(B380,""en"",""ja"")"),"合計金額")</f>
        <v>合計金額</v>
      </c>
      <c r="F380" s="1" t="str">
        <f ca="1">IFERROR(__xludf.DUMMYFUNCTION("GOOGLETRANSLATE(B380,""en"",""fr"")"),"Prix ​​total")</f>
        <v>Prix ​​total</v>
      </c>
    </row>
    <row r="381" spans="1:6" ht="15.75" customHeight="1" x14ac:dyDescent="0.25">
      <c r="A381" s="1" t="s">
        <v>725</v>
      </c>
      <c r="B381" s="1" t="s">
        <v>209</v>
      </c>
      <c r="C381" s="1" t="str">
        <f ca="1">IFERROR(__xludf.DUMMYFUNCTION("GOOGLETRANSLATE(B381,""en"",""ar"")"),"نوع الدفع")</f>
        <v>نوع الدفع</v>
      </c>
      <c r="D381" s="1" t="str">
        <f ca="1">IFERROR(__xludf.DUMMYFUNCTION("GOOGLETRANSLATE(B381,""en"",""zh-CN"")"),"支付方式")</f>
        <v>支付方式</v>
      </c>
      <c r="E381" s="1" t="str">
        <f ca="1">IFERROR(__xludf.DUMMYFUNCTION("GOOGLETRANSLATE(B381,""en"",""ja"")"),"支払いタイプ")</f>
        <v>支払いタイプ</v>
      </c>
      <c r="F381" s="1" t="str">
        <f ca="1">IFERROR(__xludf.DUMMYFUNCTION("GOOGLETRANSLATE(B381,""en"",""fr"")"),"Type de paiement")</f>
        <v>Type de paiement</v>
      </c>
    </row>
    <row r="382" spans="1:6" ht="15.75" customHeight="1" x14ac:dyDescent="0.25">
      <c r="A382" s="1" t="s">
        <v>726</v>
      </c>
      <c r="B382" s="1" t="s">
        <v>727</v>
      </c>
      <c r="C382" s="1" t="str">
        <f ca="1">IFERROR(__xludf.DUMMYFUNCTION("GOOGLETRANSLATE(B382,""en"",""ar"")"),"رقم الشيك")</f>
        <v>رقم الشيك</v>
      </c>
      <c r="D382" s="1" t="str">
        <f ca="1">IFERROR(__xludf.DUMMYFUNCTION("GOOGLETRANSLATE(B382,""en"",""zh-CN"")"),"检查没有")</f>
        <v>检查没有</v>
      </c>
      <c r="E382" s="1" t="str">
        <f ca="1">IFERROR(__xludf.DUMMYFUNCTION("GOOGLETRANSLATE(B382,""en"",""ja"")"),"チェックしない")</f>
        <v>チェックしない</v>
      </c>
      <c r="F382" s="1" t="str">
        <f ca="1">IFERROR(__xludf.DUMMYFUNCTION("GOOGLETRANSLATE(B382,""en"",""fr"")"),"Cocher non")</f>
        <v>Cocher non</v>
      </c>
    </row>
    <row r="383" spans="1:6" ht="15.75" customHeight="1" x14ac:dyDescent="0.25">
      <c r="A383" s="1" t="s">
        <v>728</v>
      </c>
      <c r="B383" s="1" t="s">
        <v>729</v>
      </c>
      <c r="C383" s="1" t="str">
        <f ca="1">IFERROR(__xludf.DUMMYFUNCTION("GOOGLETRANSLATE(B383,""en"",""ar"")"),"طلب لا")</f>
        <v>طلب لا</v>
      </c>
      <c r="D383" s="1" t="str">
        <f ca="1">IFERROR(__xludf.DUMMYFUNCTION("GOOGLETRANSLATE(B383,""en"",""zh-CN"")"),"订单号")</f>
        <v>订单号</v>
      </c>
      <c r="E383" s="1" t="str">
        <f ca="1">IFERROR(__xludf.DUMMYFUNCTION("GOOGLETRANSLATE(B383,""en"",""ja"")"),"注文番号")</f>
        <v>注文番号</v>
      </c>
      <c r="F383" s="1" t="str">
        <f ca="1">IFERROR(__xludf.DUMMYFUNCTION("GOOGLETRANSLATE(B383,""en"",""fr"")"),"N ° de commande")</f>
        <v>N ° de commande</v>
      </c>
    </row>
    <row r="384" spans="1:6" ht="15.75" customHeight="1" x14ac:dyDescent="0.25">
      <c r="A384" s="1" t="s">
        <v>730</v>
      </c>
      <c r="B384" s="1" t="s">
        <v>527</v>
      </c>
      <c r="C384" s="1" t="str">
        <f ca="1">IFERROR(__xludf.DUMMYFUNCTION("GOOGLETRANSLATE(B384,""en"",""ar"")"),"نقدي")</f>
        <v>نقدي</v>
      </c>
      <c r="D384" s="1" t="str">
        <f ca="1">IFERROR(__xludf.DUMMYFUNCTION("GOOGLETRANSLATE(B384,""en"",""zh-CN"")"),"现金")</f>
        <v>现金</v>
      </c>
      <c r="E384" s="1" t="str">
        <f ca="1">IFERROR(__xludf.DUMMYFUNCTION("GOOGLETRANSLATE(B384,""en"",""ja"")"),"現金")</f>
        <v>現金</v>
      </c>
      <c r="F384" s="1" t="str">
        <f ca="1">IFERROR(__xludf.DUMMYFUNCTION("GOOGLETRANSLATE(B384,""en"",""fr"")"),"En espèces")</f>
        <v>En espèces</v>
      </c>
    </row>
    <row r="385" spans="1:6" ht="15.75" customHeight="1" x14ac:dyDescent="0.25">
      <c r="A385" s="1" t="s">
        <v>731</v>
      </c>
      <c r="B385" s="1" t="s">
        <v>732</v>
      </c>
      <c r="C385" s="1" t="str">
        <f ca="1">IFERROR(__xludf.DUMMYFUNCTION("GOOGLETRANSLATE(B385,""en"",""ar"")"),"ملاحظات الائتمان و CR:")</f>
        <v>ملاحظات الائتمان و CR:</v>
      </c>
      <c r="D385" s="1" t="str">
        <f ca="1">IFERROR(__xludf.DUMMYFUNCTION("GOOGLETRANSLATE(B385,""en"",""zh-CN"")"),"信用备注和CR：")</f>
        <v>信用备注和CR：</v>
      </c>
      <c r="E385" s="1" t="str">
        <f ca="1">IFERROR(__xludf.DUMMYFUNCTION("GOOGLETRANSLATE(B385,""en"",""ja"")"),"クレジットノートとCR：")</f>
        <v>クレジットノートとCR：</v>
      </c>
      <c r="F385" s="1" t="str">
        <f ca="1">IFERROR(__xludf.DUMMYFUNCTION("GOOGLETRANSLATE(B385,""en"",""fr"")"),"Notes de crédit et CR:")</f>
        <v>Notes de crédit et CR:</v>
      </c>
    </row>
    <row r="386" spans="1:6" ht="15.75" customHeight="1" x14ac:dyDescent="0.25">
      <c r="A386" s="1" t="s">
        <v>733</v>
      </c>
      <c r="B386" s="1" t="s">
        <v>734</v>
      </c>
      <c r="C386" s="1" t="str">
        <f ca="1">IFERROR(__xludf.DUMMYFUNCTION("GOOGLETRANSLATE(B386,""en"",""ar"")"),"قيمة النقاط")</f>
        <v>قيمة النقاط</v>
      </c>
      <c r="D386" s="1" t="str">
        <f ca="1">IFERROR(__xludf.DUMMYFUNCTION("GOOGLETRANSLATE(B386,""en"",""zh-CN"")"),"点价值")</f>
        <v>点价值</v>
      </c>
      <c r="E386" s="1" t="str">
        <f ca="1">IFERROR(__xludf.DUMMYFUNCTION("GOOGLETRANSLATE(B386,""en"",""ja"")"),"ポイント値")</f>
        <v>ポイント値</v>
      </c>
      <c r="F386" s="1" t="str">
        <f ca="1">IFERROR(__xludf.DUMMYFUNCTION("GOOGLETRANSLATE(B386,""en"",""fr"")"),"Valeur de points")</f>
        <v>Valeur de points</v>
      </c>
    </row>
    <row r="387" spans="1:6" ht="15.75" customHeight="1" x14ac:dyDescent="0.25">
      <c r="A387" s="1" t="s">
        <v>735</v>
      </c>
      <c r="B387" s="1" t="s">
        <v>736</v>
      </c>
      <c r="C387" s="1" t="str">
        <f ca="1">IFERROR(__xludf.DUMMYFUNCTION("GOOGLETRANSLATE(B387,""en"",""ar"")"),"الرصيد")</f>
        <v>الرصيد</v>
      </c>
      <c r="D387" s="1" t="str">
        <f ca="1">IFERROR(__xludf.DUMMYFUNCTION("GOOGLETRANSLATE(B387,""en"",""zh-CN"")"),"平衡")</f>
        <v>平衡</v>
      </c>
      <c r="E387" s="1" t="str">
        <f ca="1">IFERROR(__xludf.DUMMYFUNCTION("GOOGLETRANSLATE(B387,""en"",""ja"")"),"バランス")</f>
        <v>バランス</v>
      </c>
      <c r="F387" s="1" t="str">
        <f ca="1">IFERROR(__xludf.DUMMYFUNCTION("GOOGLETRANSLATE(B387,""en"",""fr"")"),"Équilibre")</f>
        <v>Équilibre</v>
      </c>
    </row>
    <row r="388" spans="1:6" ht="15.75" customHeight="1" x14ac:dyDescent="0.25">
      <c r="A388" s="1" t="s">
        <v>737</v>
      </c>
      <c r="B388" s="1" t="s">
        <v>738</v>
      </c>
      <c r="C388" s="1" t="str">
        <f ca="1">IFERROR(__xludf.DUMMYFUNCTION("GOOGLETRANSLATE(B388,""en"",""ar"")"),"آخر 4 أرقام")</f>
        <v>آخر 4 أرقام</v>
      </c>
      <c r="D388" s="1" t="str">
        <f ca="1">IFERROR(__xludf.DUMMYFUNCTION("GOOGLETRANSLATE(B388,""en"",""zh-CN"")"),"最后4位数")</f>
        <v>最后4位数</v>
      </c>
      <c r="E388" s="1" t="str">
        <f ca="1">IFERROR(__xludf.DUMMYFUNCTION("GOOGLETRANSLATE(B388,""en"",""ja"")"),"最後の4桁")</f>
        <v>最後の4桁</v>
      </c>
      <c r="F388" s="1" t="str">
        <f ca="1">IFERROR(__xludf.DUMMYFUNCTION("GOOGLETRANSLATE(B388,""en"",""fr"")"),"4 derniers chiffres")</f>
        <v>4 derniers chiffres</v>
      </c>
    </row>
    <row r="389" spans="1:6" ht="15.75" customHeight="1" x14ac:dyDescent="0.25">
      <c r="A389" s="1" t="s">
        <v>739</v>
      </c>
      <c r="B389" s="1" t="s">
        <v>740</v>
      </c>
      <c r="C389" s="1" t="str">
        <f ca="1">IFERROR(__xludf.DUMMYFUNCTION("GOOGLETRANSLATE(B389,""en"",""ar"")"),"فترة (أيام)")</f>
        <v>فترة (أيام)</v>
      </c>
      <c r="D389" s="1" t="str">
        <f ca="1">IFERROR(__xludf.DUMMYFUNCTION("GOOGLETRANSLATE(B389,""en"",""zh-CN"")"),"期间（天）")</f>
        <v>期间（天）</v>
      </c>
      <c r="E389" s="1" t="str">
        <f ca="1">IFERROR(__xludf.DUMMYFUNCTION("GOOGLETRANSLATE(B389,""en"",""ja"")"),"期間（日数）")</f>
        <v>期間（日数）</v>
      </c>
      <c r="F389" s="1" t="str">
        <f ca="1">IFERROR(__xludf.DUMMYFUNCTION("GOOGLETRANSLATE(B389,""en"",""fr"")"),"Période (jours)")</f>
        <v>Période (jours)</v>
      </c>
    </row>
    <row r="390" spans="1:6" ht="15.75" customHeight="1" x14ac:dyDescent="0.25">
      <c r="A390" s="1" t="s">
        <v>741</v>
      </c>
      <c r="B390" s="1" t="s">
        <v>742</v>
      </c>
      <c r="C390" s="1" t="str">
        <f ca="1">IFERROR(__xludf.DUMMYFUNCTION("GOOGLETRANSLATE(B390,""en"",""ar"")"),"فاتورة #")</f>
        <v>فاتورة #</v>
      </c>
      <c r="D390" s="1" t="str">
        <f ca="1">IFERROR(__xludf.DUMMYFUNCTION("GOOGLETRANSLATE(B390,""en"",""zh-CN"")"),"账单 ＃")</f>
        <v>账单 ＃</v>
      </c>
      <c r="E390" s="1" t="str">
        <f ca="1">IFERROR(__xludf.DUMMYFUNCTION("GOOGLETRANSLATE(B390,""en"",""ja"")"),"明細書 ＃")</f>
        <v>明細書 ＃</v>
      </c>
      <c r="F390" s="1" t="str">
        <f ca="1">IFERROR(__xludf.DUMMYFUNCTION("GOOGLETRANSLATE(B390,""en"",""fr"")"),"FACTURE #")</f>
        <v>FACTURE #</v>
      </c>
    </row>
    <row r="391" spans="1:6" ht="15.75" customHeight="1" x14ac:dyDescent="0.25">
      <c r="A391" s="1" t="s">
        <v>743</v>
      </c>
      <c r="B391" s="1" t="s">
        <v>744</v>
      </c>
      <c r="C391" s="1" t="str">
        <f ca="1">IFERROR(__xludf.DUMMYFUNCTION("GOOGLETRANSLATE(B391,""en"",""ar"")"),"كمية")</f>
        <v>كمية</v>
      </c>
      <c r="D391" s="1" t="str">
        <f ca="1">IFERROR(__xludf.DUMMYFUNCTION("GOOGLETRANSLATE(B391,""en"",""zh-CN"")"),"数量")</f>
        <v>数量</v>
      </c>
      <c r="E391" s="1" t="str">
        <f ca="1">IFERROR(__xludf.DUMMYFUNCTION("GOOGLETRANSLATE(B391,""en"",""ja"")"),"量")</f>
        <v>量</v>
      </c>
      <c r="F391" s="1" t="str">
        <f ca="1">IFERROR(__xludf.DUMMYFUNCTION("GOOGLETRANSLATE(B391,""en"",""fr"")"),"Quantité")</f>
        <v>Quantité</v>
      </c>
    </row>
    <row r="392" spans="1:6" ht="15.75" customHeight="1" x14ac:dyDescent="0.25">
      <c r="A392" s="1" t="s">
        <v>745</v>
      </c>
      <c r="B392" s="1" t="s">
        <v>746</v>
      </c>
      <c r="C392" s="1" t="str">
        <f ca="1">IFERROR(__xludf.DUMMYFUNCTION("GOOGLETRANSLATE(B392,""en"",""ar"")"),"الكمية أعلى من القيمة القصوى")</f>
        <v>الكمية أعلى من القيمة القصوى</v>
      </c>
      <c r="D392" s="1" t="str">
        <f ca="1">IFERROR(__xludf.DUMMYFUNCTION("GOOGLETRANSLATE(B392,""en"",""zh-CN"")"),"数量高于最大值")</f>
        <v>数量高于最大值</v>
      </c>
      <c r="E392" s="1" t="str">
        <f ca="1">IFERROR(__xludf.DUMMYFUNCTION("GOOGLETRANSLATE(B392,""en"",""ja"")"),"数量は最大値よりも高いです")</f>
        <v>数量は最大値よりも高いです</v>
      </c>
      <c r="F392" s="1" t="str">
        <f ca="1">IFERROR(__xludf.DUMMYFUNCTION("GOOGLETRANSLATE(B392,""en"",""fr"")"),"La quantité est supérieure à la valeur maximale")</f>
        <v>La quantité est supérieure à la valeur maximale</v>
      </c>
    </row>
    <row r="393" spans="1:6" ht="15.75" customHeight="1" x14ac:dyDescent="0.25">
      <c r="A393" s="1" t="s">
        <v>747</v>
      </c>
      <c r="B393" s="1" t="s">
        <v>748</v>
      </c>
      <c r="C393" s="1" t="str">
        <f ca="1">IFERROR(__xludf.DUMMYFUNCTION("GOOGLETRANSLATE(B393,""en"",""ar"")"),"أدخل الكمية")</f>
        <v>أدخل الكمية</v>
      </c>
      <c r="D393" s="1" t="str">
        <f ca="1">IFERROR(__xludf.DUMMYFUNCTION("GOOGLETRANSLATE(B393,""en"",""zh-CN"")"),"输入数量")</f>
        <v>输入数量</v>
      </c>
      <c r="E393" s="1" t="str">
        <f ca="1">IFERROR(__xludf.DUMMYFUNCTION("GOOGLETRANSLATE(B393,""en"",""ja"")"),"数量を入力してください")</f>
        <v>数量を入力してください</v>
      </c>
      <c r="F393" s="1" t="str">
        <f ca="1">IFERROR(__xludf.DUMMYFUNCTION("GOOGLETRANSLATE(B393,""en"",""fr"")"),"Entrer la quantité")</f>
        <v>Entrer la quantité</v>
      </c>
    </row>
    <row r="394" spans="1:6" ht="15.75" customHeight="1" x14ac:dyDescent="0.25">
      <c r="A394" s="1" t="s">
        <v>749</v>
      </c>
      <c r="B394" s="1" t="s">
        <v>750</v>
      </c>
      <c r="C394" s="1" t="str">
        <f ca="1">IFERROR(__xludf.DUMMYFUNCTION("GOOGLETRANSLATE(B394,""en"",""ar"")"),"تحقق النسبة المئوية الخاصة بك")</f>
        <v>تحقق النسبة المئوية الخاصة بك</v>
      </c>
      <c r="D394" s="1" t="str">
        <f ca="1">IFERROR(__xludf.DUMMYFUNCTION("GOOGLETRANSLATE(B394,""en"",""zh-CN"")"),"检查你的百分比")</f>
        <v>检查你的百分比</v>
      </c>
      <c r="E394" s="1" t="str">
        <f ca="1">IFERROR(__xludf.DUMMYFUNCTION("GOOGLETRANSLATE(B394,""en"",""ja"")"),"割合を確認してください")</f>
        <v>割合を確認してください</v>
      </c>
      <c r="F394" s="1" t="str">
        <f ca="1">IFERROR(__xludf.DUMMYFUNCTION("GOOGLETRANSLATE(B394,""en"",""fr"")"),"Vérifiez votre pourcentage")</f>
        <v>Vérifiez votre pourcentage</v>
      </c>
    </row>
    <row r="395" spans="1:6" ht="15.75" customHeight="1" x14ac:dyDescent="0.25">
      <c r="A395" s="1" t="s">
        <v>751</v>
      </c>
      <c r="B395" s="1" t="s">
        <v>274</v>
      </c>
      <c r="C395" s="1" t="str">
        <f ca="1">IFERROR(__xludf.DUMMYFUNCTION("GOOGLETRANSLATE(B395,""en"",""ar"")"),"دفع")</f>
        <v>دفع</v>
      </c>
      <c r="D395" s="1" t="str">
        <f ca="1">IFERROR(__xludf.DUMMYFUNCTION("GOOGLETRANSLATE(B395,""en"",""zh-CN"")"),"支付")</f>
        <v>支付</v>
      </c>
      <c r="E395" s="1" t="str">
        <f ca="1">IFERROR(__xludf.DUMMYFUNCTION("GOOGLETRANSLATE(B395,""en"",""ja"")"),"支払い")</f>
        <v>支払い</v>
      </c>
      <c r="F395" s="1" t="str">
        <f ca="1">IFERROR(__xludf.DUMMYFUNCTION("GOOGLETRANSLATE(B395,""en"",""fr"")"),"Paiement")</f>
        <v>Paiement</v>
      </c>
    </row>
    <row r="396" spans="1:6" ht="15.75" customHeight="1" x14ac:dyDescent="0.25">
      <c r="A396" s="1" t="s">
        <v>752</v>
      </c>
      <c r="B396" s="1" t="s">
        <v>753</v>
      </c>
      <c r="C396" s="1" t="str">
        <f ca="1">IFERROR(__xludf.DUMMYFUNCTION("GOOGLETRANSLATE(B396,""en"",""ar"")"),"رسوم الاسم")</f>
        <v>رسوم الاسم</v>
      </c>
      <c r="D396" s="1" t="str">
        <f ca="1">IFERROR(__xludf.DUMMYFUNCTION("GOOGLETRANSLATE(B396,""en"",""zh-CN"")"),"收费名称")</f>
        <v>收费名称</v>
      </c>
      <c r="E396" s="1" t="str">
        <f ca="1">IFERROR(__xludf.DUMMYFUNCTION("GOOGLETRANSLATE(B396,""en"",""ja"")"),"料金の名前")</f>
        <v>料金の名前</v>
      </c>
      <c r="F396" s="1" t="str">
        <f ca="1">IFERROR(__xludf.DUMMYFUNCTION("GOOGLETRANSLATE(B396,""en"",""fr"")"),"Nom chargé")</f>
        <v>Nom chargé</v>
      </c>
    </row>
    <row r="397" spans="1:6" ht="15.75" customHeight="1" x14ac:dyDescent="0.25">
      <c r="A397" s="1" t="s">
        <v>754</v>
      </c>
      <c r="B397" s="1" t="s">
        <v>755</v>
      </c>
      <c r="C397" s="1" t="str">
        <f ca="1">IFERROR(__xludf.DUMMYFUNCTION("GOOGLETRANSLATE(B397,""en"",""ar"")"),"إضافة رسوم أخرى")</f>
        <v>إضافة رسوم أخرى</v>
      </c>
      <c r="D397" s="1" t="str">
        <f ca="1">IFERROR(__xludf.DUMMYFUNCTION("GOOGLETRANSLATE(B397,""en"",""zh-CN"")"),"添加其他费用")</f>
        <v>添加其他费用</v>
      </c>
      <c r="E397" s="1" t="str">
        <f ca="1">IFERROR(__xludf.DUMMYFUNCTION("GOOGLETRANSLATE(B397,""en"",""ja"")"),"他のチャージを追加します")</f>
        <v>他のチャージを追加します</v>
      </c>
      <c r="F397" s="1" t="str">
        <f ca="1">IFERROR(__xludf.DUMMYFUNCTION("GOOGLETRANSLATE(B397,""en"",""fr"")"),"Ajouter d'autres frais")</f>
        <v>Ajouter d'autres frais</v>
      </c>
    </row>
    <row r="398" spans="1:6" ht="15.75" customHeight="1" x14ac:dyDescent="0.25">
      <c r="A398" s="1" t="s">
        <v>756</v>
      </c>
      <c r="B398" s="1" t="s">
        <v>757</v>
      </c>
      <c r="C398" s="1" t="str">
        <f ca="1">IFERROR(__xludf.DUMMYFUNCTION("GOOGLETRANSLATE(B398,""en"",""ar"")"),"حذف السجل السابق مع نفس رمز العنصر")</f>
        <v>حذف السجل السابق مع نفس رمز العنصر</v>
      </c>
      <c r="D398" s="1" t="str">
        <f ca="1">IFERROR(__xludf.DUMMYFUNCTION("GOOGLETRANSLATE(B398,""en"",""zh-CN"")"),"使用相同的项目代码删除以前的记录")</f>
        <v>使用相同的项目代码删除以前的记录</v>
      </c>
      <c r="E398" s="1" t="str">
        <f ca="1">IFERROR(__xludf.DUMMYFUNCTION("GOOGLETRANSLATE(B398,""en"",""ja"")"),"同じ項目コードで前のレコードを削除します")</f>
        <v>同じ項目コードで前のレコードを削除します</v>
      </c>
      <c r="F398" s="1" t="str">
        <f ca="1">IFERROR(__xludf.DUMMYFUNCTION("GOOGLETRANSLATE(B398,""en"",""fr"")"),"Supprimer l'enregistrement précédent avec le même code d'article")</f>
        <v>Supprimer l'enregistrement précédent avec le même code d'article</v>
      </c>
    </row>
    <row r="399" spans="1:6" ht="15.75" customHeight="1" x14ac:dyDescent="0.25">
      <c r="A399" s="1" t="s">
        <v>758</v>
      </c>
      <c r="B399" s="1" t="s">
        <v>527</v>
      </c>
      <c r="C399" s="1" t="str">
        <f ca="1">IFERROR(__xludf.DUMMYFUNCTION("GOOGLETRANSLATE(B399,""en"",""ar"")"),"نقدي")</f>
        <v>نقدي</v>
      </c>
      <c r="D399" s="1" t="str">
        <f ca="1">IFERROR(__xludf.DUMMYFUNCTION("GOOGLETRANSLATE(B399,""en"",""zh-CN"")"),"现金")</f>
        <v>现金</v>
      </c>
      <c r="E399" s="1" t="str">
        <f ca="1">IFERROR(__xludf.DUMMYFUNCTION("GOOGLETRANSLATE(B399,""en"",""ja"")"),"現金")</f>
        <v>現金</v>
      </c>
      <c r="F399" s="1" t="str">
        <f ca="1">IFERROR(__xludf.DUMMYFUNCTION("GOOGLETRANSLATE(B399,""en"",""fr"")"),"En espèces")</f>
        <v>En espèces</v>
      </c>
    </row>
    <row r="400" spans="1:6" ht="15.75" customHeight="1" x14ac:dyDescent="0.25">
      <c r="A400" s="1" t="s">
        <v>759</v>
      </c>
      <c r="B400" s="1" t="s">
        <v>706</v>
      </c>
      <c r="C400" s="1" t="str">
        <f ca="1">IFERROR(__xludf.DUMMYFUNCTION("GOOGLETRANSLATE(B400,""en"",""ar"")"),"العنصر")</f>
        <v>العنصر</v>
      </c>
      <c r="D400" s="1" t="str">
        <f ca="1">IFERROR(__xludf.DUMMYFUNCTION("GOOGLETRANSLATE(B400,""en"",""zh-CN"")"),"物品")</f>
        <v>物品</v>
      </c>
      <c r="E400" s="1" t="str">
        <f ca="1">IFERROR(__xludf.DUMMYFUNCTION("GOOGLETRANSLATE(B400,""en"",""ja"")"),"アイテム")</f>
        <v>アイテム</v>
      </c>
      <c r="F400" s="1" t="str">
        <f ca="1">IFERROR(__xludf.DUMMYFUNCTION("GOOGLETRANSLATE(B400,""en"",""fr"")"),"Article")</f>
        <v>Article</v>
      </c>
    </row>
    <row r="401" spans="1:6" ht="15.75" customHeight="1" x14ac:dyDescent="0.25">
      <c r="A401" s="1" t="s">
        <v>760</v>
      </c>
      <c r="B401" s="1" t="s">
        <v>761</v>
      </c>
      <c r="C401" s="1" t="str">
        <f ca="1">IFERROR(__xludf.DUMMYFUNCTION("GOOGLETRANSLATE(B401,""en"",""ar"")"),"الرصيد المتبقي")</f>
        <v>الرصيد المتبقي</v>
      </c>
      <c r="D401" s="1" t="str">
        <f ca="1">IFERROR(__xludf.DUMMYFUNCTION("GOOGLETRANSLATE(B401,""en"",""zh-CN"")"),"保持平衡")</f>
        <v>保持平衡</v>
      </c>
      <c r="E401" s="1" t="str">
        <f ca="1">IFERROR(__xludf.DUMMYFUNCTION("GOOGLETRANSLATE(B401,""en"",""ja"")"),"保たれているバランス")</f>
        <v>保たれているバランス</v>
      </c>
      <c r="F401" s="1" t="str">
        <f ca="1">IFERROR(__xludf.DUMMYFUNCTION("GOOGLETRANSLATE(B401,""en"",""fr"")"),"Solde restant")</f>
        <v>Solde restant</v>
      </c>
    </row>
    <row r="402" spans="1:6" ht="15.75" customHeight="1" x14ac:dyDescent="0.25">
      <c r="A402" s="1" t="s">
        <v>762</v>
      </c>
      <c r="B402" s="1" t="s">
        <v>763</v>
      </c>
      <c r="C402" s="1" t="str">
        <f ca="1">IFERROR(__xludf.DUMMYFUNCTION("GOOGLETRANSLATE(B402,""en"",""ar"")"),"سبب")</f>
        <v>سبب</v>
      </c>
      <c r="D402" s="1" t="str">
        <f ca="1">IFERROR(__xludf.DUMMYFUNCTION("GOOGLETRANSLATE(B402,""en"",""zh-CN"")"),"原因")</f>
        <v>原因</v>
      </c>
      <c r="E402" s="1" t="str">
        <f ca="1">IFERROR(__xludf.DUMMYFUNCTION("GOOGLETRANSLATE(B402,""en"",""ja"")"),"理由")</f>
        <v>理由</v>
      </c>
      <c r="F402" s="1" t="str">
        <f ca="1">IFERROR(__xludf.DUMMYFUNCTION("GOOGLETRANSLATE(B402,""en"",""fr"")"),"Raison")</f>
        <v>Raison</v>
      </c>
    </row>
    <row r="403" spans="1:6" ht="15.75" customHeight="1" x14ac:dyDescent="0.25">
      <c r="A403" s="1" t="s">
        <v>764</v>
      </c>
      <c r="B403" s="1" t="s">
        <v>765</v>
      </c>
      <c r="C403" s="1" t="str">
        <f ca="1">IFERROR(__xludf.DUMMYFUNCTION("GOOGLETRANSLATE(B403,""en"",""ar"")"),"إيصال البند إلغاء")</f>
        <v>إيصال البند إلغاء</v>
      </c>
      <c r="D403" s="1" t="str">
        <f ca="1">IFERROR(__xludf.DUMMYFUNCTION("GOOGLETRANSLATE(B403,""en"",""zh-CN"")"),"收据项目取消")</f>
        <v>收据项目取消</v>
      </c>
      <c r="E403" s="1" t="str">
        <f ca="1">IFERROR(__xludf.DUMMYFUNCTION("GOOGLETRANSLATE(B403,""en"",""ja"")"),"レシートアイテムのキャンセル")</f>
        <v>レシートアイテムのキャンセル</v>
      </c>
      <c r="F403" s="1" t="str">
        <f ca="1">IFERROR(__xludf.DUMMYFUNCTION("GOOGLETRANSLATE(B403,""en"",""fr"")"),"Elément de reçu Annuler")</f>
        <v>Elément de reçu Annuler</v>
      </c>
    </row>
    <row r="404" spans="1:6" ht="15.75" customHeight="1" x14ac:dyDescent="0.25">
      <c r="A404" s="1" t="s">
        <v>766</v>
      </c>
      <c r="B404" s="1" t="s">
        <v>767</v>
      </c>
      <c r="C404" s="1" t="str">
        <f ca="1">IFERROR(__xludf.DUMMYFUNCTION("GOOGLETRANSLATE(B404,""en"",""ar"")"),"حذف إيصال البند")</f>
        <v>حذف إيصال البند</v>
      </c>
      <c r="D404" s="1" t="str">
        <f ca="1">IFERROR(__xludf.DUMMYFUNCTION("GOOGLETRANSLATE(B404,""en"",""zh-CN"")"),"删除收据项")</f>
        <v>删除收据项</v>
      </c>
      <c r="E404" s="1" t="str">
        <f ca="1">IFERROR(__xludf.DUMMYFUNCTION("GOOGLETRANSLATE(B404,""en"",""ja"")"),"領収書を削除します")</f>
        <v>領収書を削除します</v>
      </c>
      <c r="F404" s="1" t="str">
        <f ca="1">IFERROR(__xludf.DUMMYFUNCTION("GOOGLETRANSLATE(B404,""en"",""fr"")"),"Supprimer l'élément de reçu")</f>
        <v>Supprimer l'élément de reçu</v>
      </c>
    </row>
    <row r="405" spans="1:6" ht="15.75" customHeight="1" x14ac:dyDescent="0.25">
      <c r="A405" s="1" t="s">
        <v>768</v>
      </c>
      <c r="B405" s="1" t="s">
        <v>769</v>
      </c>
      <c r="C405" s="1" t="str">
        <f ca="1">IFERROR(__xludf.DUMMYFUNCTION("GOOGLETRANSLATE(B405,""en"",""ar"")"),"أدخل كلمة مرور المسؤول لإزالة العنصر من دلو.")</f>
        <v>أدخل كلمة مرور المسؤول لإزالة العنصر من دلو.</v>
      </c>
      <c r="D405" s="1" t="str">
        <f ca="1">IFERROR(__xludf.DUMMYFUNCTION("GOOGLETRANSLATE(B405,""en"",""zh-CN"")"),"输入删除桶中删除项目的管理员密码。")</f>
        <v>输入删除桶中删除项目的管理员密码。</v>
      </c>
      <c r="E405" s="1" t="str">
        <f ca="1">IFERROR(__xludf.DUMMYFUNCTION("GOOGLETRANSLATE(B405,""en"",""ja"")"),"バケットからの削除項目の管理者パスワードを入力してください。")</f>
        <v>バケットからの削除項目の管理者パスワードを入力してください。</v>
      </c>
      <c r="F405" s="1" t="str">
        <f ca="1">IFERROR(__xludf.DUMMYFUNCTION("GOOGLETRANSLATE(B405,""en"",""fr"")"),"Entrez le mot de passe administrateur pour supprimer l'élément du godet.")</f>
        <v>Entrez le mot de passe administrateur pour supprimer l'élément du godet.</v>
      </c>
    </row>
    <row r="406" spans="1:6" ht="15.75" customHeight="1" x14ac:dyDescent="0.25">
      <c r="A406" s="1" t="s">
        <v>770</v>
      </c>
      <c r="B406" s="1" t="s">
        <v>771</v>
      </c>
      <c r="C406" s="1" t="str">
        <f ca="1">IFERROR(__xludf.DUMMYFUNCTION("GOOGLETRANSLATE(B406,""en"",""ar"")"),"هل أنت متأكد من أنك تريد حذف هذا العنصر من إيصال؟")</f>
        <v>هل أنت متأكد من أنك تريد حذف هذا العنصر من إيصال؟</v>
      </c>
      <c r="D406" s="1" t="str">
        <f ca="1">IFERROR(__xludf.DUMMYFUNCTION("GOOGLETRANSLATE(B406,""en"",""zh-CN"")"),"您是否确定要从收据中删除此项目？")</f>
        <v>您是否确定要从收据中删除此项目？</v>
      </c>
      <c r="E406" s="1" t="str">
        <f ca="1">IFERROR(__xludf.DUMMYFUNCTION("GOOGLETRANSLATE(B406,""en"",""ja"")"),"あなたは確かにこのアイテムを領収書から削除したいですか？")</f>
        <v>あなたは確かにこのアイテムを領収書から削除したいですか？</v>
      </c>
      <c r="F406" s="1" t="str">
        <f ca="1">IFERROR(__xludf.DUMMYFUNCTION("GOOGLETRANSLATE(B406,""en"",""fr"")"),"Êtes-vous sûr que vous voulez supprimer cet article de la réception?")</f>
        <v>Êtes-vous sûr que vous voulez supprimer cet article de la réception?</v>
      </c>
    </row>
    <row r="407" spans="1:6" ht="15.75" customHeight="1" x14ac:dyDescent="0.25">
      <c r="A407" s="1" t="s">
        <v>772</v>
      </c>
      <c r="B407" s="1" t="s">
        <v>773</v>
      </c>
      <c r="C407" s="1" t="str">
        <f ca="1">IFERROR(__xludf.DUMMYFUNCTION("GOOGLETRANSLATE(B407,""en"",""ar"")"),"أدخل تاريخ انتهاء الصلاحية")</f>
        <v>أدخل تاريخ انتهاء الصلاحية</v>
      </c>
      <c r="D407" s="1" t="str">
        <f ca="1">IFERROR(__xludf.DUMMYFUNCTION("GOOGLETRANSLATE(B407,""en"",""zh-CN"")"),"输入到期日期")</f>
        <v>输入到期日期</v>
      </c>
      <c r="E407" s="1" t="str">
        <f ca="1">IFERROR(__xludf.DUMMYFUNCTION("GOOGLETRANSLATE(B407,""en"",""ja"")"),"期限切れの日付を入力してください")</f>
        <v>期限切れの日付を入力してください</v>
      </c>
      <c r="F407" s="1" t="str">
        <f ca="1">IFERROR(__xludf.DUMMYFUNCTION("GOOGLETRANSLATE(B407,""en"",""fr"")"),"Entrez la date d'expiration")</f>
        <v>Entrez la date d'expiration</v>
      </c>
    </row>
    <row r="408" spans="1:6" ht="15.75" customHeight="1" x14ac:dyDescent="0.25">
      <c r="A408" s="1" t="s">
        <v>774</v>
      </c>
      <c r="B408" s="1" t="s">
        <v>775</v>
      </c>
      <c r="C408" s="1" t="str">
        <f ca="1">IFERROR(__xludf.DUMMYFUNCTION("GOOGLETRANSLATE(B408,""en"",""ar"")"),"البنود بيل قبل")</f>
        <v>البنود بيل قبل</v>
      </c>
      <c r="D408" s="1" t="str">
        <f ca="1">IFERROR(__xludf.DUMMYFUNCTION("GOOGLETRANSLATE(B408,""en"",""zh-CN"")"),"预订项目")</f>
        <v>预订项目</v>
      </c>
      <c r="E408" s="1" t="str">
        <f ca="1">IFERROR(__xludf.DUMMYFUNCTION("GOOGLETRANSLATE(B408,""en"",""ja"")"),"事前紙幣")</f>
        <v>事前紙幣</v>
      </c>
      <c r="F408" s="1" t="str">
        <f ca="1">IFERROR(__xludf.DUMMYFUNCTION("GOOGLETRANSLATE(B408,""en"",""fr"")"),"Articles pré-factures")</f>
        <v>Articles pré-factures</v>
      </c>
    </row>
    <row r="409" spans="1:6" ht="15.75" customHeight="1" x14ac:dyDescent="0.25">
      <c r="A409" s="1" t="s">
        <v>776</v>
      </c>
      <c r="B409" s="1" t="s">
        <v>777</v>
      </c>
      <c r="C409" s="1" t="str">
        <f ca="1">IFERROR(__xludf.DUMMYFUNCTION("GOOGLETRANSLATE(B409,""en"",""ar"")"),"إلغاء بيل")</f>
        <v>إلغاء بيل</v>
      </c>
      <c r="D409" s="1" t="str">
        <f ca="1">IFERROR(__xludf.DUMMYFUNCTION("GOOGLETRANSLATE(B409,""en"",""zh-CN"")"),"取消票据")</f>
        <v>取消票据</v>
      </c>
      <c r="E409" s="1" t="str">
        <f ca="1">IFERROR(__xludf.DUMMYFUNCTION("GOOGLETRANSLATE(B409,""en"",""ja"")"),"PRE Billをキャンセルします")</f>
        <v>PRE Billをキャンセルします</v>
      </c>
      <c r="F409" s="1" t="str">
        <f ca="1">IFERROR(__xludf.DUMMYFUNCTION("GOOGLETRANSLATE(B409,""en"",""fr"")"),"Annuler la facture avant")</f>
        <v>Annuler la facture avant</v>
      </c>
    </row>
    <row r="410" spans="1:6" ht="15.75" customHeight="1" x14ac:dyDescent="0.25">
      <c r="A410" s="1" t="s">
        <v>778</v>
      </c>
      <c r="B410" s="1" t="s">
        <v>779</v>
      </c>
      <c r="C410" s="1" t="str">
        <f ca="1">IFERROR(__xludf.DUMMYFUNCTION("GOOGLETRANSLATE(B410,""en"",""ar"")"),"أدخل كلمة مرور المسؤول الخاصة بك لحذف هذه الفاتورة المسبقة.")</f>
        <v>أدخل كلمة مرور المسؤول الخاصة بك لحذف هذه الفاتورة المسبقة.</v>
      </c>
      <c r="D410" s="1" t="str">
        <f ca="1">IFERROR(__xludf.DUMMYFUNCTION("GOOGLETRANSLATE(B410,""en"",""zh-CN"")"),"输入您的管理员密码以删除此Pre帐单。")</f>
        <v>输入您的管理员密码以删除此Pre帐单。</v>
      </c>
      <c r="E410" s="1" t="str">
        <f ca="1">IFERROR(__xludf.DUMMYFUNCTION("GOOGLETRANSLATE(B410,""en"",""ja"")"),"このPRE BILLを削除するには、管理者パスワードを入力してください。")</f>
        <v>このPRE BILLを削除するには、管理者パスワードを入力してください。</v>
      </c>
      <c r="F410" s="1" t="str">
        <f ca="1">IFERROR(__xludf.DUMMYFUNCTION("GOOGLETRANSLATE(B410,""en"",""fr"")"),"Entrez votre mot de passe administrateur pour supprimer cette pré-facture.")</f>
        <v>Entrez votre mot de passe administrateur pour supprimer cette pré-facture.</v>
      </c>
    </row>
    <row r="411" spans="1:6" ht="15.75" customHeight="1" x14ac:dyDescent="0.25">
      <c r="A411" s="1" t="s">
        <v>780</v>
      </c>
      <c r="B411" s="1" t="s">
        <v>781</v>
      </c>
      <c r="C411" s="1" t="str">
        <f ca="1">IFERROR(__xludf.DUMMYFUNCTION("GOOGLETRANSLATE(B411,""en"",""ar"")"),"أمين الصندوق")</f>
        <v>أمين الصندوق</v>
      </c>
      <c r="D411" s="1" t="str">
        <f ca="1">IFERROR(__xludf.DUMMYFUNCTION("GOOGLETRANSLATE(B411,""en"",""zh-CN"")"),"出纳员")</f>
        <v>出纳员</v>
      </c>
      <c r="E411" s="1" t="str">
        <f ca="1">IFERROR(__xludf.DUMMYFUNCTION("GOOGLETRANSLATE(B411,""en"",""ja"")"),"レジ")</f>
        <v>レジ</v>
      </c>
      <c r="F411" s="1" t="str">
        <f ca="1">IFERROR(__xludf.DUMMYFUNCTION("GOOGLETRANSLATE(B411,""en"",""fr"")"),"La caissière")</f>
        <v>La caissière</v>
      </c>
    </row>
    <row r="412" spans="1:6" ht="15.75" customHeight="1" x14ac:dyDescent="0.25">
      <c r="A412" s="1" t="s">
        <v>782</v>
      </c>
      <c r="B412" s="1" t="s">
        <v>783</v>
      </c>
      <c r="C412" s="1" t="str">
        <f ca="1">IFERROR(__xludf.DUMMYFUNCTION("GOOGLETRANSLATE(B412,""en"",""ar"")"),"متبقي")</f>
        <v>متبقي</v>
      </c>
      <c r="D412" s="1" t="str">
        <f ca="1">IFERROR(__xludf.DUMMYFUNCTION("GOOGLETRANSLATE(B412,""en"",""zh-CN"")"),"其余的")</f>
        <v>其余的</v>
      </c>
      <c r="E412" s="1" t="str">
        <f ca="1">IFERROR(__xludf.DUMMYFUNCTION("GOOGLETRANSLATE(B412,""en"",""ja"")"),"残り")</f>
        <v>残り</v>
      </c>
      <c r="F412" s="1" t="str">
        <f ca="1">IFERROR(__xludf.DUMMYFUNCTION("GOOGLETRANSLATE(B412,""en"",""fr"")"),"Restant")</f>
        <v>Restant</v>
      </c>
    </row>
    <row r="413" spans="1:6" ht="15.75" customHeight="1" x14ac:dyDescent="0.25">
      <c r="A413" s="1" t="s">
        <v>784</v>
      </c>
      <c r="B413" s="1" t="s">
        <v>785</v>
      </c>
      <c r="C413" s="1" t="str">
        <f ca="1">IFERROR(__xludf.DUMMYFUNCTION("GOOGLETRANSLATE(B413,""en"",""ar"")"),"النقاط المتاحة")</f>
        <v>النقاط المتاحة</v>
      </c>
      <c r="D413" s="1" t="str">
        <f ca="1">IFERROR(__xludf.DUMMYFUNCTION("GOOGLETRANSLATE(B413,""en"",""zh-CN"")"),"可用点")</f>
        <v>可用点</v>
      </c>
      <c r="E413" s="1" t="str">
        <f ca="1">IFERROR(__xludf.DUMMYFUNCTION("GOOGLETRANSLATE(B413,""en"",""ja"")"),"利用可能なポイント")</f>
        <v>利用可能なポイント</v>
      </c>
      <c r="F413" s="1" t="str">
        <f ca="1">IFERROR(__xludf.DUMMYFUNCTION("GOOGLETRANSLATE(B413,""en"",""fr"")"),"Points disponibles")</f>
        <v>Points disponibles</v>
      </c>
    </row>
    <row r="414" spans="1:6" ht="15.75" customHeight="1" x14ac:dyDescent="0.25">
      <c r="A414" s="1" t="s">
        <v>786</v>
      </c>
      <c r="B414" s="1" t="s">
        <v>787</v>
      </c>
      <c r="C414" s="1" t="str">
        <f ca="1">IFERROR(__xludf.DUMMYFUNCTION("GOOGLETRANSLATE(B414,""en"",""ar"")"),"النقاط التي أحرزتها")</f>
        <v>النقاط التي أحرزتها</v>
      </c>
      <c r="D414" s="1" t="str">
        <f ca="1">IFERROR(__xludf.DUMMYFUNCTION("GOOGLETRANSLATE(B414,""en"",""zh-CN"")"),"积分赢得")</f>
        <v>积分赢得</v>
      </c>
      <c r="E414" s="1" t="str">
        <f ca="1">IFERROR(__xludf.DUMMYFUNCTION("GOOGLETRANSLATE(B414,""en"",""ja"")"),"獲得ポイント")</f>
        <v>獲得ポイント</v>
      </c>
      <c r="F414" s="1" t="str">
        <f ca="1">IFERROR(__xludf.DUMMYFUNCTION("GOOGLETRANSLATE(B414,""en"",""fr"")"),"Points gagnés")</f>
        <v>Points gagnés</v>
      </c>
    </row>
    <row r="415" spans="1:6" ht="15.75" customHeight="1" x14ac:dyDescent="0.25">
      <c r="A415" s="1" t="s">
        <v>788</v>
      </c>
      <c r="B415" s="1" t="s">
        <v>789</v>
      </c>
      <c r="C415" s="1" t="str">
        <f ca="1">IFERROR(__xludf.DUMMYFUNCTION("GOOGLETRANSLATE(B415,""en"",""ar"")"),"ملاحظة: يمكنك تعطيل هذه الصفحة في قسم تخصيص البرامج")</f>
        <v>ملاحظة: يمكنك تعطيل هذه الصفحة في قسم تخصيص البرامج</v>
      </c>
      <c r="D415" s="1" t="str">
        <f ca="1">IFERROR(__xludf.DUMMYFUNCTION("GOOGLETRANSLATE(B415,""en"",""zh-CN"")"),"注意：您可以在软件自定义部分中禁用此页面")</f>
        <v>注意：您可以在软件自定义部分中禁用此页面</v>
      </c>
      <c r="E415" s="1" t="str">
        <f ca="1">IFERROR(__xludf.DUMMYFUNCTION("GOOGLETRANSLATE(B415,""en"",""ja"")"),"注：ソフトウェアのカスタマイズセクションでこのページを無効にすることができます")</f>
        <v>注：ソフトウェアのカスタマイズセクションでこのページを無効にすることができます</v>
      </c>
      <c r="F415" s="1" t="str">
        <f ca="1">IFERROR(__xludf.DUMMYFUNCTION("GOOGLETRANSLATE(B415,""en"",""fr"")"),"Remarque: vous pouvez désactiver cette page dans la section Personnalisation de logiciels.")</f>
        <v>Remarque: vous pouvez désactiver cette page dans la section Personnalisation de logiciels.</v>
      </c>
    </row>
    <row r="416" spans="1:6" ht="15.75" customHeight="1" x14ac:dyDescent="0.25">
      <c r="A416" s="1" t="s">
        <v>790</v>
      </c>
      <c r="B416" s="1" t="s">
        <v>791</v>
      </c>
      <c r="C416" s="1" t="str">
        <f ca="1">IFERROR(__xludf.DUMMYFUNCTION("GOOGLETRANSLATE(B416,""en"",""ar"")"),"دفع نوع")</f>
        <v>دفع نوع</v>
      </c>
      <c r="D416" s="1" t="str">
        <f ca="1">IFERROR(__xludf.DUMMYFUNCTION("GOOGLETRANSLATE(B416,""en"",""zh-CN"")"),"薪水类型")</f>
        <v>薪水类型</v>
      </c>
      <c r="E416" s="1" t="str">
        <f ca="1">IFERROR(__xludf.DUMMYFUNCTION("GOOGLETRANSLATE(B416,""en"",""ja"")"),"ペイタイプ")</f>
        <v>ペイタイプ</v>
      </c>
      <c r="F416" s="1" t="str">
        <f ca="1">IFERROR(__xludf.DUMMYFUNCTION("GOOGLETRANSLATE(B416,""en"",""fr"")"),"Type de paie")</f>
        <v>Type de paie</v>
      </c>
    </row>
    <row r="417" spans="1:6" ht="15.75" customHeight="1" x14ac:dyDescent="0.25">
      <c r="A417" s="1" t="s">
        <v>792</v>
      </c>
      <c r="B417" s="1" t="s">
        <v>793</v>
      </c>
      <c r="C417" s="1" t="str">
        <f ca="1">IFERROR(__xludf.DUMMYFUNCTION("GOOGLETRANSLATE(B417,""en"",""ar"")"),"إنشاء بيل")</f>
        <v>إنشاء بيل</v>
      </c>
      <c r="D417" s="1" t="str">
        <f ca="1">IFERROR(__xludf.DUMMYFUNCTION("GOOGLETRANSLATE(B417,""en"",""zh-CN"")"),"创建寄票据")</f>
        <v>创建寄票据</v>
      </c>
      <c r="E417" s="1" t="str">
        <f ca="1">IFERROR(__xludf.DUMMYFUNCTION("GOOGLETRANSLATE(B417,""en"",""ja"")"),"PRE Billを作成します")</f>
        <v>PRE Billを作成します</v>
      </c>
      <c r="F417" s="1" t="str">
        <f ca="1">IFERROR(__xludf.DUMMYFUNCTION("GOOGLETRANSLATE(B417,""en"",""fr"")"),"Créer pré-facture")</f>
        <v>Créer pré-facture</v>
      </c>
    </row>
    <row r="418" spans="1:6" ht="15.75" customHeight="1" x14ac:dyDescent="0.25">
      <c r="A418" s="1" t="s">
        <v>794</v>
      </c>
      <c r="B418" s="1" t="s">
        <v>795</v>
      </c>
      <c r="C418" s="1" t="str">
        <f ca="1">IFERROR(__xludf.DUMMYFUNCTION("GOOGLETRANSLATE(B418,""en"",""ar"")"),"عرض بيل")</f>
        <v>عرض بيل</v>
      </c>
      <c r="D418" s="1" t="str">
        <f ca="1">IFERROR(__xludf.DUMMYFUNCTION("GOOGLETRANSLATE(B418,""en"",""zh-CN"")"),"查看寄票班")</f>
        <v>查看寄票班</v>
      </c>
      <c r="E418" s="1" t="str">
        <f ca="1">IFERROR(__xludf.DUMMYFUNCTION("GOOGLETRANSLATE(B418,""en"",""ja"")"),"Pre Billを表示")</f>
        <v>Pre Billを表示</v>
      </c>
      <c r="F418" s="1" t="str">
        <f ca="1">IFERROR(__xludf.DUMMYFUNCTION("GOOGLETRANSLATE(B418,""en"",""fr"")"),"Voir pré-facture")</f>
        <v>Voir pré-facture</v>
      </c>
    </row>
    <row r="419" spans="1:6" ht="15.75" customHeight="1" x14ac:dyDescent="0.25">
      <c r="A419" s="1" t="s">
        <v>796</v>
      </c>
      <c r="B419" s="1" t="s">
        <v>797</v>
      </c>
      <c r="C419" s="1" t="str">
        <f ca="1">IFERROR(__xludf.DUMMYFUNCTION("GOOGLETRANSLATE(B419,""en"",""ar"")"),"وأضاف الأسهم")</f>
        <v>وأضاف الأسهم</v>
      </c>
      <c r="D419" s="1" t="str">
        <f ca="1">IFERROR(__xludf.DUMMYFUNCTION("GOOGLETRANSLATE(B419,""en"",""zh-CN"")"),"库存补充说")</f>
        <v>库存补充说</v>
      </c>
      <c r="E419" s="1" t="str">
        <f ca="1">IFERROR(__xludf.DUMMYFUNCTION("GOOGLETRANSLATE(B419,""en"",""ja"")"),"在庫加算")</f>
        <v>在庫加算</v>
      </c>
      <c r="F419" s="1" t="str">
        <f ca="1">IFERROR(__xludf.DUMMYFUNCTION("GOOGLETRANSLATE(B419,""en"",""fr"")"),"Stock ajouter")</f>
        <v>Stock ajouter</v>
      </c>
    </row>
    <row r="420" spans="1:6" ht="15.75" customHeight="1" x14ac:dyDescent="0.25">
      <c r="A420" s="1" t="s">
        <v>798</v>
      </c>
      <c r="B420" s="1" t="s">
        <v>799</v>
      </c>
      <c r="C420" s="1" t="str">
        <f ca="1">IFERROR(__xludf.DUMMYFUNCTION("GOOGLETRANSLATE(B420,""en"",""ar"")"),"إضافة رسوم / ضريبة أخرى")</f>
        <v>إضافة رسوم / ضريبة أخرى</v>
      </c>
      <c r="D420" s="1" t="str">
        <f ca="1">IFERROR(__xludf.DUMMYFUNCTION("GOOGLETRANSLATE(B420,""en"",""zh-CN"")"),"添加其他费用/税")</f>
        <v>添加其他费用/税</v>
      </c>
      <c r="E420" s="1" t="str">
        <f ca="1">IFERROR(__xludf.DUMMYFUNCTION("GOOGLETRANSLATE(B420,""en"",""ja"")"),"他の料金を追加/税金")</f>
        <v>他の料金を追加/税金</v>
      </c>
      <c r="F420" s="1" t="str">
        <f ca="1">IFERROR(__xludf.DUMMYFUNCTION("GOOGLETRANSLATE(B420,""en"",""fr"")"),"Ajouter d'autres charges / taxes")</f>
        <v>Ajouter d'autres charges / taxes</v>
      </c>
    </row>
    <row r="421" spans="1:6" ht="15.75" customHeight="1" x14ac:dyDescent="0.25">
      <c r="A421" s="1" t="s">
        <v>800</v>
      </c>
      <c r="B421" s="1" t="s">
        <v>521</v>
      </c>
      <c r="C421" s="1" t="str">
        <f ca="1">IFERROR(__xludf.DUMMYFUNCTION("GOOGLETRANSLATE(B421,""en"",""ar"")"),"الباركود الداخلي")</f>
        <v>الباركود الداخلي</v>
      </c>
      <c r="D421" s="1" t="str">
        <f ca="1">IFERROR(__xludf.DUMMYFUNCTION("GOOGLETRANSLATE(B421,""en"",""zh-CN"")"),"内部条形码")</f>
        <v>内部条形码</v>
      </c>
      <c r="E421" s="1" t="str">
        <f ca="1">IFERROR(__xludf.DUMMYFUNCTION("GOOGLETRANSLATE(B421,""en"",""ja"")"),"内部バーコード")</f>
        <v>内部バーコード</v>
      </c>
      <c r="F421" s="1" t="str">
        <f ca="1">IFERROR(__xludf.DUMMYFUNCTION("GOOGLETRANSLATE(B421,""en"",""fr"")"),"Code à barres interne")</f>
        <v>Code à barres interne</v>
      </c>
    </row>
    <row r="422" spans="1:6" ht="15.75" customHeight="1" x14ac:dyDescent="0.25">
      <c r="A422" s="1" t="s">
        <v>801</v>
      </c>
      <c r="B422" s="1" t="s">
        <v>109</v>
      </c>
      <c r="C422" s="1" t="str">
        <f ca="1">IFERROR(__xludf.DUMMYFUNCTION("GOOGLETRANSLATE(B422,""en"",""ar"")"),"طابور")</f>
        <v>طابور</v>
      </c>
      <c r="D422" s="1" t="str">
        <f ca="1">IFERROR(__xludf.DUMMYFUNCTION("GOOGLETRANSLATE(B422,""en"",""zh-CN"")"),"队列")</f>
        <v>队列</v>
      </c>
      <c r="E422" s="1" t="str">
        <f ca="1">IFERROR(__xludf.DUMMYFUNCTION("GOOGLETRANSLATE(B422,""en"",""ja"")"),"列")</f>
        <v>列</v>
      </c>
      <c r="F422" s="1" t="str">
        <f ca="1">IFERROR(__xludf.DUMMYFUNCTION("GOOGLETRANSLATE(B422,""en"",""fr"")"),"File d'attente")</f>
        <v>File d'attente</v>
      </c>
    </row>
    <row r="423" spans="1:6" ht="15.75" customHeight="1" x14ac:dyDescent="0.25">
      <c r="A423" s="1" t="s">
        <v>802</v>
      </c>
      <c r="B423" s="1" t="s">
        <v>61</v>
      </c>
      <c r="C423" s="1" t="str">
        <f ca="1">IFERROR(__xludf.DUMMYFUNCTION("GOOGLETRANSLATE(B423,""en"",""ar"")"),"معاملة الدرج")</f>
        <v>معاملة الدرج</v>
      </c>
      <c r="D423" s="1" t="str">
        <f ca="1">IFERROR(__xludf.DUMMYFUNCTION("GOOGLETRANSLATE(B423,""en"",""zh-CN"")"),"抽屉交易")</f>
        <v>抽屉交易</v>
      </c>
      <c r="E423" s="1" t="str">
        <f ca="1">IFERROR(__xludf.DUMMYFUNCTION("GOOGLETRANSLATE(B423,""en"",""ja"")"),"引き出しトランザクション")</f>
        <v>引き出しトランザクション</v>
      </c>
      <c r="F423" s="1" t="str">
        <f ca="1">IFERROR(__xludf.DUMMYFUNCTION("GOOGLETRANSLATE(B423,""en"",""fr"")"),"Transaction de tiroir")</f>
        <v>Transaction de tiroir</v>
      </c>
    </row>
    <row r="424" spans="1:6" ht="15.75" customHeight="1" x14ac:dyDescent="0.25">
      <c r="A424" s="1" t="s">
        <v>803</v>
      </c>
      <c r="B424" s="1" t="s">
        <v>804</v>
      </c>
      <c r="C424" s="1" t="str">
        <f ca="1">IFERROR(__xludf.DUMMYFUNCTION("GOOGLETRANSLATE(B424,""en"",""ar"")"),"معاملات الدرج")</f>
        <v>معاملات الدرج</v>
      </c>
      <c r="D424" s="1" t="str">
        <f ca="1">IFERROR(__xludf.DUMMYFUNCTION("GOOGLETRANSLATE(B424,""en"",""zh-CN"")"),"抽屉交易")</f>
        <v>抽屉交易</v>
      </c>
      <c r="E424" s="1" t="str">
        <f ca="1">IFERROR(__xludf.DUMMYFUNCTION("GOOGLETRANSLATE(B424,""en"",""ja"")"),"引き出しトランザクション")</f>
        <v>引き出しトランザクション</v>
      </c>
      <c r="F424" s="1" t="str">
        <f ca="1">IFERROR(__xludf.DUMMYFUNCTION("GOOGLETRANSLATE(B424,""en"",""fr"")"),"Transactions de tiroir")</f>
        <v>Transactions de tiroir</v>
      </c>
    </row>
    <row r="425" spans="1:6" ht="15.75" customHeight="1" x14ac:dyDescent="0.25">
      <c r="A425" s="1" t="s">
        <v>805</v>
      </c>
      <c r="B425" s="1" t="s">
        <v>806</v>
      </c>
      <c r="C425" s="1" t="str">
        <f ca="1">IFERROR(__xludf.DUMMYFUNCTION("GOOGLETRANSLATE(B425,""en"",""ar"")"),"حدد الجدول")</f>
        <v>حدد الجدول</v>
      </c>
      <c r="D425" s="1" t="str">
        <f ca="1">IFERROR(__xludf.DUMMYFUNCTION("GOOGLETRANSLATE(B425,""en"",""zh-CN"")"),"选择表")</f>
        <v>选择表</v>
      </c>
      <c r="E425" s="1" t="str">
        <f ca="1">IFERROR(__xludf.DUMMYFUNCTION("GOOGLETRANSLATE(B425,""en"",""ja"")"),"テーブルを選択してください")</f>
        <v>テーブルを選択してください</v>
      </c>
      <c r="F425" s="1" t="str">
        <f ca="1">IFERROR(__xludf.DUMMYFUNCTION("GOOGLETRANSLATE(B425,""en"",""fr"")"),"Sélectionner la table")</f>
        <v>Sélectionner la table</v>
      </c>
    </row>
    <row r="426" spans="1:6" ht="15.75" customHeight="1" x14ac:dyDescent="0.25">
      <c r="A426" s="1" t="s">
        <v>807</v>
      </c>
      <c r="B426" s="1" t="s">
        <v>75</v>
      </c>
      <c r="C426" s="1" t="str">
        <f ca="1">IFERROR(__xludf.DUMMYFUNCTION("GOOGLETRANSLATE(B426,""en"",""ar"")"),"إنشاء كوت")</f>
        <v>إنشاء كوت</v>
      </c>
      <c r="D426" s="1" t="str">
        <f ca="1">IFERROR(__xludf.DUMMYFUNCTION("GOOGLETRANSLATE(B426,""en"",""zh-CN"")"),"创建kot")</f>
        <v>创建kot</v>
      </c>
      <c r="E426" s="1" t="str">
        <f ca="1">IFERROR(__xludf.DUMMYFUNCTION("GOOGLETRANSLATE(B426,""en"",""ja"")"),"kotを作成します")</f>
        <v>kotを作成します</v>
      </c>
      <c r="F426" s="1" t="str">
        <f ca="1">IFERROR(__xludf.DUMMYFUNCTION("GOOGLETRANSLATE(B426,""en"",""fr"")"),"Créer kot")</f>
        <v>Créer kot</v>
      </c>
    </row>
    <row r="427" spans="1:6" ht="15.75" customHeight="1" x14ac:dyDescent="0.25">
      <c r="A427" s="1" t="s">
        <v>808</v>
      </c>
      <c r="B427" s="1" t="s">
        <v>809</v>
      </c>
      <c r="C427" s="1" t="str">
        <f ca="1">IFERROR(__xludf.DUMMYFUNCTION("GOOGLETRANSLATE(B427,""en"",""ar"")"),"عرض كوت")</f>
        <v>عرض كوت</v>
      </c>
      <c r="D427" s="1" t="str">
        <f ca="1">IFERROR(__xludf.DUMMYFUNCTION("GOOGLETRANSLATE(B427,""en"",""zh-CN"")"),"查看kot.")</f>
        <v>查看kot.</v>
      </c>
      <c r="E427" s="1" t="str">
        <f ca="1">IFERROR(__xludf.DUMMYFUNCTION("GOOGLETRANSLATE(B427,""en"",""ja"")"),"kotを見る")</f>
        <v>kotを見る</v>
      </c>
      <c r="F427" s="1" t="str">
        <f ca="1">IFERROR(__xludf.DUMMYFUNCTION("GOOGLETRANSLATE(B427,""en"",""fr"")"),"Voir Kot")</f>
        <v>Voir Kot</v>
      </c>
    </row>
    <row r="428" spans="1:6" ht="15.75" customHeight="1" x14ac:dyDescent="0.25">
      <c r="A428" s="1" t="s">
        <v>810</v>
      </c>
      <c r="B428" s="1" t="s">
        <v>811</v>
      </c>
      <c r="C428" s="1" t="str">
        <f ca="1">IFERROR(__xludf.DUMMYFUNCTION("GOOGLETRANSLATE(B428,""en"",""ar"")"),"تحديث كوت")</f>
        <v>تحديث كوت</v>
      </c>
      <c r="D428" s="1" t="str">
        <f ca="1">IFERROR(__xludf.DUMMYFUNCTION("GOOGLETRANSLATE(B428,""en"",""zh-CN"")"),"更新kot.")</f>
        <v>更新kot.</v>
      </c>
      <c r="E428" s="1" t="str">
        <f ca="1">IFERROR(__xludf.DUMMYFUNCTION("GOOGLETRANSLATE(B428,""en"",""ja"")"),"kotを更新します")</f>
        <v>kotを更新します</v>
      </c>
      <c r="F428" s="1" t="str">
        <f ca="1">IFERROR(__xludf.DUMMYFUNCTION("GOOGLETRANSLATE(B428,""en"",""fr"")"),"Mettre à jour Kot")</f>
        <v>Mettre à jour Kot</v>
      </c>
    </row>
    <row r="429" spans="1:6" ht="15.75" customHeight="1" x14ac:dyDescent="0.25">
      <c r="A429" s="1" t="s">
        <v>812</v>
      </c>
      <c r="B429" s="1" t="s">
        <v>813</v>
      </c>
      <c r="C429" s="1" t="str">
        <f ca="1">IFERROR(__xludf.DUMMYFUNCTION("GOOGLETRANSLATE(B429,""en"",""ar"")"),"عقد الاستلام")</f>
        <v>عقد الاستلام</v>
      </c>
      <c r="D429" s="1" t="str">
        <f ca="1">IFERROR(__xludf.DUMMYFUNCTION("GOOGLETRANSLATE(B429,""en"",""zh-CN"")"),"持有收据")</f>
        <v>持有收据</v>
      </c>
      <c r="E429" s="1" t="str">
        <f ca="1">IFERROR(__xludf.DUMMYFUNCTION("GOOGLETRANSLATE(B429,""en"",""ja"")"),"保留領収書")</f>
        <v>保留領収書</v>
      </c>
      <c r="F429" s="1" t="str">
        <f ca="1">IFERROR(__xludf.DUMMYFUNCTION("GOOGLETRANSLATE(B429,""en"",""fr"")"),"Tenir la réception")</f>
        <v>Tenir la réception</v>
      </c>
    </row>
    <row r="430" spans="1:6" ht="15.75" customHeight="1" x14ac:dyDescent="0.25">
      <c r="A430" s="1" t="s">
        <v>814</v>
      </c>
      <c r="B430" s="1" t="s">
        <v>815</v>
      </c>
      <c r="C430" s="1" t="str">
        <f ca="1">IFERROR(__xludf.DUMMYFUNCTION("GOOGLETRANSLATE(B430,""en"",""ar"")"),"حذف منتج إيصال المحفوظ")</f>
        <v>حذف منتج إيصال المحفوظ</v>
      </c>
      <c r="D430" s="1" t="str">
        <f ca="1">IFERROR(__xludf.DUMMYFUNCTION("GOOGLETRANSLATE(B430,""en"",""zh-CN"")"),"删除已保存的收据产品")</f>
        <v>删除已保存的收据产品</v>
      </c>
      <c r="E430" s="1" t="str">
        <f ca="1">IFERROR(__xludf.DUMMYFUNCTION("GOOGLETRANSLATE(B430,""en"",""ja"")"),"保存された領収書製品を削除します")</f>
        <v>保存された領収書製品を削除します</v>
      </c>
      <c r="F430" s="1" t="str">
        <f ca="1">IFERROR(__xludf.DUMMYFUNCTION("GOOGLETRANSLATE(B430,""en"",""fr"")"),"Supprimer le produit de reçu enregistré")</f>
        <v>Supprimer le produit de reçu enregistré</v>
      </c>
    </row>
    <row r="431" spans="1:6" ht="15.75" customHeight="1" x14ac:dyDescent="0.25">
      <c r="A431" s="1" t="s">
        <v>816</v>
      </c>
      <c r="B431" s="1" t="s">
        <v>817</v>
      </c>
      <c r="C431" s="1" t="str">
        <f ca="1">IFERROR(__xludf.DUMMYFUNCTION("GOOGLETRANSLATE(B431,""en"",""ar"")"),"عرض إيصالات عقد")</f>
        <v>عرض إيصالات عقد</v>
      </c>
      <c r="D431" s="1" t="str">
        <f ca="1">IFERROR(__xludf.DUMMYFUNCTION("GOOGLETRANSLATE(B431,""en"",""zh-CN"")"),"查看持有收据")</f>
        <v>查看持有收据</v>
      </c>
      <c r="E431" s="1" t="str">
        <f ca="1">IFERROR(__xludf.DUMMYFUNCTION("GOOGLETRANSLATE(B431,""en"",""ja"")"),"保留保持を表示します")</f>
        <v>保留保持を表示します</v>
      </c>
      <c r="F431" s="1" t="str">
        <f ca="1">IFERROR(__xludf.DUMMYFUNCTION("GOOGLETRANSLATE(B431,""en"",""fr"")"),"Voir les reçus HOLD")</f>
        <v>Voir les reçus HOLD</v>
      </c>
    </row>
    <row r="432" spans="1:6" ht="15.75" customHeight="1" x14ac:dyDescent="0.25">
      <c r="A432" s="1" t="s">
        <v>818</v>
      </c>
      <c r="B432" s="1" t="s">
        <v>819</v>
      </c>
      <c r="C432" s="1" t="str">
        <f ca="1">IFERROR(__xludf.DUMMYFUNCTION("GOOGLETRANSLATE(B432,""en"",""ar"")"),"عرض الطلبات")</f>
        <v>عرض الطلبات</v>
      </c>
      <c r="D432" s="1" t="str">
        <f ca="1">IFERROR(__xludf.DUMMYFUNCTION("GOOGLETRANSLATE(B432,""en"",""zh-CN"")"),"查看订单")</f>
        <v>查看订单</v>
      </c>
      <c r="E432" s="1" t="str">
        <f ca="1">IFERROR(__xludf.DUMMYFUNCTION("GOOGLETRANSLATE(B432,""en"",""ja"")"),"注文を表示します")</f>
        <v>注文を表示します</v>
      </c>
      <c r="F432" s="1" t="str">
        <f ca="1">IFERROR(__xludf.DUMMYFUNCTION("GOOGLETRANSLATE(B432,""en"",""fr"")"),"Voir les commandes")</f>
        <v>Voir les commandes</v>
      </c>
    </row>
    <row r="433" spans="1:6" ht="15.75" customHeight="1" x14ac:dyDescent="0.25">
      <c r="A433" s="1" t="s">
        <v>820</v>
      </c>
      <c r="B433" s="1" t="s">
        <v>97</v>
      </c>
      <c r="C433" s="1" t="str">
        <f ca="1">IFERROR(__xludf.DUMMYFUNCTION("GOOGLETRANSLATE(B433,""en"",""ar"")"),"تحديث أمر العميل")</f>
        <v>تحديث أمر العميل</v>
      </c>
      <c r="D433" s="1" t="str">
        <f ca="1">IFERROR(__xludf.DUMMYFUNCTION("GOOGLETRANSLATE(B433,""en"",""zh-CN"")"),"更新客户订单")</f>
        <v>更新客户订单</v>
      </c>
      <c r="E433" s="1" t="str">
        <f ca="1">IFERROR(__xludf.DUMMYFUNCTION("GOOGLETRANSLATE(B433,""en"",""ja"")"),"顧客の注文を更新します")</f>
        <v>顧客の注文を更新します</v>
      </c>
      <c r="F433" s="1" t="str">
        <f ca="1">IFERROR(__xludf.DUMMYFUNCTION("GOOGLETRANSLATE(B433,""en"",""fr"")"),"Mettre à jour la commande client")</f>
        <v>Mettre à jour la commande client</v>
      </c>
    </row>
    <row r="434" spans="1:6" ht="15.75" customHeight="1" x14ac:dyDescent="0.25">
      <c r="A434" s="1" t="s">
        <v>821</v>
      </c>
      <c r="B434" s="1" t="s">
        <v>822</v>
      </c>
      <c r="C434" s="1" t="str">
        <f ca="1">IFERROR(__xludf.DUMMYFUNCTION("GOOGLETRANSLATE(B434,""en"",""ar"")"),"تحديث الاستلام")</f>
        <v>تحديث الاستلام</v>
      </c>
      <c r="D434" s="1" t="str">
        <f ca="1">IFERROR(__xludf.DUMMYFUNCTION("GOOGLETRANSLATE(B434,""en"",""zh-CN"")"),"更新收据")</f>
        <v>更新收据</v>
      </c>
      <c r="E434" s="1" t="str">
        <f ca="1">IFERROR(__xludf.DUMMYFUNCTION("GOOGLETRANSLATE(B434,""en"",""ja"")"),"更新受付")</f>
        <v>更新受付</v>
      </c>
      <c r="F434" s="1" t="str">
        <f ca="1">IFERROR(__xludf.DUMMYFUNCTION("GOOGLETRANSLATE(B434,""en"",""fr"")"),"Mise à jour de la réception")</f>
        <v>Mise à jour de la réception</v>
      </c>
    </row>
    <row r="435" spans="1:6" ht="15.75" customHeight="1" x14ac:dyDescent="0.25">
      <c r="A435" s="1" t="s">
        <v>823</v>
      </c>
      <c r="B435" s="1" t="s">
        <v>67</v>
      </c>
      <c r="C435" s="1" t="str">
        <f ca="1">IFERROR(__xludf.DUMMYFUNCTION("GOOGLETRANSLATE(B435,""en"",""ar"")"),"تسوية الائتمان")</f>
        <v>تسوية الائتمان</v>
      </c>
      <c r="D435" s="1" t="str">
        <f ca="1">IFERROR(__xludf.DUMMYFUNCTION("GOOGLETRANSLATE(B435,""en"",""zh-CN"")"),"信用结算")</f>
        <v>信用结算</v>
      </c>
      <c r="E435" s="1" t="str">
        <f ca="1">IFERROR(__xludf.DUMMYFUNCTION("GOOGLETRANSLATE(B435,""en"",""ja"")"),"クレジット決済")</f>
        <v>クレジット決済</v>
      </c>
      <c r="F435" s="1" t="str">
        <f ca="1">IFERROR(__xludf.DUMMYFUNCTION("GOOGLETRANSLATE(B435,""en"",""fr"")"),"Règlement de crédit")</f>
        <v>Règlement de crédit</v>
      </c>
    </row>
    <row r="436" spans="1:6" ht="15.75" customHeight="1" x14ac:dyDescent="0.25">
      <c r="A436" s="1" t="s">
        <v>824</v>
      </c>
      <c r="B436" s="1" t="s">
        <v>825</v>
      </c>
      <c r="C436" s="1" t="str">
        <f ca="1">IFERROR(__xludf.DUMMYFUNCTION("GOOGLETRANSLATE(B436,""en"",""ar"")"),"تسوية ائتمان العملاء")</f>
        <v>تسوية ائتمان العملاء</v>
      </c>
      <c r="D436" s="1" t="str">
        <f ca="1">IFERROR(__xludf.DUMMYFUNCTION("GOOGLETRANSLATE(B436,""en"",""zh-CN"")"),"客户信用结算")</f>
        <v>客户信用结算</v>
      </c>
      <c r="E436" s="1" t="str">
        <f ca="1">IFERROR(__xludf.DUMMYFUNCTION("GOOGLETRANSLATE(B436,""en"",""ja"")"),"カスタマークレジット決済")</f>
        <v>カスタマークレジット決済</v>
      </c>
      <c r="F436" s="1" t="str">
        <f ca="1">IFERROR(__xludf.DUMMYFUNCTION("GOOGLETRANSLATE(B436,""en"",""fr"")"),"Règlement du crédit client")</f>
        <v>Règlement du crédit client</v>
      </c>
    </row>
    <row r="437" spans="1:6" ht="15.75" customHeight="1" x14ac:dyDescent="0.25">
      <c r="A437" s="1" t="s">
        <v>826</v>
      </c>
      <c r="B437" s="1" t="s">
        <v>827</v>
      </c>
      <c r="C437" s="1" t="str">
        <f ca="1">IFERROR(__xludf.DUMMYFUNCTION("GOOGLETRANSLATE(B437,""en"",""ar"")"),"إلغاء تسوية الائتمان")</f>
        <v>إلغاء تسوية الائتمان</v>
      </c>
      <c r="D437" s="1" t="str">
        <f ca="1">IFERROR(__xludf.DUMMYFUNCTION("GOOGLETRANSLATE(B437,""en"",""zh-CN"")"),"取消信用结算")</f>
        <v>取消信用结算</v>
      </c>
      <c r="E437" s="1" t="str">
        <f ca="1">IFERROR(__xludf.DUMMYFUNCTION("GOOGLETRANSLATE(B437,""en"",""ja"")"),"信用の和解をキャンセルします")</f>
        <v>信用の和解をキャンセルします</v>
      </c>
      <c r="F437" s="1" t="str">
        <f ca="1">IFERROR(__xludf.DUMMYFUNCTION("GOOGLETRANSLATE(B437,""en"",""fr"")"),"Annuler le règlement du crédit")</f>
        <v>Annuler le règlement du crédit</v>
      </c>
    </row>
    <row r="438" spans="1:6" ht="15.75" customHeight="1" x14ac:dyDescent="0.25">
      <c r="A438" s="1" t="s">
        <v>828</v>
      </c>
      <c r="B438" s="1" t="s">
        <v>829</v>
      </c>
      <c r="C438" s="1" t="str">
        <f ca="1">IFERROR(__xludf.DUMMYFUNCTION("GOOGLETRANSLATE(B438,""en"",""ar"")"),"هل ترغب في متابعة هذه الصفقة؟")</f>
        <v>هل ترغب في متابعة هذه الصفقة؟</v>
      </c>
      <c r="D438" s="1" t="str">
        <f ca="1">IFERROR(__xludf.DUMMYFUNCTION("GOOGLETRANSLATE(B438,""en"",""zh-CN"")"),"你想继续这个交易吗？")</f>
        <v>你想继续这个交易吗？</v>
      </c>
      <c r="E438" s="1" t="str">
        <f ca="1">IFERROR(__xludf.DUMMYFUNCTION("GOOGLETRANSLATE(B438,""en"",""ja"")"),"この取引を進めますか？")</f>
        <v>この取引を進めますか？</v>
      </c>
      <c r="F438" s="1" t="str">
        <f ca="1">IFERROR(__xludf.DUMMYFUNCTION("GOOGLETRANSLATE(B438,""en"",""fr"")"),"Voulez-vous procéder à cette transaction?")</f>
        <v>Voulez-vous procéder à cette transaction?</v>
      </c>
    </row>
    <row r="439" spans="1:6" ht="15.75" customHeight="1" x14ac:dyDescent="0.25">
      <c r="A439" s="1" t="s">
        <v>830</v>
      </c>
      <c r="B439" s="1" t="s">
        <v>831</v>
      </c>
      <c r="C439" s="1" t="str">
        <f ca="1">IFERROR(__xludf.DUMMYFUNCTION("GOOGLETRANSLATE(B439,""en"",""ar"")"),"تعيين الموظف")</f>
        <v>تعيين الموظف</v>
      </c>
      <c r="D439" s="1" t="str">
        <f ca="1">IFERROR(__xludf.DUMMYFUNCTION("GOOGLETRANSLATE(B439,""en"",""zh-CN"")"),"分配员工")</f>
        <v>分配员工</v>
      </c>
      <c r="E439" s="1" t="str">
        <f ca="1">IFERROR(__xludf.DUMMYFUNCTION("GOOGLETRANSLATE(B439,""en"",""ja"")"),"従業員を割り当てます")</f>
        <v>従業員を割り当てます</v>
      </c>
      <c r="F439" s="1" t="str">
        <f ca="1">IFERROR(__xludf.DUMMYFUNCTION("GOOGLETRANSLATE(B439,""en"",""fr"")"),"Attribuer un employé")</f>
        <v>Attribuer un employé</v>
      </c>
    </row>
    <row r="440" spans="1:6" ht="15.75" customHeight="1" x14ac:dyDescent="0.25">
      <c r="A440" s="1" t="s">
        <v>832</v>
      </c>
      <c r="B440" s="1" t="s">
        <v>833</v>
      </c>
      <c r="C440" s="1" t="str">
        <f ca="1">IFERROR(__xludf.DUMMYFUNCTION("GOOGLETRANSLATE(B440,""en"",""ar"")"),"تعيين وكيل")</f>
        <v>تعيين وكيل</v>
      </c>
      <c r="D440" s="1" t="str">
        <f ca="1">IFERROR(__xludf.DUMMYFUNCTION("GOOGLETRANSLATE(B440,""en"",""zh-CN"")"),"分配代理")</f>
        <v>分配代理</v>
      </c>
      <c r="E440" s="1" t="str">
        <f ca="1">IFERROR(__xludf.DUMMYFUNCTION("GOOGLETRANSLATE(B440,""en"",""ja"")"),"エージェントを割り当てます")</f>
        <v>エージェントを割り当てます</v>
      </c>
      <c r="F440" s="1" t="str">
        <f ca="1">IFERROR(__xludf.DUMMYFUNCTION("GOOGLETRANSLATE(B440,""en"",""fr"")"),"Agent d'attribution")</f>
        <v>Agent d'attribution</v>
      </c>
    </row>
    <row r="441" spans="1:6" ht="15.75" customHeight="1" x14ac:dyDescent="0.25">
      <c r="A441" s="1" t="s">
        <v>834</v>
      </c>
      <c r="B441" s="1" t="s">
        <v>835</v>
      </c>
      <c r="C441" s="1" t="str">
        <f ca="1">IFERROR(__xludf.DUMMYFUNCTION("GOOGLETRANSLATE(B441,""en"",""ar"")"),"مكتب خلفي")</f>
        <v>مكتب خلفي</v>
      </c>
      <c r="D441" s="1" t="str">
        <f ca="1">IFERROR(__xludf.DUMMYFUNCTION("GOOGLETRANSLATE(B441,""en"",""zh-CN"")"),"后台")</f>
        <v>后台</v>
      </c>
      <c r="E441" s="1" t="str">
        <f ca="1">IFERROR(__xludf.DUMMYFUNCTION("GOOGLETRANSLATE(B441,""en"",""ja"")"),"バックオフィス")</f>
        <v>バックオフィス</v>
      </c>
      <c r="F441" s="1" t="str">
        <f ca="1">IFERROR(__xludf.DUMMYFUNCTION("GOOGLETRANSLATE(B441,""en"",""fr"")"),"Bassin")</f>
        <v>Bassin</v>
      </c>
    </row>
    <row r="442" spans="1:6" ht="15.75" customHeight="1" x14ac:dyDescent="0.25">
      <c r="A442" s="1" t="s">
        <v>836</v>
      </c>
      <c r="B442" s="1" t="s">
        <v>837</v>
      </c>
      <c r="C442" s="1" t="str">
        <f ca="1">IFERROR(__xludf.DUMMYFUNCTION("GOOGLETRANSLATE(B442,""en"",""ar"")"),"الإيصالات الماضية")</f>
        <v>الإيصالات الماضية</v>
      </c>
      <c r="D442" s="1" t="str">
        <f ca="1">IFERROR(__xludf.DUMMYFUNCTION("GOOGLETRANSLATE(B442,""en"",""zh-CN"")"),"过去收据")</f>
        <v>过去收据</v>
      </c>
      <c r="E442" s="1" t="str">
        <f ca="1">IFERROR(__xludf.DUMMYFUNCTION("GOOGLETRANSLATE(B442,""en"",""ja"")"),"過去の領収書")</f>
        <v>過去の領収書</v>
      </c>
      <c r="F442" s="1" t="str">
        <f ca="1">IFERROR(__xludf.DUMMYFUNCTION("GOOGLETRANSLATE(B442,""en"",""fr"")"),"Recettes passées")</f>
        <v>Recettes passées</v>
      </c>
    </row>
    <row r="443" spans="1:6" ht="15.75" customHeight="1" x14ac:dyDescent="0.25">
      <c r="A443" s="1" t="s">
        <v>838</v>
      </c>
      <c r="B443" s="1" t="s">
        <v>839</v>
      </c>
      <c r="C443" s="1" t="str">
        <f ca="1">IFERROR(__xludf.DUMMYFUNCTION("GOOGLETRANSLATE(B443,""en"",""ar"")"),"يتقدم")</f>
        <v>يتقدم</v>
      </c>
      <c r="D443" s="1" t="str">
        <f ca="1">IFERROR(__xludf.DUMMYFUNCTION("GOOGLETRANSLATE(B443,""en"",""zh-CN"")"),"申请")</f>
        <v>申请</v>
      </c>
      <c r="E443" s="1" t="str">
        <f ca="1">IFERROR(__xludf.DUMMYFUNCTION("GOOGLETRANSLATE(B443,""en"",""ja"")"),"申し込み")</f>
        <v>申し込み</v>
      </c>
      <c r="F443" s="1" t="str">
        <f ca="1">IFERROR(__xludf.DUMMYFUNCTION("GOOGLETRANSLATE(B443,""en"",""fr"")"),"Appliquer")</f>
        <v>Appliquer</v>
      </c>
    </row>
    <row r="444" spans="1:6" ht="15.75" customHeight="1" x14ac:dyDescent="0.25">
      <c r="A444" s="1" t="s">
        <v>840</v>
      </c>
      <c r="B444" s="1" t="s">
        <v>841</v>
      </c>
      <c r="C444" s="1" t="str">
        <f ca="1">IFERROR(__xludf.DUMMYFUNCTION("GOOGLETRANSLATE(B444,""en"",""ar"")"),"تخصيص قائمة إضافية")</f>
        <v>تخصيص قائمة إضافية</v>
      </c>
      <c r="D444" s="1" t="str">
        <f ca="1">IFERROR(__xludf.DUMMYFUNCTION("GOOGLETRANSLATE(B444,""en"",""zh-CN"")"),"自定义额外的菜单")</f>
        <v>自定义额外的菜单</v>
      </c>
      <c r="E444" s="1" t="str">
        <f ca="1">IFERROR(__xludf.DUMMYFUNCTION("GOOGLETRANSLATE(B444,""en"",""ja"")"),"追加のメニューをカスタマイズします")</f>
        <v>追加のメニューをカスタマイズします</v>
      </c>
      <c r="F444" s="1" t="str">
        <f ca="1">IFERROR(__xludf.DUMMYFUNCTION("GOOGLETRANSLATE(B444,""en"",""fr"")"),"Personnaliser un menu supplémentaire")</f>
        <v>Personnaliser un menu supplémentaire</v>
      </c>
    </row>
    <row r="445" spans="1:6" ht="15.75" customHeight="1" x14ac:dyDescent="0.25">
      <c r="A445" s="1" t="s">
        <v>842</v>
      </c>
      <c r="B445" s="1" t="s">
        <v>543</v>
      </c>
      <c r="C445" s="1" t="str">
        <f ca="1">IFERROR(__xludf.DUMMYFUNCTION("GOOGLETRANSLATE(B445,""en"",""ar"")"),"ردود فعل العملاء")</f>
        <v>ردود فعل العملاء</v>
      </c>
      <c r="D445" s="1" t="str">
        <f ca="1">IFERROR(__xludf.DUMMYFUNCTION("GOOGLETRANSLATE(B445,""en"",""zh-CN"")"),"客户的反馈意见")</f>
        <v>客户的反馈意见</v>
      </c>
      <c r="E445" s="1" t="str">
        <f ca="1">IFERROR(__xludf.DUMMYFUNCTION("GOOGLETRANSLATE(B445,""en"",""ja"")"),"お客様の声")</f>
        <v>お客様の声</v>
      </c>
      <c r="F445" s="1" t="str">
        <f ca="1">IFERROR(__xludf.DUMMYFUNCTION("GOOGLETRANSLATE(B445,""en"",""fr"")"),"Commentaires des clients")</f>
        <v>Commentaires des clients</v>
      </c>
    </row>
    <row r="446" spans="1:6" ht="15.75" customHeight="1" x14ac:dyDescent="0.25">
      <c r="A446" s="1" t="s">
        <v>843</v>
      </c>
      <c r="B446" s="1" t="s">
        <v>844</v>
      </c>
      <c r="C446" s="1" t="str">
        <f ca="1">IFERROR(__xludf.DUMMYFUNCTION("GOOGLETRANSLATE(B446,""en"",""ar"")"),"هل أنت متأكد من أنك تريد حذف هذه التسوية الائتمانية؟")</f>
        <v>هل أنت متأكد من أنك تريد حذف هذه التسوية الائتمانية؟</v>
      </c>
      <c r="D446" s="1" t="str">
        <f ca="1">IFERROR(__xludf.DUMMYFUNCTION("GOOGLETRANSLATE(B446,""en"",""zh-CN"")"),"你确定，你想删除这个信用结算吗？")</f>
        <v>你确定，你想删除这个信用结算吗？</v>
      </c>
      <c r="E446" s="1" t="str">
        <f ca="1">IFERROR(__xludf.DUMMYFUNCTION("GOOGLETRANSLATE(B446,""en"",""ja"")"),"確かに、この信用の決済を削除したいですか？")</f>
        <v>確かに、この信用の決済を削除したいですか？</v>
      </c>
      <c r="F446" s="1" t="str">
        <f ca="1">IFERROR(__xludf.DUMMYFUNCTION("GOOGLETRANSLATE(B446,""en"",""fr"")"),"Êtes-vous sûr que vous souhaitez supprimer ce règlement de crédit?")</f>
        <v>Êtes-vous sûr que vous souhaitez supprimer ce règlement de crédit?</v>
      </c>
    </row>
    <row r="447" spans="1:6" ht="15.75" customHeight="1" x14ac:dyDescent="0.25">
      <c r="A447" s="1" t="s">
        <v>845</v>
      </c>
      <c r="B447" s="1" t="s">
        <v>846</v>
      </c>
      <c r="C447" s="1" t="str">
        <f ca="1">IFERROR(__xludf.DUMMYFUNCTION("GOOGLETRANSLATE(B447,""en"",""ar"")"),"هل أنت متأكد أنك تريد إلغاء تسوية الائتمان؟")</f>
        <v>هل أنت متأكد أنك تريد إلغاء تسوية الائتمان؟</v>
      </c>
      <c r="D447" s="1" t="str">
        <f ca="1">IFERROR(__xludf.DUMMYFUNCTION("GOOGLETRANSLATE(B447,""en"",""zh-CN"")"),"您确定要取消信用结算吗？")</f>
        <v>您确定要取消信用结算吗？</v>
      </c>
      <c r="E447" s="1" t="str">
        <f ca="1">IFERROR(__xludf.DUMMYFUNCTION("GOOGLETRANSLATE(B447,""en"",""ja"")"),"信用の和解をキャンセルしてよろしいですか？")</f>
        <v>信用の和解をキャンセルしてよろしいですか？</v>
      </c>
      <c r="F447" s="1" t="str">
        <f ca="1">IFERROR(__xludf.DUMMYFUNCTION("GOOGLETRANSLATE(B447,""en"",""fr"")"),"Êtes-vous sûr de vouloir annuler le règlement de crédit?")</f>
        <v>Êtes-vous sûr de vouloir annuler le règlement de crédit?</v>
      </c>
    </row>
    <row r="448" spans="1:6" ht="15.75" customHeight="1" x14ac:dyDescent="0.25">
      <c r="A448" s="1" t="s">
        <v>847</v>
      </c>
      <c r="B448" s="1" t="s">
        <v>848</v>
      </c>
      <c r="C448" s="1" t="str">
        <f ca="1">IFERROR(__xludf.DUMMYFUNCTION("GOOGLETRANSLATE(B448,""en"",""ar"")"),"أغراض :")</f>
        <v>أغراض :</v>
      </c>
      <c r="D448" s="1" t="str">
        <f ca="1">IFERROR(__xludf.DUMMYFUNCTION("GOOGLETRANSLATE(B448,""en"",""zh-CN"")"),"项目 ：")</f>
        <v>项目 ：</v>
      </c>
      <c r="E448" s="1" t="str">
        <f ca="1">IFERROR(__xludf.DUMMYFUNCTION("GOOGLETRANSLATE(B448,""en"",""ja"")"),"アイテム：")</f>
        <v>アイテム：</v>
      </c>
      <c r="F448" s="1" t="str">
        <f ca="1">IFERROR(__xludf.DUMMYFUNCTION("GOOGLETRANSLATE(B448,""en"",""fr"")"),"Articles :")</f>
        <v>Articles :</v>
      </c>
    </row>
    <row r="449" spans="1:6" ht="15.75" customHeight="1" x14ac:dyDescent="0.25">
      <c r="A449" s="1" t="s">
        <v>180</v>
      </c>
      <c r="B449" s="1" t="s">
        <v>849</v>
      </c>
      <c r="C449" s="1" t="str">
        <f ca="1">IFERROR(__xludf.DUMMYFUNCTION("GOOGLETRANSLATE(B449,""en"",""ar"")"),"الكمية:")</f>
        <v>الكمية:</v>
      </c>
      <c r="D449" s="1" t="str">
        <f ca="1">IFERROR(__xludf.DUMMYFUNCTION("GOOGLETRANSLATE(B449,""en"",""zh-CN"")"),"数量：")</f>
        <v>数量：</v>
      </c>
      <c r="E449" s="1" t="str">
        <f ca="1">IFERROR(__xludf.DUMMYFUNCTION("GOOGLETRANSLATE(B449,""en"",""ja"")"),"QTY：")</f>
        <v>QTY：</v>
      </c>
      <c r="F449" s="1" t="str">
        <f ca="1">IFERROR(__xludf.DUMMYFUNCTION("GOOGLETRANSLATE(B449,""en"",""fr"")"),"Qté:")</f>
        <v>Qté:</v>
      </c>
    </row>
    <row r="450" spans="1:6" ht="15.75" customHeight="1" x14ac:dyDescent="0.25">
      <c r="A450" s="1" t="s">
        <v>850</v>
      </c>
      <c r="B450" s="1" t="s">
        <v>851</v>
      </c>
      <c r="C450" s="1" t="str">
        <f ca="1">IFERROR(__xludf.DUMMYFUNCTION("GOOGLETRANSLATE(B450,""en"",""ar"")"),"عميل :")</f>
        <v>عميل :</v>
      </c>
      <c r="D450" s="1" t="str">
        <f ca="1">IFERROR(__xludf.DUMMYFUNCTION("GOOGLETRANSLATE(B450,""en"",""zh-CN"")"),"顾客 ：")</f>
        <v>顾客 ：</v>
      </c>
      <c r="E450" s="1" t="str">
        <f ca="1">IFERROR(__xludf.DUMMYFUNCTION("GOOGLETRANSLATE(B450,""en"",""ja"")"),"お客様 ：")</f>
        <v>お客様 ：</v>
      </c>
      <c r="F450" s="1" t="str">
        <f ca="1">IFERROR(__xludf.DUMMYFUNCTION("GOOGLETRANSLATE(B450,""en"",""fr"")"),"Client :")</f>
        <v>Client :</v>
      </c>
    </row>
    <row r="451" spans="1:6" ht="15.75" customHeight="1" x14ac:dyDescent="0.25">
      <c r="A451" s="1" t="s">
        <v>852</v>
      </c>
      <c r="B451" s="1" t="s">
        <v>853</v>
      </c>
      <c r="C451" s="1" t="str">
        <f ca="1">IFERROR(__xludf.DUMMYFUNCTION("GOOGLETRANSLATE(B451,""en"",""ar"")"),"تعيين موظف")</f>
        <v>تعيين موظف</v>
      </c>
      <c r="D451" s="1" t="str">
        <f ca="1">IFERROR(__xludf.DUMMYFUNCTION("GOOGLETRANSLATE(B451,""en"",""zh-CN"")"),"分配员工")</f>
        <v>分配员工</v>
      </c>
      <c r="E451" s="1" t="str">
        <f ca="1">IFERROR(__xludf.DUMMYFUNCTION("GOOGLETRANSLATE(B451,""en"",""ja"")"),"従業員を割り当てます")</f>
        <v>従業員を割り当てます</v>
      </c>
      <c r="F451" s="1" t="str">
        <f ca="1">IFERROR(__xludf.DUMMYFUNCTION("GOOGLETRANSLATE(B451,""en"",""fr"")"),"Attribuer un employé")</f>
        <v>Attribuer un employé</v>
      </c>
    </row>
    <row r="452" spans="1:6" ht="15.75" customHeight="1" x14ac:dyDescent="0.25">
      <c r="A452" s="1" t="s">
        <v>854</v>
      </c>
      <c r="B452" s="1" t="s">
        <v>855</v>
      </c>
      <c r="C452" s="1" t="str">
        <f ca="1">IFERROR(__xludf.DUMMYFUNCTION("GOOGLETRANSLATE(B452,""en"",""ar"")"),"تعيين وكيل")</f>
        <v>تعيين وكيل</v>
      </c>
      <c r="D452" s="1" t="str">
        <f ca="1">IFERROR(__xludf.DUMMYFUNCTION("GOOGLETRANSLATE(B452,""en"",""zh-CN"")"),"分配代理人")</f>
        <v>分配代理人</v>
      </c>
      <c r="E452" s="1" t="str">
        <f ca="1">IFERROR(__xludf.DUMMYFUNCTION("GOOGLETRANSLATE(B452,""en"",""ja"")"),"エージェントを割り当てます")</f>
        <v>エージェントを割り当てます</v>
      </c>
      <c r="F452" s="1" t="str">
        <f ca="1">IFERROR(__xludf.DUMMYFUNCTION("GOOGLETRANSLATE(B452,""en"",""fr"")"),"Attribuer un agent")</f>
        <v>Attribuer un agent</v>
      </c>
    </row>
    <row r="453" spans="1:6" ht="15.75" customHeight="1" x14ac:dyDescent="0.25">
      <c r="A453" s="1" t="s">
        <v>856</v>
      </c>
      <c r="B453" s="1" t="s">
        <v>857</v>
      </c>
      <c r="C453" s="1" t="str">
        <f ca="1">IFERROR(__xludf.DUMMYFUNCTION("GOOGLETRANSLATE(B453,""en"",""ar"")"),"لا مخزون متاح")</f>
        <v>لا مخزون متاح</v>
      </c>
      <c r="D453" s="1" t="str">
        <f ca="1">IFERROR(__xludf.DUMMYFUNCTION("GOOGLETRANSLATE(B453,""en"",""zh-CN"")"),"没有股票可用")</f>
        <v>没有股票可用</v>
      </c>
      <c r="E453" s="1" t="str">
        <f ca="1">IFERROR(__xludf.DUMMYFUNCTION("GOOGLETRANSLATE(B453,""en"",""ja"")"),"利用可能な在庫なし")</f>
        <v>利用可能な在庫なし</v>
      </c>
      <c r="F453" s="1" t="str">
        <f ca="1">IFERROR(__xludf.DUMMYFUNCTION("GOOGLETRANSLATE(B453,""en"",""fr"")"),"Pas de stock disponible")</f>
        <v>Pas de stock disponible</v>
      </c>
    </row>
    <row r="454" spans="1:6" ht="15.75" customHeight="1" x14ac:dyDescent="0.25">
      <c r="A454" s="1" t="s">
        <v>858</v>
      </c>
      <c r="B454" s="1" t="s">
        <v>859</v>
      </c>
      <c r="C454" s="1" t="str">
        <f ca="1">IFERROR(__xludf.DUMMYFUNCTION("GOOGLETRANSLATE(B454,""en"",""ar"")"),"الباركود الخطأ، حاول مرة أخرى.")</f>
        <v>الباركود الخطأ، حاول مرة أخرى.</v>
      </c>
      <c r="D454" s="1" t="str">
        <f ca="1">IFERROR(__xludf.DUMMYFUNCTION("GOOGLETRANSLATE(B454,""en"",""zh-CN"")"),"错误的条形码，再试一次。")</f>
        <v>错误的条形码，再试一次。</v>
      </c>
      <c r="E454" s="1" t="str">
        <f ca="1">IFERROR(__xludf.DUMMYFUNCTION("GOOGLETRANSLATE(B454,""en"",""ja"")"),"間違ったバーコードをやり直してください。")</f>
        <v>間違ったバーコードをやり直してください。</v>
      </c>
      <c r="F454" s="1" t="str">
        <f ca="1">IFERROR(__xludf.DUMMYFUNCTION("GOOGLETRANSLATE(B454,""en"",""fr"")"),"Mauvais code à barres, essayez à nouveau.")</f>
        <v>Mauvais code à barres, essayez à nouveau.</v>
      </c>
    </row>
    <row r="455" spans="1:6" ht="15.75" customHeight="1" x14ac:dyDescent="0.25">
      <c r="A455" s="1" t="s">
        <v>860</v>
      </c>
      <c r="B455" s="1" t="s">
        <v>861</v>
      </c>
      <c r="C455" s="1" t="str">
        <f ca="1">IFERROR(__xludf.DUMMYFUNCTION("GOOGLETRANSLATE(B455,""en"",""ar"")"),"لا يوجد مخزون")</f>
        <v>لا يوجد مخزون</v>
      </c>
      <c r="D455" s="1" t="str">
        <f ca="1">IFERROR(__xludf.DUMMYFUNCTION("GOOGLETRANSLATE(B455,""en"",""zh-CN"")"),"没有股票")</f>
        <v>没有股票</v>
      </c>
      <c r="E455" s="1" t="str">
        <f ca="1">IFERROR(__xludf.DUMMYFUNCTION("GOOGLETRANSLATE(B455,""en"",""ja"")"),"在庫が見つかりました")</f>
        <v>在庫が見つかりました</v>
      </c>
      <c r="F455" s="1" t="str">
        <f ca="1">IFERROR(__xludf.DUMMYFUNCTION("GOOGLETRANSLATE(B455,""en"",""fr"")"),"Aucun stock trouvé")</f>
        <v>Aucun stock trouvé</v>
      </c>
    </row>
    <row r="456" spans="1:6" ht="15.75" customHeight="1" x14ac:dyDescent="0.25">
      <c r="A456" s="1" t="s">
        <v>862</v>
      </c>
      <c r="B456" s="1" t="s">
        <v>863</v>
      </c>
      <c r="C456" s="1" t="str">
        <f ca="1">IFERROR(__xludf.DUMMYFUNCTION("GOOGLETRANSLATE(B456,""en"",""ar"")"),"لم يتم العثور على مخزون، وخلق المنتج وإضافة الأسهم")</f>
        <v>لم يتم العثور على مخزون، وخلق المنتج وإضافة الأسهم</v>
      </c>
      <c r="D456" s="1" t="str">
        <f ca="1">IFERROR(__xludf.DUMMYFUNCTION("GOOGLETRANSLATE(B456,""en"",""zh-CN"")"),"没有股票发现，创建产品并添加库存")</f>
        <v>没有股票发现，创建产品并添加库存</v>
      </c>
      <c r="E456" s="1" t="str">
        <f ca="1">IFERROR(__xludf.DUMMYFUNCTION("GOOGLETRANSLATE(B456,""en"",""ja"")"),"在庫が見つかりませんでした、製品を作成して在庫を追加する")</f>
        <v>在庫が見つかりませんでした、製品を作成して在庫を追加する</v>
      </c>
      <c r="F456" s="1" t="str">
        <f ca="1">IFERROR(__xludf.DUMMYFUNCTION("GOOGLETRANSLATE(B456,""en"",""fr"")"),"Pas de stock trouvé, créer un produit et ajouter un stock")</f>
        <v>Pas de stock trouvé, créer un produit et ajouter un stock</v>
      </c>
    </row>
    <row r="457" spans="1:6" ht="15.75" customHeight="1" x14ac:dyDescent="0.25">
      <c r="A457" s="1" t="s">
        <v>864</v>
      </c>
      <c r="B457" s="1" t="s">
        <v>865</v>
      </c>
      <c r="C457" s="1" t="str">
        <f ca="1">IFERROR(__xludf.DUMMYFUNCTION("GOOGLETRANSLATE(B457,""en"",""ar"")"),"يرجى اختيار العناصر")</f>
        <v>يرجى اختيار العناصر</v>
      </c>
      <c r="D457" s="1" t="str">
        <f ca="1">IFERROR(__xludf.DUMMYFUNCTION("GOOGLETRANSLATE(B457,""en"",""zh-CN"")"),"请选择项目")</f>
        <v>请选择项目</v>
      </c>
      <c r="E457" s="1" t="str">
        <f ca="1">IFERROR(__xludf.DUMMYFUNCTION("GOOGLETRANSLATE(B457,""en"",""ja"")"),"アイテムを選択してください")</f>
        <v>アイテムを選択してください</v>
      </c>
      <c r="F457" s="1" t="str">
        <f ca="1">IFERROR(__xludf.DUMMYFUNCTION("GOOGLETRANSLATE(B457,""en"",""fr"")"),"Veuillez sélectionner des éléments")</f>
        <v>Veuillez sélectionner des éléments</v>
      </c>
    </row>
    <row r="458" spans="1:6" ht="15.75" customHeight="1" x14ac:dyDescent="0.25">
      <c r="A458" s="1" t="s">
        <v>866</v>
      </c>
      <c r="B458" s="1" t="s">
        <v>205</v>
      </c>
      <c r="C458" s="1" t="str">
        <f ca="1">IFERROR(__xludf.DUMMYFUNCTION("GOOGLETRANSLATE(B458,""en"",""ar"")"),"مجموع")</f>
        <v>مجموع</v>
      </c>
      <c r="D458" s="1" t="str">
        <f ca="1">IFERROR(__xludf.DUMMYFUNCTION("GOOGLETRANSLATE(B458,""en"",""zh-CN"")"),"全部的")</f>
        <v>全部的</v>
      </c>
      <c r="E458" s="1" t="str">
        <f ca="1">IFERROR(__xludf.DUMMYFUNCTION("GOOGLETRANSLATE(B458,""en"",""ja"")"),"合計")</f>
        <v>合計</v>
      </c>
      <c r="F458" s="1" t="str">
        <f ca="1">IFERROR(__xludf.DUMMYFUNCTION("GOOGLETRANSLATE(B458,""en"",""fr"")"),"Le total")</f>
        <v>Le total</v>
      </c>
    </row>
    <row r="459" spans="1:6" ht="15.75" customHeight="1" x14ac:dyDescent="0.25">
      <c r="A459" s="1" t="s">
        <v>867</v>
      </c>
      <c r="B459" s="1" t="s">
        <v>868</v>
      </c>
      <c r="C459" s="1" t="str">
        <f ca="1">IFERROR(__xludf.DUMMYFUNCTION("GOOGLETRANSLATE(B459,""en"",""ar"")"),"المبلغ المستحق")</f>
        <v>المبلغ المستحق</v>
      </c>
      <c r="D459" s="1" t="str">
        <f ca="1">IFERROR(__xludf.DUMMYFUNCTION("GOOGLETRANSLATE(B459,""en"",""zh-CN"")"),"适量到期")</f>
        <v>适量到期</v>
      </c>
      <c r="E459" s="1" t="str">
        <f ca="1">IFERROR(__xludf.DUMMYFUNCTION("GOOGLETRANSLATE(B459,""en"",""ja"")"),"料金")</f>
        <v>料金</v>
      </c>
      <c r="F459" s="1" t="str">
        <f ca="1">IFERROR(__xludf.DUMMYFUNCTION("GOOGLETRANSLATE(B459,""en"",""fr"")"),"Montant dû")</f>
        <v>Montant dû</v>
      </c>
    </row>
    <row r="460" spans="1:6" ht="15.75" customHeight="1" x14ac:dyDescent="0.25">
      <c r="A460" s="1" t="s">
        <v>869</v>
      </c>
      <c r="B460" s="1" t="s">
        <v>217</v>
      </c>
      <c r="C460" s="1" t="str">
        <f ca="1">IFERROR(__xludf.DUMMYFUNCTION("GOOGLETRANSLATE(B460,""en"",""ar"")"),"إجمالي الخصم")</f>
        <v>إجمالي الخصم</v>
      </c>
      <c r="D460" s="1" t="str">
        <f ca="1">IFERROR(__xludf.DUMMYFUNCTION("GOOGLETRANSLATE(B460,""en"",""zh-CN"")"),"总折扣")</f>
        <v>总折扣</v>
      </c>
      <c r="E460" s="1" t="str">
        <f ca="1">IFERROR(__xludf.DUMMYFUNCTION("GOOGLETRANSLATE(B460,""en"",""ja"")"),"総割引")</f>
        <v>総割引</v>
      </c>
      <c r="F460" s="1" t="str">
        <f ca="1">IFERROR(__xludf.DUMMYFUNCTION("GOOGLETRANSLATE(B460,""en"",""fr"")"),"Remise totale")</f>
        <v>Remise totale</v>
      </c>
    </row>
    <row r="461" spans="1:6" ht="15.75" customHeight="1" x14ac:dyDescent="0.25">
      <c r="A461" s="1" t="s">
        <v>870</v>
      </c>
      <c r="B461" s="1" t="s">
        <v>871</v>
      </c>
      <c r="C461" s="1" t="str">
        <f ca="1">IFERROR(__xludf.DUMMYFUNCTION("GOOGLETRANSLATE(B461,""en"",""ar"")"),"لا يمكن أن يكون أكبر من 100٪")</f>
        <v>لا يمكن أن يكون أكبر من 100٪</v>
      </c>
      <c r="D461" s="1" t="str">
        <f ca="1">IFERROR(__xludf.DUMMYFUNCTION("GOOGLETRANSLATE(B461,""en"",""zh-CN"")"),"不能大于100％")</f>
        <v>不能大于100％</v>
      </c>
      <c r="E461" s="1" t="str">
        <f ca="1">IFERROR(__xludf.DUMMYFUNCTION("GOOGLETRANSLATE(B461,""en"",""ja"")"),"100％を超えることはできません")</f>
        <v>100％を超えることはできません</v>
      </c>
      <c r="F461" s="1" t="str">
        <f ca="1">IFERROR(__xludf.DUMMYFUNCTION("GOOGLETRANSLATE(B461,""en"",""fr"")"),"Ne peut pas être supérieur à 100%")</f>
        <v>Ne peut pas être supérieur à 100%</v>
      </c>
    </row>
    <row r="462" spans="1:6" ht="15.75" customHeight="1" x14ac:dyDescent="0.25">
      <c r="A462" s="1" t="s">
        <v>872</v>
      </c>
      <c r="B462" s="1" t="s">
        <v>873</v>
      </c>
      <c r="C462" s="1" t="str">
        <f ca="1">IFERROR(__xludf.DUMMYFUNCTION("GOOGLETRANSLATE(B462,""en"",""ar"")"),"يرجى التحقق من القيمة الخاصة بك")</f>
        <v>يرجى التحقق من القيمة الخاصة بك</v>
      </c>
      <c r="D462" s="1" t="str">
        <f ca="1">IFERROR(__xludf.DUMMYFUNCTION("GOOGLETRANSLATE(B462,""en"",""zh-CN"")"),"请检查您的价值")</f>
        <v>请检查您的价值</v>
      </c>
      <c r="E462" s="1" t="str">
        <f ca="1">IFERROR(__xludf.DUMMYFUNCTION("GOOGLETRANSLATE(B462,""en"",""ja"")"),"あなたの価値を確認してください")</f>
        <v>あなたの価値を確認してください</v>
      </c>
      <c r="F462" s="1" t="str">
        <f ca="1">IFERROR(__xludf.DUMMYFUNCTION("GOOGLETRANSLATE(B462,""en"",""fr"")"),"S'il vous plaît vérifier votre valeur")</f>
        <v>S'il vous plaît vérifier votre valeur</v>
      </c>
    </row>
    <row r="463" spans="1:6" ht="15.75" customHeight="1" x14ac:dyDescent="0.25">
      <c r="A463" s="1" t="s">
        <v>874</v>
      </c>
      <c r="B463" s="1" t="s">
        <v>875</v>
      </c>
      <c r="C463" s="1" t="str">
        <f ca="1">IFERROR(__xludf.DUMMYFUNCTION("GOOGLETRANSLATE(B463,""en"",""ar"")"),"الرجاء إدخال قيمة الدفع الصحيحة")</f>
        <v>الرجاء إدخال قيمة الدفع الصحيحة</v>
      </c>
      <c r="D463" s="1" t="str">
        <f ca="1">IFERROR(__xludf.DUMMYFUNCTION("GOOGLETRANSLATE(B463,""en"",""zh-CN"")"),"请输入正确的付款值")</f>
        <v>请输入正确的付款值</v>
      </c>
      <c r="E463" s="1" t="str">
        <f ca="1">IFERROR(__xludf.DUMMYFUNCTION("GOOGLETRANSLATE(B463,""en"",""ja"")"),"正しい支払い価値を入力してください")</f>
        <v>正しい支払い価値を入力してください</v>
      </c>
      <c r="F463" s="1" t="str">
        <f ca="1">IFERROR(__xludf.DUMMYFUNCTION("GOOGLETRANSLATE(B463,""en"",""fr"")"),"S'il vous plaît entrer la valeur de paiement correcte")</f>
        <v>S'il vous plaît entrer la valeur de paiement correcte</v>
      </c>
    </row>
    <row r="464" spans="1:6" ht="15.75" customHeight="1" x14ac:dyDescent="0.25">
      <c r="A464" s="1" t="s">
        <v>876</v>
      </c>
      <c r="B464" s="1" t="s">
        <v>877</v>
      </c>
      <c r="C464" s="1" t="str">
        <f ca="1">IFERROR(__xludf.DUMMYFUNCTION("GOOGLETRANSLATE(B464,""en"",""ar"")"),"ملاحظة الائتمان أو استرداد النقود قد تم بالفعل")</f>
        <v>ملاحظة الائتمان أو استرداد النقود قد تم بالفعل</v>
      </c>
      <c r="D464" s="1" t="str">
        <f ca="1">IFERROR(__xludf.DUMMYFUNCTION("GOOGLETRANSLATE(B464,""en"",""zh-CN"")"),"信用票据或现金退款已完成")</f>
        <v>信用票据或现金退款已完成</v>
      </c>
      <c r="E464" s="1" t="str">
        <f ca="1">IFERROR(__xludf.DUMMYFUNCTION("GOOGLETRANSLATE(B464,""en"",""ja"")"),"クレジットノートまたは現金払い戻しはすでに行われています")</f>
        <v>クレジットノートまたは現金払い戻しはすでに行われています</v>
      </c>
      <c r="F464" s="1" t="str">
        <f ca="1">IFERROR(__xludf.DUMMYFUNCTION("GOOGLETRANSLATE(B464,""en"",""fr"")"),"Note de crédit ou remboursement de trésorerie a déjà été fait")</f>
        <v>Note de crédit ou remboursement de trésorerie a déjà été fait</v>
      </c>
    </row>
    <row r="465" spans="1:6" ht="15.75" customHeight="1" x14ac:dyDescent="0.25">
      <c r="A465" s="1" t="s">
        <v>878</v>
      </c>
      <c r="B465" s="1" t="s">
        <v>879</v>
      </c>
      <c r="C465" s="1" t="str">
        <f ca="1">IFERROR(__xludf.DUMMYFUNCTION("GOOGLETRANSLATE(B465,""en"",""ar"")"),"لا يمكن حذف هذا الاستلام بسبب إنشاء ملاحظة الائتمان")</f>
        <v>لا يمكن حذف هذا الاستلام بسبب إنشاء ملاحظة الائتمان</v>
      </c>
      <c r="D465" s="1" t="str">
        <f ca="1">IFERROR(__xludf.DUMMYFUNCTION("GOOGLETRANSLATE(B465,""en"",""zh-CN"")"),"由于信用票据创建无法删除此收据")</f>
        <v>由于信用票据创建无法删除此收据</v>
      </c>
      <c r="E465" s="1" t="str">
        <f ca="1">IFERROR(__xludf.DUMMYFUNCTION("GOOGLETRANSLATE(B465,""en"",""ja"")"),"クレジットノート作成のため、この領収書を削除できません")</f>
        <v>クレジットノート作成のため、この領収書を削除できません</v>
      </c>
      <c r="F465" s="1" t="str">
        <f ca="1">IFERROR(__xludf.DUMMYFUNCTION("GOOGLETRANSLATE(B465,""en"",""fr"")"),"Ne peut pas supprimer ce reçu en raison de la création de la note de crédit")</f>
        <v>Ne peut pas supprimer ce reçu en raison de la création de la note de crédit</v>
      </c>
    </row>
    <row r="466" spans="1:6" ht="15.75" customHeight="1" x14ac:dyDescent="0.25">
      <c r="A466" s="1" t="s">
        <v>880</v>
      </c>
      <c r="B466" s="1" t="s">
        <v>881</v>
      </c>
      <c r="C466" s="1" t="str">
        <f ca="1">IFERROR(__xludf.DUMMYFUNCTION("GOOGLETRANSLATE(B466,""en"",""ar"")"),"لا يمكن حذف هذا الاستلام بسبب استرداد النقود")</f>
        <v>لا يمكن حذف هذا الاستلام بسبب استرداد النقود</v>
      </c>
      <c r="D466" s="1" t="str">
        <f ca="1">IFERROR(__xludf.DUMMYFUNCTION("GOOGLETRANSLATE(B466,""en"",""zh-CN"")"),"由于现金退款无法删除此收据")</f>
        <v>由于现金退款无法删除此收据</v>
      </c>
      <c r="E466" s="1" t="str">
        <f ca="1">IFERROR(__xludf.DUMMYFUNCTION("GOOGLETRANSLATE(B466,""en"",""ja"")"),"現金払い戻しによりこの領収書を削除できません")</f>
        <v>現金払い戻しによりこの領収書を削除できません</v>
      </c>
      <c r="F466" s="1" t="str">
        <f ca="1">IFERROR(__xludf.DUMMYFUNCTION("GOOGLETRANSLATE(B466,""en"",""fr"")"),"Ne peut pas supprimer ce reçu en raison d'une remboursement de remboursement")</f>
        <v>Ne peut pas supprimer ce reçu en raison d'une remboursement de remboursement</v>
      </c>
    </row>
    <row r="467" spans="1:6" ht="15.75" customHeight="1" x14ac:dyDescent="0.25">
      <c r="A467" s="1" t="s">
        <v>882</v>
      </c>
      <c r="B467" s="1" t="s">
        <v>883</v>
      </c>
      <c r="C467" s="1" t="str">
        <f ca="1">IFERROR(__xludf.DUMMYFUNCTION("GOOGLETRANSLATE(B467,""en"",""ar"")"),"تم إنشاء مذكرة الائتمان بنجاح")</f>
        <v>تم إنشاء مذكرة الائتمان بنجاح</v>
      </c>
      <c r="D467" s="1" t="str">
        <f ca="1">IFERROR(__xludf.DUMMYFUNCTION("GOOGLETRANSLATE(B467,""en"",""zh-CN"")"),"信用笔记已成功创建")</f>
        <v>信用笔记已成功创建</v>
      </c>
      <c r="E467" s="1" t="str">
        <f ca="1">IFERROR(__xludf.DUMMYFUNCTION("GOOGLETRANSLATE(B467,""en"",""ja"")"),"クレジットノートは正常に作成されました")</f>
        <v>クレジットノートは正常に作成されました</v>
      </c>
      <c r="F467" s="1" t="str">
        <f ca="1">IFERROR(__xludf.DUMMYFUNCTION("GOOGLETRANSLATE(B467,""en"",""fr"")"),"La note de crédit a été créée avec succès")</f>
        <v>La note de crédit a été créée avec succès</v>
      </c>
    </row>
    <row r="468" spans="1:6" ht="15.75" customHeight="1" x14ac:dyDescent="0.25">
      <c r="A468" s="1" t="s">
        <v>884</v>
      </c>
      <c r="B468" s="1" t="s">
        <v>885</v>
      </c>
      <c r="C468" s="1" t="str">
        <f ca="1">IFERROR(__xludf.DUMMYFUNCTION("GOOGLETRANSLATE(B468,""en"",""ar"")"),"الرجاء إدخال معرف ملاحظة الائتمان")</f>
        <v>الرجاء إدخال معرف ملاحظة الائتمان</v>
      </c>
      <c r="D468" s="1" t="str">
        <f ca="1">IFERROR(__xludf.DUMMYFUNCTION("GOOGLETRANSLATE(B468,""en"",""zh-CN"")"),"请输入Credit Note ID")</f>
        <v>请输入Credit Note ID</v>
      </c>
      <c r="E468" s="1" t="str">
        <f ca="1">IFERROR(__xludf.DUMMYFUNCTION("GOOGLETRANSLATE(B468,""en"",""ja"")"),"クレジットノートIDを入力してください")</f>
        <v>クレジットノートIDを入力してください</v>
      </c>
      <c r="F468" s="1" t="str">
        <f ca="1">IFERROR(__xludf.DUMMYFUNCTION("GOOGLETRANSLATE(B468,""en"",""fr"")"),"S'il vous plaît entrer la note de crédit ID")</f>
        <v>S'il vous plaît entrer la note de crédit ID</v>
      </c>
    </row>
    <row r="469" spans="1:6" ht="15.75" customHeight="1" x14ac:dyDescent="0.25">
      <c r="A469" s="1" t="s">
        <v>886</v>
      </c>
      <c r="B469" s="1" t="s">
        <v>887</v>
      </c>
      <c r="C469" s="1" t="str">
        <f ca="1">IFERROR(__xludf.DUMMYFUNCTION("GOOGLETRANSLATE(B469,""en"",""ar"")"),"معرف ملاحظة الائتمان غير صالح")</f>
        <v>معرف ملاحظة الائتمان غير صالح</v>
      </c>
      <c r="D469" s="1" t="str">
        <f ca="1">IFERROR(__xludf.DUMMYFUNCTION("GOOGLETRANSLATE(B469,""en"",""zh-CN"")"),"无效的信用票据ID")</f>
        <v>无效的信用票据ID</v>
      </c>
      <c r="E469" s="1" t="str">
        <f ca="1">IFERROR(__xludf.DUMMYFUNCTION("GOOGLETRANSLATE(B469,""en"",""ja"")"),"無効なクレジットノートID")</f>
        <v>無効なクレジットノートID</v>
      </c>
      <c r="F469" s="1" t="str">
        <f ca="1">IFERROR(__xludf.DUMMYFUNCTION("GOOGLETRANSLATE(B469,""en"",""fr"")"),"ID de note de crédit invalide")</f>
        <v>ID de note de crédit invalide</v>
      </c>
    </row>
    <row r="470" spans="1:6" ht="15.75" customHeight="1" x14ac:dyDescent="0.25">
      <c r="A470" s="1" t="s">
        <v>888</v>
      </c>
      <c r="B470" s="1" t="s">
        <v>889</v>
      </c>
      <c r="C470" s="1" t="str">
        <f ca="1">IFERROR(__xludf.DUMMYFUNCTION("GOOGLETRANSLATE(B470,""en"",""ar"")"),"أدخل مبلغ النقد")</f>
        <v>أدخل مبلغ النقد</v>
      </c>
      <c r="D470" s="1" t="str">
        <f ca="1">IFERROR(__xludf.DUMMYFUNCTION("GOOGLETRANSLATE(B470,""en"",""zh-CN"")"),"输入现金金额")</f>
        <v>输入现金金额</v>
      </c>
      <c r="E470" s="1" t="str">
        <f ca="1">IFERROR(__xludf.DUMMYFUNCTION("GOOGLETRANSLATE(B470,""en"",""ja"")"),"現金額を入力してください")</f>
        <v>現金額を入力してください</v>
      </c>
      <c r="F470" s="1" t="str">
        <f ca="1">IFERROR(__xludf.DUMMYFUNCTION("GOOGLETRANSLATE(B470,""en"",""fr"")"),"Entrez le montant en espèces")</f>
        <v>Entrez le montant en espèces</v>
      </c>
    </row>
    <row r="471" spans="1:6" ht="15.75" customHeight="1" x14ac:dyDescent="0.25">
      <c r="A471" s="1" t="s">
        <v>890</v>
      </c>
      <c r="B471" s="1" t="s">
        <v>891</v>
      </c>
      <c r="C471" s="1" t="str">
        <f ca="1">IFERROR(__xludf.DUMMYFUNCTION("GOOGLETRANSLATE(B471,""en"",""ar"")"),"يتم إفساح المبلغ الخاص بك بمبلغ الدرج النقدي")</f>
        <v>يتم إفساح المبلغ الخاص بك بمبلغ الدرج النقدي</v>
      </c>
      <c r="D471" s="1" t="str">
        <f ca="1">IFERROR(__xludf.DUMMYFUNCTION("GOOGLETRANSLATE(B471,""en"",""zh-CN"")"),"您的金额得到了现金抽屉金额")</f>
        <v>您的金额得到了现金抽屉金额</v>
      </c>
      <c r="E471" s="1" t="str">
        <f ca="1">IFERROR(__xludf.DUMMYFUNCTION("GOOGLETRANSLATE(B471,""en"",""ja"")"),"あなたの金額は現金引き出し量を発行しました")</f>
        <v>あなたの金額は現金引き出し量を発行しました</v>
      </c>
      <c r="F471" s="1" t="str">
        <f ca="1">IFERROR(__xludf.DUMMYFUNCTION("GOOGLETRANSLATE(B471,""en"",""fr"")"),"Votre montant est expétué le montant du tiroir-caisse")</f>
        <v>Votre montant est expétué le montant du tiroir-caisse</v>
      </c>
    </row>
    <row r="472" spans="1:6" ht="15.75" customHeight="1" x14ac:dyDescent="0.25">
      <c r="A472" s="1" t="s">
        <v>892</v>
      </c>
      <c r="B472" s="1" t="s">
        <v>893</v>
      </c>
      <c r="C472" s="1" t="str">
        <f ca="1">IFERROR(__xludf.DUMMYFUNCTION("GOOGLETRANSLATE(B472,""en"",""ar"")"),"تجاوز الحد الأقصى لقيمة الخصم")</f>
        <v>تجاوز الحد الأقصى لقيمة الخصم</v>
      </c>
      <c r="D472" s="1" t="str">
        <f ca="1">IFERROR(__xludf.DUMMYFUNCTION("GOOGLETRANSLATE(B472,""en"",""zh-CN"")"),"超过最大折扣价值")</f>
        <v>超过最大折扣价值</v>
      </c>
      <c r="E472" s="1" t="str">
        <f ca="1">IFERROR(__xludf.DUMMYFUNCTION("GOOGLETRANSLATE(B472,""en"",""ja"")"),"最大割引価値を超えてください")</f>
        <v>最大割引価値を超えてください</v>
      </c>
      <c r="F472" s="1" t="str">
        <f ca="1">IFERROR(__xludf.DUMMYFUNCTION("GOOGLETRANSLATE(B472,""en"",""fr"")"),"Dépasser la valeur de réduction maximale")</f>
        <v>Dépasser la valeur de réduction maximale</v>
      </c>
    </row>
    <row r="473" spans="1:6" ht="15.75" customHeight="1" x14ac:dyDescent="0.25">
      <c r="A473" s="1" t="s">
        <v>894</v>
      </c>
      <c r="B473" s="1" t="s">
        <v>895</v>
      </c>
      <c r="C473" s="1" t="str">
        <f ca="1">IFERROR(__xludf.DUMMYFUNCTION("GOOGLETRANSLATE(B473,""en"",""ar"")"),"تجاوز الحد الأقصى للخصم النسبة المئوية")</f>
        <v>تجاوز الحد الأقصى للخصم النسبة المئوية</v>
      </c>
      <c r="D473" s="1" t="str">
        <f ca="1">IFERROR(__xludf.DUMMYFUNCTION("GOOGLETRANSLATE(B473,""en"",""zh-CN"")"),"超过最大折扣百分比")</f>
        <v>超过最大折扣百分比</v>
      </c>
      <c r="E473" s="1" t="str">
        <f ca="1">IFERROR(__xludf.DUMMYFUNCTION("GOOGLETRANSLATE(B473,""en"",""ja"")"),"最大割引率を超えてください")</f>
        <v>最大割引率を超えてください</v>
      </c>
      <c r="F473" s="1" t="str">
        <f ca="1">IFERROR(__xludf.DUMMYFUNCTION("GOOGLETRANSLATE(B473,""en"",""fr"")"),"Dépasser le pourcentage de réduction maximum")</f>
        <v>Dépasser le pourcentage de réduction maximum</v>
      </c>
    </row>
    <row r="474" spans="1:6" ht="15.75" customHeight="1" x14ac:dyDescent="0.25">
      <c r="A474" s="1" t="s">
        <v>896</v>
      </c>
      <c r="B474" s="1" t="s">
        <v>897</v>
      </c>
      <c r="C474" s="1" t="str">
        <f ca="1">IFERROR(__xludf.DUMMYFUNCTION("GOOGLETRANSLATE(B474,""en"",""ar"")"),"أدخل مبلغ أقل للدفع المتعدد")</f>
        <v>أدخل مبلغ أقل للدفع المتعدد</v>
      </c>
      <c r="D474" s="1" t="str">
        <f ca="1">IFERROR(__xludf.DUMMYFUNCTION("GOOGLETRANSLATE(B474,""en"",""zh-CN"")"),"输入多金额的较少金额")</f>
        <v>输入多金额的较少金额</v>
      </c>
      <c r="E474" s="1" t="str">
        <f ca="1">IFERROR(__xludf.DUMMYFUNCTION("GOOGLETRANSLATE(B474,""en"",""ja"")"),"多重支払いのために短い金額を入力してください")</f>
        <v>多重支払いのために短い金額を入力してください</v>
      </c>
      <c r="F474" s="1" t="str">
        <f ca="1">IFERROR(__xludf.DUMMYFUNCTION("GOOGLETRANSLATE(B474,""en"",""fr"")"),"Entrez le montant inférieur pour Multi Payment")</f>
        <v>Entrez le montant inférieur pour Multi Payment</v>
      </c>
    </row>
    <row r="475" spans="1:6" ht="15.75" customHeight="1" x14ac:dyDescent="0.25">
      <c r="A475" s="1" t="s">
        <v>898</v>
      </c>
      <c r="B475" s="1" t="s">
        <v>899</v>
      </c>
      <c r="C475" s="1" t="str">
        <f ca="1">IFERROR(__xludf.DUMMYFUNCTION("GOOGLETRANSLATE(B475,""en"",""ar"")"),"خيار الدفع هذا غير متوفر للدفع المتعدد")</f>
        <v>خيار الدفع هذا غير متوفر للدفع المتعدد</v>
      </c>
      <c r="D475" s="1" t="str">
        <f ca="1">IFERROR(__xludf.DUMMYFUNCTION("GOOGLETRANSLATE(B475,""en"",""zh-CN"")"),"此付款选项不可用于多付款")</f>
        <v>此付款选项不可用于多付款</v>
      </c>
      <c r="E475" s="1" t="str">
        <f ca="1">IFERROR(__xludf.DUMMYFUNCTION("GOOGLETRANSLATE(B475,""en"",""ja"")"),"この支払いオプションは、マルチペイメントでは利用できません")</f>
        <v>この支払いオプションは、マルチペイメントでは利用できません</v>
      </c>
      <c r="F475" s="1" t="str">
        <f ca="1">IFERROR(__xludf.DUMMYFUNCTION("GOOGLETRANSLATE(B475,""en"",""fr"")"),"Cette option de paiement n'est pas disponible pour Multi Payment")</f>
        <v>Cette option de paiement n'est pas disponible pour Multi Payment</v>
      </c>
    </row>
    <row r="476" spans="1:6" ht="15.75" customHeight="1" x14ac:dyDescent="0.25">
      <c r="A476" s="1" t="s">
        <v>900</v>
      </c>
      <c r="B476" s="1" t="s">
        <v>901</v>
      </c>
      <c r="C476" s="1" t="str">
        <f ca="1">IFERROR(__xludf.DUMMYFUNCTION("GOOGLETRANSLATE(B476,""en"",""ar"")"),"لا يمكنك إضافة دفعة أخرى")</f>
        <v>لا يمكنك إضافة دفعة أخرى</v>
      </c>
      <c r="D476" s="1" t="str">
        <f ca="1">IFERROR(__xludf.DUMMYFUNCTION("GOOGLETRANSLATE(B476,""en"",""zh-CN"")"),"您无法添加其他付款")</f>
        <v>您无法添加其他付款</v>
      </c>
      <c r="E476" s="1" t="str">
        <f ca="1">IFERROR(__xludf.DUMMYFUNCTION("GOOGLETRANSLATE(B476,""en"",""ja"")"),"あなたは別の支払いを追加することはできません")</f>
        <v>あなたは別の支払いを追加することはできません</v>
      </c>
      <c r="F476" s="1" t="str">
        <f ca="1">IFERROR(__xludf.DUMMYFUNCTION("GOOGLETRANSLATE(B476,""en"",""fr"")"),"Vous ne pouvez pas ajouter un autre paiement")</f>
        <v>Vous ne pouvez pas ajouter un autre paiement</v>
      </c>
    </row>
    <row r="477" spans="1:6" ht="15.75" customHeight="1" x14ac:dyDescent="0.25">
      <c r="A477" s="1" t="s">
        <v>902</v>
      </c>
      <c r="B477" s="1" t="s">
        <v>903</v>
      </c>
      <c r="C477" s="1" t="str">
        <f ca="1">IFERROR(__xludf.DUMMYFUNCTION("GOOGLETRANSLATE(B477,""en"",""ar"")"),"هذا العميل ليس لديه نقاط كافية")</f>
        <v>هذا العميل ليس لديه نقاط كافية</v>
      </c>
      <c r="D477" s="1" t="str">
        <f ca="1">IFERROR(__xludf.DUMMYFUNCTION("GOOGLETRANSLATE(B477,""en"",""zh-CN"")"),"这位客户没有足够的积分")</f>
        <v>这位客户没有足够的积分</v>
      </c>
      <c r="E477" s="1" t="str">
        <f ca="1">IFERROR(__xludf.DUMMYFUNCTION("GOOGLETRANSLATE(B477,""en"",""ja"")"),"この顧客には十分なポイントがありません")</f>
        <v>この顧客には十分なポイントがありません</v>
      </c>
      <c r="F477" s="1" t="str">
        <f ca="1">IFERROR(__xludf.DUMMYFUNCTION("GOOGLETRANSLATE(B477,""en"",""fr"")"),"Ce client n'a pas assez de points")</f>
        <v>Ce client n'a pas assez de points</v>
      </c>
    </row>
    <row r="478" spans="1:6" ht="15.75" customHeight="1" x14ac:dyDescent="0.25">
      <c r="A478" s="1" t="s">
        <v>904</v>
      </c>
      <c r="B478" s="1" t="s">
        <v>905</v>
      </c>
      <c r="C478" s="1" t="str">
        <f ca="1">IFERROR(__xludf.DUMMYFUNCTION("GOOGLETRANSLATE(B478,""en"",""ar"")"),"مدفوعات متعددة")</f>
        <v>مدفوعات متعددة</v>
      </c>
      <c r="D478" s="1" t="str">
        <f ca="1">IFERROR(__xludf.DUMMYFUNCTION("GOOGLETRANSLATE(B478,""en"",""zh-CN"")"),"多付款")</f>
        <v>多付款</v>
      </c>
      <c r="E478" s="1" t="str">
        <f ca="1">IFERROR(__xludf.DUMMYFUNCTION("GOOGLETRANSLATE(B478,""en"",""ja"")"),"マルチペイメント")</f>
        <v>マルチペイメント</v>
      </c>
      <c r="F478" s="1" t="str">
        <f ca="1">IFERROR(__xludf.DUMMYFUNCTION("GOOGLETRANSLATE(B478,""en"",""fr"")"),"Multi Paiements")</f>
        <v>Multi Paiements</v>
      </c>
    </row>
    <row r="479" spans="1:6" ht="15.75" customHeight="1" x14ac:dyDescent="0.25">
      <c r="A479" s="1" t="s">
        <v>906</v>
      </c>
      <c r="B479" s="1" t="s">
        <v>907</v>
      </c>
      <c r="C479" s="1" t="str">
        <f ca="1">IFERROR(__xludf.DUMMYFUNCTION("GOOGLETRANSLATE(B479,""en"",""ar"")"),"النقاط المكتسبة:")</f>
        <v>النقاط المكتسبة:</v>
      </c>
      <c r="D479" s="1" t="str">
        <f ca="1">IFERROR(__xludf.DUMMYFUNCTION("GOOGLETRANSLATE(B479,""en"",""zh-CN"")"),"获得积分：")</f>
        <v>获得积分：</v>
      </c>
      <c r="E479" s="1" t="str">
        <f ca="1">IFERROR(__xludf.DUMMYFUNCTION("GOOGLETRANSLATE(B479,""en"",""ja"")"),"獲得ポイント：")</f>
        <v>獲得ポイント：</v>
      </c>
      <c r="F479" s="1" t="str">
        <f ca="1">IFERROR(__xludf.DUMMYFUNCTION("GOOGLETRANSLATE(B479,""en"",""fr"")"),"Points gagnés:")</f>
        <v>Points gagnés:</v>
      </c>
    </row>
    <row r="480" spans="1:6" ht="15.75" customHeight="1" x14ac:dyDescent="0.25">
      <c r="A480" s="1" t="s">
        <v>908</v>
      </c>
      <c r="B480" s="1" t="s">
        <v>909</v>
      </c>
      <c r="C480" s="1" t="str">
        <f ca="1">IFERROR(__xludf.DUMMYFUNCTION("GOOGLETRANSLATE(B480,""en"",""ar"")"),"تم حذف الاستلام")</f>
        <v>تم حذف الاستلام</v>
      </c>
      <c r="D480" s="1" t="str">
        <f ca="1">IFERROR(__xludf.DUMMYFUNCTION("GOOGLETRANSLATE(B480,""en"",""zh-CN"")"),"收据已被删除")</f>
        <v>收据已被删除</v>
      </c>
      <c r="E480" s="1" t="str">
        <f ca="1">IFERROR(__xludf.DUMMYFUNCTION("GOOGLETRANSLATE(B480,""en"",""ja"")"),"領収書は削除されました")</f>
        <v>領収書は削除されました</v>
      </c>
      <c r="F480" s="1" t="str">
        <f ca="1">IFERROR(__xludf.DUMMYFUNCTION("GOOGLETRANSLATE(B480,""en"",""fr"")"),"Le reçu a été supprimé")</f>
        <v>Le reçu a été supprimé</v>
      </c>
    </row>
    <row r="481" spans="1:6" ht="15.75" customHeight="1" x14ac:dyDescent="0.25">
      <c r="A481" s="1" t="s">
        <v>910</v>
      </c>
      <c r="B481" s="1" t="s">
        <v>911</v>
      </c>
      <c r="C481" s="1" t="str">
        <f ca="1">IFERROR(__xludf.DUMMYFUNCTION("GOOGLETRANSLATE(B481,""en"",""ar"")"),"حذف إيصال")</f>
        <v>حذف إيصال</v>
      </c>
      <c r="D481" s="1" t="str">
        <f ca="1">IFERROR(__xludf.DUMMYFUNCTION("GOOGLETRANSLATE(B481,""en"",""zh-CN"")"),"收据删除")</f>
        <v>收据删除</v>
      </c>
      <c r="E481" s="1" t="str">
        <f ca="1">IFERROR(__xludf.DUMMYFUNCTION("GOOGLETRANSLATE(B481,""en"",""ja"")"),"受信削除")</f>
        <v>受信削除</v>
      </c>
      <c r="F481" s="1" t="str">
        <f ca="1">IFERROR(__xludf.DUMMYFUNCTION("GOOGLETRANSLATE(B481,""en"",""fr"")"),"Suppression de la réception")</f>
        <v>Suppression de la réception</v>
      </c>
    </row>
    <row r="482" spans="1:6" ht="15.75" customHeight="1" x14ac:dyDescent="0.25">
      <c r="A482" s="1" t="s">
        <v>912</v>
      </c>
      <c r="B482" s="1" t="s">
        <v>913</v>
      </c>
      <c r="C482" s="1" t="str">
        <f ca="1">IFERROR(__xludf.DUMMYFUNCTION("GOOGLETRANSLATE(B482,""en"",""ar"")"),"استلام حذف")</f>
        <v>استلام حذف</v>
      </c>
      <c r="D482" s="1" t="str">
        <f ca="1">IFERROR(__xludf.DUMMYFUNCTION("GOOGLETRANSLATE(B482,""en"",""zh-CN"")"),"收据删除")</f>
        <v>收据删除</v>
      </c>
      <c r="E482" s="1" t="str">
        <f ca="1">IFERROR(__xludf.DUMMYFUNCTION("GOOGLETRANSLATE(B482,""en"",""ja"")"),"領収書削除")</f>
        <v>領収書削除</v>
      </c>
      <c r="F482" s="1" t="str">
        <f ca="1">IFERROR(__xludf.DUMMYFUNCTION("GOOGLETRANSLATE(B482,""en"",""fr"")"),"La réception supprime")</f>
        <v>La réception supprime</v>
      </c>
    </row>
    <row r="483" spans="1:6" ht="15.75" customHeight="1" x14ac:dyDescent="0.25">
      <c r="A483" s="1" t="s">
        <v>914</v>
      </c>
      <c r="B483" s="1" t="s">
        <v>915</v>
      </c>
      <c r="C483" s="1" t="str">
        <f ca="1">IFERROR(__xludf.DUMMYFUNCTION("GOOGLETRANSLATE(B483,""en"",""ar"")"),"إنشاء ملاحظة الائتمان")</f>
        <v>إنشاء ملاحظة الائتمان</v>
      </c>
      <c r="D483" s="1" t="str">
        <f ca="1">IFERROR(__xludf.DUMMYFUNCTION("GOOGLETRANSLATE(B483,""en"",""zh-CN"")"),"创建信用额")</f>
        <v>创建信用额</v>
      </c>
      <c r="E483" s="1" t="str">
        <f ca="1">IFERROR(__xludf.DUMMYFUNCTION("GOOGLETRANSLATE(B483,""en"",""ja"")"),"クレジットノートを作成します")</f>
        <v>クレジットノートを作成します</v>
      </c>
      <c r="F483" s="1" t="str">
        <f ca="1">IFERROR(__xludf.DUMMYFUNCTION("GOOGLETRANSLATE(B483,""en"",""fr"")"),"Créer une note de crédit")</f>
        <v>Créer une note de crédit</v>
      </c>
    </row>
    <row r="484" spans="1:6" ht="15.75" customHeight="1" x14ac:dyDescent="0.25">
      <c r="A484" s="1" t="s">
        <v>916</v>
      </c>
      <c r="B484" s="1" t="s">
        <v>917</v>
      </c>
      <c r="C484" s="1" t="str">
        <f ca="1">IFERROR(__xludf.DUMMYFUNCTION("GOOGLETRANSLATE(B484,""en"",""ar"")"),"إنشاء استرداد النقود")</f>
        <v>إنشاء استرداد النقود</v>
      </c>
      <c r="D484" s="1" t="str">
        <f ca="1">IFERROR(__xludf.DUMMYFUNCTION("GOOGLETRANSLATE(B484,""en"",""zh-CN"")"),"创建现金退款")</f>
        <v>创建现金退款</v>
      </c>
      <c r="E484" s="1" t="str">
        <f ca="1">IFERROR(__xludf.DUMMYFUNCTION("GOOGLETRANSLATE(B484,""en"",""ja"")"),"現金払い戻しを作成します")</f>
        <v>現金払い戻しを作成します</v>
      </c>
      <c r="F484" s="1" t="str">
        <f ca="1">IFERROR(__xludf.DUMMYFUNCTION("GOOGLETRANSLATE(B484,""en"",""fr"")"),"Créer un remboursement en espèces")</f>
        <v>Créer un remboursement en espèces</v>
      </c>
    </row>
    <row r="485" spans="1:6" ht="15.75" customHeight="1" x14ac:dyDescent="0.25">
      <c r="A485" s="1" t="s">
        <v>918</v>
      </c>
      <c r="B485" s="1" t="s">
        <v>919</v>
      </c>
      <c r="C485" s="1" t="str">
        <f ca="1">IFERROR(__xludf.DUMMYFUNCTION("GOOGLETRANSLATE(B485,""en"",""ar"")"),"تم إلغاء مذكرة الائتمان")</f>
        <v>تم إلغاء مذكرة الائتمان</v>
      </c>
      <c r="D485" s="1" t="str">
        <f ca="1">IFERROR(__xludf.DUMMYFUNCTION("GOOGLETRANSLATE(B485,""en"",""zh-CN"")"),"信用票据已被取消")</f>
        <v>信用票据已被取消</v>
      </c>
      <c r="E485" s="1" t="str">
        <f ca="1">IFERROR(__xludf.DUMMYFUNCTION("GOOGLETRANSLATE(B485,""en"",""ja"")"),"クレジットノートはキャンセルされました")</f>
        <v>クレジットノートはキャンセルされました</v>
      </c>
      <c r="F485" s="1" t="str">
        <f ca="1">IFERROR(__xludf.DUMMYFUNCTION("GOOGLETRANSLATE(B485,""en"",""fr"")"),"La note de crédit a été annulée")</f>
        <v>La note de crédit a été annulée</v>
      </c>
    </row>
    <row r="486" spans="1:6" ht="15.75" customHeight="1" x14ac:dyDescent="0.25">
      <c r="A486" s="1" t="s">
        <v>920</v>
      </c>
      <c r="B486" s="1" t="s">
        <v>921</v>
      </c>
      <c r="C486" s="1" t="str">
        <f ca="1">IFERROR(__xludf.DUMMYFUNCTION("GOOGLETRANSLATE(B486,""en"",""ar"")"),"تم حذف مذكرة الائتمان")</f>
        <v>تم حذف مذكرة الائتمان</v>
      </c>
      <c r="D486" s="1" t="str">
        <f ca="1">IFERROR(__xludf.DUMMYFUNCTION("GOOGLETRANSLATE(B486,""en"",""zh-CN"")"),"信用笔记已被删除")</f>
        <v>信用笔记已被删除</v>
      </c>
      <c r="E486" s="1" t="str">
        <f ca="1">IFERROR(__xludf.DUMMYFUNCTION("GOOGLETRANSLATE(B486,""en"",""ja"")"),"クレジットノートは削除されました")</f>
        <v>クレジットノートは削除されました</v>
      </c>
      <c r="F486" s="1" t="str">
        <f ca="1">IFERROR(__xludf.DUMMYFUNCTION("GOOGLETRANSLATE(B486,""en"",""fr"")"),"La note de crédit a été supprimée")</f>
        <v>La note de crédit a été supprimée</v>
      </c>
    </row>
    <row r="487" spans="1:6" ht="15.75" customHeight="1" x14ac:dyDescent="0.25">
      <c r="A487" s="1" t="s">
        <v>922</v>
      </c>
      <c r="B487" s="1" t="s">
        <v>923</v>
      </c>
      <c r="C487" s="1" t="str">
        <f ca="1">IFERROR(__xludf.DUMMYFUNCTION("GOOGLETRANSLATE(B487,""en"",""ar"")"),"إلغاء ملاحظة الائتمان")</f>
        <v>إلغاء ملاحظة الائتمان</v>
      </c>
      <c r="D487" s="1" t="str">
        <f ca="1">IFERROR(__xludf.DUMMYFUNCTION("GOOGLETRANSLATE(B487,""en"",""zh-CN"")"),"信用票据取消")</f>
        <v>信用票据取消</v>
      </c>
      <c r="E487" s="1" t="str">
        <f ca="1">IFERROR(__xludf.DUMMYFUNCTION("GOOGLETRANSLATE(B487,""en"",""ja"")"),"クレジットノートキャンセル")</f>
        <v>クレジットノートキャンセル</v>
      </c>
      <c r="F487" s="1" t="str">
        <f ca="1">IFERROR(__xludf.DUMMYFUNCTION("GOOGLETRANSLATE(B487,""en"",""fr"")"),"Annulation de la note de crédit")</f>
        <v>Annulation de la note de crédit</v>
      </c>
    </row>
    <row r="488" spans="1:6" ht="15.75" customHeight="1" x14ac:dyDescent="0.25">
      <c r="A488" s="1" t="s">
        <v>924</v>
      </c>
      <c r="B488" s="1" t="s">
        <v>925</v>
      </c>
      <c r="C488" s="1" t="str">
        <f ca="1">IFERROR(__xludf.DUMMYFUNCTION("GOOGLETRANSLATE(B488,""en"",""ar"")"),"ملاحظة الائتمان حذف")</f>
        <v>ملاحظة الائتمان حذف</v>
      </c>
      <c r="D488" s="1" t="str">
        <f ca="1">IFERROR(__xludf.DUMMYFUNCTION("GOOGLETRANSLATE(B488,""en"",""zh-CN"")"),"信用票据删除")</f>
        <v>信用票据删除</v>
      </c>
      <c r="E488" s="1" t="str">
        <f ca="1">IFERROR(__xludf.DUMMYFUNCTION("GOOGLETRANSLATE(B488,""en"",""ja"")"),"クレジットノート削除")</f>
        <v>クレジットノート削除</v>
      </c>
      <c r="F488" s="1" t="str">
        <f ca="1">IFERROR(__xludf.DUMMYFUNCTION("GOOGLETRANSLATE(B488,""en"",""fr"")"),"Note de crédit Supprimer")</f>
        <v>Note de crédit Supprimer</v>
      </c>
    </row>
    <row r="489" spans="1:6" ht="15.75" customHeight="1" x14ac:dyDescent="0.25">
      <c r="A489" s="1" t="s">
        <v>926</v>
      </c>
      <c r="B489" s="1" t="s">
        <v>927</v>
      </c>
      <c r="C489" s="1" t="str">
        <f ca="1">IFERROR(__xludf.DUMMYFUNCTION("GOOGLETRANSLATE(B489,""en"",""ar"")"),"هل أنت متأكد أنك تريد إلغاء مذكرة الائتمان؟")</f>
        <v>هل أنت متأكد أنك تريد إلغاء مذكرة الائتمان؟</v>
      </c>
      <c r="D489" s="1" t="str">
        <f ca="1">IFERROR(__xludf.DUMMYFUNCTION("GOOGLETRANSLATE(B489,""en"",""zh-CN"")"),"您确定要取消信用票据吗？")</f>
        <v>您确定要取消信用票据吗？</v>
      </c>
      <c r="E489" s="1" t="str">
        <f ca="1">IFERROR(__xludf.DUMMYFUNCTION("GOOGLETRANSLATE(B489,""en"",""ja"")"),"クレジットノートをキャンセルしてよろしいですか？")</f>
        <v>クレジットノートをキャンセルしてよろしいですか？</v>
      </c>
      <c r="F489" s="1" t="str">
        <f ca="1">IFERROR(__xludf.DUMMYFUNCTION("GOOGLETRANSLATE(B489,""en"",""fr"")"),"Êtes-vous sûr de vouloir annuler la note de crédit?")</f>
        <v>Êtes-vous sûr de vouloir annuler la note de crédit?</v>
      </c>
    </row>
    <row r="490" spans="1:6" ht="15.75" customHeight="1" x14ac:dyDescent="0.25">
      <c r="A490" s="1" t="s">
        <v>928</v>
      </c>
      <c r="B490" s="1" t="s">
        <v>929</v>
      </c>
      <c r="C490" s="1" t="str">
        <f ca="1">IFERROR(__xludf.DUMMYFUNCTION("GOOGLETRANSLATE(B490,""en"",""ar"")"),"هل أنت متأكد من أنك تريد حذف ملاحظة الائتمان هذه؟")</f>
        <v>هل أنت متأكد من أنك تريد حذف ملاحظة الائتمان هذه؟</v>
      </c>
      <c r="D490" s="1" t="str">
        <f ca="1">IFERROR(__xludf.DUMMYFUNCTION("GOOGLETRANSLATE(B490,""en"",""zh-CN"")"),"您是否肯定要删除此信用票据？")</f>
        <v>您是否肯定要删除此信用票据？</v>
      </c>
      <c r="E490" s="1" t="str">
        <f ca="1">IFERROR(__xludf.DUMMYFUNCTION("GOOGLETRANSLATE(B490,""en"",""ja"")"),"あなたは確かにこのクレジットノートを削除したいですか？")</f>
        <v>あなたは確かにこのクレジットノートを削除したいですか？</v>
      </c>
      <c r="F490" s="1" t="str">
        <f ca="1">IFERROR(__xludf.DUMMYFUNCTION("GOOGLETRANSLATE(B490,""en"",""fr"")"),"Voulez-vous sûr que vous voulez supprimer cette note de crédit?")</f>
        <v>Voulez-vous sûr que vous voulez supprimer cette note de crédit?</v>
      </c>
    </row>
    <row r="491" spans="1:6" ht="15.75" customHeight="1" x14ac:dyDescent="0.25">
      <c r="A491" s="1" t="s">
        <v>930</v>
      </c>
      <c r="B491" s="1" t="s">
        <v>931</v>
      </c>
      <c r="C491" s="1" t="str">
        <f ca="1">IFERROR(__xludf.DUMMYFUNCTION("GOOGLETRANSLATE(B491,""en"",""ar"")"),"تم إلغاء استرداد النقود")</f>
        <v>تم إلغاء استرداد النقود</v>
      </c>
      <c r="D491" s="1" t="str">
        <f ca="1">IFERROR(__xludf.DUMMYFUNCTION("GOOGLETRANSLATE(B491,""en"",""zh-CN"")"),"现金退款已被取消")</f>
        <v>现金退款已被取消</v>
      </c>
      <c r="E491" s="1" t="str">
        <f ca="1">IFERROR(__xludf.DUMMYFUNCTION("GOOGLETRANSLATE(B491,""en"",""ja"")"),"現金払い戻しはキャンセルされました")</f>
        <v>現金払い戻しはキャンセルされました</v>
      </c>
      <c r="F491" s="1" t="str">
        <f ca="1">IFERROR(__xludf.DUMMYFUNCTION("GOOGLETRANSLATE(B491,""en"",""fr"")"),"Le remboursement de l'argent a été annulé")</f>
        <v>Le remboursement de l'argent a été annulé</v>
      </c>
    </row>
    <row r="492" spans="1:6" ht="15.75" customHeight="1" x14ac:dyDescent="0.25">
      <c r="A492" s="1" t="s">
        <v>932</v>
      </c>
      <c r="B492" s="1" t="s">
        <v>933</v>
      </c>
      <c r="C492" s="1" t="str">
        <f ca="1">IFERROR(__xludf.DUMMYFUNCTION("GOOGLETRANSLATE(B492,""en"",""ar"")"),"تم حذف استرداد النقود")</f>
        <v>تم حذف استرداد النقود</v>
      </c>
      <c r="D492" s="1" t="str">
        <f ca="1">IFERROR(__xludf.DUMMYFUNCTION("GOOGLETRANSLATE(B492,""en"",""zh-CN"")"),"现金退款已被删除")</f>
        <v>现金退款已被删除</v>
      </c>
      <c r="E492" s="1" t="str">
        <f ca="1">IFERROR(__xludf.DUMMYFUNCTION("GOOGLETRANSLATE(B492,""en"",""ja"")"),"現金払い戻しは削除されました")</f>
        <v>現金払い戻しは削除されました</v>
      </c>
      <c r="F492" s="1" t="str">
        <f ca="1">IFERROR(__xludf.DUMMYFUNCTION("GOOGLETRANSLATE(B492,""en"",""fr"")"),"Le remboursement de l'argent a été supprimé")</f>
        <v>Le remboursement de l'argent a été supprimé</v>
      </c>
    </row>
    <row r="493" spans="1:6" ht="15.75" customHeight="1" x14ac:dyDescent="0.25">
      <c r="A493" s="1" t="s">
        <v>934</v>
      </c>
      <c r="B493" s="1" t="s">
        <v>935</v>
      </c>
      <c r="C493" s="1" t="str">
        <f ca="1">IFERROR(__xludf.DUMMYFUNCTION("GOOGLETRANSLATE(B493,""en"",""ar"")"),"الإلغاء استرداد النقود")</f>
        <v>الإلغاء استرداد النقود</v>
      </c>
      <c r="D493" s="1" t="str">
        <f ca="1">IFERROR(__xludf.DUMMYFUNCTION("GOOGLETRANSLATE(B493,""en"",""zh-CN"")"),"现金退款取消")</f>
        <v>现金退款取消</v>
      </c>
      <c r="E493" s="1" t="str">
        <f ca="1">IFERROR(__xludf.DUMMYFUNCTION("GOOGLETRANSLATE(B493,""en"",""ja"")"),"キャッシュキャンセル")</f>
        <v>キャッシュキャンセル</v>
      </c>
      <c r="F493" s="1" t="str">
        <f ca="1">IFERROR(__xludf.DUMMYFUNCTION("GOOGLETRANSLATE(B493,""en"",""fr"")"),"Annulation de remboursement de trésorerie")</f>
        <v>Annulation de remboursement de trésorerie</v>
      </c>
    </row>
    <row r="494" spans="1:6" ht="15.75" customHeight="1" x14ac:dyDescent="0.25">
      <c r="A494" s="1" t="s">
        <v>936</v>
      </c>
      <c r="B494" s="1" t="s">
        <v>937</v>
      </c>
      <c r="C494" s="1" t="str">
        <f ca="1">IFERROR(__xludf.DUMMYFUNCTION("GOOGLETRANSLATE(B494,""en"",""ar"")"),"استرداد النقود حذف")</f>
        <v>استرداد النقود حذف</v>
      </c>
      <c r="D494" s="1" t="str">
        <f ca="1">IFERROR(__xludf.DUMMYFUNCTION("GOOGLETRANSLATE(B494,""en"",""zh-CN"")"),"现金退款删除")</f>
        <v>现金退款删除</v>
      </c>
      <c r="E494" s="1" t="str">
        <f ca="1">IFERROR(__xludf.DUMMYFUNCTION("GOOGLETRANSLATE(B494,""en"",""ja"")"),"キャッシュ払い戻し削除")</f>
        <v>キャッシュ払い戻し削除</v>
      </c>
      <c r="F494" s="1" t="str">
        <f ca="1">IFERROR(__xludf.DUMMYFUNCTION("GOOGLETRANSLATE(B494,""en"",""fr"")"),"Remboursement de l'argent Supprimer")</f>
        <v>Remboursement de l'argent Supprimer</v>
      </c>
    </row>
    <row r="495" spans="1:6" ht="15.75" customHeight="1" x14ac:dyDescent="0.25">
      <c r="A495" s="1" t="s">
        <v>938</v>
      </c>
      <c r="B495" s="1" t="s">
        <v>939</v>
      </c>
      <c r="C495" s="1" t="str">
        <f ca="1">IFERROR(__xludf.DUMMYFUNCTION("GOOGLETRANSLATE(B495,""en"",""ar"")"),"هل أنت متأكد أنك تريد إلغاء استرداد النقود؟")</f>
        <v>هل أنت متأكد أنك تريد إلغاء استرداد النقود؟</v>
      </c>
      <c r="D495" s="1" t="str">
        <f ca="1">IFERROR(__xludf.DUMMYFUNCTION("GOOGLETRANSLATE(B495,""en"",""zh-CN"")"),"您确定要取消现金退款吗？")</f>
        <v>您确定要取消现金退款吗？</v>
      </c>
      <c r="E495" s="1" t="str">
        <f ca="1">IFERROR(__xludf.DUMMYFUNCTION("GOOGLETRANSLATE(B495,""en"",""ja"")"),"現金払い戻しをキャンセルしてよろしいですか？")</f>
        <v>現金払い戻しをキャンセルしてよろしいですか？</v>
      </c>
      <c r="F495" s="1" t="str">
        <f ca="1">IFERROR(__xludf.DUMMYFUNCTION("GOOGLETRANSLATE(B495,""en"",""fr"")"),"Êtes-vous sûr de vouloir annuler le remboursement de l'argent?")</f>
        <v>Êtes-vous sûr de vouloir annuler le remboursement de l'argent?</v>
      </c>
    </row>
    <row r="496" spans="1:6" ht="15.75" customHeight="1" x14ac:dyDescent="0.25">
      <c r="A496" s="1" t="s">
        <v>940</v>
      </c>
      <c r="B496" s="1" t="s">
        <v>941</v>
      </c>
      <c r="C496" s="1" t="str">
        <f ca="1">IFERROR(__xludf.DUMMYFUNCTION("GOOGLETRANSLATE(B496,""en"",""ar"")"),"هل تريد بالتأكيد حذف هذه الأموال النقدية؟")</f>
        <v>هل تريد بالتأكيد حذف هذه الأموال النقدية؟</v>
      </c>
      <c r="D496" s="1" t="str">
        <f ca="1">IFERROR(__xludf.DUMMYFUNCTION("GOOGLETRANSLATE(B496,""en"",""zh-CN"")"),"您肯定要删除此现金退款吗？")</f>
        <v>您肯定要删除此现金退款吗？</v>
      </c>
      <c r="E496" s="1" t="str">
        <f ca="1">IFERROR(__xludf.DUMMYFUNCTION("GOOGLETRANSLATE(B496,""en"",""ja"")"),"あなたは確かにこの現金払い戻しを削除したいですか？")</f>
        <v>あなたは確かにこの現金払い戻しを削除したいですか？</v>
      </c>
      <c r="F496" s="1" t="str">
        <f ca="1">IFERROR(__xludf.DUMMYFUNCTION("GOOGLETRANSLATE(B496,""en"",""fr"")"),"Êtes-vous sûr que vous voulez supprimer ce remboursement en espèces?")</f>
        <v>Êtes-vous sûr que vous voulez supprimer ce remboursement en espèces?</v>
      </c>
    </row>
    <row r="497" spans="1:6" ht="15.75" customHeight="1" x14ac:dyDescent="0.25">
      <c r="A497" s="1" t="s">
        <v>942</v>
      </c>
      <c r="B497" s="1" t="s">
        <v>943</v>
      </c>
      <c r="C497" s="1" t="str">
        <f ca="1">IFERROR(__xludf.DUMMYFUNCTION("GOOGLETRANSLATE(B497,""en"",""ar"")"),"تقرير الائتمان الماضي تقرير")</f>
        <v>تقرير الائتمان الماضي تقرير</v>
      </c>
      <c r="D497" s="1" t="str">
        <f ca="1">IFERROR(__xludf.DUMMYFUNCTION("GOOGLETRANSLATE(B497,""en"",""zh-CN"")"),"过去信用证报告")</f>
        <v>过去信用证报告</v>
      </c>
      <c r="E497" s="1" t="str">
        <f ca="1">IFERROR(__xludf.DUMMYFUNCTION("GOOGLETRANSLATE(B497,""en"",""ja"")"),"過去のクレジットメモレポート")</f>
        <v>過去のクレジットメモレポート</v>
      </c>
      <c r="F497" s="1" t="str">
        <f ca="1">IFERROR(__xludf.DUMMYFUNCTION("GOOGLETRANSLATE(B497,""en"",""fr"")"),"Rapport de note de crédit antérieure")</f>
        <v>Rapport de note de crédit antérieure</v>
      </c>
    </row>
    <row r="498" spans="1:6" ht="15.75" customHeight="1" x14ac:dyDescent="0.25">
      <c r="A498" s="1" t="s">
        <v>944</v>
      </c>
      <c r="B498" s="1" t="s">
        <v>945</v>
      </c>
      <c r="C498" s="1" t="str">
        <f ca="1">IFERROR(__xludf.DUMMYFUNCTION("GOOGLETRANSLATE(B498,""en"",""ar"")"),"هل أنت متأكد أنك تريد إنشاء مذكرة الائتمان؟")</f>
        <v>هل أنت متأكد أنك تريد إنشاء مذكرة الائتمان؟</v>
      </c>
      <c r="D498" s="1" t="str">
        <f ca="1">IFERROR(__xludf.DUMMYFUNCTION("GOOGLETRANSLATE(B498,""en"",""zh-CN"")"),"您确定要创建信用票据吗？")</f>
        <v>您确定要创建信用票据吗？</v>
      </c>
      <c r="E498" s="1" t="str">
        <f ca="1">IFERROR(__xludf.DUMMYFUNCTION("GOOGLETRANSLATE(B498,""en"",""ja"")"),"クレジットノートを作成しますか？")</f>
        <v>クレジットノートを作成しますか？</v>
      </c>
      <c r="F498" s="1" t="str">
        <f ca="1">IFERROR(__xludf.DUMMYFUNCTION("GOOGLETRANSLATE(B498,""en"",""fr"")"),"Êtes-vous sûr de vouloir créer la note de crédit?")</f>
        <v>Êtes-vous sûr de vouloir créer la note de crédit?</v>
      </c>
    </row>
    <row r="499" spans="1:6" ht="15.75" customHeight="1" x14ac:dyDescent="0.25">
      <c r="A499" s="1" t="s">
        <v>946</v>
      </c>
      <c r="B499" s="1" t="s">
        <v>947</v>
      </c>
      <c r="C499" s="1" t="str">
        <f ca="1">IFERROR(__xludf.DUMMYFUNCTION("GOOGLETRANSLATE(B499,""en"",""ar"")"),"هل أنت متأكد أنك تريد إنشاء استرداد النقود؟")</f>
        <v>هل أنت متأكد أنك تريد إنشاء استرداد النقود؟</v>
      </c>
      <c r="D499" s="1" t="str">
        <f ca="1">IFERROR(__xludf.DUMMYFUNCTION("GOOGLETRANSLATE(B499,""en"",""zh-CN"")"),"您确定要创建现金退款吗？")</f>
        <v>您确定要创建现金退款吗？</v>
      </c>
      <c r="E499" s="1" t="str">
        <f ca="1">IFERROR(__xludf.DUMMYFUNCTION("GOOGLETRANSLATE(B499,""en"",""ja"")"),"現金払い戻しを作成しますか？")</f>
        <v>現金払い戻しを作成しますか？</v>
      </c>
      <c r="F499" s="1" t="str">
        <f ca="1">IFERROR(__xludf.DUMMYFUNCTION("GOOGLETRANSLATE(B499,""en"",""fr"")"),"Êtes-vous sûr de vouloir créer un remboursement en espèces?")</f>
        <v>Êtes-vous sûr de vouloir créer un remboursement en espèces?</v>
      </c>
    </row>
    <row r="500" spans="1:6" ht="15.75" customHeight="1" x14ac:dyDescent="0.25">
      <c r="A500" s="1" t="s">
        <v>948</v>
      </c>
      <c r="B500" s="1" t="s">
        <v>949</v>
      </c>
      <c r="C500" s="1" t="str">
        <f ca="1">IFERROR(__xludf.DUMMYFUNCTION("GOOGLETRANSLATE(B500,""en"",""ar"")"),"بحث")</f>
        <v>بحث</v>
      </c>
      <c r="D500" s="1" t="str">
        <f ca="1">IFERROR(__xludf.DUMMYFUNCTION("GOOGLETRANSLATE(B500,""en"",""zh-CN"")"),"搜索")</f>
        <v>搜索</v>
      </c>
      <c r="E500" s="1" t="str">
        <f ca="1">IFERROR(__xludf.DUMMYFUNCTION("GOOGLETRANSLATE(B500,""en"",""ja"")"),"検索")</f>
        <v>検索</v>
      </c>
      <c r="F500" s="1" t="str">
        <f ca="1">IFERROR(__xludf.DUMMYFUNCTION("GOOGLETRANSLATE(B500,""en"",""fr"")"),"Chercher")</f>
        <v>Chercher</v>
      </c>
    </row>
    <row r="501" spans="1:6" ht="15.75" customHeight="1" x14ac:dyDescent="0.25">
      <c r="A501" s="1" t="s">
        <v>950</v>
      </c>
      <c r="B501" s="1" t="s">
        <v>951</v>
      </c>
      <c r="C501" s="1" t="str">
        <f ca="1">IFERROR(__xludf.DUMMYFUNCTION("GOOGLETRANSLATE(B501,""en"",""ar"")"),"  إجمالي المبيعات")</f>
        <v xml:space="preserve">  إجمالي المبيعات</v>
      </c>
      <c r="D501" s="1" t="str">
        <f ca="1">IFERROR(__xludf.DUMMYFUNCTION("GOOGLETRANSLATE(B501,""en"",""zh-CN"")"),"  总销售额")</f>
        <v xml:space="preserve">  总销售额</v>
      </c>
      <c r="E501" s="1" t="str">
        <f ca="1">IFERROR(__xludf.DUMMYFUNCTION("GOOGLETRANSLATE(B501,""en"",""ja"")"),"  総売上高")</f>
        <v xml:space="preserve">  総売上高</v>
      </c>
      <c r="F501" s="1" t="str">
        <f ca="1">IFERROR(__xludf.DUMMYFUNCTION("GOOGLETRANSLATE(B501,""en"",""fr"")"),"  Ventes totales")</f>
        <v xml:space="preserve">  Ventes totales</v>
      </c>
    </row>
    <row r="502" spans="1:6" ht="15.75" customHeight="1" x14ac:dyDescent="0.25">
      <c r="A502" s="1" t="s">
        <v>952</v>
      </c>
      <c r="B502" s="1" t="s">
        <v>953</v>
      </c>
      <c r="C502" s="1" t="str">
        <f ca="1">IFERROR(__xludf.DUMMYFUNCTION("GOOGLETRANSLATE(B502,""en"",""ar"")"),"  التكلفة الإجمالية:")</f>
        <v xml:space="preserve">  التكلفة الإجمالية:</v>
      </c>
      <c r="D502" s="1" t="str">
        <f ca="1">IFERROR(__xludf.DUMMYFUNCTION("GOOGLETRANSLATE(B502,""en"",""zh-CN"")"),"  总花费 ：")</f>
        <v xml:space="preserve">  总花费 ：</v>
      </c>
      <c r="E502" s="1" t="str">
        <f ca="1">IFERROR(__xludf.DUMMYFUNCTION("GOOGLETRANSLATE(B502,""en"",""ja"")"),"  総費用 ：")</f>
        <v xml:space="preserve">  総費用 ：</v>
      </c>
      <c r="F502" s="1" t="str">
        <f ca="1">IFERROR(__xludf.DUMMYFUNCTION("GOOGLETRANSLATE(B502,""en"",""fr"")"),"  Coût total :")</f>
        <v xml:space="preserve">  Coût total :</v>
      </c>
    </row>
    <row r="503" spans="1:6" ht="15.75" customHeight="1" x14ac:dyDescent="0.25">
      <c r="A503" s="1" t="s">
        <v>954</v>
      </c>
      <c r="B503" s="1" t="s">
        <v>955</v>
      </c>
      <c r="C503" s="1" t="str">
        <f ca="1">IFERROR(__xludf.DUMMYFUNCTION("GOOGLETRANSLATE(B503,""en"",""ar"")"),"  ربح :")</f>
        <v xml:space="preserve">  ربح :</v>
      </c>
      <c r="D503" s="1" t="str">
        <f ca="1">IFERROR(__xludf.DUMMYFUNCTION("GOOGLETRANSLATE(B503,""en"",""zh-CN"")"),"  利润 ：")</f>
        <v xml:space="preserve">  利润 ：</v>
      </c>
      <c r="E503" s="1" t="str">
        <f ca="1">IFERROR(__xludf.DUMMYFUNCTION("GOOGLETRANSLATE(B503,""en"",""ja"")"),"  利益 ：")</f>
        <v xml:space="preserve">  利益 ：</v>
      </c>
      <c r="F503" s="1" t="str">
        <f ca="1">IFERROR(__xludf.DUMMYFUNCTION("GOOGLETRANSLATE(B503,""en"",""fr"")"),"  Bénéfice:")</f>
        <v xml:space="preserve">  Bénéfice:</v>
      </c>
    </row>
    <row r="504" spans="1:6" ht="15.75" customHeight="1" x14ac:dyDescent="0.25">
      <c r="A504" s="1" t="s">
        <v>956</v>
      </c>
      <c r="B504" s="1" t="s">
        <v>957</v>
      </c>
      <c r="C504" s="1" t="str">
        <f ca="1">IFERROR(__xludf.DUMMYFUNCTION("GOOGLETRANSLATE(B504,""en"",""ar"")"),"  نوع الدفع :")</f>
        <v xml:space="preserve">  نوع الدفع :</v>
      </c>
      <c r="D504" s="1" t="str">
        <f ca="1">IFERROR(__xludf.DUMMYFUNCTION("GOOGLETRANSLATE(B504,""en"",""zh-CN"")"),"  支付方式 ：")</f>
        <v xml:space="preserve">  支付方式 ：</v>
      </c>
      <c r="E504" s="1" t="str">
        <f ca="1">IFERROR(__xludf.DUMMYFUNCTION("GOOGLETRANSLATE(B504,""en"",""ja"")"),"  支払いタイプ ：")</f>
        <v xml:space="preserve">  支払いタイプ ：</v>
      </c>
      <c r="F504" s="1" t="str">
        <f ca="1">IFERROR(__xludf.DUMMYFUNCTION("GOOGLETRANSLATE(B504,""en"",""fr"")"),"  Type de paiement :")</f>
        <v xml:space="preserve">  Type de paiement :</v>
      </c>
    </row>
    <row r="505" spans="1:6" ht="15.75" customHeight="1" x14ac:dyDescent="0.25">
      <c r="A505" s="1" t="s">
        <v>958</v>
      </c>
      <c r="B505" s="1" t="s">
        <v>959</v>
      </c>
      <c r="C505" s="1" t="str">
        <f ca="1">IFERROR(__xludf.DUMMYFUNCTION("GOOGLETRANSLATE(B505,""en"",""ar"")"),"تباع الكمية")</f>
        <v>تباع الكمية</v>
      </c>
      <c r="D505" s="1" t="str">
        <f ca="1">IFERROR(__xludf.DUMMYFUNCTION("GOOGLETRANSLATE(B505,""en"",""zh-CN"")"),"出售数量")</f>
        <v>出售数量</v>
      </c>
      <c r="E505" s="1" t="str">
        <f ca="1">IFERROR(__xludf.DUMMYFUNCTION("GOOGLETRANSLATE(B505,""en"",""ja"")"),"販売")</f>
        <v>販売</v>
      </c>
      <c r="F505" s="1" t="str">
        <f ca="1">IFERROR(__xludf.DUMMYFUNCTION("GOOGLETRANSLATE(B505,""en"",""fr"")"),"Quantité vendue")</f>
        <v>Quantité vendue</v>
      </c>
    </row>
    <row r="506" spans="1:6" ht="15.75" customHeight="1" x14ac:dyDescent="0.25">
      <c r="A506" s="1" t="s">
        <v>960</v>
      </c>
      <c r="B506" s="1" t="s">
        <v>961</v>
      </c>
      <c r="C506" s="1" t="str">
        <f ca="1">IFERROR(__xludf.DUMMYFUNCTION("GOOGLETRANSLATE(B506,""en"",""ar"")"),"المرجعي :")</f>
        <v>المرجعي :</v>
      </c>
      <c r="D506" s="1" t="str">
        <f ca="1">IFERROR(__xludf.DUMMYFUNCTION("GOOGLETRANSLATE(B506,""en"",""zh-CN"")"),"参考 ：")</f>
        <v>参考 ：</v>
      </c>
      <c r="E506" s="1" t="str">
        <f ca="1">IFERROR(__xludf.DUMMYFUNCTION("GOOGLETRANSLATE(B506,""en"",""ja"")"),"リファレンス ：")</f>
        <v>リファレンス ：</v>
      </c>
      <c r="F506" s="1" t="str">
        <f ca="1">IFERROR(__xludf.DUMMYFUNCTION("GOOGLETRANSLATE(B506,""en"",""fr"")"),"Référence :")</f>
        <v>Référence :</v>
      </c>
    </row>
    <row r="507" spans="1:6" ht="15.75" customHeight="1" x14ac:dyDescent="0.25">
      <c r="A507" s="1" t="s">
        <v>962</v>
      </c>
      <c r="B507" s="1" t="s">
        <v>217</v>
      </c>
      <c r="C507" s="1" t="str">
        <f ca="1">IFERROR(__xludf.DUMMYFUNCTION("GOOGLETRANSLATE(B507,""en"",""ar"")"),"إجمالي الخصم")</f>
        <v>إجمالي الخصم</v>
      </c>
      <c r="D507" s="1" t="str">
        <f ca="1">IFERROR(__xludf.DUMMYFUNCTION("GOOGLETRANSLATE(B507,""en"",""zh-CN"")"),"总折扣")</f>
        <v>总折扣</v>
      </c>
      <c r="E507" s="1" t="str">
        <f ca="1">IFERROR(__xludf.DUMMYFUNCTION("GOOGLETRANSLATE(B507,""en"",""ja"")"),"総割引")</f>
        <v>総割引</v>
      </c>
      <c r="F507" s="1" t="str">
        <f ca="1">IFERROR(__xludf.DUMMYFUNCTION("GOOGLETRANSLATE(B507,""en"",""fr"")"),"Remise totale")</f>
        <v>Remise totale</v>
      </c>
    </row>
    <row r="508" spans="1:6" ht="15.75" customHeight="1" x14ac:dyDescent="0.25">
      <c r="A508" s="1" t="s">
        <v>963</v>
      </c>
      <c r="B508" s="1" t="s">
        <v>533</v>
      </c>
      <c r="C508" s="1" t="str">
        <f ca="1">IFERROR(__xludf.DUMMYFUNCTION("GOOGLETRANSLATE(B508,""en"",""ar"")"),"ائتمان")</f>
        <v>ائتمان</v>
      </c>
      <c r="D508" s="1" t="str">
        <f ca="1">IFERROR(__xludf.DUMMYFUNCTION("GOOGLETRANSLATE(B508,""en"",""zh-CN"")"),"信用")</f>
        <v>信用</v>
      </c>
      <c r="E508" s="1" t="str">
        <f ca="1">IFERROR(__xludf.DUMMYFUNCTION("GOOGLETRANSLATE(B508,""en"",""ja"")"),"クレジット")</f>
        <v>クレジット</v>
      </c>
      <c r="F508" s="1" t="str">
        <f ca="1">IFERROR(__xludf.DUMMYFUNCTION("GOOGLETRANSLATE(B508,""en"",""fr"")"),"Crédit")</f>
        <v>Crédit</v>
      </c>
    </row>
    <row r="509" spans="1:6" ht="15.75" customHeight="1" x14ac:dyDescent="0.25">
      <c r="A509" s="1" t="s">
        <v>964</v>
      </c>
      <c r="B509" s="1" t="s">
        <v>529</v>
      </c>
      <c r="C509" s="1" t="str">
        <f ca="1">IFERROR(__xludf.DUMMYFUNCTION("GOOGLETRANSLATE(B509,""en"",""ar"")"),"التحقق من")</f>
        <v>التحقق من</v>
      </c>
      <c r="D509" s="1" t="str">
        <f ca="1">IFERROR(__xludf.DUMMYFUNCTION("GOOGLETRANSLATE(B509,""en"",""zh-CN"")"),"查看")</f>
        <v>查看</v>
      </c>
      <c r="E509" s="1" t="str">
        <f ca="1">IFERROR(__xludf.DUMMYFUNCTION("GOOGLETRANSLATE(B509,""en"",""ja"")"),"チェック")</f>
        <v>チェック</v>
      </c>
      <c r="F509" s="1" t="str">
        <f ca="1">IFERROR(__xludf.DUMMYFUNCTION("GOOGLETRANSLATE(B509,""en"",""fr"")"),"Chèque")</f>
        <v>Chèque</v>
      </c>
    </row>
    <row r="510" spans="1:6" ht="15.75" customHeight="1" x14ac:dyDescent="0.25">
      <c r="A510" s="1" t="s">
        <v>965</v>
      </c>
      <c r="B510" s="1" t="s">
        <v>966</v>
      </c>
      <c r="C510" s="1" t="str">
        <f ca="1">IFERROR(__xludf.DUMMYFUNCTION("GOOGLETRANSLATE(B510,""en"",""ar"")"),"بطاقه ائتمان")</f>
        <v>بطاقه ائتمان</v>
      </c>
      <c r="D510" s="1" t="str">
        <f ca="1">IFERROR(__xludf.DUMMYFUNCTION("GOOGLETRANSLATE(B510,""en"",""zh-CN"")"),"信用卡支付")</f>
        <v>信用卡支付</v>
      </c>
      <c r="E510" s="1" t="str">
        <f ca="1">IFERROR(__xludf.DUMMYFUNCTION("GOOGLETRANSLATE(B510,""en"",""ja"")"),"カードの支払い")</f>
        <v>カードの支払い</v>
      </c>
      <c r="F510" s="1" t="str">
        <f ca="1">IFERROR(__xludf.DUMMYFUNCTION("GOOGLETRANSLATE(B510,""en"",""fr"")"),"Paiement par carte")</f>
        <v>Paiement par carte</v>
      </c>
    </row>
    <row r="511" spans="1:6" ht="15.75" customHeight="1" x14ac:dyDescent="0.25">
      <c r="A511" s="1" t="s">
        <v>967</v>
      </c>
      <c r="B511" s="1" t="s">
        <v>968</v>
      </c>
      <c r="C511" s="1" t="str">
        <f ca="1">IFERROR(__xludf.DUMMYFUNCTION("GOOGLETRANSLATE(B511,""en"",""ar"")"),"إجمالي المبيعات")</f>
        <v>إجمالي المبيعات</v>
      </c>
      <c r="D511" s="1" t="str">
        <f ca="1">IFERROR(__xludf.DUMMYFUNCTION("GOOGLETRANSLATE(B511,""en"",""zh-CN"")"),"总销售额")</f>
        <v>总销售额</v>
      </c>
      <c r="E511" s="1" t="str">
        <f ca="1">IFERROR(__xludf.DUMMYFUNCTION("GOOGLETRANSLATE(B511,""en"",""ja"")"),"総売上高")</f>
        <v>総売上高</v>
      </c>
      <c r="F511" s="1" t="str">
        <f ca="1">IFERROR(__xludf.DUMMYFUNCTION("GOOGLETRANSLATE(B511,""en"",""fr"")"),"Ventes totales")</f>
        <v>Ventes totales</v>
      </c>
    </row>
    <row r="512" spans="1:6" ht="15.75" customHeight="1" x14ac:dyDescent="0.25">
      <c r="A512" s="1" t="s">
        <v>969</v>
      </c>
      <c r="B512" s="1" t="s">
        <v>970</v>
      </c>
      <c r="C512" s="1" t="str">
        <f ca="1">IFERROR(__xludf.DUMMYFUNCTION("GOOGLETRANSLATE(B512,""en"",""ar"")"),"المرجعي")</f>
        <v>المرجعي</v>
      </c>
      <c r="D512" s="1" t="str">
        <f ca="1">IFERROR(__xludf.DUMMYFUNCTION("GOOGLETRANSLATE(B512,""en"",""zh-CN"")"),"参考")</f>
        <v>参考</v>
      </c>
      <c r="E512" s="1" t="str">
        <f ca="1">IFERROR(__xludf.DUMMYFUNCTION("GOOGLETRANSLATE(B512,""en"",""ja"")"),"リファレンス")</f>
        <v>リファレンス</v>
      </c>
      <c r="F512" s="1" t="str">
        <f ca="1">IFERROR(__xludf.DUMMYFUNCTION("GOOGLETRANSLATE(B512,""en"",""fr"")"),"Référence")</f>
        <v>Référence</v>
      </c>
    </row>
    <row r="513" spans="1:6" ht="15.75" customHeight="1" x14ac:dyDescent="0.25">
      <c r="A513" s="1" t="s">
        <v>971</v>
      </c>
      <c r="B513" s="1" t="s">
        <v>972</v>
      </c>
      <c r="C513" s="1" t="str">
        <f ca="1">IFERROR(__xludf.DUMMYFUNCTION("GOOGLETRANSLATE(B513,""en"",""ar"")"),"رجع")</f>
        <v>رجع</v>
      </c>
      <c r="D513" s="1" t="str">
        <f ca="1">IFERROR(__xludf.DUMMYFUNCTION("GOOGLETRANSLATE(B513,""en"",""zh-CN"")"),"裁判")</f>
        <v>裁判</v>
      </c>
      <c r="E513" s="1" t="str">
        <f ca="1">IFERROR(__xludf.DUMMYFUNCTION("GOOGLETRANSLATE(B513,""en"",""ja"")"),"誉れ")</f>
        <v>誉れ</v>
      </c>
      <c r="F513" s="1" t="str">
        <f ca="1">IFERROR(__xludf.DUMMYFUNCTION("GOOGLETRANSLATE(B513,""en"",""fr"")"),"Refaire")</f>
        <v>Refaire</v>
      </c>
    </row>
    <row r="514" spans="1:6" ht="15.75" customHeight="1" x14ac:dyDescent="0.25">
      <c r="A514" s="1" t="s">
        <v>973</v>
      </c>
      <c r="B514" s="1" t="s">
        <v>974</v>
      </c>
      <c r="C514" s="1" t="str">
        <f ca="1">IFERROR(__xludf.DUMMYFUNCTION("GOOGLETRANSLATE(B514,""en"",""ar"")"),"الرصيد النقدي")</f>
        <v>الرصيد النقدي</v>
      </c>
      <c r="D514" s="1" t="str">
        <f ca="1">IFERROR(__xludf.DUMMYFUNCTION("GOOGLETRANSLATE(B514,""en"",""zh-CN"")"),"现金余额")</f>
        <v>现金余额</v>
      </c>
      <c r="E514" s="1" t="str">
        <f ca="1">IFERROR(__xludf.DUMMYFUNCTION("GOOGLETRANSLATE(B514,""en"",""ja"")"),"現金残高")</f>
        <v>現金残高</v>
      </c>
      <c r="F514" s="1" t="str">
        <f ca="1">IFERROR(__xludf.DUMMYFUNCTION("GOOGLETRANSLATE(B514,""en"",""fr"")"),"Solde de trésorerie")</f>
        <v>Solde de trésorerie</v>
      </c>
    </row>
    <row r="515" spans="1:6" ht="15.75" customHeight="1" x14ac:dyDescent="0.25">
      <c r="A515" s="1" t="s">
        <v>975</v>
      </c>
      <c r="B515" s="1" t="s">
        <v>976</v>
      </c>
      <c r="C515" s="1" t="str">
        <f ca="1">IFERROR(__xludf.DUMMYFUNCTION("GOOGLETRANSLATE(B515,""en"",""ar"")"),"إيصال # :")</f>
        <v>إيصال # :</v>
      </c>
      <c r="D515" s="1" t="str">
        <f ca="1">IFERROR(__xludf.DUMMYFUNCTION("GOOGLETRANSLATE(B515,""en"",""zh-CN"")"),"收据 ＃ ：")</f>
        <v>收据 ＃ ：</v>
      </c>
      <c r="E515" s="1" t="str">
        <f ca="1">IFERROR(__xludf.DUMMYFUNCTION("GOOGLETRANSLATE(B515,""en"",""ja"")"),"レシート ＃ ：")</f>
        <v>レシート ＃ ：</v>
      </c>
      <c r="F515" s="1" t="str">
        <f ca="1">IFERROR(__xludf.DUMMYFUNCTION("GOOGLETRANSLATE(B515,""en"",""fr"")"),"Reçu # :")</f>
        <v>Reçu # :</v>
      </c>
    </row>
    <row r="516" spans="1:6" ht="15.75" customHeight="1" x14ac:dyDescent="0.25">
      <c r="A516" s="1" t="s">
        <v>977</v>
      </c>
      <c r="B516" s="1" t="s">
        <v>978</v>
      </c>
      <c r="C516" s="1" t="str">
        <f ca="1">IFERROR(__xludf.DUMMYFUNCTION("GOOGLETRANSLATE(B516,""en"",""ar"")"),"صاعدة")</f>
        <v>صاعدة</v>
      </c>
      <c r="D516" s="1" t="str">
        <f ca="1">IFERROR(__xludf.DUMMYFUNCTION("GOOGLETRANSLATE(B516,""en"",""zh-CN"")"),"SEQ.")</f>
        <v>SEQ.</v>
      </c>
      <c r="E516" s="1" t="str">
        <f ca="1">IFERROR(__xludf.DUMMYFUNCTION("GOOGLETRANSLATE(B516,""en"",""ja"")"),"配偶者")</f>
        <v>配偶者</v>
      </c>
      <c r="F516" s="1" t="str">
        <f ca="1">IFERROR(__xludf.DUMMYFUNCTION("GOOGLETRANSLATE(B516,""en"",""fr"")"),"Seq")</f>
        <v>Seq</v>
      </c>
    </row>
    <row r="517" spans="1:6" ht="15.75" customHeight="1" x14ac:dyDescent="0.25">
      <c r="A517" s="1" t="s">
        <v>979</v>
      </c>
      <c r="B517" s="1" t="s">
        <v>980</v>
      </c>
      <c r="C517" s="1" t="str">
        <f ca="1">IFERROR(__xludf.DUMMYFUNCTION("GOOGLETRANSLATE(B517,""en"",""ar"")"),"قائمة استلام الماضي")</f>
        <v>قائمة استلام الماضي</v>
      </c>
      <c r="D517" s="1" t="str">
        <f ca="1">IFERROR(__xludf.DUMMYFUNCTION("GOOGLETRANSLATE(B517,""en"",""zh-CN"")"),"过去收据列表")</f>
        <v>过去收据列表</v>
      </c>
      <c r="E517" s="1" t="str">
        <f ca="1">IFERROR(__xludf.DUMMYFUNCTION("GOOGLETRANSLATE(B517,""en"",""ja"")"),"領収書リストを過去")</f>
        <v>領収書リストを過去</v>
      </c>
      <c r="F517" s="1" t="str">
        <f ca="1">IFERROR(__xludf.DUMMYFUNCTION("GOOGLETRANSLATE(B517,""en"",""fr"")"),"Liste passée de réception")</f>
        <v>Liste passée de réception</v>
      </c>
    </row>
    <row r="518" spans="1:6" ht="15.75" customHeight="1" x14ac:dyDescent="0.25">
      <c r="A518" s="1" t="s">
        <v>981</v>
      </c>
      <c r="B518" s="1" t="s">
        <v>982</v>
      </c>
      <c r="C518" s="1" t="str">
        <f ca="1">IFERROR(__xludf.DUMMYFUNCTION("GOOGLETRANSLATE(B518,""en"",""ar"")"),"تم شراؤها الكمية")</f>
        <v>تم شراؤها الكمية</v>
      </c>
      <c r="D518" s="1" t="str">
        <f ca="1">IFERROR(__xludf.DUMMYFUNCTION("GOOGLETRANSLATE(B518,""en"",""zh-CN"")"),"购买数量")</f>
        <v>购买数量</v>
      </c>
      <c r="E518" s="1" t="str">
        <f ca="1">IFERROR(__xludf.DUMMYFUNCTION("GOOGLETRANSLATE(B518,""en"",""ja"")"),"購入した数量")</f>
        <v>購入した数量</v>
      </c>
      <c r="F518" s="1" t="str">
        <f ca="1">IFERROR(__xludf.DUMMYFUNCTION("GOOGLETRANSLATE(B518,""en"",""fr"")"),"Qté achetée")</f>
        <v>Qté achetée</v>
      </c>
    </row>
    <row r="519" spans="1:6" ht="15.75" customHeight="1" x14ac:dyDescent="0.25">
      <c r="A519" s="1" t="s">
        <v>983</v>
      </c>
      <c r="B519" s="1" t="s">
        <v>984</v>
      </c>
      <c r="C519" s="1" t="str">
        <f ca="1">IFERROR(__xludf.DUMMYFUNCTION("GOOGLETRANSLATE(B519,""en"",""ar"")"),"سعر المنتج")</f>
        <v>سعر المنتج</v>
      </c>
      <c r="D519" s="1" t="str">
        <f ca="1">IFERROR(__xludf.DUMMYFUNCTION("GOOGLETRANSLATE(B519,""en"",""zh-CN"")"),"产品价格")</f>
        <v>产品价格</v>
      </c>
      <c r="E519" s="1" t="str">
        <f ca="1">IFERROR(__xludf.DUMMYFUNCTION("GOOGLETRANSLATE(B519,""en"",""ja"")"),"商品価格")</f>
        <v>商品価格</v>
      </c>
      <c r="F519" s="1" t="str">
        <f ca="1">IFERROR(__xludf.DUMMYFUNCTION("GOOGLETRANSLATE(B519,""en"",""fr"")"),"Prix ​​du produit")</f>
        <v>Prix ​​du produit</v>
      </c>
    </row>
    <row r="520" spans="1:6" ht="15.75" customHeight="1" x14ac:dyDescent="0.25">
      <c r="A520" s="1" t="s">
        <v>985</v>
      </c>
      <c r="B520" s="1" t="s">
        <v>986</v>
      </c>
      <c r="C520" s="1" t="str">
        <f ca="1">IFERROR(__xludf.DUMMYFUNCTION("GOOGLETRANSLATE(B520,""en"",""ar"")"),"تكلفة المنتج")</f>
        <v>تكلفة المنتج</v>
      </c>
      <c r="D520" s="1" t="str">
        <f ca="1">IFERROR(__xludf.DUMMYFUNCTION("GOOGLETRANSLATE(B520,""en"",""zh-CN"")"),"产品成本")</f>
        <v>产品成本</v>
      </c>
      <c r="E520" s="1" t="str">
        <f ca="1">IFERROR(__xludf.DUMMYFUNCTION("GOOGLETRANSLATE(B520,""en"",""ja"")"),"製品コスト")</f>
        <v>製品コスト</v>
      </c>
      <c r="F520" s="1" t="str">
        <f ca="1">IFERROR(__xludf.DUMMYFUNCTION("GOOGLETRANSLATE(B520,""en"",""fr"")"),"Coût du produit")</f>
        <v>Coût du produit</v>
      </c>
    </row>
    <row r="521" spans="1:6" ht="15.75" customHeight="1" x14ac:dyDescent="0.25">
      <c r="A521" s="1" t="s">
        <v>987</v>
      </c>
      <c r="B521" s="1" t="s">
        <v>568</v>
      </c>
      <c r="C521" s="1" t="str">
        <f ca="1">IFERROR(__xludf.DUMMYFUNCTION("GOOGLETRANSLATE(B521,""en"",""ar"")"),"هدف كوت")</f>
        <v>هدف كوت</v>
      </c>
      <c r="D521" s="1" t="str">
        <f ca="1">IFERROR(__xludf.DUMMYFUNCTION("GOOGLETRANSLATE(B521,""en"",""zh-CN"")"),"KOT目标")</f>
        <v>KOT目标</v>
      </c>
      <c r="E521" s="1" t="str">
        <f ca="1">IFERROR(__xludf.DUMMYFUNCTION("GOOGLETRANSLATE(B521,""en"",""ja"")"),"コットターゲット")</f>
        <v>コットターゲット</v>
      </c>
      <c r="F521" s="1" t="str">
        <f ca="1">IFERROR(__xludf.DUMMYFUNCTION("GOOGLETRANSLATE(B521,""en"",""fr"")"),"Cible de kot")</f>
        <v>Cible de kot</v>
      </c>
    </row>
    <row r="522" spans="1:6" ht="15.75" customHeight="1" x14ac:dyDescent="0.25">
      <c r="A522" s="1" t="s">
        <v>988</v>
      </c>
      <c r="B522" s="1" t="s">
        <v>989</v>
      </c>
      <c r="C522" s="1" t="str">
        <f ca="1">IFERROR(__xludf.DUMMYFUNCTION("GOOGLETRANSLATE(B522,""en"",""ar"")"),"تكلفة البند")</f>
        <v>تكلفة البند</v>
      </c>
      <c r="D522" s="1" t="str">
        <f ca="1">IFERROR(__xludf.DUMMYFUNCTION("GOOGLETRANSLATE(B522,""en"",""zh-CN"")"),"项目成本")</f>
        <v>项目成本</v>
      </c>
      <c r="E522" s="1" t="str">
        <f ca="1">IFERROR(__xludf.DUMMYFUNCTION("GOOGLETRANSLATE(B522,""en"",""ja"")"),"アイテムコスト")</f>
        <v>アイテムコスト</v>
      </c>
      <c r="F522" s="1" t="str">
        <f ca="1">IFERROR(__xludf.DUMMYFUNCTION("GOOGLETRANSLATE(B522,""en"",""fr"")"),"Le coût de l'article")</f>
        <v>Le coût de l'article</v>
      </c>
    </row>
    <row r="523" spans="1:6" ht="15.75" customHeight="1" x14ac:dyDescent="0.25">
      <c r="A523" s="1" t="s">
        <v>990</v>
      </c>
      <c r="B523" s="1" t="s">
        <v>991</v>
      </c>
      <c r="C523" s="1" t="str">
        <f ca="1">IFERROR(__xludf.DUMMYFUNCTION("GOOGLETRANSLATE(B523,""en"",""ar"")"),"قيمة")</f>
        <v>قيمة</v>
      </c>
      <c r="D523" s="1" t="str">
        <f ca="1">IFERROR(__xludf.DUMMYFUNCTION("GOOGLETRANSLATE(B523,""en"",""zh-CN"")"),"价值")</f>
        <v>价值</v>
      </c>
      <c r="E523" s="1" t="str">
        <f ca="1">IFERROR(__xludf.DUMMYFUNCTION("GOOGLETRANSLATE(B523,""en"",""ja"")"),"価値")</f>
        <v>価値</v>
      </c>
      <c r="F523" s="1" t="str">
        <f ca="1">IFERROR(__xludf.DUMMYFUNCTION("GOOGLETRANSLATE(B523,""en"",""fr"")"),"Valeur")</f>
        <v>Valeur</v>
      </c>
    </row>
    <row r="524" spans="1:6" ht="15.75" customHeight="1" x14ac:dyDescent="0.25">
      <c r="A524" s="1" t="s">
        <v>992</v>
      </c>
      <c r="B524" s="1" t="s">
        <v>993</v>
      </c>
      <c r="C524" s="1" t="str">
        <f ca="1">IFERROR(__xludf.DUMMYFUNCTION("GOOGLETRANSLATE(B524,""en"",""ar"")"),"قيمة الإرجاع")</f>
        <v>قيمة الإرجاع</v>
      </c>
      <c r="D524" s="1" t="str">
        <f ca="1">IFERROR(__xludf.DUMMYFUNCTION("GOOGLETRANSLATE(B524,""en"",""zh-CN"")"),"返回值")</f>
        <v>返回值</v>
      </c>
      <c r="E524" s="1" t="str">
        <f ca="1">IFERROR(__xludf.DUMMYFUNCTION("GOOGLETRANSLATE(B524,""en"",""ja"")"),"戻り値")</f>
        <v>戻り値</v>
      </c>
      <c r="F524" s="1" t="str">
        <f ca="1">IFERROR(__xludf.DUMMYFUNCTION("GOOGLETRANSLATE(B524,""en"",""fr"")"),"Valeur de retour")</f>
        <v>Valeur de retour</v>
      </c>
    </row>
    <row r="525" spans="1:6" ht="15.75" customHeight="1" x14ac:dyDescent="0.25">
      <c r="A525" s="1" t="s">
        <v>994</v>
      </c>
      <c r="B525" s="1" t="s">
        <v>995</v>
      </c>
      <c r="C525" s="1" t="str">
        <f ca="1">IFERROR(__xludf.DUMMYFUNCTION("GOOGLETRANSLATE(B525,""en"",""ar"")"),"زيادة الكمية")</f>
        <v>زيادة الكمية</v>
      </c>
      <c r="D525" s="1" t="str">
        <f ca="1">IFERROR(__xludf.DUMMYFUNCTION("GOOGLETRANSLATE(B525,""en"",""zh-CN"")"),"增加数量")</f>
        <v>增加数量</v>
      </c>
      <c r="E525" s="1" t="str">
        <f ca="1">IFERROR(__xludf.DUMMYFUNCTION("GOOGLETRANSLATE(B525,""en"",""ja"")"),"数量を増やす")</f>
        <v>数量を増やす</v>
      </c>
      <c r="F525" s="1" t="str">
        <f ca="1">IFERROR(__xludf.DUMMYFUNCTION("GOOGLETRANSLATE(B525,""en"",""fr"")"),"Augmenter la quantité")</f>
        <v>Augmenter la quantité</v>
      </c>
    </row>
    <row r="526" spans="1:6" ht="15.75" customHeight="1" x14ac:dyDescent="0.25">
      <c r="A526" s="1" t="s">
        <v>996</v>
      </c>
      <c r="B526" s="1" t="s">
        <v>997</v>
      </c>
      <c r="C526" s="1" t="str">
        <f ca="1">IFERROR(__xludf.DUMMYFUNCTION("GOOGLETRANSLATE(B526,""en"",""ar"")"),"خط متعدد")</f>
        <v>خط متعدد</v>
      </c>
      <c r="D526" s="1" t="str">
        <f ca="1">IFERROR(__xludf.DUMMYFUNCTION("GOOGLETRANSLATE(B526,""en"",""zh-CN"")"),"多行")</f>
        <v>多行</v>
      </c>
      <c r="E526" s="1" t="str">
        <f ca="1">IFERROR(__xludf.DUMMYFUNCTION("GOOGLETRANSLATE(B526,""en"",""ja"")"),"多重行")</f>
        <v>多重行</v>
      </c>
      <c r="F526" s="1" t="str">
        <f ca="1">IFERROR(__xludf.DUMMYFUNCTION("GOOGLETRANSLATE(B526,""en"",""fr"")"),"Ligne multiple")</f>
        <v>Ligne multiple</v>
      </c>
    </row>
    <row r="527" spans="1:6" ht="15.75" customHeight="1" x14ac:dyDescent="0.25">
      <c r="A527" s="1" t="s">
        <v>998</v>
      </c>
      <c r="B527" s="1" t="s">
        <v>999</v>
      </c>
      <c r="C527" s="1" t="str">
        <f ca="1">IFERROR(__xludf.DUMMYFUNCTION("GOOGLETRANSLATE(B527,""en"",""ar"")"),"تاريخ البدء")</f>
        <v>تاريخ البدء</v>
      </c>
      <c r="D527" s="1" t="str">
        <f ca="1">IFERROR(__xludf.DUMMYFUNCTION("GOOGLETRANSLATE(B527,""en"",""zh-CN"")"),"开始日期")</f>
        <v>开始日期</v>
      </c>
      <c r="E527" s="1" t="str">
        <f ca="1">IFERROR(__xludf.DUMMYFUNCTION("GOOGLETRANSLATE(B527,""en"",""ja"")"),"開始日")</f>
        <v>開始日</v>
      </c>
      <c r="F527" s="1" t="str">
        <f ca="1">IFERROR(__xludf.DUMMYFUNCTION("GOOGLETRANSLATE(B527,""en"",""fr"")"),"Date de début")</f>
        <v>Date de début</v>
      </c>
    </row>
    <row r="528" spans="1:6" ht="15.75" customHeight="1" x14ac:dyDescent="0.25">
      <c r="A528" s="1" t="s">
        <v>1000</v>
      </c>
      <c r="B528" s="1" t="s">
        <v>1001</v>
      </c>
      <c r="C528" s="1" t="str">
        <f ca="1">IFERROR(__xludf.DUMMYFUNCTION("GOOGLETRANSLATE(B528,""en"",""ar"")"),"تاريخ الانتهاء")</f>
        <v>تاريخ الانتهاء</v>
      </c>
      <c r="D528" s="1" t="str">
        <f ca="1">IFERROR(__xludf.DUMMYFUNCTION("GOOGLETRANSLATE(B528,""en"",""zh-CN"")"),"结束日期")</f>
        <v>结束日期</v>
      </c>
      <c r="E528" s="1" t="str">
        <f ca="1">IFERROR(__xludf.DUMMYFUNCTION("GOOGLETRANSLATE(B528,""en"",""ja"")"),"終了日")</f>
        <v>終了日</v>
      </c>
      <c r="F528" s="1" t="str">
        <f ca="1">IFERROR(__xludf.DUMMYFUNCTION("GOOGLETRANSLATE(B528,""en"",""fr"")"),"Date de fin")</f>
        <v>Date de fin</v>
      </c>
    </row>
    <row r="529" spans="1:6" ht="15.75" customHeight="1" x14ac:dyDescent="0.25">
      <c r="A529" s="1" t="s">
        <v>1002</v>
      </c>
      <c r="B529" s="1" t="s">
        <v>674</v>
      </c>
      <c r="C529" s="1" t="str">
        <f ca="1">IFERROR(__xludf.DUMMYFUNCTION("GOOGLETRANSLATE(B529,""en"",""ar"")"),"فئة")</f>
        <v>فئة</v>
      </c>
      <c r="D529" s="1" t="str">
        <f ca="1">IFERROR(__xludf.DUMMYFUNCTION("GOOGLETRANSLATE(B529,""en"",""zh-CN"")"),"类别")</f>
        <v>类别</v>
      </c>
      <c r="E529" s="1" t="str">
        <f ca="1">IFERROR(__xludf.DUMMYFUNCTION("GOOGLETRANSLATE(B529,""en"",""ja"")"),"カテゴリー")</f>
        <v>カテゴリー</v>
      </c>
      <c r="F529" s="1" t="str">
        <f ca="1">IFERROR(__xludf.DUMMYFUNCTION("GOOGLETRANSLATE(B529,""en"",""fr"")"),"Catégorie")</f>
        <v>Catégorie</v>
      </c>
    </row>
    <row r="530" spans="1:6" ht="15.75" customHeight="1" x14ac:dyDescent="0.25">
      <c r="A530" s="1" t="s">
        <v>1003</v>
      </c>
      <c r="B530" s="1" t="s">
        <v>711</v>
      </c>
      <c r="C530" s="1" t="str">
        <f ca="1">IFERROR(__xludf.DUMMYFUNCTION("GOOGLETRANSLATE(B530,""en"",""ar"")"),"رمز الصنف")</f>
        <v>رمز الصنف</v>
      </c>
      <c r="D530" s="1" t="str">
        <f ca="1">IFERROR(__xludf.DUMMYFUNCTION("GOOGLETRANSLATE(B530,""en"",""zh-CN"")"),"项目代码")</f>
        <v>项目代码</v>
      </c>
      <c r="E530" s="1" t="str">
        <f ca="1">IFERROR(__xludf.DUMMYFUNCTION("GOOGLETRANSLATE(B530,""en"",""ja"")"),"アイテムコード")</f>
        <v>アイテムコード</v>
      </c>
      <c r="F530" s="1" t="str">
        <f ca="1">IFERROR(__xludf.DUMMYFUNCTION("GOOGLETRANSLATE(B530,""en"",""fr"")"),"Code de l'article")</f>
        <v>Code de l'article</v>
      </c>
    </row>
    <row r="531" spans="1:6" ht="15.75" customHeight="1" x14ac:dyDescent="0.25">
      <c r="A531" s="1" t="s">
        <v>1004</v>
      </c>
      <c r="B531" s="1" t="s">
        <v>1005</v>
      </c>
      <c r="C531" s="1" t="str">
        <f ca="1">IFERROR(__xludf.DUMMYFUNCTION("GOOGLETRANSLATE(B531,""en"",""ar"")"),"اسم العنصر")</f>
        <v>اسم العنصر</v>
      </c>
      <c r="D531" s="1" t="str">
        <f ca="1">IFERROR(__xludf.DUMMYFUNCTION("GOOGLETRANSLATE(B531,""en"",""zh-CN"")"),"项目名称")</f>
        <v>项目名称</v>
      </c>
      <c r="E531" s="1" t="str">
        <f ca="1">IFERROR(__xludf.DUMMYFUNCTION("GOOGLETRANSLATE(B531,""en"",""ja"")"),"項目名")</f>
        <v>項目名</v>
      </c>
      <c r="F531" s="1" t="str">
        <f ca="1">IFERROR(__xludf.DUMMYFUNCTION("GOOGLETRANSLATE(B531,""en"",""fr"")"),"Nom de l'article")</f>
        <v>Nom de l'article</v>
      </c>
    </row>
    <row r="532" spans="1:6" ht="15.75" customHeight="1" x14ac:dyDescent="0.25">
      <c r="A532" s="1" t="s">
        <v>1006</v>
      </c>
      <c r="B532" s="1" t="s">
        <v>1007</v>
      </c>
      <c r="C532" s="1" t="str">
        <f ca="1">IFERROR(__xludf.DUMMYFUNCTION("GOOGLETRANSLATE(B532,""en"",""ar"")"),"إجمالي الإيرادات")</f>
        <v>إجمالي الإيرادات</v>
      </c>
      <c r="D532" s="1" t="str">
        <f ca="1">IFERROR(__xludf.DUMMYFUNCTION("GOOGLETRANSLATE(B532,""en"",""zh-CN"")"),"总收入")</f>
        <v>总收入</v>
      </c>
      <c r="E532" s="1" t="str">
        <f ca="1">IFERROR(__xludf.DUMMYFUNCTION("GOOGLETRANSLATE(B532,""en"",""ja"")"),"総収入")</f>
        <v>総収入</v>
      </c>
      <c r="F532" s="1" t="str">
        <f ca="1">IFERROR(__xludf.DUMMYFUNCTION("GOOGLETRANSLATE(B532,""en"",""fr"")"),"Revenu total")</f>
        <v>Revenu total</v>
      </c>
    </row>
    <row r="533" spans="1:6" ht="15.75" customHeight="1" x14ac:dyDescent="0.25">
      <c r="A533" s="1" t="s">
        <v>1008</v>
      </c>
      <c r="B533" s="1" t="s">
        <v>1009</v>
      </c>
      <c r="C533" s="1" t="str">
        <f ca="1">IFERROR(__xludf.DUMMYFUNCTION("GOOGLETRANSLATE(B533,""en"",""ar"")"),"إجمالي بيع الكمية")</f>
        <v>إجمالي بيع الكمية</v>
      </c>
      <c r="D533" s="1" t="str">
        <f ca="1">IFERROR(__xludf.DUMMYFUNCTION("GOOGLETRANSLATE(B533,""en"",""zh-CN"")"),"总卖数量")</f>
        <v>总卖数量</v>
      </c>
      <c r="E533" s="1" t="str">
        <f ca="1">IFERROR(__xludf.DUMMYFUNCTION("GOOGLETRANSLATE(B533,""en"",""ja"")"),"販売数量")</f>
        <v>販売数量</v>
      </c>
      <c r="F533" s="1" t="str">
        <f ca="1">IFERROR(__xludf.DUMMYFUNCTION("GOOGLETRANSLATE(B533,""en"",""fr"")"),"Qté totale vendue")</f>
        <v>Qté totale vendue</v>
      </c>
    </row>
    <row r="534" spans="1:6" ht="15.75" customHeight="1" x14ac:dyDescent="0.25">
      <c r="A534" s="1" t="s">
        <v>1010</v>
      </c>
      <c r="B534" s="1" t="s">
        <v>1011</v>
      </c>
      <c r="C534" s="1" t="str">
        <f ca="1">IFERROR(__xludf.DUMMYFUNCTION("GOOGLETRANSLATE(B534,""en"",""ar"")"),"التكلفة الإجمالية")</f>
        <v>التكلفة الإجمالية</v>
      </c>
      <c r="D534" s="1" t="str">
        <f ca="1">IFERROR(__xludf.DUMMYFUNCTION("GOOGLETRANSLATE(B534,""en"",""zh-CN"")"),"总花费")</f>
        <v>总花费</v>
      </c>
      <c r="E534" s="1" t="str">
        <f ca="1">IFERROR(__xludf.DUMMYFUNCTION("GOOGLETRANSLATE(B534,""en"",""ja"")"),"総費用")</f>
        <v>総費用</v>
      </c>
      <c r="F534" s="1" t="str">
        <f ca="1">IFERROR(__xludf.DUMMYFUNCTION("GOOGLETRANSLATE(B534,""en"",""fr"")"),"Coût total")</f>
        <v>Coût total</v>
      </c>
    </row>
    <row r="535" spans="1:6" ht="15.75" customHeight="1" x14ac:dyDescent="0.25">
      <c r="A535" s="1" t="s">
        <v>1012</v>
      </c>
      <c r="B535" s="1" t="s">
        <v>217</v>
      </c>
      <c r="C535" s="1" t="str">
        <f ca="1">IFERROR(__xludf.DUMMYFUNCTION("GOOGLETRANSLATE(B535,""en"",""ar"")"),"إجمالي الخصم")</f>
        <v>إجمالي الخصم</v>
      </c>
      <c r="D535" s="1" t="str">
        <f ca="1">IFERROR(__xludf.DUMMYFUNCTION("GOOGLETRANSLATE(B535,""en"",""zh-CN"")"),"总折扣")</f>
        <v>总折扣</v>
      </c>
      <c r="E535" s="1" t="str">
        <f ca="1">IFERROR(__xludf.DUMMYFUNCTION("GOOGLETRANSLATE(B535,""en"",""ja"")"),"総割引")</f>
        <v>総割引</v>
      </c>
      <c r="F535" s="1" t="str">
        <f ca="1">IFERROR(__xludf.DUMMYFUNCTION("GOOGLETRANSLATE(B535,""en"",""fr"")"),"Remise totale")</f>
        <v>Remise totale</v>
      </c>
    </row>
    <row r="536" spans="1:6" ht="15.75" customHeight="1" x14ac:dyDescent="0.25">
      <c r="A536" s="1" t="s">
        <v>1013</v>
      </c>
      <c r="B536" s="1" t="s">
        <v>1014</v>
      </c>
      <c r="C536" s="1" t="str">
        <f ca="1">IFERROR(__xludf.DUMMYFUNCTION("GOOGLETRANSLATE(B536,""en"",""ar"")"),"ربح")</f>
        <v>ربح</v>
      </c>
      <c r="D536" s="1" t="str">
        <f ca="1">IFERROR(__xludf.DUMMYFUNCTION("GOOGLETRANSLATE(B536,""en"",""zh-CN"")"),"利润")</f>
        <v>利润</v>
      </c>
      <c r="E536" s="1" t="str">
        <f ca="1">IFERROR(__xludf.DUMMYFUNCTION("GOOGLETRANSLATE(B536,""en"",""ja"")"),"利益")</f>
        <v>利益</v>
      </c>
      <c r="F536" s="1" t="str">
        <f ca="1">IFERROR(__xludf.DUMMYFUNCTION("GOOGLETRANSLATE(B536,""en"",""fr"")"),"Profit")</f>
        <v>Profit</v>
      </c>
    </row>
    <row r="537" spans="1:6" ht="15.75" customHeight="1" x14ac:dyDescent="0.25">
      <c r="A537" s="1" t="s">
        <v>1015</v>
      </c>
      <c r="B537" s="1" t="s">
        <v>1016</v>
      </c>
      <c r="C537" s="1" t="str">
        <f ca="1">IFERROR(__xludf.DUMMYFUNCTION("GOOGLETRANSLATE(B537,""en"",""ar"")"),"تقرير الإيرادات")</f>
        <v>تقرير الإيرادات</v>
      </c>
      <c r="D537" s="1" t="str">
        <f ca="1">IFERROR(__xludf.DUMMYFUNCTION("GOOGLETRANSLATE(B537,""en"",""zh-CN"")"),"收入报告")</f>
        <v>收入报告</v>
      </c>
      <c r="E537" s="1" t="str">
        <f ca="1">IFERROR(__xludf.DUMMYFUNCTION("GOOGLETRANSLATE(B537,""en"",""ja"")"),"収益報告書")</f>
        <v>収益報告書</v>
      </c>
      <c r="F537" s="1" t="str">
        <f ca="1">IFERROR(__xludf.DUMMYFUNCTION("GOOGLETRANSLATE(B537,""en"",""fr"")"),"Rapport sur les revenus")</f>
        <v>Rapport sur les revenus</v>
      </c>
    </row>
    <row r="538" spans="1:6" ht="15.75" customHeight="1" x14ac:dyDescent="0.25">
      <c r="A538" s="1" t="s">
        <v>1017</v>
      </c>
      <c r="B538" s="1" t="s">
        <v>999</v>
      </c>
      <c r="C538" s="1" t="str">
        <f ca="1">IFERROR(__xludf.DUMMYFUNCTION("GOOGLETRANSLATE(B538,""en"",""ar"")"),"تاريخ البدء")</f>
        <v>تاريخ البدء</v>
      </c>
      <c r="D538" s="1" t="str">
        <f ca="1">IFERROR(__xludf.DUMMYFUNCTION("GOOGLETRANSLATE(B538,""en"",""zh-CN"")"),"开始日期")</f>
        <v>开始日期</v>
      </c>
      <c r="E538" s="1" t="str">
        <f ca="1">IFERROR(__xludf.DUMMYFUNCTION("GOOGLETRANSLATE(B538,""en"",""ja"")"),"開始日")</f>
        <v>開始日</v>
      </c>
      <c r="F538" s="1" t="str">
        <f ca="1">IFERROR(__xludf.DUMMYFUNCTION("GOOGLETRANSLATE(B538,""en"",""fr"")"),"Date de début")</f>
        <v>Date de début</v>
      </c>
    </row>
    <row r="539" spans="1:6" ht="15.75" customHeight="1" x14ac:dyDescent="0.25">
      <c r="A539" s="1" t="s">
        <v>1018</v>
      </c>
      <c r="B539" s="1" t="s">
        <v>1001</v>
      </c>
      <c r="C539" s="1" t="str">
        <f ca="1">IFERROR(__xludf.DUMMYFUNCTION("GOOGLETRANSLATE(B539,""en"",""ar"")"),"تاريخ الانتهاء")</f>
        <v>تاريخ الانتهاء</v>
      </c>
      <c r="D539" s="1" t="str">
        <f ca="1">IFERROR(__xludf.DUMMYFUNCTION("GOOGLETRANSLATE(B539,""en"",""zh-CN"")"),"结束日期")</f>
        <v>结束日期</v>
      </c>
      <c r="E539" s="1" t="str">
        <f ca="1">IFERROR(__xludf.DUMMYFUNCTION("GOOGLETRANSLATE(B539,""en"",""ja"")"),"終了日")</f>
        <v>終了日</v>
      </c>
      <c r="F539" s="1" t="str">
        <f ca="1">IFERROR(__xludf.DUMMYFUNCTION("GOOGLETRANSLATE(B539,""en"",""fr"")"),"Date de fin")</f>
        <v>Date de fin</v>
      </c>
    </row>
    <row r="540" spans="1:6" ht="15.75" customHeight="1" x14ac:dyDescent="0.25">
      <c r="A540" s="1" t="s">
        <v>1019</v>
      </c>
      <c r="B540" s="1" t="s">
        <v>674</v>
      </c>
      <c r="C540" s="1" t="str">
        <f ca="1">IFERROR(__xludf.DUMMYFUNCTION("GOOGLETRANSLATE(B540,""en"",""ar"")"),"فئة")</f>
        <v>فئة</v>
      </c>
      <c r="D540" s="1" t="str">
        <f ca="1">IFERROR(__xludf.DUMMYFUNCTION("GOOGLETRANSLATE(B540,""en"",""zh-CN"")"),"类别")</f>
        <v>类别</v>
      </c>
      <c r="E540" s="1" t="str">
        <f ca="1">IFERROR(__xludf.DUMMYFUNCTION("GOOGLETRANSLATE(B540,""en"",""ja"")"),"カテゴリー")</f>
        <v>カテゴリー</v>
      </c>
      <c r="F540" s="1" t="str">
        <f ca="1">IFERROR(__xludf.DUMMYFUNCTION("GOOGLETRANSLATE(B540,""en"",""fr"")"),"Catégorie")</f>
        <v>Catégorie</v>
      </c>
    </row>
    <row r="541" spans="1:6" ht="15.75" customHeight="1" x14ac:dyDescent="0.25">
      <c r="A541" s="1" t="s">
        <v>1020</v>
      </c>
      <c r="B541" s="1" t="s">
        <v>711</v>
      </c>
      <c r="C541" s="1" t="str">
        <f ca="1">IFERROR(__xludf.DUMMYFUNCTION("GOOGLETRANSLATE(B541,""en"",""ar"")"),"رمز الصنف")</f>
        <v>رمز الصنف</v>
      </c>
      <c r="D541" s="1" t="str">
        <f ca="1">IFERROR(__xludf.DUMMYFUNCTION("GOOGLETRANSLATE(B541,""en"",""zh-CN"")"),"项目代码")</f>
        <v>项目代码</v>
      </c>
      <c r="E541" s="1" t="str">
        <f ca="1">IFERROR(__xludf.DUMMYFUNCTION("GOOGLETRANSLATE(B541,""en"",""ja"")"),"アイテムコード")</f>
        <v>アイテムコード</v>
      </c>
      <c r="F541" s="1" t="str">
        <f ca="1">IFERROR(__xludf.DUMMYFUNCTION("GOOGLETRANSLATE(B541,""en"",""fr"")"),"Code de l'article")</f>
        <v>Code de l'article</v>
      </c>
    </row>
    <row r="542" spans="1:6" ht="15.75" customHeight="1" x14ac:dyDescent="0.25">
      <c r="A542" s="1" t="s">
        <v>1021</v>
      </c>
      <c r="B542" s="1" t="s">
        <v>1005</v>
      </c>
      <c r="C542" s="1" t="str">
        <f ca="1">IFERROR(__xludf.DUMMYFUNCTION("GOOGLETRANSLATE(B542,""en"",""ar"")"),"اسم العنصر")</f>
        <v>اسم العنصر</v>
      </c>
      <c r="D542" s="1" t="str">
        <f ca="1">IFERROR(__xludf.DUMMYFUNCTION("GOOGLETRANSLATE(B542,""en"",""zh-CN"")"),"项目名称")</f>
        <v>项目名称</v>
      </c>
      <c r="E542" s="1" t="str">
        <f ca="1">IFERROR(__xludf.DUMMYFUNCTION("GOOGLETRANSLATE(B542,""en"",""ja"")"),"項目名")</f>
        <v>項目名</v>
      </c>
      <c r="F542" s="1" t="str">
        <f ca="1">IFERROR(__xludf.DUMMYFUNCTION("GOOGLETRANSLATE(B542,""en"",""fr"")"),"Nom de l'article")</f>
        <v>Nom de l'article</v>
      </c>
    </row>
    <row r="543" spans="1:6" ht="15.75" customHeight="1" x14ac:dyDescent="0.25">
      <c r="A543" s="1" t="s">
        <v>1022</v>
      </c>
      <c r="B543" s="1" t="s">
        <v>1009</v>
      </c>
      <c r="C543" s="1" t="str">
        <f ca="1">IFERROR(__xludf.DUMMYFUNCTION("GOOGLETRANSLATE(B543,""en"",""ar"")"),"إجمالي بيع الكمية")</f>
        <v>إجمالي بيع الكمية</v>
      </c>
      <c r="D543" s="1" t="str">
        <f ca="1">IFERROR(__xludf.DUMMYFUNCTION("GOOGLETRANSLATE(B543,""en"",""zh-CN"")"),"总卖数量")</f>
        <v>总卖数量</v>
      </c>
      <c r="E543" s="1" t="str">
        <f ca="1">IFERROR(__xludf.DUMMYFUNCTION("GOOGLETRANSLATE(B543,""en"",""ja"")"),"販売数量")</f>
        <v>販売数量</v>
      </c>
      <c r="F543" s="1" t="str">
        <f ca="1">IFERROR(__xludf.DUMMYFUNCTION("GOOGLETRANSLATE(B543,""en"",""fr"")"),"Qté totale vendue")</f>
        <v>Qté totale vendue</v>
      </c>
    </row>
    <row r="544" spans="1:6" ht="15.75" customHeight="1" x14ac:dyDescent="0.25">
      <c r="A544" s="1" t="s">
        <v>1023</v>
      </c>
      <c r="B544" s="1" t="s">
        <v>1007</v>
      </c>
      <c r="C544" s="1" t="str">
        <f ca="1">IFERROR(__xludf.DUMMYFUNCTION("GOOGLETRANSLATE(B544,""en"",""ar"")"),"إجمالي الإيرادات")</f>
        <v>إجمالي الإيرادات</v>
      </c>
      <c r="D544" s="1" t="str">
        <f ca="1">IFERROR(__xludf.DUMMYFUNCTION("GOOGLETRANSLATE(B544,""en"",""zh-CN"")"),"总收入")</f>
        <v>总收入</v>
      </c>
      <c r="E544" s="1" t="str">
        <f ca="1">IFERROR(__xludf.DUMMYFUNCTION("GOOGLETRANSLATE(B544,""en"",""ja"")"),"総収入")</f>
        <v>総収入</v>
      </c>
      <c r="F544" s="1" t="str">
        <f ca="1">IFERROR(__xludf.DUMMYFUNCTION("GOOGLETRANSLATE(B544,""en"",""fr"")"),"Revenu total")</f>
        <v>Revenu total</v>
      </c>
    </row>
    <row r="545" spans="1:6" ht="15.75" customHeight="1" x14ac:dyDescent="0.25">
      <c r="A545" s="1" t="s">
        <v>1024</v>
      </c>
      <c r="B545" s="1" t="s">
        <v>1011</v>
      </c>
      <c r="C545" s="1" t="str">
        <f ca="1">IFERROR(__xludf.DUMMYFUNCTION("GOOGLETRANSLATE(B545,""en"",""ar"")"),"التكلفة الإجمالية")</f>
        <v>التكلفة الإجمالية</v>
      </c>
      <c r="D545" s="1" t="str">
        <f ca="1">IFERROR(__xludf.DUMMYFUNCTION("GOOGLETRANSLATE(B545,""en"",""zh-CN"")"),"总花费")</f>
        <v>总花费</v>
      </c>
      <c r="E545" s="1" t="str">
        <f ca="1">IFERROR(__xludf.DUMMYFUNCTION("GOOGLETRANSLATE(B545,""en"",""ja"")"),"総費用")</f>
        <v>総費用</v>
      </c>
      <c r="F545" s="1" t="str">
        <f ca="1">IFERROR(__xludf.DUMMYFUNCTION("GOOGLETRANSLATE(B545,""en"",""fr"")"),"Coût total")</f>
        <v>Coût total</v>
      </c>
    </row>
    <row r="546" spans="1:6" ht="15.75" customHeight="1" x14ac:dyDescent="0.25">
      <c r="A546" s="1" t="s">
        <v>1025</v>
      </c>
      <c r="B546" s="1" t="s">
        <v>217</v>
      </c>
      <c r="C546" s="1" t="str">
        <f ca="1">IFERROR(__xludf.DUMMYFUNCTION("GOOGLETRANSLATE(B546,""en"",""ar"")"),"إجمالي الخصم")</f>
        <v>إجمالي الخصم</v>
      </c>
      <c r="D546" s="1" t="str">
        <f ca="1">IFERROR(__xludf.DUMMYFUNCTION("GOOGLETRANSLATE(B546,""en"",""zh-CN"")"),"总折扣")</f>
        <v>总折扣</v>
      </c>
      <c r="E546" s="1" t="str">
        <f ca="1">IFERROR(__xludf.DUMMYFUNCTION("GOOGLETRANSLATE(B546,""en"",""ja"")"),"総割引")</f>
        <v>総割引</v>
      </c>
      <c r="F546" s="1" t="str">
        <f ca="1">IFERROR(__xludf.DUMMYFUNCTION("GOOGLETRANSLATE(B546,""en"",""fr"")"),"Remise totale")</f>
        <v>Remise totale</v>
      </c>
    </row>
    <row r="547" spans="1:6" ht="15.75" customHeight="1" x14ac:dyDescent="0.25">
      <c r="A547" s="1" t="s">
        <v>1026</v>
      </c>
      <c r="B547" s="1" t="s">
        <v>1014</v>
      </c>
      <c r="C547" s="1" t="str">
        <f ca="1">IFERROR(__xludf.DUMMYFUNCTION("GOOGLETRANSLATE(B547,""en"",""ar"")"),"ربح")</f>
        <v>ربح</v>
      </c>
      <c r="D547" s="1" t="str">
        <f ca="1">IFERROR(__xludf.DUMMYFUNCTION("GOOGLETRANSLATE(B547,""en"",""zh-CN"")"),"利润")</f>
        <v>利润</v>
      </c>
      <c r="E547" s="1" t="str">
        <f ca="1">IFERROR(__xludf.DUMMYFUNCTION("GOOGLETRANSLATE(B547,""en"",""ja"")"),"利益")</f>
        <v>利益</v>
      </c>
      <c r="F547" s="1" t="str">
        <f ca="1">IFERROR(__xludf.DUMMYFUNCTION("GOOGLETRANSLATE(B547,""en"",""fr"")"),"Profit")</f>
        <v>Profit</v>
      </c>
    </row>
    <row r="548" spans="1:6" ht="15.75" customHeight="1" x14ac:dyDescent="0.25">
      <c r="A548" s="1" t="s">
        <v>1027</v>
      </c>
      <c r="B548" s="1" t="s">
        <v>374</v>
      </c>
      <c r="C548" s="1" t="str">
        <f ca="1">IFERROR(__xludf.DUMMYFUNCTION("GOOGLETRANSLATE(B548,""en"",""ar"")"),"تقرير درج النقود")</f>
        <v>تقرير درج النقود</v>
      </c>
      <c r="D548" s="1" t="str">
        <f ca="1">IFERROR(__xludf.DUMMYFUNCTION("GOOGLETRANSLATE(B548,""en"",""zh-CN"")"),"现金抽屉报告")</f>
        <v>现金抽屉报告</v>
      </c>
      <c r="E548" s="1" t="str">
        <f ca="1">IFERROR(__xludf.DUMMYFUNCTION("GOOGLETRANSLATE(B548,""en"",""ja"")"),"現金引き出しレポート")</f>
        <v>現金引き出しレポート</v>
      </c>
      <c r="F548" s="1" t="str">
        <f ca="1">IFERROR(__xludf.DUMMYFUNCTION("GOOGLETRANSLATE(B548,""en"",""fr"")"),"Rapport de tiroir caisse")</f>
        <v>Rapport de tiroir caisse</v>
      </c>
    </row>
    <row r="549" spans="1:6" ht="15.75" customHeight="1" x14ac:dyDescent="0.25">
      <c r="A549" s="1" t="s">
        <v>1028</v>
      </c>
      <c r="B549" s="1" t="s">
        <v>1029</v>
      </c>
      <c r="C549" s="1" t="str">
        <f ca="1">IFERROR(__xludf.DUMMYFUNCTION("GOOGLETRANSLATE(B549,""en"",""ar"")"),"رسوم الخدمات")</f>
        <v>رسوم الخدمات</v>
      </c>
      <c r="D549" s="1" t="str">
        <f ca="1">IFERROR(__xludf.DUMMYFUNCTION("GOOGLETRANSLATE(B549,""en"",""zh-CN"")"),"服务费")</f>
        <v>服务费</v>
      </c>
      <c r="E549" s="1" t="str">
        <f ca="1">IFERROR(__xludf.DUMMYFUNCTION("GOOGLETRANSLATE(B549,""en"",""ja"")"),"サービス料")</f>
        <v>サービス料</v>
      </c>
      <c r="F549" s="1" t="str">
        <f ca="1">IFERROR(__xludf.DUMMYFUNCTION("GOOGLETRANSLATE(B549,""en"",""fr"")"),"Frais de service")</f>
        <v>Frais de service</v>
      </c>
    </row>
    <row r="550" spans="1:6" ht="15.75" customHeight="1" x14ac:dyDescent="0.25">
      <c r="A550" s="1" t="s">
        <v>1030</v>
      </c>
      <c r="B550" s="1" t="s">
        <v>238</v>
      </c>
      <c r="C550" s="1" t="str">
        <f ca="1">IFERROR(__xludf.DUMMYFUNCTION("GOOGLETRANSLATE(B550,""en"",""ar"")"),"نوع")</f>
        <v>نوع</v>
      </c>
      <c r="D550" s="1" t="str">
        <f ca="1">IFERROR(__xludf.DUMMYFUNCTION("GOOGLETRANSLATE(B550,""en"",""zh-CN"")"),"类型")</f>
        <v>类型</v>
      </c>
      <c r="E550" s="1" t="str">
        <f ca="1">IFERROR(__xludf.DUMMYFUNCTION("GOOGLETRANSLATE(B550,""en"",""ja"")"),"タイプ")</f>
        <v>タイプ</v>
      </c>
      <c r="F550" s="1" t="str">
        <f ca="1">IFERROR(__xludf.DUMMYFUNCTION("GOOGLETRANSLATE(B550,""en"",""fr"")"),"Taper")</f>
        <v>Taper</v>
      </c>
    </row>
    <row r="551" spans="1:6" ht="15.75" customHeight="1" x14ac:dyDescent="0.25">
      <c r="A551" s="1" t="s">
        <v>1031</v>
      </c>
      <c r="B551" s="1" t="s">
        <v>1032</v>
      </c>
      <c r="C551" s="1" t="str">
        <f ca="1">IFERROR(__xludf.DUMMYFUNCTION("GOOGLETRANSLATE(B551,""en"",""ar"")"),"النسبة المئوية")</f>
        <v>النسبة المئوية</v>
      </c>
      <c r="D551" s="1" t="str">
        <f ca="1">IFERROR(__xludf.DUMMYFUNCTION("GOOGLETRANSLATE(B551,""en"",""zh-CN"")"),"百分比")</f>
        <v>百分比</v>
      </c>
      <c r="E551" s="1" t="str">
        <f ca="1">IFERROR(__xludf.DUMMYFUNCTION("GOOGLETRANSLATE(B551,""en"",""ja"")"),"パーセンテージ")</f>
        <v>パーセンテージ</v>
      </c>
      <c r="F551" s="1" t="str">
        <f ca="1">IFERROR(__xludf.DUMMYFUNCTION("GOOGLETRANSLATE(B551,""en"",""fr"")"),"Pourcentage")</f>
        <v>Pourcentage</v>
      </c>
    </row>
    <row r="552" spans="1:6" ht="15.75" customHeight="1" x14ac:dyDescent="0.25">
      <c r="A552" s="1" t="s">
        <v>1033</v>
      </c>
      <c r="B552" s="1" t="s">
        <v>991</v>
      </c>
      <c r="C552" s="1" t="str">
        <f ca="1">IFERROR(__xludf.DUMMYFUNCTION("GOOGLETRANSLATE(B552,""en"",""ar"")"),"قيمة")</f>
        <v>قيمة</v>
      </c>
      <c r="D552" s="1" t="str">
        <f ca="1">IFERROR(__xludf.DUMMYFUNCTION("GOOGLETRANSLATE(B552,""en"",""zh-CN"")"),"价值")</f>
        <v>价值</v>
      </c>
      <c r="E552" s="1" t="str">
        <f ca="1">IFERROR(__xludf.DUMMYFUNCTION("GOOGLETRANSLATE(B552,""en"",""ja"")"),"価値")</f>
        <v>価値</v>
      </c>
      <c r="F552" s="1" t="str">
        <f ca="1">IFERROR(__xludf.DUMMYFUNCTION("GOOGLETRANSLATE(B552,""en"",""fr"")"),"Valeur")</f>
        <v>Valeur</v>
      </c>
    </row>
    <row r="553" spans="1:6" ht="15.75" customHeight="1" x14ac:dyDescent="0.25">
      <c r="A553" s="1" t="s">
        <v>1034</v>
      </c>
      <c r="B553" s="1" t="s">
        <v>676</v>
      </c>
      <c r="C553" s="1" t="str">
        <f ca="1">IFERROR(__xludf.DUMMYFUNCTION("GOOGLETRANSLATE(B553,""en"",""ar"")"),"تصنيف فرعي")</f>
        <v>تصنيف فرعي</v>
      </c>
      <c r="D553" s="1" t="str">
        <f ca="1">IFERROR(__xludf.DUMMYFUNCTION("GOOGLETRANSLATE(B553,""en"",""zh-CN"")"),"子类别")</f>
        <v>子类别</v>
      </c>
      <c r="E553" s="1" t="str">
        <f ca="1">IFERROR(__xludf.DUMMYFUNCTION("GOOGLETRANSLATE(B553,""en"",""ja"")"),"サブカテゴリ")</f>
        <v>サブカテゴリ</v>
      </c>
      <c r="F553" s="1" t="str">
        <f ca="1">IFERROR(__xludf.DUMMYFUNCTION("GOOGLETRANSLATE(B553,""en"",""fr"")"),"Sous-catégorie")</f>
        <v>Sous-catégorie</v>
      </c>
    </row>
    <row r="554" spans="1:6" ht="15.75" customHeight="1" x14ac:dyDescent="0.25">
      <c r="A554" s="1" t="s">
        <v>1035</v>
      </c>
      <c r="B554" s="1" t="s">
        <v>1036</v>
      </c>
      <c r="C554" s="1" t="str">
        <f ca="1">IFERROR(__xludf.DUMMYFUNCTION("GOOGLETRANSLATE(B554,""en"",""ar"")"),"شحنة")</f>
        <v>شحنة</v>
      </c>
      <c r="D554" s="1" t="str">
        <f ca="1">IFERROR(__xludf.DUMMYFUNCTION("GOOGLETRANSLATE(B554,""en"",""zh-CN"")"),"收费")</f>
        <v>收费</v>
      </c>
      <c r="E554" s="1" t="str">
        <f ca="1">IFERROR(__xludf.DUMMYFUNCTION("GOOGLETRANSLATE(B554,""en"",""ja"")"),"充電")</f>
        <v>充電</v>
      </c>
      <c r="F554" s="1" t="str">
        <f ca="1">IFERROR(__xludf.DUMMYFUNCTION("GOOGLETRANSLATE(B554,""en"",""fr"")"),"Des charges")</f>
        <v>Des charges</v>
      </c>
    </row>
    <row r="555" spans="1:6" ht="15.75" customHeight="1" x14ac:dyDescent="0.25">
      <c r="A555" s="1" t="s">
        <v>1037</v>
      </c>
      <c r="B555" s="1" t="s">
        <v>680</v>
      </c>
      <c r="C555" s="1" t="str">
        <f ca="1">IFERROR(__xludf.DUMMYFUNCTION("GOOGLETRANSLATE(B555,""en"",""ar"")"),"ضريبة")</f>
        <v>ضريبة</v>
      </c>
      <c r="D555" s="1" t="str">
        <f ca="1">IFERROR(__xludf.DUMMYFUNCTION("GOOGLETRANSLATE(B555,""en"",""zh-CN"")"),"税")</f>
        <v>税</v>
      </c>
      <c r="E555" s="1" t="str">
        <f ca="1">IFERROR(__xludf.DUMMYFUNCTION("GOOGLETRANSLATE(B555,""en"",""ja"")"),"税")</f>
        <v>税</v>
      </c>
      <c r="F555" s="1" t="str">
        <f ca="1">IFERROR(__xludf.DUMMYFUNCTION("GOOGLETRANSLATE(B555,""en"",""fr"")"),"Impôt")</f>
        <v>Impôt</v>
      </c>
    </row>
    <row r="556" spans="1:6" ht="15.75" customHeight="1" x14ac:dyDescent="0.25">
      <c r="A556" s="1" t="s">
        <v>1038</v>
      </c>
      <c r="B556" s="1" t="s">
        <v>258</v>
      </c>
      <c r="C556" s="1" t="str">
        <f ca="1">IFERROR(__xludf.DUMMYFUNCTION("GOOGLETRANSLATE(B556,""en"",""ar"")"),"حفظ")</f>
        <v>حفظ</v>
      </c>
      <c r="D556" s="1" t="str">
        <f ca="1">IFERROR(__xludf.DUMMYFUNCTION("GOOGLETRANSLATE(B556,""en"",""zh-CN"")"),"保存")</f>
        <v>保存</v>
      </c>
      <c r="E556" s="1" t="str">
        <f ca="1">IFERROR(__xludf.DUMMYFUNCTION("GOOGLETRANSLATE(B556,""en"",""ja"")"),"保存する")</f>
        <v>保存する</v>
      </c>
      <c r="F556" s="1" t="str">
        <f ca="1">IFERROR(__xludf.DUMMYFUNCTION("GOOGLETRANSLATE(B556,""en"",""fr"")"),"SAUVER")</f>
        <v>SAUVER</v>
      </c>
    </row>
    <row r="557" spans="1:6" ht="15.75" customHeight="1" x14ac:dyDescent="0.25">
      <c r="A557" s="1" t="s">
        <v>1039</v>
      </c>
      <c r="B557" s="1" t="s">
        <v>1040</v>
      </c>
      <c r="C557" s="1" t="str">
        <f ca="1">IFERROR(__xludf.DUMMYFUNCTION("GOOGLETRANSLATE(B557,""en"",""ar"")"),"بيانات التطبيق الواضحة")</f>
        <v>بيانات التطبيق الواضحة</v>
      </c>
      <c r="D557" s="1" t="str">
        <f ca="1">IFERROR(__xludf.DUMMYFUNCTION("GOOGLETRANSLATE(B557,""en"",""zh-CN"")"),"清除应用程序数据")</f>
        <v>清除应用程序数据</v>
      </c>
      <c r="E557" s="1" t="str">
        <f ca="1">IFERROR(__xludf.DUMMYFUNCTION("GOOGLETRANSLATE(B557,""en"",""ja"")"),"クリアアプリケーションデータ")</f>
        <v>クリアアプリケーションデータ</v>
      </c>
      <c r="F557" s="1" t="str">
        <f ca="1">IFERROR(__xludf.DUMMYFUNCTION("GOOGLETRANSLATE(B557,""en"",""fr"")"),"Données claires d'application")</f>
        <v>Données claires d'application</v>
      </c>
    </row>
    <row r="558" spans="1:6" ht="15.75" customHeight="1" x14ac:dyDescent="0.25">
      <c r="A558" s="1" t="s">
        <v>1041</v>
      </c>
      <c r="B558" s="1" t="s">
        <v>1042</v>
      </c>
      <c r="C558" s="1" t="str">
        <f ca="1">IFERROR(__xludf.DUMMYFUNCTION("GOOGLETRANSLATE(B558,""en"",""ar"")"),"هذه الوظيفة ستؤدي إلى مسح بيانات التطبيق. هل تريد الاستمرار؟")</f>
        <v>هذه الوظيفة ستؤدي إلى مسح بيانات التطبيق. هل تريد الاستمرار؟</v>
      </c>
      <c r="D558" s="1" t="str">
        <f ca="1">IFERROR(__xludf.DUMMYFUNCTION("GOOGLETRANSLATE(B558,""en"",""zh-CN"")"),"此功能将清除应用程序数据。你要继续吗？")</f>
        <v>此功能将清除应用程序数据。你要继续吗？</v>
      </c>
      <c r="E558" s="1" t="str">
        <f ca="1">IFERROR(__xludf.DUMMYFUNCTION("GOOGLETRANSLATE(B558,""en"",""ja"")"),"この関数はアプリケーションデータを消去します。続けますか？")</f>
        <v>この関数はアプリケーションデータを消去します。続けますか？</v>
      </c>
      <c r="F558" s="1" t="str">
        <f ca="1">IFERROR(__xludf.DUMMYFUNCTION("GOOGLETRANSLATE(B558,""en"",""fr"")"),"Cette fonction effacera les données d'application. Voulez-vous continuer?")</f>
        <v>Cette fonction effacera les données d'application. Voulez-vous continuer?</v>
      </c>
    </row>
    <row r="559" spans="1:6" ht="15.75" customHeight="1" x14ac:dyDescent="0.25">
      <c r="A559" s="1" t="s">
        <v>1043</v>
      </c>
      <c r="B559" s="1" t="s">
        <v>1044</v>
      </c>
      <c r="C559" s="1" t="str">
        <f ca="1">IFERROR(__xludf.DUMMYFUNCTION("GOOGLETRANSLATE(B559,""en"",""ar"")"),"ستؤدي هذه الوظيفة إلى مسح جميع بيانات المعاملات أكثر من شهر واحد. هل تريد الاستمرار؟")</f>
        <v>ستؤدي هذه الوظيفة إلى مسح جميع بيانات المعاملات أكثر من شهر واحد. هل تريد الاستمرار؟</v>
      </c>
      <c r="D559" s="1" t="str">
        <f ca="1">IFERROR(__xludf.DUMMYFUNCTION("GOOGLETRANSLATE(B559,""en"",""zh-CN"")"),"此功能将清除所有交易数据超过一个月。你要继续吗？")</f>
        <v>此功能将清除所有交易数据超过一个月。你要继续吗？</v>
      </c>
      <c r="E559" s="1" t="str">
        <f ca="1">IFERROR(__xludf.DUMMYFUNCTION("GOOGLETRANSLATE(B559,""en"",""ja"")"),"この関数は1か月以上のすべてのトランザクションデータをクリアします。続けますか？")</f>
        <v>この関数は1か月以上のすべてのトランザクションデータをクリアします。続けますか？</v>
      </c>
      <c r="F559" s="1" t="str">
        <f ca="1">IFERROR(__xludf.DUMMYFUNCTION("GOOGLETRANSLATE(B559,""en"",""fr"")"),"Cette fonction effacera toutes les données de transaction plus d'un mois. Voulez-vous continuer?")</f>
        <v>Cette fonction effacera toutes les données de transaction plus d'un mois. Voulez-vous continuer?</v>
      </c>
    </row>
    <row r="560" spans="1:6" ht="15.75" customHeight="1" x14ac:dyDescent="0.25">
      <c r="A560" s="1" t="s">
        <v>1045</v>
      </c>
      <c r="B560" s="1" t="s">
        <v>1046</v>
      </c>
      <c r="C560" s="1" t="str">
        <f ca="1">IFERROR(__xludf.DUMMYFUNCTION("GOOGLETRANSLATE(B560,""en"",""ar"")"),"توفير كلمة مرور المسؤول")</f>
        <v>توفير كلمة مرور المسؤول</v>
      </c>
      <c r="D560" s="1" t="str">
        <f ca="1">IFERROR(__xludf.DUMMYFUNCTION("GOOGLETRANSLATE(B560,""en"",""zh-CN"")"),"提供管理员密码")</f>
        <v>提供管理员密码</v>
      </c>
      <c r="E560" s="1" t="str">
        <f ca="1">IFERROR(__xludf.DUMMYFUNCTION("GOOGLETRANSLATE(B560,""en"",""ja"")"),"管理者パスワードを入力してください")</f>
        <v>管理者パスワードを入力してください</v>
      </c>
      <c r="F560" s="1" t="str">
        <f ca="1">IFERROR(__xludf.DUMMYFUNCTION("GOOGLETRANSLATE(B560,""en"",""fr"")"),"Fournir un mot de passe administrateur")</f>
        <v>Fournir un mot de passe administrateur</v>
      </c>
    </row>
    <row r="561" spans="1:6" ht="15.75" customHeight="1" x14ac:dyDescent="0.25">
      <c r="A561" s="1" t="s">
        <v>1047</v>
      </c>
      <c r="B561" s="1" t="s">
        <v>1048</v>
      </c>
      <c r="C561" s="1" t="str">
        <f ca="1">IFERROR(__xludf.DUMMYFUNCTION("GOOGLETRANSLATE(B561,""en"",""ar"")"),"سجلت السجلات بنجاح")</f>
        <v>سجلت السجلات بنجاح</v>
      </c>
      <c r="D561" s="1" t="str">
        <f ca="1">IFERROR(__xludf.DUMMYFUNCTION("GOOGLETRANSLATE(B561,""en"",""zh-CN"")"),"记录成功被清除")</f>
        <v>记录成功被清除</v>
      </c>
      <c r="E561" s="1" t="str">
        <f ca="1">IFERROR(__xludf.DUMMYFUNCTION("GOOGLETRANSLATE(B561,""en"",""ja"")"),"レコードは正常にクリアされました")</f>
        <v>レコードは正常にクリアされました</v>
      </c>
      <c r="F561" s="1" t="str">
        <f ca="1">IFERROR(__xludf.DUMMYFUNCTION("GOOGLETRANSLATE(B561,""en"",""fr"")"),"Les enregistrements ont effacé avec succès")</f>
        <v>Les enregistrements ont effacé avec succès</v>
      </c>
    </row>
    <row r="562" spans="1:6" ht="15.75" customHeight="1" x14ac:dyDescent="0.25">
      <c r="A562" s="1" t="s">
        <v>1049</v>
      </c>
      <c r="B562" s="1" t="s">
        <v>1050</v>
      </c>
      <c r="C562" s="1" t="str">
        <f ca="1">IFERROR(__xludf.DUMMYFUNCTION("GOOGLETRANSLATE(B562,""en"",""ar"")"),"هل أنت متأكد أنك تريد حذف هذا الاستلام؟")</f>
        <v>هل أنت متأكد أنك تريد حذف هذا الاستلام؟</v>
      </c>
      <c r="D562" s="1" t="str">
        <f ca="1">IFERROR(__xludf.DUMMYFUNCTION("GOOGLETRANSLATE(B562,""en"",""zh-CN"")"),"您确定要删除此收据吗？")</f>
        <v>您确定要删除此收据吗？</v>
      </c>
      <c r="E562" s="1" t="str">
        <f ca="1">IFERROR(__xludf.DUMMYFUNCTION("GOOGLETRANSLATE(B562,""en"",""ja"")"),"この領収書を削除してよろしいですか？")</f>
        <v>この領収書を削除してよろしいですか？</v>
      </c>
      <c r="F562" s="1" t="str">
        <f ca="1">IFERROR(__xludf.DUMMYFUNCTION("GOOGLETRANSLATE(B562,""en"",""fr"")"),"Êtes-vous sûr de vouloir supprimer ce reçu?")</f>
        <v>Êtes-vous sûr de vouloir supprimer ce reçu?</v>
      </c>
    </row>
    <row r="563" spans="1:6" ht="15.75" customHeight="1" x14ac:dyDescent="0.25">
      <c r="A563" s="1" t="s">
        <v>1051</v>
      </c>
      <c r="B563" s="1" t="s">
        <v>1052</v>
      </c>
      <c r="C563" s="1" t="str">
        <f ca="1">IFERROR(__xludf.DUMMYFUNCTION("GOOGLETRANSLATE(B563,""en"",""ar"")"),"هل أنت متأكد أنك تريد حذف الإيصال؟")</f>
        <v>هل أنت متأكد أنك تريد حذف الإيصال؟</v>
      </c>
      <c r="D563" s="1" t="str">
        <f ca="1">IFERROR(__xludf.DUMMYFUNCTION("GOOGLETRANSLATE(B563,""en"",""zh-CN"")"),"您确定要删除收据吗？")</f>
        <v>您确定要删除收据吗？</v>
      </c>
      <c r="E563" s="1" t="str">
        <f ca="1">IFERROR(__xludf.DUMMYFUNCTION("GOOGLETRANSLATE(B563,""en"",""ja"")"),"領収書を削除してもよろしいですか？")</f>
        <v>領収書を削除してもよろしいですか？</v>
      </c>
      <c r="F563" s="1" t="str">
        <f ca="1">IFERROR(__xludf.DUMMYFUNCTION("GOOGLETRANSLATE(B563,""en"",""fr"")"),"Êtes-vous sûr de vouloir supprimer le reçu?")</f>
        <v>Êtes-vous sûr de vouloir supprimer le reçu?</v>
      </c>
    </row>
    <row r="564" spans="1:6" ht="15.75" customHeight="1" x14ac:dyDescent="0.25">
      <c r="A564" s="1" t="s">
        <v>1053</v>
      </c>
      <c r="B564" s="1" t="s">
        <v>1054</v>
      </c>
      <c r="C564" s="1" t="str">
        <f ca="1">IFERROR(__xludf.DUMMYFUNCTION("GOOGLETRANSLATE(B564,""en"",""ar"")"),"ستقوم هذه الوظيفة بمسح تقارير مختارة. هل تريد الاستمرار؟")</f>
        <v>ستقوم هذه الوظيفة بمسح تقارير مختارة. هل تريد الاستمرار؟</v>
      </c>
      <c r="D564" s="1" t="str">
        <f ca="1">IFERROR(__xludf.DUMMYFUNCTION("GOOGLETRANSLATE(B564,""en"",""zh-CN"")"),"此功能将清除选定的报告。你要继续吗？")</f>
        <v>此功能将清除选定的报告。你要继续吗？</v>
      </c>
      <c r="E564" s="1" t="str">
        <f ca="1">IFERROR(__xludf.DUMMYFUNCTION("GOOGLETRANSLATE(B564,""en"",""ja"")"),"この関数は選択されたレポートをクリアします。続けますか？")</f>
        <v>この関数は選択されたレポートをクリアします。続けますか？</v>
      </c>
      <c r="F564" s="1" t="str">
        <f ca="1">IFERROR(__xludf.DUMMYFUNCTION("GOOGLETRANSLATE(B564,""en"",""fr"")"),"Cette fonction éliminera les rapports sélectionnés. Voulez-vous continuer?")</f>
        <v>Cette fonction éliminera les rapports sélectionnés. Voulez-vous continuer?</v>
      </c>
    </row>
    <row r="565" spans="1:6" ht="15.75" customHeight="1" x14ac:dyDescent="0.25">
      <c r="A565" s="1" t="s">
        <v>1055</v>
      </c>
      <c r="B565" s="1" t="s">
        <v>1056</v>
      </c>
      <c r="C565" s="1" t="str">
        <f ca="1">IFERROR(__xludf.DUMMYFUNCTION("GOOGLETRANSLATE(B565,""en"",""ar"")"),"ستخف هذه الوظيفة تقارير مختارة أكثر من شهر واحد. هل تريد الاستمرار؟")</f>
        <v>ستخف هذه الوظيفة تقارير مختارة أكثر من شهر واحد. هل تريد الاستمرار؟</v>
      </c>
      <c r="D565" s="1" t="str">
        <f ca="1">IFERROR(__xludf.DUMMYFUNCTION("GOOGLETRANSLATE(B565,""en"",""zh-CN"")"),"此功能将清除已选定的报告超过一个月。你要继续吗？")</f>
        <v>此功能将清除已选定的报告超过一个月。你要继续吗？</v>
      </c>
      <c r="E565" s="1" t="str">
        <f ca="1">IFERROR(__xludf.DUMMYFUNCTION("GOOGLETRANSLATE(B565,""en"",""ja"")"),"この関数は1ヶ月以上選択されたレポートをクリアします。続けますか？")</f>
        <v>この関数は1ヶ月以上選択されたレポートをクリアします。続けますか？</v>
      </c>
      <c r="F565" s="1" t="str">
        <f ca="1">IFERROR(__xludf.DUMMYFUNCTION("GOOGLETRANSLATE(B565,""en"",""fr"")"),"Cette fonction effacera les rapports sélectionnés plus d'un mois. Voulez-vous continuer?")</f>
        <v>Cette fonction effacera les rapports sélectionnés plus d'un mois. Voulez-vous continuer?</v>
      </c>
    </row>
    <row r="566" spans="1:6" ht="15.75" customHeight="1" x14ac:dyDescent="0.25">
      <c r="A566" s="1" t="s">
        <v>1057</v>
      </c>
      <c r="B566" s="1" t="s">
        <v>1058</v>
      </c>
      <c r="C566" s="1" t="str">
        <f ca="1">IFERROR(__xludf.DUMMYFUNCTION("GOOGLETRANSLATE(B566,""en"",""ar"")"),"يرجى اختيار الخيارات")</f>
        <v>يرجى اختيار الخيارات</v>
      </c>
      <c r="D566" s="1" t="str">
        <f ca="1">IFERROR(__xludf.DUMMYFUNCTION("GOOGLETRANSLATE(B566,""en"",""zh-CN"")"),"请选择选项")</f>
        <v>请选择选项</v>
      </c>
      <c r="E566" s="1" t="str">
        <f ca="1">IFERROR(__xludf.DUMMYFUNCTION("GOOGLETRANSLATE(B566,""en"",""ja"")"),"オプションを選択してください")</f>
        <v>オプションを選択してください</v>
      </c>
      <c r="F566" s="1" t="str">
        <f ca="1">IFERROR(__xludf.DUMMYFUNCTION("GOOGLETRANSLATE(B566,""en"",""fr"")"),"Veuillez sélectionner des options")</f>
        <v>Veuillez sélectionner des options</v>
      </c>
    </row>
    <row r="567" spans="1:6" ht="15.75" customHeight="1" x14ac:dyDescent="0.25">
      <c r="A567" s="1" t="s">
        <v>1059</v>
      </c>
      <c r="B567" s="1" t="s">
        <v>1060</v>
      </c>
      <c r="C567" s="1" t="str">
        <f ca="1">IFERROR(__xludf.DUMMYFUNCTION("GOOGLETRANSLATE(B567,""en"",""ar"")"),"لا اتصال بالإنترنت")</f>
        <v>لا اتصال بالإنترنت</v>
      </c>
      <c r="D567" s="1" t="str">
        <f ca="1">IFERROR(__xludf.DUMMYFUNCTION("GOOGLETRANSLATE(B567,""en"",""zh-CN"")"),"没有网络连接")</f>
        <v>没有网络连接</v>
      </c>
      <c r="E567" s="1" t="str">
        <f ca="1">IFERROR(__xludf.DUMMYFUNCTION("GOOGLETRANSLATE(B567,""en"",""ja"")"),"インターネット接続はありません")</f>
        <v>インターネット接続はありません</v>
      </c>
      <c r="F567" s="1" t="str">
        <f ca="1">IFERROR(__xludf.DUMMYFUNCTION("GOOGLETRANSLATE(B567,""en"",""fr"")"),"Pas de connexion Internet")</f>
        <v>Pas de connexion Internet</v>
      </c>
    </row>
    <row r="568" spans="1:6" ht="15.75" customHeight="1" x14ac:dyDescent="0.25">
      <c r="A568" s="1" t="s">
        <v>1061</v>
      </c>
      <c r="B568" s="1" t="s">
        <v>1062</v>
      </c>
      <c r="C568" s="1" t="str">
        <f ca="1">IFERROR(__xludf.DUMMYFUNCTION("GOOGLETRANSLATE(B568,""en"",""ar"")"),"كلمة سر خاطئة")</f>
        <v>كلمة سر خاطئة</v>
      </c>
      <c r="D568" s="1" t="str">
        <f ca="1">IFERROR(__xludf.DUMMYFUNCTION("GOOGLETRANSLATE(B568,""en"",""zh-CN"")"),"密码错误")</f>
        <v>密码错误</v>
      </c>
      <c r="E568" s="1" t="str">
        <f ca="1">IFERROR(__xludf.DUMMYFUNCTION("GOOGLETRANSLATE(B568,""en"",""ja"")"),"パスワードが間違っています")</f>
        <v>パスワードが間違っています</v>
      </c>
      <c r="F568" s="1" t="str">
        <f ca="1">IFERROR(__xludf.DUMMYFUNCTION("GOOGLETRANSLATE(B568,""en"",""fr"")"),"Mot de passe incorrect")</f>
        <v>Mot de passe incorrect</v>
      </c>
    </row>
    <row r="569" spans="1:6" ht="15.75" customHeight="1" x14ac:dyDescent="0.25">
      <c r="A569" s="1" t="s">
        <v>1063</v>
      </c>
      <c r="B569" s="1" t="s">
        <v>1064</v>
      </c>
      <c r="C569" s="1" t="str">
        <f ca="1">IFERROR(__xludf.DUMMYFUNCTION("GOOGLETRANSLATE(B569,""en"",""ar"")"),"مطلوب اتصال بالإنترنت")</f>
        <v>مطلوب اتصال بالإنترنت</v>
      </c>
      <c r="D569" s="1" t="str">
        <f ca="1">IFERROR(__xludf.DUMMYFUNCTION("GOOGLETRANSLATE(B569,""en"",""zh-CN"")"),"需要互联网连接")</f>
        <v>需要互联网连接</v>
      </c>
      <c r="E569" s="1" t="str">
        <f ca="1">IFERROR(__xludf.DUMMYFUNCTION("GOOGLETRANSLATE(B569,""en"",""ja"")"),"インターネット接続が必要です")</f>
        <v>インターネット接続が必要です</v>
      </c>
      <c r="F569" s="1" t="str">
        <f ca="1">IFERROR(__xludf.DUMMYFUNCTION("GOOGLETRANSLATE(B569,""en"",""fr"")"),"La connexion Internet est requise")</f>
        <v>La connexion Internet est requise</v>
      </c>
    </row>
    <row r="570" spans="1:6" ht="15.75" customHeight="1" x14ac:dyDescent="0.25">
      <c r="A570" s="1" t="s">
        <v>1065</v>
      </c>
      <c r="B570" s="1" t="s">
        <v>1066</v>
      </c>
      <c r="C570" s="1" t="str">
        <f ca="1">IFERROR(__xludf.DUMMYFUNCTION("GOOGLETRANSLATE(B570,""en"",""ar"")"),"ادخل رقمك السري")</f>
        <v>ادخل رقمك السري</v>
      </c>
      <c r="D570" s="1" t="str">
        <f ca="1">IFERROR(__xludf.DUMMYFUNCTION("GOOGLETRANSLATE(B570,""en"",""zh-CN"")"),"输入您的密码")</f>
        <v>输入您的密码</v>
      </c>
      <c r="E570" s="1" t="str">
        <f ca="1">IFERROR(__xludf.DUMMYFUNCTION("GOOGLETRANSLATE(B570,""en"",""ja"")"),"パスワードを入力してください")</f>
        <v>パスワードを入力してください</v>
      </c>
      <c r="F570" s="1" t="str">
        <f ca="1">IFERROR(__xludf.DUMMYFUNCTION("GOOGLETRANSLATE(B570,""en"",""fr"")"),"Tapez votre mot de passe")</f>
        <v>Tapez votre mot de passe</v>
      </c>
    </row>
    <row r="571" spans="1:6" ht="15.75" customHeight="1" x14ac:dyDescent="0.25">
      <c r="A571" s="1" t="s">
        <v>1067</v>
      </c>
      <c r="B571" s="1" t="s">
        <v>1068</v>
      </c>
      <c r="C571" s="1" t="str">
        <f ca="1">IFERROR(__xludf.DUMMYFUNCTION("GOOGLETRANSLATE(B571,""en"",""ar"")"),"كلمة المرور غير صحيحة")</f>
        <v>كلمة المرور غير صحيحة</v>
      </c>
      <c r="D571" s="1" t="str">
        <f ca="1">IFERROR(__xludf.DUMMYFUNCTION("GOOGLETRANSLATE(B571,""en"",""zh-CN"")"),"密码不正确")</f>
        <v>密码不正确</v>
      </c>
      <c r="E571" s="1" t="str">
        <f ca="1">IFERROR(__xludf.DUMMYFUNCTION("GOOGLETRANSLATE(B571,""en"",""ja"")"),"パスワードが正しくありません")</f>
        <v>パスワードが正しくありません</v>
      </c>
      <c r="F571" s="1" t="str">
        <f ca="1">IFERROR(__xludf.DUMMYFUNCTION("GOOGLETRANSLATE(B571,""en"",""fr"")"),"Le mot de passe est incorrect")</f>
        <v>Le mot de passe est incorrect</v>
      </c>
    </row>
    <row r="572" spans="1:6" ht="15.75" customHeight="1" x14ac:dyDescent="0.25">
      <c r="A572" s="1" t="s">
        <v>1069</v>
      </c>
      <c r="B572" s="1" t="s">
        <v>1070</v>
      </c>
      <c r="C572" s="1" t="str">
        <f ca="1">IFERROR(__xludf.DUMMYFUNCTION("GOOGLETRANSLATE(B572,""en"",""ar"")"),"مشكلة مع التنشيط")</f>
        <v>مشكلة مع التنشيط</v>
      </c>
      <c r="D572" s="1" t="str">
        <f ca="1">IFERROR(__xludf.DUMMYFUNCTION("GOOGLETRANSLATE(B572,""en"",""zh-CN"")"),"激活问题")</f>
        <v>激活问题</v>
      </c>
      <c r="E572" s="1" t="str">
        <f ca="1">IFERROR(__xludf.DUMMYFUNCTION("GOOGLETRANSLATE(B572,""en"",""ja"")"),"活動化の問題")</f>
        <v>活動化の問題</v>
      </c>
      <c r="F572" s="1" t="str">
        <f ca="1">IFERROR(__xludf.DUMMYFUNCTION("GOOGLETRANSLATE(B572,""en"",""fr"")"),"Problème d'activation")</f>
        <v>Problème d'activation</v>
      </c>
    </row>
    <row r="573" spans="1:6" ht="15.75" customHeight="1" x14ac:dyDescent="0.25">
      <c r="A573" s="1" t="s">
        <v>1071</v>
      </c>
      <c r="B573" s="1" t="s">
        <v>1072</v>
      </c>
      <c r="C573" s="1" t="str">
        <f ca="1">IFERROR(__xludf.DUMMYFUNCTION("GOOGLETRANSLATE(B573,""en"",""ar"")"),"لا اتصال بالإنترنت")</f>
        <v>لا اتصال بالإنترنت</v>
      </c>
      <c r="D573" s="1" t="str">
        <f ca="1">IFERROR(__xludf.DUMMYFUNCTION("GOOGLETRANSLATE(B573,""en"",""zh-CN"")"),"没有网络连接")</f>
        <v>没有网络连接</v>
      </c>
      <c r="E573" s="1" t="str">
        <f ca="1">IFERROR(__xludf.DUMMYFUNCTION("GOOGLETRANSLATE(B573,""en"",""ja"")"),"インターネット接続はありません")</f>
        <v>インターネット接続はありません</v>
      </c>
      <c r="F573" s="1" t="str">
        <f ca="1">IFERROR(__xludf.DUMMYFUNCTION("GOOGLETRANSLATE(B573,""en"",""fr"")"),"Pas de connexion Internet")</f>
        <v>Pas de connexion Internet</v>
      </c>
    </row>
    <row r="574" spans="1:6" ht="15.75" customHeight="1" x14ac:dyDescent="0.25">
      <c r="A574" s="1" t="s">
        <v>1073</v>
      </c>
      <c r="B574" s="1" t="s">
        <v>1074</v>
      </c>
      <c r="C574" s="1" t="str">
        <f ca="1">IFERROR(__xludf.DUMMYFUNCTION("GOOGLETRANSLATE(B574,""en"",""ar"")"),"يرجى الموافقة على شروط الاستخدام وسياسة الخصوصية")</f>
        <v>يرجى الموافقة على شروط الاستخدام وسياسة الخصوصية</v>
      </c>
      <c r="D574" s="1" t="str">
        <f ca="1">IFERROR(__xludf.DUMMYFUNCTION("GOOGLETRANSLATE(B574,""en"",""zh-CN"")"),"请同意使用条款和隐私政策")</f>
        <v>请同意使用条款和隐私政策</v>
      </c>
      <c r="E574" s="1" t="str">
        <f ca="1">IFERROR(__xludf.DUMMYFUNCTION("GOOGLETRANSLATE(B574,""en"",""ja"")"),"利用規約とプライバシーポリシーに同意してください")</f>
        <v>利用規約とプライバシーポリシーに同意してください</v>
      </c>
      <c r="F574" s="1" t="str">
        <f ca="1">IFERROR(__xludf.DUMMYFUNCTION("GOOGLETRANSLATE(B574,""en"",""fr"")"),"S'il vous plaît accepter les conditions d'utilisation et la politique de confidentialité")</f>
        <v>S'il vous plaît accepter les conditions d'utilisation et la politique de confidentialité</v>
      </c>
    </row>
    <row r="575" spans="1:6" ht="15.75" customHeight="1" x14ac:dyDescent="0.25">
      <c r="A575" s="1" t="s">
        <v>1075</v>
      </c>
      <c r="B575" s="1" t="s">
        <v>1076</v>
      </c>
      <c r="C575" s="1" t="str">
        <f ca="1">IFERROR(__xludf.DUMMYFUNCTION("GOOGLETRANSLATE(B575,""en"",""ar"")"),"هناك خطأ ما. حاول مجددا")</f>
        <v>هناك خطأ ما. حاول مجددا</v>
      </c>
      <c r="D575" s="1" t="str">
        <f ca="1">IFERROR(__xludf.DUMMYFUNCTION("GOOGLETRANSLATE(B575,""en"",""zh-CN"")"),"出问题了。再试一次")</f>
        <v>出问题了。再试一次</v>
      </c>
      <c r="E575" s="1" t="str">
        <f ca="1">IFERROR(__xludf.DUMMYFUNCTION("GOOGLETRANSLATE(B575,""en"",""ja"")"),"何かがうまくいかなかった。再試行")</f>
        <v>何かがうまくいかなかった。再試行</v>
      </c>
      <c r="F575" s="1" t="str">
        <f ca="1">IFERROR(__xludf.DUMMYFUNCTION("GOOGLETRANSLATE(B575,""en"",""fr"")"),"Quelque chose s'est mal passé. Essayer à nouveau")</f>
        <v>Quelque chose s'est mal passé. Essayer à nouveau</v>
      </c>
    </row>
    <row r="576" spans="1:6" ht="15.75" customHeight="1" x14ac:dyDescent="0.25">
      <c r="A576" s="1" t="s">
        <v>1077</v>
      </c>
      <c r="B576" s="1" t="s">
        <v>1078</v>
      </c>
      <c r="C576" s="1" t="str">
        <f ca="1">IFERROR(__xludf.DUMMYFUNCTION("GOOGLETRANSLATE(B576,""en"",""ar"")"),"عليك التسجيل مع بوابة الويب المكتب الخلفي قبل تحميل البيانات إلى السحابة")</f>
        <v>عليك التسجيل مع بوابة الويب المكتب الخلفي قبل تحميل البيانات إلى السحابة</v>
      </c>
      <c r="D576" s="1" t="str">
        <f ca="1">IFERROR(__xludf.DUMMYFUNCTION("GOOGLETRANSLATE(B576,""en"",""zh-CN"")"),"在将数据上传到云之前，您必须使用后台Web门户注册")</f>
        <v>在将数据上传到云之前，您必须使用后台Web门户注册</v>
      </c>
      <c r="E576" s="1" t="str">
        <f ca="1">IFERROR(__xludf.DUMMYFUNCTION("GOOGLETRANSLATE(B576,""en"",""ja"")"),"クラウドにデータをアップロードする前に、バックオフィスWeb Portalに登録する必要があります。")</f>
        <v>クラウドにデータをアップロードする前に、バックオフィスWeb Portalに登録する必要があります。</v>
      </c>
      <c r="F576" s="1" t="str">
        <f ca="1">IFERROR(__xludf.DUMMYFUNCTION("GOOGLETRANSLATE(B576,""en"",""fr"")"),"Vous devez vous inscrire au portail Web Back Office avant de télécharger des données sur le cloud.")</f>
        <v>Vous devez vous inscrire au portail Web Back Office avant de télécharger des données sur le cloud.</v>
      </c>
    </row>
    <row r="577" spans="1:6" ht="15.75" customHeight="1" x14ac:dyDescent="0.25">
      <c r="A577" s="1" t="s">
        <v>1079</v>
      </c>
      <c r="B577" s="1" t="s">
        <v>1080</v>
      </c>
      <c r="C577" s="1" t="str">
        <f ca="1">IFERROR(__xludf.DUMMYFUNCTION("GOOGLETRANSLATE(B577,""en"",""ar"")"),"حدد اسم المستخدم")</f>
        <v>حدد اسم المستخدم</v>
      </c>
      <c r="D577" s="1" t="str">
        <f ca="1">IFERROR(__xludf.DUMMYFUNCTION("GOOGLETRANSLATE(B577,""en"",""zh-CN"")"),"选择用户名")</f>
        <v>选择用户名</v>
      </c>
      <c r="E577" s="1" t="str">
        <f ca="1">IFERROR(__xludf.DUMMYFUNCTION("GOOGLETRANSLATE(B577,""en"",""ja"")"),"ユーザー名を選択してください")</f>
        <v>ユーザー名を選択してください</v>
      </c>
      <c r="F577" s="1" t="str">
        <f ca="1">IFERROR(__xludf.DUMMYFUNCTION("GOOGLETRANSLATE(B577,""en"",""fr"")"),"Sélectionnez Nom d'utilisateur")</f>
        <v>Sélectionnez Nom d'utilisateur</v>
      </c>
    </row>
    <row r="578" spans="1:6" ht="15.75" customHeight="1" x14ac:dyDescent="0.25">
      <c r="A578" s="1" t="s">
        <v>1081</v>
      </c>
      <c r="B578" s="1" t="s">
        <v>1082</v>
      </c>
      <c r="C578" s="1" t="str">
        <f ca="1">IFERROR(__xludf.DUMMYFUNCTION("GOOGLETRANSLATE(B578,""en"",""ar"")"),"يرجى الانتظار، المكتب الخلفي هو التحميل")</f>
        <v>يرجى الانتظار، المكتب الخلفي هو التحميل</v>
      </c>
      <c r="D578" s="1" t="str">
        <f ca="1">IFERROR(__xludf.DUMMYFUNCTION("GOOGLETRANSLATE(B578,""en"",""zh-CN"")"),"请稍候，后台正在加载")</f>
        <v>请稍候，后台正在加载</v>
      </c>
      <c r="E578" s="1" t="str">
        <f ca="1">IFERROR(__xludf.DUMMYFUNCTION("GOOGLETRANSLATE(B578,""en"",""ja"")"),"お待ちください、バックオフィスがロードされています")</f>
        <v>お待ちください、バックオフィスがロードされています</v>
      </c>
      <c r="F578" s="1" t="str">
        <f ca="1">IFERROR(__xludf.DUMMYFUNCTION("GOOGLETRANSLATE(B578,""en"",""fr"")"),"Veuillez patienter, le back office est chargé")</f>
        <v>Veuillez patienter, le back office est chargé</v>
      </c>
    </row>
    <row r="579" spans="1:6" ht="15.75" customHeight="1" x14ac:dyDescent="0.25">
      <c r="A579" s="1" t="s">
        <v>1083</v>
      </c>
      <c r="B579" s="1" t="s">
        <v>1084</v>
      </c>
      <c r="C579" s="1" t="str">
        <f ca="1">IFERROR(__xludf.DUMMYFUNCTION("GOOGLETRANSLATE(B579,""en"",""ar"")"),"وجه الفتاة! يبدو أن هناك مشكلة في واحدة من Ownings \ Nyour تاريخ الجهاز يجب أن يكون التاريخ الحالي \ Ncheck سرعة اتصال الإنترنت الخاص بك \ Nor \ Nlease المحاولة مرة أخرى في بضع دقائق")</f>
        <v>وجه الفتاة! يبدو أن هناك مشكلة في واحدة من Ownings \ Nyour تاريخ الجهاز يجب أن يكون التاريخ الحالي \ Ncheck سرعة اتصال الإنترنت الخاص بك \ Nor \ Nlease المحاولة مرة أخرى في بضع دقائق</v>
      </c>
      <c r="D579" s="1" t="str">
        <f ca="1">IFERROR(__xludf.DUMMYFUNCTION("GOOGLETRANSLATE(B579,""en"",""zh-CN"")"),"哎呀！看起来有一个问题是一个问题\ nyour设备日期应该是当前日期\ n check你的互联网连接速度\ nor \ nplease在几分钟内再试一次")</f>
        <v>哎呀！看起来有一个问题是一个问题\ nyour设备日期应该是当前日期\ n check你的互联网连接速度\ nor \ nplease在几分钟内再试一次</v>
      </c>
      <c r="E579" s="1" t="str">
        <f ca="1">IFERROR(__xludf.DUMMYFUNCTION("GOOGLETRANSLATE(B579,""en"",""ja"")"),"おっとっと！次のいずれかの方法に問題があります\ Nyourデバイス日付は現在の日付\ NCheckあなたのインターネット接続速度\ NOR \ NRPLEASEを数分で再試行する")</f>
        <v>おっとっと！次のいずれかの方法に問題があります\ Nyourデバイス日付は現在の日付\ NCheckあなたのインターネット接続速度\ NOR \ NRPLEASEを数分で再試行する</v>
      </c>
      <c r="F579" s="1" t="str">
        <f ca="1">IFERROR(__xludf.DUMMYFUNCTION("GOOGLETRANSLATE(B579,""en"",""fr"")"),"Oups! On dirait qu'il y a un problème avec l'une des suivantes \ NYour Dispary Date doit être la date actuelle \ NCHECK Votre vitesse de connexion Internet \ NOR \ NVease réessaye en quelques minutes")</f>
        <v>Oups! On dirait qu'il y a un problème avec l'une des suivantes \ NYour Dispary Date doit être la date actuelle \ NCHECK Votre vitesse de connexion Internet \ NOR \ NVease réessaye en quelques minutes</v>
      </c>
    </row>
    <row r="580" spans="1:6" ht="15.75" customHeight="1" x14ac:dyDescent="0.25">
      <c r="A580" s="1" t="s">
        <v>1085</v>
      </c>
      <c r="B580" s="1" t="s">
        <v>1086</v>
      </c>
      <c r="C580" s="1" t="str">
        <f ca="1">IFERROR(__xludf.DUMMYFUNCTION("GOOGLETRANSLATE(B580,""en"",""ar"")"),"جار التحميل")</f>
        <v>جار التحميل</v>
      </c>
      <c r="D580" s="1" t="str">
        <f ca="1">IFERROR(__xludf.DUMMYFUNCTION("GOOGLETRANSLATE(B580,""en"",""zh-CN"")"),"装载")</f>
        <v>装载</v>
      </c>
      <c r="E580" s="1" t="str">
        <f ca="1">IFERROR(__xludf.DUMMYFUNCTION("GOOGLETRANSLATE(B580,""en"",""ja"")"),"ロード")</f>
        <v>ロード</v>
      </c>
      <c r="F580" s="1" t="str">
        <f ca="1">IFERROR(__xludf.DUMMYFUNCTION("GOOGLETRANSLATE(B580,""en"",""fr"")"),"Chargement")</f>
        <v>Chargement</v>
      </c>
    </row>
    <row r="581" spans="1:6" ht="15.75" customHeight="1" x14ac:dyDescent="0.25">
      <c r="A581" s="1" t="s">
        <v>1087</v>
      </c>
      <c r="B581" s="1" t="s">
        <v>1088</v>
      </c>
      <c r="C581" s="1" t="str">
        <f ca="1">IFERROR(__xludf.DUMMYFUNCTION("GOOGLETRANSLATE(B581,""en"",""ar"")"),"وافق على ر و ج")</f>
        <v>وافق على ر و ج</v>
      </c>
      <c r="D581" s="1" t="str">
        <f ca="1">IFERROR(__xludf.DUMMYFUNCTION("GOOGLETRANSLATE(B581,""en"",""zh-CN"")"),"同意t和c")</f>
        <v>同意t和c</v>
      </c>
      <c r="E581" s="1" t="str">
        <f ca="1">IFERROR(__xludf.DUMMYFUNCTION("GOOGLETRANSLATE(B581,""en"",""ja"")"),"TとCに合意した")</f>
        <v>TとCに合意した</v>
      </c>
      <c r="F581" s="1" t="str">
        <f ca="1">IFERROR(__xludf.DUMMYFUNCTION("GOOGLETRANSLATE(B581,""en"",""fr"")"),"Accepté T et C")</f>
        <v>Accepté T et C</v>
      </c>
    </row>
    <row r="582" spans="1:6" ht="15.75" customHeight="1" x14ac:dyDescent="0.25">
      <c r="A582" s="1" t="s">
        <v>1089</v>
      </c>
      <c r="B582" s="1" t="s">
        <v>1090</v>
      </c>
      <c r="C582" s="1" t="str">
        <f ca="1">IFERROR(__xludf.DUMMYFUNCTION("GOOGLETRANSLATE(B582,""en"",""ar"")"),"تطوير")</f>
        <v>تطوير</v>
      </c>
      <c r="D582" s="1" t="str">
        <f ca="1">IFERROR(__xludf.DUMMYFUNCTION("GOOGLETRANSLATE(B582,""en"",""zh-CN"")"),"升级")</f>
        <v>升级</v>
      </c>
      <c r="E582" s="1" t="str">
        <f ca="1">IFERROR(__xludf.DUMMYFUNCTION("GOOGLETRANSLATE(B582,""en"",""ja"")"),"アップグレード")</f>
        <v>アップグレード</v>
      </c>
      <c r="F582" s="1" t="str">
        <f ca="1">IFERROR(__xludf.DUMMYFUNCTION("GOOGLETRANSLATE(B582,""en"",""fr"")"),"Améliorer")</f>
        <v>Améliorer</v>
      </c>
    </row>
    <row r="583" spans="1:6" ht="15.75" customHeight="1" x14ac:dyDescent="0.25">
      <c r="A583" s="1" t="s">
        <v>1091</v>
      </c>
      <c r="B583" s="1" t="s">
        <v>1092</v>
      </c>
      <c r="C583" s="1" t="str">
        <f ca="1">IFERROR(__xludf.DUMMYFUNCTION("GOOGLETRANSLATE(B583,""en"",""ar"")"),"SalesPlay + POS إصدار جديد متاح")</f>
        <v>SalesPlay + POS إصدار جديد متاح</v>
      </c>
      <c r="D583" s="1" t="str">
        <f ca="1">IFERROR(__xludf.DUMMYFUNCTION("GOOGLETRANSLATE(B583,""en"",""zh-CN"")"),"Salesplay + POS新版本可用")</f>
        <v>Salesplay + POS新版本可用</v>
      </c>
      <c r="E583" s="1" t="str">
        <f ca="1">IFERROR(__xludf.DUMMYFUNCTION("GOOGLETRANSLATE(B583,""en"",""ja"")"),"Salesplay + POS新しいバージョンが利用可能です")</f>
        <v>Salesplay + POS新しいバージョンが利用可能です</v>
      </c>
      <c r="F583" s="1" t="str">
        <f ca="1">IFERROR(__xludf.DUMMYFUNCTION("GOOGLETRANSLATE(B583,""en"",""fr"")"),"VendeurPlay + POS Une nouvelle version est disponible")</f>
        <v>VendeurPlay + POS Une nouvelle version est disponible</v>
      </c>
    </row>
    <row r="584" spans="1:6" ht="15.75" customHeight="1" x14ac:dyDescent="0.25">
      <c r="A584" s="1" t="s">
        <v>1093</v>
      </c>
      <c r="B584" s="1" t="s">
        <v>1094</v>
      </c>
      <c r="C584" s="1" t="str">
        <f ca="1">IFERROR(__xludf.DUMMYFUNCTION("GOOGLETRANSLATE(B584,""en"",""ar"")"),"قم بالترقية إلى أحدث إصدار من SalesPlay + POS لنظام Android لتجربة أفضل إصدار ممكن من SalesPlay + POS. سيكون لديك حق الوصول إلى ميزات جديدة وإصلاح الأخطاء لجعل استخدام SalesPlay + POS أفضل من أي وقت مضى!")</f>
        <v>قم بالترقية إلى أحدث إصدار من SalesPlay + POS لنظام Android لتجربة أفضل إصدار ممكن من SalesPlay + POS. سيكون لديك حق الوصول إلى ميزات جديدة وإصلاح الأخطاء لجعل استخدام SalesPlay + POS أفضل من أي وقت مضى!</v>
      </c>
      <c r="D584" s="1" t="str">
        <f ca="1">IFERROR(__xludf.DUMMYFUNCTION("GOOGLETRANSLATE(B584,""en"",""zh-CN"")"),"升级到最新版本的销售+ POS for Android以体验最佳版本的Salesplay + POS。您可以访问新功能和错误修复，以便使用Salesplay + POS更好！")</f>
        <v>升级到最新版本的销售+ POS for Android以体验最佳版本的Salesplay + POS。您可以访问新功能和错误修复，以便使用Salesplay + POS更好！</v>
      </c>
      <c r="E584" s="1" t="str">
        <f ca="1">IFERROR(__xludf.DUMMYFUNCTION("GOOGLETRANSLATE(B584,""en"",""ja"")"),"Android用の最新バージョンのSalesplay + POSにアップグレードして、Salesplay + POSの最良のバージョンを実行します。 Salesplay + POSをこれまで以上によく使用して、新しい機能やバグ修正にアクセスできるようになります。")</f>
        <v>Android用の最新バージョンのSalesplay + POSにアップグレードして、Salesplay + POSの最良のバージョンを実行します。 Salesplay + POSをこれまで以上によく使用して、新しい機能やバグ修正にアクセスできるようになります。</v>
      </c>
      <c r="F584" s="1" t="str">
        <f ca="1">IFERROR(__xludf.DUMMYFUNCTION("GOOGLETRANSLATE(B584,""en"",""fr"")"),"Mise à niveau de la dernière version de VendeurPlay + POS pour votre Android pour faire l'expérience de la meilleure version possible de VenderiePlay + POS. Vous aurez accès à de nouvelles fonctionnalités et de corrections de bugs pour faire de l'utilisat"&amp;"ion de VendeursPlay + POS mieux que jamais!")</f>
        <v>Mise à niveau de la dernière version de VendeurPlay + POS pour votre Android pour faire l'expérience de la meilleure version possible de VenderiePlay + POS. Vous aurez accès à de nouvelles fonctionnalités et de corrections de bugs pour faire de l'utilisation de VendeursPlay + POS mieux que jamais!</v>
      </c>
    </row>
    <row r="585" spans="1:6" ht="15.75" customHeight="1" x14ac:dyDescent="0.25">
      <c r="A585" s="1" t="s">
        <v>1095</v>
      </c>
      <c r="B585" s="1" t="s">
        <v>1096</v>
      </c>
      <c r="C585" s="1" t="str">
        <f ca="1">IFERROR(__xludf.DUMMYFUNCTION("GOOGLETRANSLATE(B585,""en"",""ar"")"),"يتم تحديث SalesPlay + POS مع أحدث إصدار")</f>
        <v>يتم تحديث SalesPlay + POS مع أحدث إصدار</v>
      </c>
      <c r="D585" s="1" t="str">
        <f ca="1">IFERROR(__xludf.DUMMYFUNCTION("GOOGLETRANSLATE(B585,""en"",""zh-CN"")"),"Salesplay + POS已更新使用最新版本")</f>
        <v>Salesplay + POS已更新使用最新版本</v>
      </c>
      <c r="E585" s="1" t="str">
        <f ca="1">IFERROR(__xludf.DUMMYFUNCTION("GOOGLETRANSLATE(B585,""en"",""ja"")"),"Salesplay + POSは最新バージョンで更新されています")</f>
        <v>Salesplay + POSは最新バージョンで更新されています</v>
      </c>
      <c r="F585" s="1" t="str">
        <f ca="1">IFERROR(__xludf.DUMMYFUNCTION("GOOGLETRANSLATE(B585,""en"",""fr"")"),"SCESSPLAY + POS est mis à jour avec la dernière version")</f>
        <v>SCESSPLAY + POS est mis à jour avec la dernière version</v>
      </c>
    </row>
    <row r="586" spans="1:6" ht="15.75" customHeight="1" x14ac:dyDescent="0.25">
      <c r="A586" s="1" t="s">
        <v>1097</v>
      </c>
      <c r="B586" s="1" t="s">
        <v>1098</v>
      </c>
      <c r="C586" s="1" t="str">
        <f ca="1">IFERROR(__xludf.DUMMYFUNCTION("GOOGLETRANSLATE(B586,""en"",""ar"")"),"هذه الميزة غير متوفرة للإصدار الأساسي. شراء الإصدار المتقدمة.")</f>
        <v>هذه الميزة غير متوفرة للإصدار الأساسي. شراء الإصدار المتقدمة.</v>
      </c>
      <c r="D586" s="1" t="str">
        <f ca="1">IFERROR(__xludf.DUMMYFUNCTION("GOOGLETRANSLATE(B586,""en"",""zh-CN"")"),"此功能不适用于基本版本。购买高级版本。")</f>
        <v>此功能不适用于基本版本。购买高级版本。</v>
      </c>
      <c r="E586" s="1" t="str">
        <f ca="1">IFERROR(__xludf.DUMMYFUNCTION("GOOGLETRANSLATE(B586,""en"",""ja"")"),"この機能は基本バージョンでは利用できません。高度なバージョンを購入してください。")</f>
        <v>この機能は基本バージョンでは利用できません。高度なバージョンを購入してください。</v>
      </c>
      <c r="F586" s="1" t="str">
        <f ca="1">IFERROR(__xludf.DUMMYFUNCTION("GOOGLETRANSLATE(B586,""en"",""fr"")"),"Cette fonctionnalité n'est pas disponible pour la version de base. Achetez la version avancée.")</f>
        <v>Cette fonctionnalité n'est pas disponible pour la version de base. Achetez la version avancée.</v>
      </c>
    </row>
    <row r="587" spans="1:6" ht="15.75" customHeight="1" x14ac:dyDescent="0.25">
      <c r="A587" s="1" t="s">
        <v>1099</v>
      </c>
      <c r="B587" s="1" t="s">
        <v>1100</v>
      </c>
      <c r="C587" s="1" t="str">
        <f ca="1">IFERROR(__xludf.DUMMYFUNCTION("GOOGLETRANSLATE(B587,""en"",""ar"")"),"مفتاح الترخيص")</f>
        <v>مفتاح الترخيص</v>
      </c>
      <c r="D587" s="1" t="str">
        <f ca="1">IFERROR(__xludf.DUMMYFUNCTION("GOOGLETRANSLATE(B587,""en"",""zh-CN"")"),"注册码")</f>
        <v>注册码</v>
      </c>
      <c r="E587" s="1" t="str">
        <f ca="1">IFERROR(__xludf.DUMMYFUNCTION("GOOGLETRANSLATE(B587,""en"",""ja"")"),"ライセンスキー")</f>
        <v>ライセンスキー</v>
      </c>
      <c r="F587" s="1" t="str">
        <f ca="1">IFERROR(__xludf.DUMMYFUNCTION("GOOGLETRANSLATE(B587,""en"",""fr"")"),"Clé de licence")</f>
        <v>Clé de licence</v>
      </c>
    </row>
    <row r="588" spans="1:6" ht="15.75" customHeight="1" x14ac:dyDescent="0.25">
      <c r="A588" s="1" t="s">
        <v>1101</v>
      </c>
      <c r="B588" s="1" t="s">
        <v>1102</v>
      </c>
      <c r="C588" s="1" t="str">
        <f ca="1">IFERROR(__xludf.DUMMYFUNCTION("GOOGLETRANSLATE(B588,""en"",""ar"")"),"منتج")</f>
        <v>منتج</v>
      </c>
      <c r="D588" s="1" t="str">
        <f ca="1">IFERROR(__xludf.DUMMYFUNCTION("GOOGLETRANSLATE(B588,""en"",""zh-CN"")"),"产品")</f>
        <v>产品</v>
      </c>
      <c r="E588" s="1" t="str">
        <f ca="1">IFERROR(__xludf.DUMMYFUNCTION("GOOGLETRANSLATE(B588,""en"",""ja"")"),"製品")</f>
        <v>製品</v>
      </c>
      <c r="F588" s="1" t="str">
        <f ca="1">IFERROR(__xludf.DUMMYFUNCTION("GOOGLETRANSLATE(B588,""en"",""fr"")"),"Produit")</f>
        <v>Produit</v>
      </c>
    </row>
    <row r="589" spans="1:6" ht="15.75" customHeight="1" x14ac:dyDescent="0.25">
      <c r="A589" s="1" t="s">
        <v>1103</v>
      </c>
      <c r="B589" s="1" t="s">
        <v>1104</v>
      </c>
      <c r="C589" s="1" t="str">
        <f ca="1">IFERROR(__xludf.DUMMYFUNCTION("GOOGLETRANSLATE(B589,""en"",""ar"")"),"الرجاء التحقق من اتصال الانترنت الخاص بك")</f>
        <v>الرجاء التحقق من اتصال الانترنت الخاص بك</v>
      </c>
      <c r="D589" s="1" t="str">
        <f ca="1">IFERROR(__xludf.DUMMYFUNCTION("GOOGLETRANSLATE(B589,""en"",""zh-CN"")"),"请检查您的互联网连接")</f>
        <v>请检查您的互联网连接</v>
      </c>
      <c r="E589" s="1" t="str">
        <f ca="1">IFERROR(__xludf.DUMMYFUNCTION("GOOGLETRANSLATE(B589,""en"",""ja"")"),"インターネット接続を確認してください")</f>
        <v>インターネット接続を確認してください</v>
      </c>
      <c r="F589" s="1" t="str">
        <f ca="1">IFERROR(__xludf.DUMMYFUNCTION("GOOGLETRANSLATE(B589,""en"",""fr"")"),"S'il vous plait, vérifiez votre connexion internet")</f>
        <v>S'il vous plait, vérifiez votre connexion internet</v>
      </c>
    </row>
    <row r="590" spans="1:6" ht="15.75" customHeight="1" x14ac:dyDescent="0.25">
      <c r="A590" s="1" t="s">
        <v>1105</v>
      </c>
      <c r="B590" s="1" t="s">
        <v>1106</v>
      </c>
      <c r="C590" s="1" t="str">
        <f ca="1">IFERROR(__xludf.DUMMYFUNCTION("GOOGLETRANSLATE(B590,""en"",""ar"")"),"SalesPlay + تطبيق POS هو تطبيق برامج متطور يسهل منك إدارة المخزون والفواتير والعديد من الأدوات التي تحتاجها لتشغيل العمل. إنه يأتي مع بوابة ويب شاملة تضم العديد من التقارير والمؤشرات ووظائف المكتب الخلفي.")</f>
        <v>SalesPlay + تطبيق POS هو تطبيق برامج متطور يسهل منك إدارة المخزون والفواتير والعديد من الأدوات التي تحتاجها لتشغيل العمل. إنه يأتي مع بوابة ويب شاملة تضم العديد من التقارير والمؤشرات ووظائف المكتب الخلفي.</v>
      </c>
      <c r="D590" s="1" t="str">
        <f ca="1">IFERROR(__xludf.DUMMYFUNCTION("GOOGLETRANSLATE(B590,""en"",""zh-CN"")"),"Salesplay + POS应用程序是一个复杂的软件应用程序，它有助于您管理您需要运行业务所需的库存，发票和许多工具。它配备了全面的Web门户网站，它具有许多报告，指示符和批次的后台功能。")</f>
        <v>Salesplay + POS应用程序是一个复杂的软件应用程序，它有助于您管理您需要运行业务所需的库存，发票和许多工具。它配备了全面的Web门户网站，它具有许多报告，指示符和批次的后台功能。</v>
      </c>
      <c r="E590" s="1" t="str">
        <f ca="1">IFERROR(__xludf.DUMMYFUNCTION("GOOGLETRANSLATE(B590,""en"",""ja"")"),"Salesplay + POSアプリケーションは、ビジネスを実行するために必要なインベントリ、請求書、および多くのツールを管理することを容易にする洗練されたソフトウェアアプリケーションです。多くのレポート、インジケータ、およびバックオフィス機能の多くを持つ包括的なWebポータルが付属しています。")</f>
        <v>Salesplay + POSアプリケーションは、ビジネスを実行するために必要なインベントリ、請求書、および多くのツールを管理することを容易にする洗練されたソフトウェアアプリケーションです。多くのレポート、インジケータ、およびバックオフィス機能の多くを持つ包括的なWebポータルが付属しています。</v>
      </c>
      <c r="F590" s="1" t="str">
        <f ca="1">IFERROR(__xludf.DUMMYFUNCTION("GOOGLETRANSLATE(B590,""en"",""fr"")"),"SCOMENTPLAY + POS L'application est une application logicielle sophistiquée qui vous facilite la gestion de l'inventaire, de la facturation et de nombreux outils dont vous avez besoin pour exécuter l'entreprise. Il est livré avec un portail Web complet qu"&amp;"i dispose de nombreux rapports, indicateurs et beaucoup de fonctions de back-office.")</f>
        <v>SCOMENTPLAY + POS L'application est une application logicielle sophistiquée qui vous facilite la gestion de l'inventaire, de la facturation et de nombreux outils dont vous avez besoin pour exécuter l'entreprise. Il est livré avec un portail Web complet qui dispose de nombreux rapports, indicateurs et beaucoup de fonctions de back-office.</v>
      </c>
    </row>
    <row r="591" spans="1:6" ht="15.75" customHeight="1" x14ac:dyDescent="0.25">
      <c r="A591" s="1" t="s">
        <v>1107</v>
      </c>
      <c r="B591" s="1" t="s">
        <v>1108</v>
      </c>
      <c r="C591" s="1" t="str">
        <f ca="1">IFERROR(__xludf.DUMMYFUNCTION("GOOGLETRANSLATE(B591,""en"",""ar"")"),"حذف الرمز")</f>
        <v>حذف الرمز</v>
      </c>
      <c r="D591" s="1" t="str">
        <f ca="1">IFERROR(__xludf.DUMMYFUNCTION("GOOGLETRANSLATE(B591,""en"",""zh-CN"")"),"删除图标")</f>
        <v>删除图标</v>
      </c>
      <c r="E591" s="1" t="str">
        <f ca="1">IFERROR(__xludf.DUMMYFUNCTION("GOOGLETRANSLATE(B591,""en"",""ja"")"),"アイコンを削除します")</f>
        <v>アイコンを削除します</v>
      </c>
      <c r="F591" s="1" t="str">
        <f ca="1">IFERROR(__xludf.DUMMYFUNCTION("GOOGLETRANSLATE(B591,""en"",""fr"")"),"Supprimer l'icône")</f>
        <v>Supprimer l'icône</v>
      </c>
    </row>
    <row r="592" spans="1:6" ht="15.75" customHeight="1" x14ac:dyDescent="0.25">
      <c r="A592" s="1" t="s">
        <v>1109</v>
      </c>
      <c r="B592" s="1" t="s">
        <v>1110</v>
      </c>
      <c r="C592" s="1" t="str">
        <f ca="1">IFERROR(__xludf.DUMMYFUNCTION("GOOGLETRANSLATE(B592,""en"",""ar"")"),"هل أنت متأكد أنك تريد حذف هذا الرمز؟")</f>
        <v>هل أنت متأكد أنك تريد حذف هذا الرمز؟</v>
      </c>
      <c r="D592" s="1" t="str">
        <f ca="1">IFERROR(__xludf.DUMMYFUNCTION("GOOGLETRANSLATE(B592,""en"",""zh-CN"")"),"您确定要删除此图标吗？")</f>
        <v>您确定要删除此图标吗？</v>
      </c>
      <c r="E592" s="1" t="str">
        <f ca="1">IFERROR(__xludf.DUMMYFUNCTION("GOOGLETRANSLATE(B592,""en"",""ja"")"),"このアイコンを削除してもよろしいですか？")</f>
        <v>このアイコンを削除してもよろしいですか？</v>
      </c>
      <c r="F592" s="1" t="str">
        <f ca="1">IFERROR(__xludf.DUMMYFUNCTION("GOOGLETRANSLATE(B592,""en"",""fr"")"),"Êtes-vous sûr de vouloir supprimer cette icône?")</f>
        <v>Êtes-vous sûr de vouloir supprimer cette icône?</v>
      </c>
    </row>
    <row r="593" spans="1:6" ht="15.75" customHeight="1" x14ac:dyDescent="0.25">
      <c r="A593" s="1" t="s">
        <v>1111</v>
      </c>
      <c r="B593" s="1" t="s">
        <v>1112</v>
      </c>
      <c r="C593" s="1" t="str">
        <f ca="1">IFERROR(__xludf.DUMMYFUNCTION("GOOGLETRANSLATE(B593,""en"",""ar"")"),"الفئة الفرعية الجديدة")</f>
        <v>الفئة الفرعية الجديدة</v>
      </c>
      <c r="D593" s="1" t="str">
        <f ca="1">IFERROR(__xludf.DUMMYFUNCTION("GOOGLETRANSLATE(B593,""en"",""zh-CN"")"),"新子类别")</f>
        <v>新子类别</v>
      </c>
      <c r="E593" s="1" t="str">
        <f ca="1">IFERROR(__xludf.DUMMYFUNCTION("GOOGLETRANSLATE(B593,""en"",""ja"")"),"新しいサブカテゴリー")</f>
        <v>新しいサブカテゴリー</v>
      </c>
      <c r="F593" s="1" t="str">
        <f ca="1">IFERROR(__xludf.DUMMYFUNCTION("GOOGLETRANSLATE(B593,""en"",""fr"")"),"Nouvelle sous-catégorie")</f>
        <v>Nouvelle sous-catégorie</v>
      </c>
    </row>
    <row r="594" spans="1:6" ht="15.75" customHeight="1" x14ac:dyDescent="0.25">
      <c r="A594" s="1" t="s">
        <v>1113</v>
      </c>
      <c r="B594" s="1" t="s">
        <v>1114</v>
      </c>
      <c r="C594" s="1" t="str">
        <f ca="1">IFERROR(__xludf.DUMMYFUNCTION("GOOGLETRANSLATE(B594,""en"",""ar"")"),"تصنيف فرعي")</f>
        <v>تصنيف فرعي</v>
      </c>
      <c r="D594" s="1" t="str">
        <f ca="1">IFERROR(__xludf.DUMMYFUNCTION("GOOGLETRANSLATE(B594,""en"",""zh-CN"")"),"子类别")</f>
        <v>子类别</v>
      </c>
      <c r="E594" s="1" t="str">
        <f ca="1">IFERROR(__xludf.DUMMYFUNCTION("GOOGLETRANSLATE(B594,""en"",""ja"")"),"サブカテゴリ")</f>
        <v>サブカテゴリ</v>
      </c>
      <c r="F594" s="1" t="str">
        <f ca="1">IFERROR(__xludf.DUMMYFUNCTION("GOOGLETRANSLATE(B594,""en"",""fr"")"),"Sous-catégorie")</f>
        <v>Sous-catégorie</v>
      </c>
    </row>
    <row r="595" spans="1:6" ht="15.75" customHeight="1" x14ac:dyDescent="0.25">
      <c r="A595" s="1" t="s">
        <v>1115</v>
      </c>
      <c r="B595" s="1" t="s">
        <v>1116</v>
      </c>
      <c r="C595" s="1" t="str">
        <f ca="1">IFERROR(__xludf.DUMMYFUNCTION("GOOGLETRANSLATE(B595,""en"",""ar"")"),"حذف الفئة الفرعية")</f>
        <v>حذف الفئة الفرعية</v>
      </c>
      <c r="D595" s="1" t="str">
        <f ca="1">IFERROR(__xludf.DUMMYFUNCTION("GOOGLETRANSLATE(B595,""en"",""zh-CN"")"),"删除子类别")</f>
        <v>删除子类别</v>
      </c>
      <c r="E595" s="1" t="str">
        <f ca="1">IFERROR(__xludf.DUMMYFUNCTION("GOOGLETRANSLATE(B595,""en"",""ja"")"),"サブカテゴリを削除します")</f>
        <v>サブカテゴリを削除します</v>
      </c>
      <c r="F595" s="1" t="str">
        <f ca="1">IFERROR(__xludf.DUMMYFUNCTION("GOOGLETRANSLATE(B595,""en"",""fr"")"),"Supprimer la sous-catégorie")</f>
        <v>Supprimer la sous-catégorie</v>
      </c>
    </row>
    <row r="596" spans="1:6" ht="15.75" customHeight="1" x14ac:dyDescent="0.25">
      <c r="A596" s="1" t="s">
        <v>1117</v>
      </c>
      <c r="B596" s="1" t="s">
        <v>1118</v>
      </c>
      <c r="C596" s="1" t="str">
        <f ca="1">IFERROR(__xludf.DUMMYFUNCTION("GOOGLETRANSLATE(B596,""en"",""ar"")"),"حذف الفئة الفرعية")</f>
        <v>حذف الفئة الفرعية</v>
      </c>
      <c r="D596" s="1" t="str">
        <f ca="1">IFERROR(__xludf.DUMMYFUNCTION("GOOGLETRANSLATE(B596,""en"",""zh-CN"")"),"删除子类别")</f>
        <v>删除子类别</v>
      </c>
      <c r="E596" s="1" t="str">
        <f ca="1">IFERROR(__xludf.DUMMYFUNCTION("GOOGLETRANSLATE(B596,""en"",""ja"")"),"サブカテゴリを削除します")</f>
        <v>サブカテゴリを削除します</v>
      </c>
      <c r="F596" s="1" t="str">
        <f ca="1">IFERROR(__xludf.DUMMYFUNCTION("GOOGLETRANSLATE(B596,""en"",""fr"")"),"Supprimer la sous-catégorie")</f>
        <v>Supprimer la sous-catégorie</v>
      </c>
    </row>
    <row r="597" spans="1:6" ht="15.75" customHeight="1" x14ac:dyDescent="0.25">
      <c r="A597" s="1" t="s">
        <v>1119</v>
      </c>
      <c r="B597" s="1" t="s">
        <v>1120</v>
      </c>
      <c r="C597" s="1" t="str">
        <f ca="1">IFERROR(__xludf.DUMMYFUNCTION("GOOGLETRANSLATE(B597,""en"",""ar"")"),"هل أنت متأكد أنك تريد حذف هذه الفئة الفرعية؟")</f>
        <v>هل أنت متأكد أنك تريد حذف هذه الفئة الفرعية؟</v>
      </c>
      <c r="D597" s="1" t="str">
        <f ca="1">IFERROR(__xludf.DUMMYFUNCTION("GOOGLETRANSLATE(B597,""en"",""zh-CN"")"),"您确定要删除此子类别吗？")</f>
        <v>您确定要删除此子类别吗？</v>
      </c>
      <c r="E597" s="1" t="str">
        <f ca="1">IFERROR(__xludf.DUMMYFUNCTION("GOOGLETRANSLATE(B597,""en"",""ja"")"),"このサブカテゴリを削除してよろしいですか？")</f>
        <v>このサブカテゴリを削除してよろしいですか？</v>
      </c>
      <c r="F597" s="1" t="str">
        <f ca="1">IFERROR(__xludf.DUMMYFUNCTION("GOOGLETRANSLATE(B597,""en"",""fr"")"),"Êtes-vous sûr de vouloir supprimer cette sous-catégorie?")</f>
        <v>Êtes-vous sûr de vouloir supprimer cette sous-catégorie?</v>
      </c>
    </row>
    <row r="598" spans="1:6" ht="15.75" customHeight="1" x14ac:dyDescent="0.25">
      <c r="A598" s="1" t="s">
        <v>1121</v>
      </c>
      <c r="B598" s="1" t="s">
        <v>1122</v>
      </c>
      <c r="C598" s="1" t="str">
        <f ca="1">IFERROR(__xludf.DUMMYFUNCTION("GOOGLETRANSLATE(B598,""en"",""ar"")"),"هل تريد بالتأكيد حذف الفئة الفرعية؟")</f>
        <v>هل تريد بالتأكيد حذف الفئة الفرعية؟</v>
      </c>
      <c r="D598" s="1" t="str">
        <f ca="1">IFERROR(__xludf.DUMMYFUNCTION("GOOGLETRANSLATE(B598,""en"",""zh-CN"")"),"你确定想要删除子类别吗？")</f>
        <v>你确定想要删除子类别吗？</v>
      </c>
      <c r="E598" s="1" t="str">
        <f ca="1">IFERROR(__xludf.DUMMYFUNCTION("GOOGLETRANSLATE(B598,""en"",""ja"")"),"サブカテゴリを削除しますか？")</f>
        <v>サブカテゴリを削除しますか？</v>
      </c>
      <c r="F598" s="1" t="str">
        <f ca="1">IFERROR(__xludf.DUMMYFUNCTION("GOOGLETRANSLATE(B598,""en"",""fr"")"),"Êtes-vous sûr que vous voulez supprimer la sous-catégorie?")</f>
        <v>Êtes-vous sûr que vous voulez supprimer la sous-catégorie?</v>
      </c>
    </row>
    <row r="599" spans="1:6" ht="15.75" customHeight="1" x14ac:dyDescent="0.25">
      <c r="A599" s="1" t="s">
        <v>1123</v>
      </c>
      <c r="B599" s="1" t="s">
        <v>1124</v>
      </c>
      <c r="C599" s="1" t="str">
        <f ca="1">IFERROR(__xludf.DUMMYFUNCTION("GOOGLETRANSLATE(B599,""en"",""ar"")"),"تم إنشاء الفئة الفرعية الجديدة بنجاح")</f>
        <v>تم إنشاء الفئة الفرعية الجديدة بنجاح</v>
      </c>
      <c r="D599" s="1" t="str">
        <f ca="1">IFERROR(__xludf.DUMMYFUNCTION("GOOGLETRANSLATE(B599,""en"",""zh-CN"")"),"已成功创建了新的子类别")</f>
        <v>已成功创建了新的子类别</v>
      </c>
      <c r="E599" s="1" t="str">
        <f ca="1">IFERROR(__xludf.DUMMYFUNCTION("GOOGLETRANSLATE(B599,""en"",""ja"")"),"新しいサブカテゴリが正常に作成されました")</f>
        <v>新しいサブカテゴリが正常に作成されました</v>
      </c>
      <c r="F599" s="1" t="str">
        <f ca="1">IFERROR(__xludf.DUMMYFUNCTION("GOOGLETRANSLATE(B599,""en"",""fr"")"),"La nouvelle sous-catégorie a été créée avec succès")</f>
        <v>La nouvelle sous-catégorie a été créée avec succès</v>
      </c>
    </row>
    <row r="600" spans="1:6" ht="15.75" customHeight="1" x14ac:dyDescent="0.25">
      <c r="A600" s="1" t="s">
        <v>1125</v>
      </c>
      <c r="B600" s="1" t="s">
        <v>1126</v>
      </c>
      <c r="C600" s="1" t="str">
        <f ca="1">IFERROR(__xludf.DUMMYFUNCTION("GOOGLETRANSLATE(B600,""en"",""ar"")"),"الفئة الفرعية مكررة")</f>
        <v>الفئة الفرعية مكررة</v>
      </c>
      <c r="D600" s="1" t="str">
        <f ca="1">IFERROR(__xludf.DUMMYFUNCTION("GOOGLETRANSLATE(B600,""en"",""zh-CN"")"),"重复的子类别")</f>
        <v>重复的子类别</v>
      </c>
      <c r="E600" s="1" t="str">
        <f ca="1">IFERROR(__xludf.DUMMYFUNCTION("GOOGLETRANSLATE(B600,""en"",""ja"")"),"サブカテゴリを複製します")</f>
        <v>サブカテゴリを複製します</v>
      </c>
      <c r="F600" s="1" t="str">
        <f ca="1">IFERROR(__xludf.DUMMYFUNCTION("GOOGLETRANSLATE(B600,""en"",""fr"")"),"Sous-catégorie en double")</f>
        <v>Sous-catégorie en double</v>
      </c>
    </row>
    <row r="601" spans="1:6" ht="15.75" customHeight="1" x14ac:dyDescent="0.25">
      <c r="A601" s="1" t="s">
        <v>1127</v>
      </c>
      <c r="B601" s="1" t="s">
        <v>763</v>
      </c>
      <c r="C601" s="1" t="str">
        <f ca="1">IFERROR(__xludf.DUMMYFUNCTION("GOOGLETRANSLATE(B601,""en"",""ar"")"),"سبب")</f>
        <v>سبب</v>
      </c>
      <c r="D601" s="1" t="str">
        <f ca="1">IFERROR(__xludf.DUMMYFUNCTION("GOOGLETRANSLATE(B601,""en"",""zh-CN"")"),"原因")</f>
        <v>原因</v>
      </c>
      <c r="E601" s="1" t="str">
        <f ca="1">IFERROR(__xludf.DUMMYFUNCTION("GOOGLETRANSLATE(B601,""en"",""ja"")"),"理由")</f>
        <v>理由</v>
      </c>
      <c r="F601" s="1" t="str">
        <f ca="1">IFERROR(__xludf.DUMMYFUNCTION("GOOGLETRANSLATE(B601,""en"",""fr"")"),"Raison")</f>
        <v>Raison</v>
      </c>
    </row>
    <row r="602" spans="1:6" ht="15.75" customHeight="1" x14ac:dyDescent="0.25">
      <c r="A602" s="1" t="s">
        <v>1128</v>
      </c>
      <c r="B602" s="1" t="s">
        <v>1129</v>
      </c>
      <c r="C602" s="1" t="str">
        <f ca="1">IFERROR(__xludf.DUMMYFUNCTION("GOOGLETRANSLATE(B602,""en"",""ar"")"),"ملحوظة")</f>
        <v>ملحوظة</v>
      </c>
      <c r="D602" s="1" t="str">
        <f ca="1">IFERROR(__xludf.DUMMYFUNCTION("GOOGLETRANSLATE(B602,""en"",""zh-CN"")"),"笔记")</f>
        <v>笔记</v>
      </c>
      <c r="E602" s="1" t="str">
        <f ca="1">IFERROR(__xludf.DUMMYFUNCTION("GOOGLETRANSLATE(B602,""en"",""ja"")"),"ノート")</f>
        <v>ノート</v>
      </c>
      <c r="F602" s="1" t="str">
        <f ca="1">IFERROR(__xludf.DUMMYFUNCTION("GOOGLETRANSLATE(B602,""en"",""fr"")"),"Noter")</f>
        <v>Noter</v>
      </c>
    </row>
    <row r="603" spans="1:6" ht="15.75" customHeight="1" x14ac:dyDescent="0.25">
      <c r="A603" s="1" t="s">
        <v>1130</v>
      </c>
      <c r="B603" s="1" t="s">
        <v>1131</v>
      </c>
      <c r="C603" s="1" t="str">
        <f ca="1">IFERROR(__xludf.DUMMYFUNCTION("GOOGLETRANSLATE(B603,""en"",""ar"")"),"يرجى الانتظار أنت تعيد توجيه بوابة الدفع")</f>
        <v>يرجى الانتظار أنت تعيد توجيه بوابة الدفع</v>
      </c>
      <c r="D603" s="1" t="str">
        <f ca="1">IFERROR(__xludf.DUMMYFUNCTION("GOOGLETRANSLATE(B603,""en"",""zh-CN"")"),"请稍候您重定向到付款网关")</f>
        <v>请稍候您重定向到付款网关</v>
      </c>
      <c r="E603" s="1" t="str">
        <f ca="1">IFERROR(__xludf.DUMMYFUNCTION("GOOGLETRANSLATE(B603,""en"",""ja"")"),"あなたが支払いゲートウェイにリダイレクトされているのを待ってください")</f>
        <v>あなたが支払いゲートウェイにリダイレクトされているのを待ってください</v>
      </c>
      <c r="F603" s="1" t="str">
        <f ca="1">IFERROR(__xludf.DUMMYFUNCTION("GOOGLETRANSLATE(B603,""en"",""fr"")"),"S'il vous plaît attendez que vous redirigeez à la passerelle de paiement")</f>
        <v>S'il vous plaît attendez que vous redirigeez à la passerelle de paiement</v>
      </c>
    </row>
    <row r="604" spans="1:6" ht="15.75" customHeight="1" x14ac:dyDescent="0.25">
      <c r="A604" s="1" t="s">
        <v>1132</v>
      </c>
      <c r="B604" s="1" t="s">
        <v>480</v>
      </c>
      <c r="C604" s="1" t="str">
        <f ca="1">IFERROR(__xludf.DUMMYFUNCTION("GOOGLETRANSLATE(B604,""en"",""ar"")"),"خطأ في الإتصال")</f>
        <v>خطأ في الإتصال</v>
      </c>
      <c r="D604" s="1" t="str">
        <f ca="1">IFERROR(__xludf.DUMMYFUNCTION("GOOGLETRANSLATE(B604,""en"",""zh-CN"")"),"连接错误")</f>
        <v>连接错误</v>
      </c>
      <c r="E604" s="1" t="str">
        <f ca="1">IFERROR(__xludf.DUMMYFUNCTION("GOOGLETRANSLATE(B604,""en"",""ja"")"),"接続エラー")</f>
        <v>接続エラー</v>
      </c>
      <c r="F604" s="1" t="str">
        <f ca="1">IFERROR(__xludf.DUMMYFUNCTION("GOOGLETRANSLATE(B604,""en"",""fr"")"),"Erreur de connexion")</f>
        <v>Erreur de connexion</v>
      </c>
    </row>
    <row r="605" spans="1:6" ht="15.75" customHeight="1" x14ac:dyDescent="0.25">
      <c r="A605" s="1" t="s">
        <v>1133</v>
      </c>
      <c r="B605" s="1" t="s">
        <v>1134</v>
      </c>
      <c r="C605" s="1" t="str">
        <f ca="1">IFERROR(__xludf.DUMMYFUNCTION("GOOGLETRANSLATE(B605,""en"",""ar"")"),"مشكلة مع الطابعة، تحقق من اتصال بلوتوث")</f>
        <v>مشكلة مع الطابعة، تحقق من اتصال بلوتوث</v>
      </c>
      <c r="D605" s="1" t="str">
        <f ca="1">IFERROR(__xludf.DUMMYFUNCTION("GOOGLETRANSLATE(B605,""en"",""zh-CN"")"),"打印机问题，检查蓝牙连接")</f>
        <v>打印机问题，检查蓝牙连接</v>
      </c>
      <c r="E605" s="1" t="str">
        <f ca="1">IFERROR(__xludf.DUMMYFUNCTION("GOOGLETRANSLATE(B605,""en"",""ja"")"),"問題のあるプリンタに問題、Bluetooth接続を確認してください")</f>
        <v>問題のあるプリンタに問題、Bluetooth接続を確認してください</v>
      </c>
      <c r="F605" s="1" t="str">
        <f ca="1">IFERROR(__xludf.DUMMYFUNCTION("GOOGLETRANSLATE(B605,""en"",""fr"")"),"Problème avec l'imprimante, vérifiez la connexion Bluetooth")</f>
        <v>Problème avec l'imprimante, vérifiez la connexion Bluetooth</v>
      </c>
    </row>
    <row r="606" spans="1:6" ht="15.75" customHeight="1" x14ac:dyDescent="0.25">
      <c r="A606" s="1" t="s">
        <v>1135</v>
      </c>
      <c r="B606" s="1" t="s">
        <v>1136</v>
      </c>
      <c r="C606" s="1" t="str">
        <f ca="1">IFERROR(__xludf.DUMMYFUNCTION("GOOGLETRANSLATE(B606,""en"",""ar"")"),"مشكلة مع الطابعة، تحقق من اتصال الشبكة")</f>
        <v>مشكلة مع الطابعة، تحقق من اتصال الشبكة</v>
      </c>
      <c r="D606" s="1" t="str">
        <f ca="1">IFERROR(__xludf.DUMMYFUNCTION("GOOGLETRANSLATE(B606,""en"",""zh-CN"")"),"打印机问题，检查网络连接")</f>
        <v>打印机问题，检查网络连接</v>
      </c>
      <c r="E606" s="1" t="str">
        <f ca="1">IFERROR(__xludf.DUMMYFUNCTION("GOOGLETRANSLATE(B606,""en"",""ja"")"),"問題のあるプリンタの問題、ネットワーク接続を確認します")</f>
        <v>問題のあるプリンタの問題、ネットワーク接続を確認します</v>
      </c>
      <c r="F606" s="1" t="str">
        <f ca="1">IFERROR(__xludf.DUMMYFUNCTION("GOOGLETRANSLATE(B606,""en"",""fr"")"),"Problème avec l'imprimante, vérifiez la connexion réseau")</f>
        <v>Problème avec l'imprimante, vérifiez la connexion réseau</v>
      </c>
    </row>
    <row r="607" spans="1:6" ht="15.75" customHeight="1" x14ac:dyDescent="0.25">
      <c r="A607" s="1" t="s">
        <v>1137</v>
      </c>
      <c r="B607" s="1" t="s">
        <v>1138</v>
      </c>
      <c r="C607" s="1" t="str">
        <f ca="1">IFERROR(__xludf.DUMMYFUNCTION("GOOGLETRANSLATE(B607,""en"",""ar"")"),"مشكلة مع الطابعة، تحقق من اتصال USB")</f>
        <v>مشكلة مع الطابعة، تحقق من اتصال USB</v>
      </c>
      <c r="D607" s="1" t="str">
        <f ca="1">IFERROR(__xludf.DUMMYFUNCTION("GOOGLETRANSLATE(B607,""en"",""zh-CN"")"),"打印机的问题，检查USB连接")</f>
        <v>打印机的问题，检查USB连接</v>
      </c>
      <c r="E607" s="1" t="str">
        <f ca="1">IFERROR(__xludf.DUMMYFUNCTION("GOOGLETRANSLATE(B607,""en"",""ja"")"),"問題のあるプリンタに問題、USB接続を確認してください")</f>
        <v>問題のあるプリンタに問題、USB接続を確認してください</v>
      </c>
      <c r="F607" s="1" t="str">
        <f ca="1">IFERROR(__xludf.DUMMYFUNCTION("GOOGLETRANSLATE(B607,""en"",""fr"")"),"Problème avec l'imprimante, cochez la connexion USB")</f>
        <v>Problème avec l'imprimante, cochez la connexion USB</v>
      </c>
    </row>
    <row r="608" spans="1:6" ht="15.75" customHeight="1" x14ac:dyDescent="0.25">
      <c r="A608" s="1" t="s">
        <v>1139</v>
      </c>
      <c r="B608" s="1" t="s">
        <v>1140</v>
      </c>
      <c r="C608" s="1" t="str">
        <f ca="1">IFERROR(__xludf.DUMMYFUNCTION("GOOGLETRANSLATE(B608,""en"",""ar"")"),"رسالة قصيرة")</f>
        <v>رسالة قصيرة</v>
      </c>
      <c r="D608" s="1" t="str">
        <f ca="1">IFERROR(__xludf.DUMMYFUNCTION("GOOGLETRANSLATE(B608,""en"",""zh-CN"")"),"短信")</f>
        <v>短信</v>
      </c>
      <c r="E608" s="1" t="str">
        <f ca="1">IFERROR(__xludf.DUMMYFUNCTION("GOOGLETRANSLATE(B608,""en"",""ja"")"),"SMS")</f>
        <v>SMS</v>
      </c>
      <c r="F608" s="1" t="str">
        <f ca="1">IFERROR(__xludf.DUMMYFUNCTION("GOOGLETRANSLATE(B608,""en"",""fr"")"),"SMS")</f>
        <v>SMS</v>
      </c>
    </row>
    <row r="609" spans="1:6" ht="15.75" customHeight="1" x14ac:dyDescent="0.25">
      <c r="A609" s="1" t="s">
        <v>1141</v>
      </c>
      <c r="B609" s="1" t="s">
        <v>1142</v>
      </c>
      <c r="C609" s="1" t="str">
        <f ca="1">IFERROR(__xludf.DUMMYFUNCTION("GOOGLETRANSLATE(B609,""en"",""ar"")"),"إرسال استلام عبر")</f>
        <v>إرسال استلام عبر</v>
      </c>
      <c r="D609" s="1" t="str">
        <f ca="1">IFERROR(__xludf.DUMMYFUNCTION("GOOGLETRANSLATE(B609,""en"",""zh-CN"")"),"发送收据")</f>
        <v>发送收据</v>
      </c>
      <c r="E609" s="1" t="str">
        <f ca="1">IFERROR(__xludf.DUMMYFUNCTION("GOOGLETRANSLATE(B609,""en"",""ja"")"),"領収書を送る")</f>
        <v>領収書を送る</v>
      </c>
      <c r="F609" s="1" t="str">
        <f ca="1">IFERROR(__xludf.DUMMYFUNCTION("GOOGLETRANSLATE(B609,""en"",""fr"")"),"Envoyer la réception via")</f>
        <v>Envoyer la réception via</v>
      </c>
    </row>
    <row r="610" spans="1:6" ht="15.75" customHeight="1" x14ac:dyDescent="0.25">
      <c r="A610" s="1" t="s">
        <v>1143</v>
      </c>
      <c r="B610" s="1" t="s">
        <v>1144</v>
      </c>
      <c r="C610" s="1" t="str">
        <f ca="1">IFERROR(__xludf.DUMMYFUNCTION("GOOGLETRANSLATE(B610,""en"",""ar"")"),"إرسال استلام عبر البريد الإلكتروني (اختياري)")</f>
        <v>إرسال استلام عبر البريد الإلكتروني (اختياري)</v>
      </c>
      <c r="D610" s="1" t="str">
        <f ca="1">IFERROR(__xludf.DUMMYFUNCTION("GOOGLETRANSLATE(B610,""en"",""zh-CN"")"),"通过电子邮件发送收据（可选）")</f>
        <v>通过电子邮件发送收据（可选）</v>
      </c>
      <c r="E610" s="1" t="str">
        <f ca="1">IFERROR(__xludf.DUMMYFUNCTION("GOOGLETRANSLATE(B610,""en"",""ja"")"),"電子メールで領収書を送信する（オプション）")</f>
        <v>電子メールで領収書を送信する（オプション）</v>
      </c>
      <c r="F610" s="1" t="str">
        <f ca="1">IFERROR(__xludf.DUMMYFUNCTION("GOOGLETRANSLATE(B610,""en"",""fr"")"),"Envoyer la réception par courrier électronique (facultatif)")</f>
        <v>Envoyer la réception par courrier électronique (facultatif)</v>
      </c>
    </row>
    <row r="611" spans="1:6" ht="15.75" customHeight="1" x14ac:dyDescent="0.25">
      <c r="A611" s="1" t="s">
        <v>1145</v>
      </c>
      <c r="B611" s="1" t="s">
        <v>406</v>
      </c>
      <c r="C611" s="1" t="str">
        <f ca="1">IFERROR(__xludf.DUMMYFUNCTION("GOOGLETRANSLATE(B611,""en"",""ar"")"),"اسم")</f>
        <v>اسم</v>
      </c>
      <c r="D611" s="1" t="str">
        <f ca="1">IFERROR(__xludf.DUMMYFUNCTION("GOOGLETRANSLATE(B611,""en"",""zh-CN"")"),"名称")</f>
        <v>名称</v>
      </c>
      <c r="E611" s="1" t="str">
        <f ca="1">IFERROR(__xludf.DUMMYFUNCTION("GOOGLETRANSLATE(B611,""en"",""ja"")"),"名前")</f>
        <v>名前</v>
      </c>
      <c r="F611" s="1" t="str">
        <f ca="1">IFERROR(__xludf.DUMMYFUNCTION("GOOGLETRANSLATE(B611,""en"",""fr"")"),"Nom")</f>
        <v>Nom</v>
      </c>
    </row>
    <row r="612" spans="1:6" ht="15.75" customHeight="1" x14ac:dyDescent="0.25">
      <c r="A612" s="1" t="s">
        <v>1146</v>
      </c>
      <c r="B612" s="1" t="s">
        <v>1147</v>
      </c>
      <c r="C612" s="1" t="str">
        <f ca="1">IFERROR(__xludf.DUMMYFUNCTION("GOOGLETRANSLATE(B612,""en"",""ar"")"),"حالة")</f>
        <v>حالة</v>
      </c>
      <c r="D612" s="1" t="str">
        <f ca="1">IFERROR(__xludf.DUMMYFUNCTION("GOOGLETRANSLATE(B612,""en"",""zh-CN"")"),"地位")</f>
        <v>地位</v>
      </c>
      <c r="E612" s="1" t="str">
        <f ca="1">IFERROR(__xludf.DUMMYFUNCTION("GOOGLETRANSLATE(B612,""en"",""ja"")"),"状態")</f>
        <v>状態</v>
      </c>
      <c r="F612" s="1" t="str">
        <f ca="1">IFERROR(__xludf.DUMMYFUNCTION("GOOGLETRANSLATE(B612,""en"",""fr"")"),"Statut")</f>
        <v>Statut</v>
      </c>
    </row>
    <row r="613" spans="1:6" ht="15.75" customHeight="1" x14ac:dyDescent="0.25">
      <c r="A613" s="1" t="s">
        <v>1148</v>
      </c>
      <c r="B613" s="1" t="s">
        <v>1149</v>
      </c>
      <c r="C613" s="1" t="str">
        <f ca="1">IFERROR(__xludf.DUMMYFUNCTION("GOOGLETRANSLATE(B613,""en"",""ar"")"),"اسم أمين الصندوق")</f>
        <v>اسم أمين الصندوق</v>
      </c>
      <c r="D613" s="1" t="str">
        <f ca="1">IFERROR(__xludf.DUMMYFUNCTION("GOOGLETRANSLATE(B613,""en"",""zh-CN"")"),"收银员名称")</f>
        <v>收银员名称</v>
      </c>
      <c r="E613" s="1" t="str">
        <f ca="1">IFERROR(__xludf.DUMMYFUNCTION("GOOGLETRANSLATE(B613,""en"",""ja"")"),"レジ係の名前")</f>
        <v>レジ係の名前</v>
      </c>
      <c r="F613" s="1" t="str">
        <f ca="1">IFERROR(__xludf.DUMMYFUNCTION("GOOGLETRANSLATE(B613,""en"",""fr"")"),"Nom de caissier")</f>
        <v>Nom de caissier</v>
      </c>
    </row>
    <row r="614" spans="1:6" ht="15.75" customHeight="1" x14ac:dyDescent="0.25">
      <c r="A614" s="1" t="s">
        <v>1150</v>
      </c>
      <c r="B614" s="1" t="s">
        <v>406</v>
      </c>
      <c r="C614" s="1" t="str">
        <f ca="1">IFERROR(__xludf.DUMMYFUNCTION("GOOGLETRANSLATE(B614,""en"",""ar"")"),"اسم")</f>
        <v>اسم</v>
      </c>
      <c r="D614" s="1" t="str">
        <f ca="1">IFERROR(__xludf.DUMMYFUNCTION("GOOGLETRANSLATE(B614,""en"",""zh-CN"")"),"名称")</f>
        <v>名称</v>
      </c>
      <c r="E614" s="1" t="str">
        <f ca="1">IFERROR(__xludf.DUMMYFUNCTION("GOOGLETRANSLATE(B614,""en"",""ja"")"),"名前")</f>
        <v>名前</v>
      </c>
      <c r="F614" s="1" t="str">
        <f ca="1">IFERROR(__xludf.DUMMYFUNCTION("GOOGLETRANSLATE(B614,""en"",""fr"")"),"Nom")</f>
        <v>Nom</v>
      </c>
    </row>
    <row r="615" spans="1:6" ht="15.75" customHeight="1" x14ac:dyDescent="0.25">
      <c r="A615" s="1" t="s">
        <v>1151</v>
      </c>
      <c r="B615" s="1" t="s">
        <v>1152</v>
      </c>
      <c r="C615" s="1" t="str">
        <f ca="1">IFERROR(__xludf.DUMMYFUNCTION("GOOGLETRANSLATE(B615,""en"",""ar"")"),"اسم المستخدم")</f>
        <v>اسم المستخدم</v>
      </c>
      <c r="D615" s="1" t="str">
        <f ca="1">IFERROR(__xludf.DUMMYFUNCTION("GOOGLETRANSLATE(B615,""en"",""zh-CN"")"),"用户名")</f>
        <v>用户名</v>
      </c>
      <c r="E615" s="1" t="str">
        <f ca="1">IFERROR(__xludf.DUMMYFUNCTION("GOOGLETRANSLATE(B615,""en"",""ja"")"),"username.")</f>
        <v>username.</v>
      </c>
      <c r="F615" s="1" t="str">
        <f ca="1">IFERROR(__xludf.DUMMYFUNCTION("GOOGLETRANSLATE(B615,""en"",""fr"")"),"Nom d'utilisateur")</f>
        <v>Nom d'utilisateur</v>
      </c>
    </row>
    <row r="616" spans="1:6" ht="15.75" customHeight="1" x14ac:dyDescent="0.25">
      <c r="A616" s="1" t="s">
        <v>1153</v>
      </c>
      <c r="B616" s="1" t="s">
        <v>643</v>
      </c>
      <c r="C616" s="1" t="str">
        <f ca="1">IFERROR(__xludf.DUMMYFUNCTION("GOOGLETRANSLATE(B616,""en"",""ar"")"),"تغيير كلمة المرور")</f>
        <v>تغيير كلمة المرور</v>
      </c>
      <c r="D616" s="1" t="str">
        <f ca="1">IFERROR(__xludf.DUMMYFUNCTION("GOOGLETRANSLATE(B616,""en"",""zh-CN"")"),"更改密码")</f>
        <v>更改密码</v>
      </c>
      <c r="E616" s="1" t="str">
        <f ca="1">IFERROR(__xludf.DUMMYFUNCTION("GOOGLETRANSLATE(B616,""en"",""ja"")"),"パスワードを変更する")</f>
        <v>パスワードを変更する</v>
      </c>
      <c r="F616" s="1" t="str">
        <f ca="1">IFERROR(__xludf.DUMMYFUNCTION("GOOGLETRANSLATE(B616,""en"",""fr"")"),"Changer le mot de passe")</f>
        <v>Changer le mot de passe</v>
      </c>
    </row>
    <row r="617" spans="1:6" ht="15.75" customHeight="1" x14ac:dyDescent="0.25">
      <c r="A617" s="1" t="s">
        <v>1154</v>
      </c>
      <c r="B617" s="1" t="s">
        <v>1155</v>
      </c>
      <c r="C617" s="1" t="str">
        <f ca="1">IFERROR(__xludf.DUMMYFUNCTION("GOOGLETRANSLATE(B617,""en"",""ar"")"),"دور المستخدم")</f>
        <v>دور المستخدم</v>
      </c>
      <c r="D617" s="1" t="str">
        <f ca="1">IFERROR(__xludf.DUMMYFUNCTION("GOOGLETRANSLATE(B617,""en"",""zh-CN"")"),"用户角色")</f>
        <v>用户角色</v>
      </c>
      <c r="E617" s="1" t="str">
        <f ca="1">IFERROR(__xludf.DUMMYFUNCTION("GOOGLETRANSLATE(B617,""en"",""ja"")"),"ユーザーロール")</f>
        <v>ユーザーロール</v>
      </c>
      <c r="F617" s="1" t="str">
        <f ca="1">IFERROR(__xludf.DUMMYFUNCTION("GOOGLETRANSLATE(B617,""en"",""fr"")"),"Rôle d'utilisateur")</f>
        <v>Rôle d'utilisateur</v>
      </c>
    </row>
    <row r="618" spans="1:6" ht="15.75" customHeight="1" x14ac:dyDescent="0.25">
      <c r="A618" s="1" t="s">
        <v>1156</v>
      </c>
      <c r="B618" s="1" t="s">
        <v>1157</v>
      </c>
      <c r="C618" s="1" t="str">
        <f ca="1">IFERROR(__xludf.DUMMYFUNCTION("GOOGLETRANSLATE(B618,""en"",""ar"")"),"توفير كلمة المرور")</f>
        <v>توفير كلمة المرور</v>
      </c>
      <c r="D618" s="1" t="str">
        <f ca="1">IFERROR(__xludf.DUMMYFUNCTION("GOOGLETRANSLATE(B618,""en"",""zh-CN"")"),"提供密码")</f>
        <v>提供密码</v>
      </c>
      <c r="E618" s="1" t="str">
        <f ca="1">IFERROR(__xludf.DUMMYFUNCTION("GOOGLETRANSLATE(B618,""en"",""ja"")"),"パスワードを入力してください")</f>
        <v>パスワードを入力してください</v>
      </c>
      <c r="F618" s="1" t="str">
        <f ca="1">IFERROR(__xludf.DUMMYFUNCTION("GOOGLETRANSLATE(B618,""en"",""fr"")"),"Fournir un mot de passe")</f>
        <v>Fournir un mot de passe</v>
      </c>
    </row>
    <row r="619" spans="1:6" ht="15.75" customHeight="1" x14ac:dyDescent="0.25">
      <c r="A619" s="1" t="s">
        <v>1158</v>
      </c>
      <c r="B619" s="1" t="s">
        <v>178</v>
      </c>
      <c r="C619" s="1" t="str">
        <f ca="1">IFERROR(__xludf.DUMMYFUNCTION("GOOGLETRANSLATE(B619,""en"",""ar"")"),"تاريخ")</f>
        <v>تاريخ</v>
      </c>
      <c r="D619" s="1" t="str">
        <f ca="1">IFERROR(__xludf.DUMMYFUNCTION("GOOGLETRANSLATE(B619,""en"",""zh-CN"")"),"日期")</f>
        <v>日期</v>
      </c>
      <c r="E619" s="1" t="str">
        <f ca="1">IFERROR(__xludf.DUMMYFUNCTION("GOOGLETRANSLATE(B619,""en"",""ja"")"),"日にち")</f>
        <v>日にち</v>
      </c>
      <c r="F619" s="1" t="str">
        <f ca="1">IFERROR(__xludf.DUMMYFUNCTION("GOOGLETRANSLATE(B619,""en"",""fr"")"),"Date")</f>
        <v>Date</v>
      </c>
    </row>
    <row r="620" spans="1:6" ht="15.75" customHeight="1" x14ac:dyDescent="0.25">
      <c r="A620" s="1" t="s">
        <v>1159</v>
      </c>
      <c r="B620" s="1" t="s">
        <v>1160</v>
      </c>
      <c r="C620" s="1" t="str">
        <f ca="1">IFERROR(__xludf.DUMMYFUNCTION("GOOGLETRANSLATE(B620,""en"",""ar"")"),"اطبع الايصال")</f>
        <v>اطبع الايصال</v>
      </c>
      <c r="D620" s="1" t="str">
        <f ca="1">IFERROR(__xludf.DUMMYFUNCTION("GOOGLETRANSLATE(B620,""en"",""zh-CN"")"),"打印收据")</f>
        <v>打印收据</v>
      </c>
      <c r="E620" s="1" t="str">
        <f ca="1">IFERROR(__xludf.DUMMYFUNCTION("GOOGLETRANSLATE(B620,""en"",""ja"")"),"領収書を印刷する")</f>
        <v>領収書を印刷する</v>
      </c>
      <c r="F620" s="1" t="str">
        <f ca="1">IFERROR(__xludf.DUMMYFUNCTION("GOOGLETRANSLATE(B620,""en"",""fr"")"),"Réception d'impression")</f>
        <v>Réception d'impression</v>
      </c>
    </row>
    <row r="621" spans="1:6" ht="15.75" customHeight="1" x14ac:dyDescent="0.25">
      <c r="A621" s="1" t="s">
        <v>1161</v>
      </c>
      <c r="B621" s="1" t="s">
        <v>1162</v>
      </c>
      <c r="C621" s="1" t="str">
        <f ca="1">IFERROR(__xludf.DUMMYFUNCTION("GOOGLETRANSLATE(B621,""en"",""ar"")"),"فشل تهيئة الطابعة!")</f>
        <v>فشل تهيئة الطابعة!</v>
      </c>
      <c r="D621" s="1" t="str">
        <f ca="1">IFERROR(__xludf.DUMMYFUNCTION("GOOGLETRANSLATE(B621,""en"",""zh-CN"")"),"打印机初始化失败！")</f>
        <v>打印机初始化失败！</v>
      </c>
      <c r="E621" s="1" t="str">
        <f ca="1">IFERROR(__xludf.DUMMYFUNCTION("GOOGLETRANSLATE(B621,""en"",""ja"")"),"プリンタの初期化に失敗しました。")</f>
        <v>プリンタの初期化に失敗しました。</v>
      </c>
      <c r="F621" s="1" t="str">
        <f ca="1">IFERROR(__xludf.DUMMYFUNCTION("GOOGLETRANSLATE(B621,""en"",""fr"")"),"L'imprimante initiale a échoué!")</f>
        <v>L'imprimante initiale a échoué!</v>
      </c>
    </row>
    <row r="622" spans="1:6" ht="15.75" customHeight="1" x14ac:dyDescent="0.25">
      <c r="A622" s="1" t="s">
        <v>1163</v>
      </c>
      <c r="B622" s="1" t="s">
        <v>1164</v>
      </c>
      <c r="C622" s="1" t="str">
        <f ca="1">IFERROR(__xludf.DUMMYFUNCTION("GOOGLETRANSLATE(B622,""en"",""ar"")"),"لا ورق!")</f>
        <v>لا ورق!</v>
      </c>
      <c r="D622" s="1" t="str">
        <f ca="1">IFERROR(__xludf.DUMMYFUNCTION("GOOGLETRANSLATE(B622,""en"",""zh-CN"")"),"没有纸！")</f>
        <v>没有纸！</v>
      </c>
      <c r="E622" s="1" t="str">
        <f ca="1">IFERROR(__xludf.DUMMYFUNCTION("GOOGLETRANSLATE(B622,""en"",""ja"")"),"紙はありません！")</f>
        <v>紙はありません！</v>
      </c>
      <c r="F622" s="1" t="str">
        <f ca="1">IFERROR(__xludf.DUMMYFUNCTION("GOOGLETRANSLATE(B622,""en"",""fr"")"),"Pas de papier!")</f>
        <v>Pas de papier!</v>
      </c>
    </row>
    <row r="623" spans="1:6" ht="15.75" customHeight="1" x14ac:dyDescent="0.25">
      <c r="A623" s="1" t="s">
        <v>1165</v>
      </c>
      <c r="B623" s="1" t="s">
        <v>1166</v>
      </c>
      <c r="C623" s="1" t="str">
        <f ca="1">IFERROR(__xludf.DUMMYFUNCTION("GOOGLETRANSLATE(B623,""en"",""ar"")"),"فشل الطباعة!")</f>
        <v>فشل الطباعة!</v>
      </c>
      <c r="D623" s="1" t="str">
        <f ca="1">IFERROR(__xludf.DUMMYFUNCTION("GOOGLETRANSLATE(B623,""en"",""zh-CN"")"),"打印失败！")</f>
        <v>打印失败！</v>
      </c>
      <c r="E623" s="1" t="str">
        <f ca="1">IFERROR(__xludf.DUMMYFUNCTION("GOOGLETRANSLATE(B623,""en"",""ja"")"),"印刷に失敗しました！")</f>
        <v>印刷に失敗しました！</v>
      </c>
      <c r="F623" s="1" t="str">
        <f ca="1">IFERROR(__xludf.DUMMYFUNCTION("GOOGLETRANSLATE(B623,""en"",""fr"")"),"L'impression a échoué!")</f>
        <v>L'impression a échoué!</v>
      </c>
    </row>
    <row r="624" spans="1:6" ht="15.75" customHeight="1" x14ac:dyDescent="0.25">
      <c r="A624" s="1" t="s">
        <v>1167</v>
      </c>
      <c r="B624" s="1" t="s">
        <v>1168</v>
      </c>
      <c r="C624" s="1" t="str">
        <f ca="1">IFERROR(__xludf.DUMMYFUNCTION("GOOGLETRANSLATE(B624,""en"",""ar"")"),"مدة")</f>
        <v>مدة</v>
      </c>
      <c r="D624" s="1" t="str">
        <f ca="1">IFERROR(__xludf.DUMMYFUNCTION("GOOGLETRANSLATE(B624,""en"",""zh-CN"")"),"期间")</f>
        <v>期间</v>
      </c>
      <c r="E624" s="1" t="str">
        <f ca="1">IFERROR(__xludf.DUMMYFUNCTION("GOOGLETRANSLATE(B624,""en"",""ja"")"),"間隔")</f>
        <v>間隔</v>
      </c>
      <c r="F624" s="1" t="str">
        <f ca="1">IFERROR(__xludf.DUMMYFUNCTION("GOOGLETRANSLATE(B624,""en"",""fr"")"),"Durée")</f>
        <v>Durée</v>
      </c>
    </row>
    <row r="625" spans="1:6" ht="15.75" customHeight="1" x14ac:dyDescent="0.25">
      <c r="A625" s="1" t="s">
        <v>1169</v>
      </c>
      <c r="B625" s="1" t="s">
        <v>1170</v>
      </c>
      <c r="C625" s="1" t="str">
        <f ca="1">IFERROR(__xludf.DUMMYFUNCTION("GOOGLETRANSLATE(B625,""en"",""ar"")"),"الحملة الانتخابية")</f>
        <v>الحملة الانتخابية</v>
      </c>
      <c r="D625" s="1" t="str">
        <f ca="1">IFERROR(__xludf.DUMMYFUNCTION("GOOGLETRANSLATE(B625,""en"",""zh-CN"")"),"活动")</f>
        <v>活动</v>
      </c>
      <c r="E625" s="1" t="str">
        <f ca="1">IFERROR(__xludf.DUMMYFUNCTION("GOOGLETRANSLATE(B625,""en"",""ja"")"),"運動")</f>
        <v>運動</v>
      </c>
      <c r="F625" s="1" t="str">
        <f ca="1">IFERROR(__xludf.DUMMYFUNCTION("GOOGLETRANSLATE(B625,""en"",""fr"")"),"Campagne")</f>
        <v>Campagne</v>
      </c>
    </row>
    <row r="626" spans="1:6" ht="15.75" customHeight="1" x14ac:dyDescent="0.25">
      <c r="A626" s="1" t="s">
        <v>1171</v>
      </c>
      <c r="B626" s="1" t="s">
        <v>1172</v>
      </c>
      <c r="C626" s="1" t="str">
        <f ca="1">IFERROR(__xludf.DUMMYFUNCTION("GOOGLETRANSLATE(B626,""en"",""ar"")"),"تم حفظ الحملة")</f>
        <v>تم حفظ الحملة</v>
      </c>
      <c r="D626" s="1" t="str">
        <f ca="1">IFERROR(__xludf.DUMMYFUNCTION("GOOGLETRANSLATE(B626,""en"",""zh-CN"")"),"广告系列已被保存")</f>
        <v>广告系列已被保存</v>
      </c>
      <c r="E626" s="1" t="str">
        <f ca="1">IFERROR(__xludf.DUMMYFUNCTION("GOOGLETRANSLATE(B626,""en"",""ja"")"),"キャンペーンが保存されました")</f>
        <v>キャンペーンが保存されました</v>
      </c>
      <c r="F626" s="1" t="str">
        <f ca="1">IFERROR(__xludf.DUMMYFUNCTION("GOOGLETRANSLATE(B626,""en"",""fr"")"),"La campagne a été sauvée")</f>
        <v>La campagne a été sauvée</v>
      </c>
    </row>
    <row r="627" spans="1:6" ht="15.75" customHeight="1" x14ac:dyDescent="0.25">
      <c r="A627" s="1" t="s">
        <v>1173</v>
      </c>
      <c r="B627" s="1" t="s">
        <v>1174</v>
      </c>
      <c r="C627" s="1" t="str">
        <f ca="1">IFERROR(__xludf.DUMMYFUNCTION("GOOGLETRANSLATE(B627,""en"",""ar"")"),"قرار غير صالح")</f>
        <v>قرار غير صالح</v>
      </c>
      <c r="D627" s="1" t="str">
        <f ca="1">IFERROR(__xludf.DUMMYFUNCTION("GOOGLETRANSLATE(B627,""en"",""zh-CN"")"),"无效的解决方案")</f>
        <v>无效的解决方案</v>
      </c>
      <c r="E627" s="1" t="str">
        <f ca="1">IFERROR(__xludf.DUMMYFUNCTION("GOOGLETRANSLATE(B627,""en"",""ja"")"),"無効な解像度")</f>
        <v>無効な解像度</v>
      </c>
      <c r="F627" s="1" t="str">
        <f ca="1">IFERROR(__xludf.DUMMYFUNCTION("GOOGLETRANSLATE(B627,""en"",""fr"")"),"Résolution invalide")</f>
        <v>Résolution invalide</v>
      </c>
    </row>
    <row r="628" spans="1:6" ht="15.75" customHeight="1" x14ac:dyDescent="0.25">
      <c r="A628" s="1" t="s">
        <v>1175</v>
      </c>
      <c r="B628" s="1" t="s">
        <v>1176</v>
      </c>
      <c r="C628" s="1" t="str">
        <f ca="1">IFERROR(__xludf.DUMMYFUNCTION("GOOGLETRANSLATE(B628,""en"",""ar"")"),"هل أنت متأكد أنك تريد حذف هذه الصورة؟")</f>
        <v>هل أنت متأكد أنك تريد حذف هذه الصورة؟</v>
      </c>
      <c r="D628" s="1" t="str">
        <f ca="1">IFERROR(__xludf.DUMMYFUNCTION("GOOGLETRANSLATE(B628,""en"",""zh-CN"")"),"您确定要删除此图像吗？")</f>
        <v>您确定要删除此图像吗？</v>
      </c>
      <c r="E628" s="1" t="str">
        <f ca="1">IFERROR(__xludf.DUMMYFUNCTION("GOOGLETRANSLATE(B628,""en"",""ja"")"),"このイメージを削除してよろしいですか？")</f>
        <v>このイメージを削除してよろしいですか？</v>
      </c>
      <c r="F628" s="1" t="str">
        <f ca="1">IFERROR(__xludf.DUMMYFUNCTION("GOOGLETRANSLATE(B628,""en"",""fr"")"),"Êtes-vous sûr de vouloir supprimer cette image?")</f>
        <v>Êtes-vous sûr de vouloir supprimer cette image?</v>
      </c>
    </row>
    <row r="629" spans="1:6" ht="15.75" customHeight="1" x14ac:dyDescent="0.25">
      <c r="A629" s="1" t="s">
        <v>1177</v>
      </c>
      <c r="B629" s="1" t="s">
        <v>1178</v>
      </c>
      <c r="C629" s="1" t="str">
        <f ca="1">IFERROR(__xludf.DUMMYFUNCTION("GOOGLETRANSLATE(B629,""en"",""ar"")"),"حذف وسائل الإعلام")</f>
        <v>حذف وسائل الإعلام</v>
      </c>
      <c r="D629" s="1" t="str">
        <f ca="1">IFERROR(__xludf.DUMMYFUNCTION("GOOGLETRANSLATE(B629,""en"",""zh-CN"")"),"删除媒体")</f>
        <v>删除媒体</v>
      </c>
      <c r="E629" s="1" t="str">
        <f ca="1">IFERROR(__xludf.DUMMYFUNCTION("GOOGLETRANSLATE(B629,""en"",""ja"")"),"メディアを削除します")</f>
        <v>メディアを削除します</v>
      </c>
      <c r="F629" s="1" t="str">
        <f ca="1">IFERROR(__xludf.DUMMYFUNCTION("GOOGLETRANSLATE(B629,""en"",""fr"")"),"Supprimer le média")</f>
        <v>Supprimer le média</v>
      </c>
    </row>
    <row r="630" spans="1:6" ht="15.75" customHeight="1" x14ac:dyDescent="0.25">
      <c r="A630" s="1" t="s">
        <v>1179</v>
      </c>
      <c r="B630" s="1" t="s">
        <v>1180</v>
      </c>
      <c r="C630" s="1" t="str">
        <f ca="1">IFERROR(__xludf.DUMMYFUNCTION("GOOGLETRANSLATE(B630,""en"",""ar"")"),"الحملات")</f>
        <v>الحملات</v>
      </c>
      <c r="D630" s="1" t="str">
        <f ca="1">IFERROR(__xludf.DUMMYFUNCTION("GOOGLETRANSLATE(B630,""en"",""zh-CN"")"),"竞选活动")</f>
        <v>竞选活动</v>
      </c>
      <c r="E630" s="1" t="str">
        <f ca="1">IFERROR(__xludf.DUMMYFUNCTION("GOOGLETRANSLATE(B630,""en"",""ja"")"),"キャンペーン")</f>
        <v>キャンペーン</v>
      </c>
      <c r="F630" s="1" t="str">
        <f ca="1">IFERROR(__xludf.DUMMYFUNCTION("GOOGLETRANSLATE(B630,""en"",""fr"")"),"Campagnes")</f>
        <v>Campagnes</v>
      </c>
    </row>
    <row r="631" spans="1:6" ht="15.75" customHeight="1" x14ac:dyDescent="0.25">
      <c r="A631" s="1" t="s">
        <v>1181</v>
      </c>
      <c r="B631" s="1" t="s">
        <v>1182</v>
      </c>
      <c r="C631" s="1" t="str">
        <f ca="1">IFERROR(__xludf.DUMMYFUNCTION("GOOGLETRANSLATE(B631,""en"",""ar"")"),"أدخل مدة الصورة")</f>
        <v>أدخل مدة الصورة</v>
      </c>
      <c r="D631" s="1" t="str">
        <f ca="1">IFERROR(__xludf.DUMMYFUNCTION("GOOGLETRANSLATE(B631,""en"",""zh-CN"")"),"输入图像持续时间")</f>
        <v>输入图像持续时间</v>
      </c>
      <c r="E631" s="1" t="str">
        <f ca="1">IFERROR(__xludf.DUMMYFUNCTION("GOOGLETRANSLATE(B631,""en"",""ja"")"),"イメージ長を入力してください")</f>
        <v>イメージ長を入力してください</v>
      </c>
      <c r="F631" s="1" t="str">
        <f ca="1">IFERROR(__xludf.DUMMYFUNCTION("GOOGLETRANSLATE(B631,""en"",""fr"")"),"Entrez la durée de l'image")</f>
        <v>Entrez la durée de l'image</v>
      </c>
    </row>
    <row r="632" spans="1:6" ht="15.75" customHeight="1" x14ac:dyDescent="0.25">
      <c r="A632" s="1" t="s">
        <v>1183</v>
      </c>
      <c r="B632" s="1" t="s">
        <v>1184</v>
      </c>
      <c r="C632" s="1" t="str">
        <f ca="1">IFERROR(__xludf.DUMMYFUNCTION("GOOGLETRANSLATE(B632,""en"",""ar"")"),"تصفح")</f>
        <v>تصفح</v>
      </c>
      <c r="D632" s="1" t="str">
        <f ca="1">IFERROR(__xludf.DUMMYFUNCTION("GOOGLETRANSLATE(B632,""en"",""zh-CN"")"),"浏览")</f>
        <v>浏览</v>
      </c>
      <c r="E632" s="1" t="str">
        <f ca="1">IFERROR(__xludf.DUMMYFUNCTION("GOOGLETRANSLATE(B632,""en"",""ja"")"),"ブラウズ")</f>
        <v>ブラウズ</v>
      </c>
      <c r="F632" s="1" t="str">
        <f ca="1">IFERROR(__xludf.DUMMYFUNCTION("GOOGLETRANSLATE(B632,""en"",""fr"")"),"Parcourir")</f>
        <v>Parcourir</v>
      </c>
    </row>
    <row r="633" spans="1:6" ht="15.75" customHeight="1" x14ac:dyDescent="0.25">
      <c r="A633" s="1" t="s">
        <v>1185</v>
      </c>
      <c r="B633" s="1" t="s">
        <v>1186</v>
      </c>
      <c r="C633" s="1" t="str">
        <f ca="1">IFERROR(__xludf.DUMMYFUNCTION("GOOGLETRANSLATE(B633,""en"",""ar"")"),"التبديل في الحملة في إعداد البرامج")</f>
        <v>التبديل في الحملة في إعداد البرامج</v>
      </c>
      <c r="D633" s="1" t="str">
        <f ca="1">IFERROR(__xludf.DUMMYFUNCTION("GOOGLETRANSLATE(B633,""en"",""zh-CN"")"),"打开软件设置的广告系列")</f>
        <v>打开软件设置的广告系列</v>
      </c>
      <c r="E633" s="1" t="str">
        <f ca="1">IFERROR(__xludf.DUMMYFUNCTION("GOOGLETRANSLATE(B633,""en"",""ja"")"),"ソフトウェア設定でキャンペーンをオンにします")</f>
        <v>ソフトウェア設定でキャンペーンをオンにします</v>
      </c>
      <c r="F633" s="1" t="str">
        <f ca="1">IFERROR(__xludf.DUMMYFUNCTION("GOOGLETRANSLATE(B633,""en"",""fr"")"),"Allumez la campagne lors de la configuration du logiciel")</f>
        <v>Allumez la campagne lors de la configuration du logiciel</v>
      </c>
    </row>
    <row r="634" spans="1:6" ht="15.75" customHeight="1" x14ac:dyDescent="0.25">
      <c r="A634" s="1" t="s">
        <v>1187</v>
      </c>
      <c r="B634" s="1" t="s">
        <v>1188</v>
      </c>
      <c r="C634" s="1" t="str">
        <f ca="1">IFERROR(__xludf.DUMMYFUNCTION("GOOGLETRANSLATE(B634,""en"",""ar"")"),"مخزون غير كاف")</f>
        <v>مخزون غير كاف</v>
      </c>
      <c r="D634" s="1" t="str">
        <f ca="1">IFERROR(__xludf.DUMMYFUNCTION("GOOGLETRANSLATE(B634,""en"",""zh-CN"")"),"不足的库存")</f>
        <v>不足的库存</v>
      </c>
      <c r="E634" s="1" t="str">
        <f ca="1">IFERROR(__xludf.DUMMYFUNCTION("GOOGLETRANSLATE(B634,""en"",""ja"")"),"在庫がない")</f>
        <v>在庫がない</v>
      </c>
      <c r="F634" s="1" t="str">
        <f ca="1">IFERROR(__xludf.DUMMYFUNCTION("GOOGLETRANSLATE(B634,""en"",""fr"")"),"Stock insuffisant")</f>
        <v>Stock insuffisant</v>
      </c>
    </row>
    <row r="635" spans="1:6" ht="15.75" customHeight="1" x14ac:dyDescent="0.25">
      <c r="A635" s="1" t="s">
        <v>1189</v>
      </c>
      <c r="B635" s="1" t="s">
        <v>1190</v>
      </c>
      <c r="C635" s="1" t="str">
        <f ca="1">IFERROR(__xludf.DUMMYFUNCTION("GOOGLETRANSLATE(B635,""en"",""ar"")"),"يجب عليك تعيين كلمة مرور المسؤول قبل المتابعة")</f>
        <v>يجب عليك تعيين كلمة مرور المسؤول قبل المتابعة</v>
      </c>
      <c r="D635" s="1" t="str">
        <f ca="1">IFERROR(__xludf.DUMMYFUNCTION("GOOGLETRANSLATE(B635,""en"",""zh-CN"")"),"您必须在继续之前设置管理员密码")</f>
        <v>您必须在继续之前设置管理员密码</v>
      </c>
      <c r="E635" s="1" t="str">
        <f ca="1">IFERROR(__xludf.DUMMYFUNCTION("GOOGLETRANSLATE(B635,""en"",""ja"")"),"続行する前に管理者パスワードを設定する必要があります")</f>
        <v>続行する前に管理者パスワードを設定する必要があります</v>
      </c>
      <c r="F635" s="1" t="str">
        <f ca="1">IFERROR(__xludf.DUMMYFUNCTION("GOOGLETRANSLATE(B635,""en"",""fr"")"),"Vous devez définir le mot de passe administrateur avant de continuer")</f>
        <v>Vous devez définir le mot de passe administrateur avant de continuer</v>
      </c>
    </row>
    <row r="636" spans="1:6" ht="15.75" customHeight="1" x14ac:dyDescent="0.25">
      <c r="A636" s="1" t="s">
        <v>1191</v>
      </c>
      <c r="B636" s="1" t="s">
        <v>1192</v>
      </c>
      <c r="C636" s="1" t="str">
        <f ca="1">IFERROR(__xludf.DUMMYFUNCTION("GOOGLETRANSLATE(B636,""en"",""ar"")"),"أفضل دقة الصورة: (العرض X الارتفاع) 150 × 120 (PX)")</f>
        <v>أفضل دقة الصورة: (العرض X الارتفاع) 150 × 120 (PX)</v>
      </c>
      <c r="D636" s="1" t="str">
        <f ca="1">IFERROR(__xludf.DUMMYFUNCTION("GOOGLETRANSLATE(B636,""en"",""zh-CN"")"),"最佳图像分辨率:(宽度x高）150 x 120（px）")</f>
        <v>最佳图像分辨率:(宽度x高）150 x 120（px）</v>
      </c>
      <c r="E636" s="1" t="str">
        <f ca="1">IFERROR(__xludf.DUMMYFUNCTION("GOOGLETRANSLATE(B636,""en"",""ja"")"),"最良の画像解像度:(幅×高さ）150 x 120（Px）")</f>
        <v>最良の画像解像度:(幅×高さ）150 x 120（Px）</v>
      </c>
      <c r="F636" s="1" t="str">
        <f ca="1">IFERROR(__xludf.DUMMYFUNCTION("GOOGLETRANSLATE(B636,""en"",""fr"")"),"Meilleure résolution d'image: (largeur x hauteur) 150 x 120 (px)")</f>
        <v>Meilleure résolution d'image: (largeur x hauteur) 150 x 120 (px)</v>
      </c>
    </row>
    <row r="637" spans="1:6" ht="15.75" customHeight="1" x14ac:dyDescent="0.25">
      <c r="A637" s="1" t="s">
        <v>1193</v>
      </c>
      <c r="B637" s="1" t="s">
        <v>1194</v>
      </c>
      <c r="C637" s="1" t="str">
        <f ca="1">IFERROR(__xludf.DUMMYFUNCTION("GOOGLETRANSLATE(B637,""en"",""ar"")"),"لا يمكن فتح الملف")</f>
        <v>لا يمكن فتح الملف</v>
      </c>
      <c r="D637" s="1" t="str">
        <f ca="1">IFERROR(__xludf.DUMMYFUNCTION("GOOGLETRANSLATE(B637,""en"",""zh-CN"")"),"可以打开文件")</f>
        <v>可以打开文件</v>
      </c>
      <c r="E637" s="1" t="str">
        <f ca="1">IFERROR(__xludf.DUMMYFUNCTION("GOOGLETRANSLATE(B637,""en"",""ja"")"),"オープンファイルを開くことができます")</f>
        <v>オープンファイルを開くことができます</v>
      </c>
      <c r="F637" s="1" t="str">
        <f ca="1">IFERROR(__xludf.DUMMYFUNCTION("GOOGLETRANSLATE(B637,""en"",""fr"")"),"Peut \ 't ouvrir le fichier")</f>
        <v>Peut \ 't ouvrir le fichier</v>
      </c>
    </row>
    <row r="638" spans="1:6" ht="15.75" customHeight="1" x14ac:dyDescent="0.25">
      <c r="A638" s="1" t="s">
        <v>1195</v>
      </c>
      <c r="B638" s="1" t="s">
        <v>1196</v>
      </c>
      <c r="C638" s="1" t="str">
        <f ca="1">IFERROR(__xludf.DUMMYFUNCTION("GOOGLETRANSLATE(B638,""en"",""ar"")"),"كوت الخيار")</f>
        <v>كوت الخيار</v>
      </c>
      <c r="D638" s="1" t="str">
        <f ca="1">IFERROR(__xludf.DUMMYFUNCTION("GOOGLETRANSLATE(B638,""en"",""zh-CN"")"),"kot选项")</f>
        <v>kot选项</v>
      </c>
      <c r="E638" s="1" t="str">
        <f ca="1">IFERROR(__xludf.DUMMYFUNCTION("GOOGLETRANSLATE(B638,""en"",""ja"")"),"kotオプション")</f>
        <v>kotオプション</v>
      </c>
      <c r="F638" s="1" t="str">
        <f ca="1">IFERROR(__xludf.DUMMYFUNCTION("GOOGLETRANSLATE(B638,""en"",""fr"")"),"Option de kot")</f>
        <v>Option de kot</v>
      </c>
    </row>
    <row r="639" spans="1:6" ht="15.75" customHeight="1" x14ac:dyDescent="0.25">
      <c r="A639" s="1" t="s">
        <v>1197</v>
      </c>
      <c r="B639" s="1" t="s">
        <v>1198</v>
      </c>
      <c r="C639" s="1" t="str">
        <f ca="1">IFERROR(__xludf.DUMMYFUNCTION("GOOGLETRANSLATE(B639,""en"",""ar"")"),"طابعة KOT IP.")</f>
        <v>طابعة KOT IP.</v>
      </c>
      <c r="D639" s="1" t="str">
        <f ca="1">IFERROR(__xludf.DUMMYFUNCTION("GOOGLETRANSLATE(B639,""en"",""zh-CN"")"),"KOT打印机IP.")</f>
        <v>KOT打印机IP.</v>
      </c>
      <c r="E639" s="1" t="str">
        <f ca="1">IFERROR(__xludf.DUMMYFUNCTION("GOOGLETRANSLATE(B639,""en"",""ja"")"),"KOTプリンタIP")</f>
        <v>KOTプリンタIP</v>
      </c>
      <c r="F639" s="1" t="str">
        <f ca="1">IFERROR(__xludf.DUMMYFUNCTION("GOOGLETRANSLATE(B639,""en"",""fr"")"),"IP d'imprimante Kot")</f>
        <v>IP d'imprimante Kot</v>
      </c>
    </row>
    <row r="640" spans="1:6" ht="15.75" customHeight="1" x14ac:dyDescent="0.25">
      <c r="A640" s="1" t="s">
        <v>1199</v>
      </c>
      <c r="B640" s="1" t="s">
        <v>1200</v>
      </c>
      <c r="C640" s="1" t="str">
        <f ca="1">IFERROR(__xludf.DUMMYFUNCTION("GOOGLETRANSLATE(B640,""en"",""ar"")"),"عرض كوت IP.")</f>
        <v>عرض كوت IP.</v>
      </c>
      <c r="D640" s="1" t="str">
        <f ca="1">IFERROR(__xludf.DUMMYFUNCTION("GOOGLETRANSLATE(B640,""en"",""zh-CN"")"),"KOT显示IP.")</f>
        <v>KOT显示IP.</v>
      </c>
      <c r="E640" s="1" t="str">
        <f ca="1">IFERROR(__xludf.DUMMYFUNCTION("GOOGLETRANSLATE(B640,""en"",""ja"")"),"KOTディスプレイIP")</f>
        <v>KOTディスプレイIP</v>
      </c>
      <c r="F640" s="1" t="str">
        <f ca="1">IFERROR(__xludf.DUMMYFUNCTION("GOOGLETRANSLATE(B640,""en"",""fr"")"),"Kot Afficher IP")</f>
        <v>Kot Afficher IP</v>
      </c>
    </row>
    <row r="641" spans="1:6" ht="15.75" customHeight="1" x14ac:dyDescent="0.25">
      <c r="A641" s="1" t="s">
        <v>1201</v>
      </c>
      <c r="B641" s="1" t="s">
        <v>1202</v>
      </c>
      <c r="C641" s="1" t="str">
        <f ca="1">IFERROR(__xludf.DUMMYFUNCTION("GOOGLETRANSLATE(B641,""en"",""ar"")"),"عرض العملاء IP.")</f>
        <v>عرض العملاء IP.</v>
      </c>
      <c r="D641" s="1" t="str">
        <f ca="1">IFERROR(__xludf.DUMMYFUNCTION("GOOGLETRANSLATE(B641,""en"",""zh-CN"")"),"客户显示IP.")</f>
        <v>客户显示IP.</v>
      </c>
      <c r="E641" s="1" t="str">
        <f ca="1">IFERROR(__xludf.DUMMYFUNCTION("GOOGLETRANSLATE(B641,""en"",""ja"")"),"カスタマーディスプレイIP")</f>
        <v>カスタマーディスプレイIP</v>
      </c>
      <c r="F641" s="1" t="str">
        <f ca="1">IFERROR(__xludf.DUMMYFUNCTION("GOOGLETRANSLATE(B641,""en"",""fr"")"),"Affichage client IP")</f>
        <v>Affichage client IP</v>
      </c>
    </row>
    <row r="642" spans="1:6" ht="15.75" customHeight="1" x14ac:dyDescent="0.25">
      <c r="A642" s="1" t="s">
        <v>1203</v>
      </c>
      <c r="B642" s="1" t="s">
        <v>1204</v>
      </c>
      <c r="C642" s="1" t="str">
        <f ca="1">IFERROR(__xludf.DUMMYFUNCTION("GOOGLETRANSLATE(B642,""en"",""ar"")"),"أنواع الدفع")</f>
        <v>أنواع الدفع</v>
      </c>
      <c r="D642" s="1" t="str">
        <f ca="1">IFERROR(__xludf.DUMMYFUNCTION("GOOGLETRANSLATE(B642,""en"",""zh-CN"")"),"付款类型")</f>
        <v>付款类型</v>
      </c>
      <c r="E642" s="1" t="str">
        <f ca="1">IFERROR(__xludf.DUMMYFUNCTION("GOOGLETRANSLATE(B642,""en"",""ja"")"),"支払いタイプ")</f>
        <v>支払いタイプ</v>
      </c>
      <c r="F642" s="1" t="str">
        <f ca="1">IFERROR(__xludf.DUMMYFUNCTION("GOOGLETRANSLATE(B642,""en"",""fr"")"),"Types de paiement")</f>
        <v>Types de paiement</v>
      </c>
    </row>
    <row r="643" spans="1:6" ht="15.75" customHeight="1" x14ac:dyDescent="0.25">
      <c r="A643" s="1" t="s">
        <v>1205</v>
      </c>
      <c r="B643" s="1" t="s">
        <v>1206</v>
      </c>
      <c r="C643" s="1" t="str">
        <f ca="1">IFERROR(__xludf.DUMMYFUNCTION("GOOGLETRANSLATE(B643,""en"",""ar"")"),"أسباب درج النقود")</f>
        <v>أسباب درج النقود</v>
      </c>
      <c r="D643" s="1" t="str">
        <f ca="1">IFERROR(__xludf.DUMMYFUNCTION("GOOGLETRANSLATE(B643,""en"",""zh-CN"")"),"现金抽屉原因")</f>
        <v>现金抽屉原因</v>
      </c>
      <c r="E643" s="1" t="str">
        <f ca="1">IFERROR(__xludf.DUMMYFUNCTION("GOOGLETRANSLATE(B643,""en"",""ja"")"),"現金引き出しの理由")</f>
        <v>現金引き出しの理由</v>
      </c>
      <c r="F643" s="1" t="str">
        <f ca="1">IFERROR(__xludf.DUMMYFUNCTION("GOOGLETRANSLATE(B643,""en"",""fr"")"),"Motifs de tiroir caisse")</f>
        <v>Motifs de tiroir caisse</v>
      </c>
    </row>
    <row r="644" spans="1:6" ht="15.75" customHeight="1" x14ac:dyDescent="0.25">
      <c r="A644" s="1" t="s">
        <v>1207</v>
      </c>
      <c r="B644" s="1" t="s">
        <v>1208</v>
      </c>
      <c r="C644" s="1" t="str">
        <f ca="1">IFERROR(__xludf.DUMMYFUNCTION("GOOGLETRANSLATE(B644,""en"",""ar"")"),"اختر العملة")</f>
        <v>اختر العملة</v>
      </c>
      <c r="D644" s="1" t="str">
        <f ca="1">IFERROR(__xludf.DUMMYFUNCTION("GOOGLETRANSLATE(B644,""en"",""zh-CN"")"),"选择货币")</f>
        <v>选择货币</v>
      </c>
      <c r="E644" s="1" t="str">
        <f ca="1">IFERROR(__xludf.DUMMYFUNCTION("GOOGLETRANSLATE(B644,""en"",""ja"")"),"通貨を選択してください")</f>
        <v>通貨を選択してください</v>
      </c>
      <c r="F644" s="1" t="str">
        <f ca="1">IFERROR(__xludf.DUMMYFUNCTION("GOOGLETRANSLATE(B644,""en"",""fr"")"),"Sélectionnez la devise")</f>
        <v>Sélectionnez la devise</v>
      </c>
    </row>
    <row r="645" spans="1:6" ht="15.75" customHeight="1" x14ac:dyDescent="0.25">
      <c r="A645" s="1" t="s">
        <v>1209</v>
      </c>
      <c r="B645" s="1" t="s">
        <v>1210</v>
      </c>
      <c r="C645" s="1" t="str">
        <f ca="1">IFERROR(__xludf.DUMMYFUNCTION("GOOGLETRANSLATE(B645,""en"",""ar"")"),"حدد العملة البديلة")</f>
        <v>حدد العملة البديلة</v>
      </c>
      <c r="D645" s="1" t="str">
        <f ca="1">IFERROR(__xludf.DUMMYFUNCTION("GOOGLETRANSLATE(B645,""en"",""zh-CN"")"),"选择替代货币")</f>
        <v>选择替代货币</v>
      </c>
      <c r="E645" s="1" t="str">
        <f ca="1">IFERROR(__xludf.DUMMYFUNCTION("GOOGLETRANSLATE(B645,""en"",""ja"")"),"代替通貨を選択してください")</f>
        <v>代替通貨を選択してください</v>
      </c>
      <c r="F645" s="1" t="str">
        <f ca="1">IFERROR(__xludf.DUMMYFUNCTION("GOOGLETRANSLATE(B645,""en"",""fr"")"),"Sélectionnez la devise alternative")</f>
        <v>Sélectionnez la devise alternative</v>
      </c>
    </row>
    <row r="646" spans="1:6" ht="15.75" customHeight="1" x14ac:dyDescent="0.25">
      <c r="A646" s="1" t="s">
        <v>1211</v>
      </c>
      <c r="B646" s="1" t="s">
        <v>1212</v>
      </c>
      <c r="C646" s="1" t="str">
        <f ca="1">IFERROR(__xludf.DUMMYFUNCTION("GOOGLETRANSLATE(B646,""en"",""ar"")"),"لا يمكنك تحرير هذا الاستلام")</f>
        <v>لا يمكنك تحرير هذا الاستلام</v>
      </c>
      <c r="D646" s="1" t="str">
        <f ca="1">IFERROR(__xludf.DUMMYFUNCTION("GOOGLETRANSLATE(B646,""en"",""zh-CN"")"),"您无法编辑此收据")</f>
        <v>您无法编辑此收据</v>
      </c>
      <c r="E646" s="1" t="str">
        <f ca="1">IFERROR(__xludf.DUMMYFUNCTION("GOOGLETRANSLATE(B646,""en"",""ja"")"),"あなたはこの領収書を編集することはできません")</f>
        <v>あなたはこの領収書を編集することはできません</v>
      </c>
      <c r="F646" s="1" t="str">
        <f ca="1">IFERROR(__xludf.DUMMYFUNCTION("GOOGLETRANSLATE(B646,""en"",""fr"")"),"Vous ne pouvez pas modifier ce reçu")</f>
        <v>Vous ne pouvez pas modifier ce reçu</v>
      </c>
    </row>
    <row r="647" spans="1:6" ht="15.75" customHeight="1" x14ac:dyDescent="0.25">
      <c r="A647" s="1" t="s">
        <v>1213</v>
      </c>
      <c r="B647" s="1" t="s">
        <v>1214</v>
      </c>
      <c r="C647" s="1" t="str">
        <f ca="1">IFERROR(__xludf.DUMMYFUNCTION("GOOGLETRANSLATE(B647,""en"",""ar"")"),"اختر من القائمة")</f>
        <v>اختر من القائمة</v>
      </c>
      <c r="D647" s="1" t="str">
        <f ca="1">IFERROR(__xludf.DUMMYFUNCTION("GOOGLETRANSLATE(B647,""en"",""zh-CN"")"),"从列表中选择")</f>
        <v>从列表中选择</v>
      </c>
      <c r="E647" s="1" t="str">
        <f ca="1">IFERROR(__xludf.DUMMYFUNCTION("GOOGLETRANSLATE(B647,""en"",""ja"")"),"リストから選択してください")</f>
        <v>リストから選択してください</v>
      </c>
      <c r="F647" s="1" t="str">
        <f ca="1">IFERROR(__xludf.DUMMYFUNCTION("GOOGLETRANSLATE(B647,""en"",""fr"")"),"Sélectionner dans la liste")</f>
        <v>Sélectionner dans la liste</v>
      </c>
    </row>
    <row r="648" spans="1:6" ht="15.75" customHeight="1" x14ac:dyDescent="0.25">
      <c r="A648" s="1" t="s">
        <v>1215</v>
      </c>
      <c r="B648" s="1" t="s">
        <v>1216</v>
      </c>
      <c r="C648" s="1" t="str">
        <f ca="1">IFERROR(__xludf.DUMMYFUNCTION("GOOGLETRANSLATE(B648,""en"",""ar"")"),"فئة حكيم مبيعات تقرير")</f>
        <v>فئة حكيم مبيعات تقرير</v>
      </c>
      <c r="D648" s="1" t="str">
        <f ca="1">IFERROR(__xludf.DUMMYFUNCTION("GOOGLETRANSLATE(B648,""en"",""zh-CN"")"),"类别明智的销售报告")</f>
        <v>类别明智的销售报告</v>
      </c>
      <c r="E648" s="1" t="str">
        <f ca="1">IFERROR(__xludf.DUMMYFUNCTION("GOOGLETRANSLATE(B648,""en"",""ja"")"),"カテゴリーWise Salesレポート")</f>
        <v>カテゴリーWise Salesレポート</v>
      </c>
      <c r="F648" s="1" t="str">
        <f ca="1">IFERROR(__xludf.DUMMYFUNCTION("GOOGLETRANSLATE(B648,""en"",""fr"")"),"Catégorie Rapport de vente sage")</f>
        <v>Catégorie Rapport de vente sage</v>
      </c>
    </row>
    <row r="649" spans="1:6" ht="15.75" customHeight="1" x14ac:dyDescent="0.25">
      <c r="A649" s="1" t="s">
        <v>1217</v>
      </c>
      <c r="B649" s="1" t="s">
        <v>1218</v>
      </c>
      <c r="C649" s="1" t="str">
        <f ca="1">IFERROR(__xludf.DUMMYFUNCTION("GOOGLETRANSLATE(B649,""en"",""ar"")"),"تثبيت مع نموذج البيانات")</f>
        <v>تثبيت مع نموذج البيانات</v>
      </c>
      <c r="D649" s="1" t="str">
        <f ca="1">IFERROR(__xludf.DUMMYFUNCTION("GOOGLETRANSLATE(B649,""en"",""zh-CN"")"),"安装样本数据")</f>
        <v>安装样本数据</v>
      </c>
      <c r="E649" s="1" t="str">
        <f ca="1">IFERROR(__xludf.DUMMYFUNCTION("GOOGLETRANSLATE(B649,""en"",""ja"")"),"サンプルデータを使用してインストールします")</f>
        <v>サンプルデータを使用してインストールします</v>
      </c>
      <c r="F649" s="1" t="str">
        <f ca="1">IFERROR(__xludf.DUMMYFUNCTION("GOOGLETRANSLATE(B649,""en"",""fr"")"),"Installer avec des données d'exemple")</f>
        <v>Installer avec des données d'exemple</v>
      </c>
    </row>
    <row r="650" spans="1:6" ht="15.75" customHeight="1" x14ac:dyDescent="0.25">
      <c r="A650" s="1" t="s">
        <v>1219</v>
      </c>
      <c r="B650" s="1" t="s">
        <v>1220</v>
      </c>
      <c r="C650" s="1" t="str">
        <f ca="1">IFERROR(__xludf.DUMMYFUNCTION("GOOGLETRANSLATE(B650,""en"",""ar"")"),"نقاط النسخ الاحتياطي الأخيرة")</f>
        <v>نقاط النسخ الاحتياطي الأخيرة</v>
      </c>
      <c r="D650" s="1" t="str">
        <f ca="1">IFERROR(__xludf.DUMMYFUNCTION("GOOGLETRANSLATE(B650,""en"",""zh-CN"")"),"最近的备份点")</f>
        <v>最近的备份点</v>
      </c>
      <c r="E650" s="1" t="str">
        <f ca="1">IFERROR(__xludf.DUMMYFUNCTION("GOOGLETRANSLATE(B650,""en"",""ja"")"),"最近のバックアップポイント")</f>
        <v>最近のバックアップポイント</v>
      </c>
      <c r="F650" s="1" t="str">
        <f ca="1">IFERROR(__xludf.DUMMYFUNCTION("GOOGLETRANSLATE(B650,""en"",""fr"")"),"Points de sauvegarde récents")</f>
        <v>Points de sauvegarde récents</v>
      </c>
    </row>
    <row r="651" spans="1:6" ht="15.75" customHeight="1" x14ac:dyDescent="0.25">
      <c r="A651" s="1" t="s">
        <v>1221</v>
      </c>
      <c r="B651" s="1" t="s">
        <v>1222</v>
      </c>
      <c r="C651" s="1" t="str">
        <f ca="1">IFERROR(__xludf.DUMMYFUNCTION("GOOGLETRANSLATE(B651,""en"",""ar"")"),"يعيد")</f>
        <v>يعيد</v>
      </c>
      <c r="D651" s="1" t="str">
        <f ca="1">IFERROR(__xludf.DUMMYFUNCTION("GOOGLETRANSLATE(B651,""en"",""zh-CN"")"),"恢复")</f>
        <v>恢复</v>
      </c>
      <c r="E651" s="1" t="str">
        <f ca="1">IFERROR(__xludf.DUMMYFUNCTION("GOOGLETRANSLATE(B651,""en"",""ja"")"),"戻す")</f>
        <v>戻す</v>
      </c>
      <c r="F651" s="1" t="str">
        <f ca="1">IFERROR(__xludf.DUMMYFUNCTION("GOOGLETRANSLATE(B651,""en"",""fr"")"),"Restaurer")</f>
        <v>Restaurer</v>
      </c>
    </row>
    <row r="652" spans="1:6" ht="15.75" customHeight="1" x14ac:dyDescent="0.25">
      <c r="A652" s="1" t="s">
        <v>1223</v>
      </c>
      <c r="B652" s="1" t="s">
        <v>1224</v>
      </c>
      <c r="C652" s="1" t="str">
        <f ca="1">IFERROR(__xludf.DUMMYFUNCTION("GOOGLETRANSLATE(B652,""en"",""ar"")"),"لا يوجد عنصر محدد لإرسال كوت")</f>
        <v>لا يوجد عنصر محدد لإرسال كوت</v>
      </c>
      <c r="D652" s="1" t="str">
        <f ca="1">IFERROR(__xludf.DUMMYFUNCTION("GOOGLETRANSLATE(B652,""en"",""zh-CN"")"),"没有选择的项目发送kot")</f>
        <v>没有选择的项目发送kot</v>
      </c>
      <c r="E652" s="1" t="str">
        <f ca="1">IFERROR(__xludf.DUMMYFUNCTION("GOOGLETRANSLATE(B652,""en"",""ja"")"),"kotを送るために選択された項目は選択されていません")</f>
        <v>kotを送るために選択された項目は選択されていません</v>
      </c>
      <c r="F652" s="1" t="str">
        <f ca="1">IFERROR(__xludf.DUMMYFUNCTION("GOOGLETRANSLATE(B652,""en"",""fr"")"),"Aucun élément sélectionné pour envoyer Kot")</f>
        <v>Aucun élément sélectionné pour envoyer Kot</v>
      </c>
    </row>
    <row r="653" spans="1:6" ht="15.75" customHeight="1" x14ac:dyDescent="0.25">
      <c r="A653" s="1" t="s">
        <v>1225</v>
      </c>
      <c r="B653" s="1" t="s">
        <v>1226</v>
      </c>
      <c r="C653" s="1" t="str">
        <f ca="1">IFERROR(__xludf.DUMMYFUNCTION("GOOGLETRANSLATE(B653,""en"",""ar"")"),"أكمل دفع استلام KOT أو اضغط على تجاهل")</f>
        <v>أكمل دفع استلام KOT أو اضغط على تجاهل</v>
      </c>
      <c r="D653" s="1" t="str">
        <f ca="1">IFERROR(__xludf.DUMMYFUNCTION("GOOGLETRANSLATE(B653,""en"",""zh-CN"")"),"完成KOT收据的付款或按丢弃")</f>
        <v>完成KOT收据的付款或按丢弃</v>
      </c>
      <c r="E653" s="1" t="str">
        <f ca="1">IFERROR(__xludf.DUMMYFUNCTION("GOOGLETRANSLATE(B653,""en"",""ja"")"),"KOT領収書またはプレス廃棄の支払いを完了してください")</f>
        <v>KOT領収書またはプレス廃棄の支払いを完了してください</v>
      </c>
      <c r="F653" s="1" t="str">
        <f ca="1">IFERROR(__xludf.DUMMYFUNCTION("GOOGLETRANSLATE(B653,""en"",""fr"")"),"Terminez le paiement pour la réception de Kot ou appuyez sur DÉPARTER")</f>
        <v>Terminez le paiement pour la réception de Kot ou appuyez sur DÉPARTER</v>
      </c>
    </row>
    <row r="654" spans="1:6" ht="15.75" customHeight="1" x14ac:dyDescent="0.25">
      <c r="A654" s="1" t="s">
        <v>1227</v>
      </c>
      <c r="B654" s="1" t="s">
        <v>1228</v>
      </c>
      <c r="C654" s="1" t="str">
        <f ca="1">IFERROR(__xludf.DUMMYFUNCTION("GOOGLETRANSLATE(B654,""en"",""ar"")"),"أكمل عملية الدفع لاستلام الفواتير المسبق أو اضغط على تجاهل")</f>
        <v>أكمل عملية الدفع لاستلام الفواتير المسبق أو اضغط على تجاهل</v>
      </c>
      <c r="D654" s="1" t="str">
        <f ca="1">IFERROR(__xludf.DUMMYFUNCTION("GOOGLETRANSLATE(B654,""en"",""zh-CN"")"),"填写预账单收据或按丢弃的付款")</f>
        <v>填写预账单收据或按丢弃的付款</v>
      </c>
      <c r="E654" s="1" t="str">
        <f ca="1">IFERROR(__xludf.DUMMYFUNCTION("GOOGLETRANSLATE(B654,""en"",""ja"")"),"PRE BILLの領収書またはプレス廃棄の支払いを完了する")</f>
        <v>PRE BILLの領収書またはプレス廃棄の支払いを完了する</v>
      </c>
      <c r="F654" s="1" t="str">
        <f ca="1">IFERROR(__xludf.DUMMYFUNCTION("GOOGLETRANSLATE(B654,""en"",""fr"")"),"Terminez le paiement pour le reçu avant la facture ou appuyez sur DISTERD")</f>
        <v>Terminez le paiement pour le reçu avant la facture ou appuyez sur DISTERD</v>
      </c>
    </row>
    <row r="655" spans="1:6" ht="15.75" customHeight="1" x14ac:dyDescent="0.25">
      <c r="A655" s="1" t="s">
        <v>1229</v>
      </c>
      <c r="B655" s="1" t="s">
        <v>1230</v>
      </c>
      <c r="C655" s="1" t="str">
        <f ca="1">IFERROR(__xludf.DUMMYFUNCTION("GOOGLETRANSLATE(B655,""en"",""ar"")"),"إكمال عملية الدفع للحصول على إيصال فاتورة أو اضغط على تجاهل")</f>
        <v>إكمال عملية الدفع للحصول على إيصال فاتورة أو اضغط على تجاهل</v>
      </c>
      <c r="D655" s="1" t="str">
        <f ca="1">IFERROR(__xludf.DUMMYFUNCTION("GOOGLETRANSLATE(B655,""en"",""zh-CN"")"),"填写账单付款收据或新闻丢弃")</f>
        <v>填写账单付款收据或新闻丢弃</v>
      </c>
      <c r="E655" s="1" t="str">
        <f ca="1">IFERROR(__xludf.DUMMYFUNCTION("GOOGLETRANSLATE(B655,""en"",""ja"")"),"請求書保持領収書またはプレス廃棄の支払いを完了する")</f>
        <v>請求書保持領収書またはプレス廃棄の支払いを完了する</v>
      </c>
      <c r="F655" s="1" t="str">
        <f ca="1">IFERROR(__xludf.DUMMYFUNCTION("GOOGLETRANSLATE(B655,""en"",""fr"")"),"Terminez le paiement pour la facturation de la facturation ou appuyez sur DISPART")</f>
        <v>Terminez le paiement pour la facturation de la facturation ou appuyez sur DISPART</v>
      </c>
    </row>
    <row r="656" spans="1:6" ht="15.75" customHeight="1" x14ac:dyDescent="0.25">
      <c r="A656" s="1" t="s">
        <v>1231</v>
      </c>
      <c r="B656" s="1" t="s">
        <v>1232</v>
      </c>
      <c r="C656" s="1" t="str">
        <f ca="1">IFERROR(__xludf.DUMMYFUNCTION("GOOGLETRANSLATE(B656,""en"",""ar"")"),"إعادة إرسال")</f>
        <v>إعادة إرسال</v>
      </c>
      <c r="D656" s="1" t="str">
        <f ca="1">IFERROR(__xludf.DUMMYFUNCTION("GOOGLETRANSLATE(B656,""en"",""zh-CN"")"),"重发")</f>
        <v>重发</v>
      </c>
      <c r="E656" s="1" t="str">
        <f ca="1">IFERROR(__xludf.DUMMYFUNCTION("GOOGLETRANSLATE(B656,""en"",""ja"")"),"res res")</f>
        <v>res res</v>
      </c>
      <c r="F656" s="1" t="str">
        <f ca="1">IFERROR(__xludf.DUMMYFUNCTION("GOOGLETRANSLATE(B656,""en"",""fr"")"),"Renvoyer")</f>
        <v>Renvoyer</v>
      </c>
    </row>
    <row r="657" spans="1:6" ht="15.75" customHeight="1" x14ac:dyDescent="0.25">
      <c r="A657" s="1" t="s">
        <v>1233</v>
      </c>
      <c r="B657" s="1" t="s">
        <v>1234</v>
      </c>
      <c r="C657" s="1" t="str">
        <f ca="1">IFERROR(__xludf.DUMMYFUNCTION("GOOGLETRANSLATE(B657,""en"",""ar"")"),"تقرير الفئة")</f>
        <v>تقرير الفئة</v>
      </c>
      <c r="D657" s="1" t="str">
        <f ca="1">IFERROR(__xludf.DUMMYFUNCTION("GOOGLETRANSLATE(B657,""en"",""zh-CN"")"),"类别报告")</f>
        <v>类别报告</v>
      </c>
      <c r="E657" s="1" t="str">
        <f ca="1">IFERROR(__xludf.DUMMYFUNCTION("GOOGLETRANSLATE(B657,""en"",""ja"")"),"カテゴリレポート")</f>
        <v>カテゴリレポート</v>
      </c>
      <c r="F657" s="1" t="str">
        <f ca="1">IFERROR(__xludf.DUMMYFUNCTION("GOOGLETRANSLATE(B657,""en"",""fr"")"),"Rapport de catégorie")</f>
        <v>Rapport de catégorie</v>
      </c>
    </row>
    <row r="658" spans="1:6" ht="15.75" customHeight="1" x14ac:dyDescent="0.25">
      <c r="A658" s="1" t="s">
        <v>1235</v>
      </c>
      <c r="B658" s="1" t="s">
        <v>1236</v>
      </c>
      <c r="C658" s="1" t="str">
        <f ca="1">IFERROR(__xludf.DUMMYFUNCTION("GOOGLETRANSLATE(B658,""en"",""ar"")"),"وصف (اختياري)")</f>
        <v>وصف (اختياري)</v>
      </c>
      <c r="D658" s="1" t="str">
        <f ca="1">IFERROR(__xludf.DUMMYFUNCTION("GOOGLETRANSLATE(B658,""en"",""zh-CN"")"),"描述（可选）")</f>
        <v>描述（可选）</v>
      </c>
      <c r="E658" s="1" t="str">
        <f ca="1">IFERROR(__xludf.DUMMYFUNCTION("GOOGLETRANSLATE(B658,""en"",""ja"")"),"説明（オプション）")</f>
        <v>説明（オプション）</v>
      </c>
      <c r="F658" s="1" t="str">
        <f ca="1">IFERROR(__xludf.DUMMYFUNCTION("GOOGLETRANSLATE(B658,""en"",""fr"")"),"description (facultatif)")</f>
        <v>description (facultatif)</v>
      </c>
    </row>
    <row r="659" spans="1:6" ht="15.75" customHeight="1" x14ac:dyDescent="0.25">
      <c r="A659" s="1" t="s">
        <v>1237</v>
      </c>
      <c r="B659" s="1" t="s">
        <v>1238</v>
      </c>
      <c r="C659" s="1" t="str">
        <f ca="1">IFERROR(__xludf.DUMMYFUNCTION("GOOGLETRANSLATE(B659,""en"",""ar"")"),"ملاحظة خاصة (اختياري)")</f>
        <v>ملاحظة خاصة (اختياري)</v>
      </c>
      <c r="D659" s="1" t="str">
        <f ca="1">IFERROR(__xludf.DUMMYFUNCTION("GOOGLETRANSLATE(B659,""en"",""zh-CN"")"),"特别备注（可选）")</f>
        <v>特别备注（可选）</v>
      </c>
      <c r="E659" s="1" t="str">
        <f ca="1">IFERROR(__xludf.DUMMYFUNCTION("GOOGLETRANSLATE(B659,""en"",""ja"")"),"特別注（オプション）")</f>
        <v>特別注（オプション）</v>
      </c>
      <c r="F659" s="1" t="str">
        <f ca="1">IFERROR(__xludf.DUMMYFUNCTION("GOOGLETRANSLATE(B659,""en"",""fr"")"),"Note spéciale (facultatif)")</f>
        <v>Note spéciale (facultatif)</v>
      </c>
    </row>
    <row r="660" spans="1:6" ht="15.75" customHeight="1" x14ac:dyDescent="0.25">
      <c r="A660" s="1" t="s">
        <v>1239</v>
      </c>
      <c r="B660" s="1" t="s">
        <v>1240</v>
      </c>
      <c r="C660" s="1" t="str">
        <f ca="1">IFERROR(__xludf.DUMMYFUNCTION("GOOGLETRANSLATE(B660,""en"",""ar"")"),"خطأ في اتصال طابعة KOT")</f>
        <v>خطأ في اتصال طابعة KOT</v>
      </c>
      <c r="D660" s="1" t="str">
        <f ca="1">IFERROR(__xludf.DUMMYFUNCTION("GOOGLETRANSLATE(B660,""en"",""zh-CN"")"),"KOT打印机连接错误")</f>
        <v>KOT打印机连接错误</v>
      </c>
      <c r="E660" s="1" t="str">
        <f ca="1">IFERROR(__xludf.DUMMYFUNCTION("GOOGLETRANSLATE(B660,""en"",""ja"")"),"KOTプリンタ接続エラー")</f>
        <v>KOTプリンタ接続エラー</v>
      </c>
      <c r="F660" s="1" t="str">
        <f ca="1">IFERROR(__xludf.DUMMYFUNCTION("GOOGLETRANSLATE(B660,""en"",""fr"")"),"Erreur de connexion d'imprimante Kot")</f>
        <v>Erreur de connexion d'imprimante Kot</v>
      </c>
    </row>
    <row r="661" spans="1:6" ht="15.75" customHeight="1" x14ac:dyDescent="0.25">
      <c r="A661" s="1" t="s">
        <v>1241</v>
      </c>
      <c r="B661" s="1" t="s">
        <v>1242</v>
      </c>
      <c r="C661" s="1" t="str">
        <f ca="1">IFERROR(__xludf.DUMMYFUNCTION("GOOGLETRANSLATE(B661,""en"",""ar"")"),"في اليد الكمية")</f>
        <v>في اليد الكمية</v>
      </c>
      <c r="D661" s="1" t="str">
        <f ca="1">IFERROR(__xludf.DUMMYFUNCTION("GOOGLETRANSLATE(B661,""en"",""zh-CN"")"),"在努力")</f>
        <v>在努力</v>
      </c>
      <c r="E661" s="1" t="str">
        <f ca="1">IFERROR(__xludf.DUMMYFUNCTION("GOOGLETRANSLATE(B661,""en"",""ja"")"),"手で金曜日に")</f>
        <v>手で金曜日に</v>
      </c>
      <c r="F661" s="1" t="str">
        <f ca="1">IFERROR(__xludf.DUMMYFUNCTION("GOOGLETRANSLATE(B661,""en"",""fr"")"),"Qté dans la main")</f>
        <v>Qté dans la main</v>
      </c>
    </row>
    <row r="662" spans="1:6" ht="15.75" customHeight="1" x14ac:dyDescent="0.25">
      <c r="A662" s="1" t="s">
        <v>1243</v>
      </c>
      <c r="B662" s="1" t="s">
        <v>1244</v>
      </c>
      <c r="C662" s="1" t="str">
        <f ca="1">IFERROR(__xludf.DUMMYFUNCTION("GOOGLETRANSLATE(B662,""en"",""ar"")"),"تفاصيل المنتج")</f>
        <v>تفاصيل المنتج</v>
      </c>
      <c r="D662" s="1" t="str">
        <f ca="1">IFERROR(__xludf.DUMMYFUNCTION("GOOGLETRANSLATE(B662,""en"",""zh-CN"")"),"产品详情")</f>
        <v>产品详情</v>
      </c>
      <c r="E662" s="1" t="str">
        <f ca="1">IFERROR(__xludf.DUMMYFUNCTION("GOOGLETRANSLATE(B662,""en"",""ja"")"),"製品詳細")</f>
        <v>製品詳細</v>
      </c>
      <c r="F662" s="1" t="str">
        <f ca="1">IFERROR(__xludf.DUMMYFUNCTION("GOOGLETRANSLATE(B662,""en"",""fr"")"),"détails du produit")</f>
        <v>détails du produit</v>
      </c>
    </row>
    <row r="663" spans="1:6" ht="15.75" customHeight="1" x14ac:dyDescent="0.25">
      <c r="A663" s="1" t="s">
        <v>1245</v>
      </c>
      <c r="B663" s="1" t="s">
        <v>1246</v>
      </c>
      <c r="C663" s="1" t="str">
        <f ca="1">IFERROR(__xludf.DUMMYFUNCTION("GOOGLETRANSLATE(B663,""en"",""ar"")"),"معاملة استرداد النقود ناجحة")</f>
        <v>معاملة استرداد النقود ناجحة</v>
      </c>
      <c r="D663" s="1" t="str">
        <f ca="1">IFERROR(__xludf.DUMMYFUNCTION("GOOGLETRANSLATE(B663,""en"",""zh-CN"")"),"现金退款交易成功")</f>
        <v>现金退款交易成功</v>
      </c>
      <c r="E663" s="1" t="str">
        <f ca="1">IFERROR(__xludf.DUMMYFUNCTION("GOOGLETRANSLATE(B663,""en"",""ja"")"),"現金払い戻し取引は成功しました")</f>
        <v>現金払い戻し取引は成功しました</v>
      </c>
      <c r="F663" s="1" t="str">
        <f ca="1">IFERROR(__xludf.DUMMYFUNCTION("GOOGLETRANSLATE(B663,""en"",""fr"")"),"La transaction de remboursement de trésorerie réussit")</f>
        <v>La transaction de remboursement de trésorerie réussit</v>
      </c>
    </row>
    <row r="664" spans="1:6" ht="15.75" customHeight="1" x14ac:dyDescent="0.25">
      <c r="A664" s="1" t="s">
        <v>1247</v>
      </c>
      <c r="B664" s="1" t="s">
        <v>1222</v>
      </c>
      <c r="C664" s="1" t="str">
        <f ca="1">IFERROR(__xludf.DUMMYFUNCTION("GOOGLETRANSLATE(B664,""en"",""ar"")"),"يعيد")</f>
        <v>يعيد</v>
      </c>
      <c r="D664" s="1" t="str">
        <f ca="1">IFERROR(__xludf.DUMMYFUNCTION("GOOGLETRANSLATE(B664,""en"",""zh-CN"")"),"恢复")</f>
        <v>恢复</v>
      </c>
      <c r="E664" s="1" t="str">
        <f ca="1">IFERROR(__xludf.DUMMYFUNCTION("GOOGLETRANSLATE(B664,""en"",""ja"")"),"戻す")</f>
        <v>戻す</v>
      </c>
      <c r="F664" s="1" t="str">
        <f ca="1">IFERROR(__xludf.DUMMYFUNCTION("GOOGLETRANSLATE(B664,""en"",""fr"")"),"Restaurer")</f>
        <v>Restaurer</v>
      </c>
    </row>
    <row r="665" spans="1:6" ht="15.75" customHeight="1" x14ac:dyDescent="0.25">
      <c r="A665" s="1" t="s">
        <v>1248</v>
      </c>
      <c r="B665" s="1" t="s">
        <v>1249</v>
      </c>
      <c r="C665" s="1" t="str">
        <f ca="1">IFERROR(__xludf.DUMMYFUNCTION("GOOGLETRANSLATE(B665,""en"",""ar"")"),"لا يوجد أي نقطة استعادة المتاحة")</f>
        <v>لا يوجد أي نقطة استعادة المتاحة</v>
      </c>
      <c r="D665" s="1" t="str">
        <f ca="1">IFERROR(__xludf.DUMMYFUNCTION("GOOGLETRANSLATE(B665,""en"",""zh-CN"")"),"没有任何恢复点可用")</f>
        <v>没有任何恢复点可用</v>
      </c>
      <c r="E665" s="1" t="str">
        <f ca="1">IFERROR(__xludf.DUMMYFUNCTION("GOOGLETRANSLATE(B665,""en"",""ja"")"),"利用可能な復元ポイントはありません")</f>
        <v>利用可能な復元ポイントはありません</v>
      </c>
      <c r="F665" s="1" t="str">
        <f ca="1">IFERROR(__xludf.DUMMYFUNCTION("GOOGLETRANSLATE(B665,""en"",""fr"")"),"Il n'y a pas de point de restauration disponible")</f>
        <v>Il n'y a pas de point de restauration disponible</v>
      </c>
    </row>
    <row r="666" spans="1:6" ht="15.75" customHeight="1" x14ac:dyDescent="0.25">
      <c r="A666" s="1" t="s">
        <v>1250</v>
      </c>
      <c r="B666" s="1" t="s">
        <v>1251</v>
      </c>
      <c r="C666" s="1" t="str">
        <f ca="1">IFERROR(__xludf.DUMMYFUNCTION("GOOGLETRANSLATE(B666,""en"",""ar"")"),"نقاط النسخ الاحتياطي اليومي الأخيرة")</f>
        <v>نقاط النسخ الاحتياطي اليومي الأخيرة</v>
      </c>
      <c r="D666" s="1" t="str">
        <f ca="1">IFERROR(__xludf.DUMMYFUNCTION("GOOGLETRANSLATE(B666,""en"",""zh-CN"")"),"最近的每日备份点")</f>
        <v>最近的每日备份点</v>
      </c>
      <c r="E666" s="1" t="str">
        <f ca="1">IFERROR(__xludf.DUMMYFUNCTION("GOOGLETRANSLATE(B666,""en"",""ja"")"),"最近の毎日のバックアップポイント")</f>
        <v>最近の毎日のバックアップポイント</v>
      </c>
      <c r="F666" s="1" t="str">
        <f ca="1">IFERROR(__xludf.DUMMYFUNCTION("GOOGLETRANSLATE(B666,""en"",""fr"")"),"Points de sauvegarde quotidiens récents")</f>
        <v>Points de sauvegarde quotidiens récents</v>
      </c>
    </row>
    <row r="667" spans="1:6" ht="15.75" customHeight="1" x14ac:dyDescent="0.25">
      <c r="A667" s="1" t="s">
        <v>1252</v>
      </c>
      <c r="B667" s="1" t="s">
        <v>1253</v>
      </c>
      <c r="C667" s="1" t="str">
        <f ca="1">IFERROR(__xludf.DUMMYFUNCTION("GOOGLETRANSLATE(B667,""en"",""ar"")"),"تحميل مرة أخرى")</f>
        <v>تحميل مرة أخرى</v>
      </c>
      <c r="D667" s="1" t="str">
        <f ca="1">IFERROR(__xludf.DUMMYFUNCTION("GOOGLETRANSLATE(B667,""en"",""zh-CN"")"),"重载")</f>
        <v>重载</v>
      </c>
      <c r="E667" s="1" t="str">
        <f ca="1">IFERROR(__xludf.DUMMYFUNCTION("GOOGLETRANSLATE(B667,""en"",""ja"")"),"再び荷重してください")</f>
        <v>再び荷重してください</v>
      </c>
      <c r="F667" s="1" t="str">
        <f ca="1">IFERROR(__xludf.DUMMYFUNCTION("GOOGLETRANSLATE(B667,""en"",""fr"")"),"Charger à nouveau")</f>
        <v>Charger à nouveau</v>
      </c>
    </row>
    <row r="668" spans="1:6" ht="15.75" customHeight="1" x14ac:dyDescent="0.25">
      <c r="A668" s="1" t="s">
        <v>1254</v>
      </c>
      <c r="B668" s="1" t="s">
        <v>1255</v>
      </c>
      <c r="C668" s="1" t="str">
        <f ca="1">IFERROR(__xludf.DUMMYFUNCTION("GOOGLETRANSLATE(B668,""en"",""ar"")"),"يرجى تحديد العنصر (العناصر)")</f>
        <v>يرجى تحديد العنصر (العناصر)</v>
      </c>
      <c r="D668" s="1" t="str">
        <f ca="1">IFERROR(__xludf.DUMMYFUNCTION("GOOGLETRANSLATE(B668,""en"",""zh-CN"")"),"请选择项目")</f>
        <v>请选择项目</v>
      </c>
      <c r="E668" s="1" t="str">
        <f ca="1">IFERROR(__xludf.DUMMYFUNCTION("GOOGLETRANSLATE(B668,""en"",""ja"")"),"アイテムを選択してください")</f>
        <v>アイテムを選択してください</v>
      </c>
      <c r="F668" s="1" t="str">
        <f ca="1">IFERROR(__xludf.DUMMYFUNCTION("GOOGLETRANSLATE(B668,""en"",""fr"")"),"Veuillez sélectionner l'élément (s)")</f>
        <v>Veuillez sélectionner l'élément (s)</v>
      </c>
    </row>
    <row r="669" spans="1:6" ht="15.75" customHeight="1" x14ac:dyDescent="0.25">
      <c r="A669" s="1" t="s">
        <v>1256</v>
      </c>
      <c r="B669" s="1" t="s">
        <v>1257</v>
      </c>
      <c r="C669" s="1" t="str">
        <f ca="1">IFERROR(__xludf.DUMMYFUNCTION("GOOGLETRANSLATE(B669,""en"",""ar"")"),"استعادة ناجحة")</f>
        <v>استعادة ناجحة</v>
      </c>
      <c r="D669" s="1" t="str">
        <f ca="1">IFERROR(__xludf.DUMMYFUNCTION("GOOGLETRANSLATE(B669,""en"",""zh-CN"")"),"恢复成功")</f>
        <v>恢复成功</v>
      </c>
      <c r="E669" s="1" t="str">
        <f ca="1">IFERROR(__xludf.DUMMYFUNCTION("GOOGLETRANSLATE(B669,""en"",""ja"")"),"復元は成功しました")</f>
        <v>復元は成功しました</v>
      </c>
      <c r="F669" s="1" t="str">
        <f ca="1">IFERROR(__xludf.DUMMYFUNCTION("GOOGLETRANSLATE(B669,""en"",""fr"")"),"La restauration réussit")</f>
        <v>La restauration réussit</v>
      </c>
    </row>
    <row r="670" spans="1:6" ht="15.75" customHeight="1" x14ac:dyDescent="0.25">
      <c r="A670" s="1" t="s">
        <v>1258</v>
      </c>
      <c r="B670" s="1" t="s">
        <v>1259</v>
      </c>
      <c r="C670" s="1" t="str">
        <f ca="1">IFERROR(__xludf.DUMMYFUNCTION("GOOGLETRANSLATE(B670,""en"",""ar"")"),"استعادة غير ناجحة")</f>
        <v>استعادة غير ناجحة</v>
      </c>
      <c r="D670" s="1" t="str">
        <f ca="1">IFERROR(__xludf.DUMMYFUNCTION("GOOGLETRANSLATE(B670,""en"",""zh-CN"")"),"恢复不成功")</f>
        <v>恢复不成功</v>
      </c>
      <c r="E670" s="1" t="str">
        <f ca="1">IFERROR(__xludf.DUMMYFUNCTION("GOOGLETRANSLATE(B670,""en"",""ja"")"),"復元は失敗しました")</f>
        <v>復元は失敗しました</v>
      </c>
      <c r="F670" s="1" t="str">
        <f ca="1">IFERROR(__xludf.DUMMYFUNCTION("GOOGLETRANSLATE(B670,""en"",""fr"")"),"La restauration est infructueuse")</f>
        <v>La restauration est infructueuse</v>
      </c>
    </row>
    <row r="671" spans="1:6" ht="15.75" customHeight="1" x14ac:dyDescent="0.25">
      <c r="A671" s="1" t="s">
        <v>1260</v>
      </c>
      <c r="B671" s="1" t="s">
        <v>1261</v>
      </c>
      <c r="C671" s="1" t="str">
        <f ca="1">IFERROR(__xludf.DUMMYFUNCTION("GOOGLETRANSLATE(B671,""en"",""ar"")"),"هل أنت متأكد أنك تريد إلغاء جميع المدفوعات؟")</f>
        <v>هل أنت متأكد أنك تريد إلغاء جميع المدفوعات؟</v>
      </c>
      <c r="D671" s="1" t="str">
        <f ca="1">IFERROR(__xludf.DUMMYFUNCTION("GOOGLETRANSLATE(B671,""en"",""zh-CN"")"),"您确定要取消所有付款吗？")</f>
        <v>您确定要取消所有付款吗？</v>
      </c>
      <c r="E671" s="1" t="str">
        <f ca="1">IFERROR(__xludf.DUMMYFUNCTION("GOOGLETRANSLATE(B671,""en"",""ja"")"),"あなたはすべての支払いをキャンセルしたいと思いますか？")</f>
        <v>あなたはすべての支払いをキャンセルしたいと思いますか？</v>
      </c>
      <c r="F671" s="1" t="str">
        <f ca="1">IFERROR(__xludf.DUMMYFUNCTION("GOOGLETRANSLATE(B671,""en"",""fr"")"),"Êtes-vous sûr de vouloir annuler tous les paiements?")</f>
        <v>Êtes-vous sûr de vouloir annuler tous les paiements?</v>
      </c>
    </row>
    <row r="672" spans="1:6" ht="15.75" customHeight="1" x14ac:dyDescent="0.25">
      <c r="A672" s="1" t="s">
        <v>1262</v>
      </c>
      <c r="B672" s="1" t="s">
        <v>1263</v>
      </c>
      <c r="C672" s="1" t="str">
        <f ca="1">IFERROR(__xludf.DUMMYFUNCTION("GOOGLETRANSLATE(B672,""en"",""ar"")"),"الغاء الدفع")</f>
        <v>الغاء الدفع</v>
      </c>
      <c r="D672" s="1" t="str">
        <f ca="1">IFERROR(__xludf.DUMMYFUNCTION("GOOGLETRANSLATE(B672,""en"",""zh-CN"")"),"取消付款")</f>
        <v>取消付款</v>
      </c>
      <c r="E672" s="1" t="str">
        <f ca="1">IFERROR(__xludf.DUMMYFUNCTION("GOOGLETRANSLATE(B672,""en"",""ja"")"),"支払いをキャンセルします")</f>
        <v>支払いをキャンセルします</v>
      </c>
      <c r="F672" s="1" t="str">
        <f ca="1">IFERROR(__xludf.DUMMYFUNCTION("GOOGLETRANSLATE(B672,""en"",""fr"")"),"Annuler le paiement")</f>
        <v>Annuler le paiement</v>
      </c>
    </row>
    <row r="673" spans="1:6" ht="15.75" customHeight="1" x14ac:dyDescent="0.25">
      <c r="A673" s="1" t="s">
        <v>1264</v>
      </c>
      <c r="B673" s="1" t="s">
        <v>1265</v>
      </c>
      <c r="C673" s="1" t="str">
        <f ca="1">IFERROR(__xludf.DUMMYFUNCTION("GOOGLETRANSLATE(B673,""en"",""ar"")"),"استرداد النقود أكبر من المجموع الكبرى")</f>
        <v>استرداد النقود أكبر من المجموع الكبرى</v>
      </c>
      <c r="D673" s="1" t="str">
        <f ca="1">IFERROR(__xludf.DUMMYFUNCTION("GOOGLETRANSLATE(B673,""en"",""zh-CN"")"),"现金退款大于总计")</f>
        <v>现金退款大于总计</v>
      </c>
      <c r="E673" s="1" t="str">
        <f ca="1">IFERROR(__xludf.DUMMYFUNCTION("GOOGLETRANSLATE(B673,""en"",""ja"")"),"現金払い戻しは総計よりも大きいです")</f>
        <v>現金払い戻しは総計よりも大きいです</v>
      </c>
      <c r="F673" s="1" t="str">
        <f ca="1">IFERROR(__xludf.DUMMYFUNCTION("GOOGLETRANSLATE(B673,""en"",""fr"")"),"Remboursement de trésorerie est supérieur au total total")</f>
        <v>Remboursement de trésorerie est supérieur au total total</v>
      </c>
    </row>
    <row r="674" spans="1:6" ht="15.75" customHeight="1" x14ac:dyDescent="0.25">
      <c r="A674" s="1" t="s">
        <v>1266</v>
      </c>
      <c r="B674" s="1" t="s">
        <v>1267</v>
      </c>
      <c r="C674" s="1" t="str">
        <f ca="1">IFERROR(__xludf.DUMMYFUNCTION("GOOGLETRANSLATE(B674,""en"",""ar"")"),"قيمة مذكرة الائتمان أكبر من المجموع الكبرى")</f>
        <v>قيمة مذكرة الائتمان أكبر من المجموع الكبرى</v>
      </c>
      <c r="D674" s="1" t="str">
        <f ca="1">IFERROR(__xludf.DUMMYFUNCTION("GOOGLETRANSLATE(B674,""en"",""zh-CN"")"),"信用备注值大于总计")</f>
        <v>信用备注值大于总计</v>
      </c>
      <c r="E674" s="1" t="str">
        <f ca="1">IFERROR(__xludf.DUMMYFUNCTION("GOOGLETRANSLATE(B674,""en"",""ja"")"),"クレジットノート値はGrand Totalよりも大きいです")</f>
        <v>クレジットノート値はGrand Totalよりも大きいです</v>
      </c>
      <c r="F674" s="1" t="str">
        <f ca="1">IFERROR(__xludf.DUMMYFUNCTION("GOOGLETRANSLATE(B674,""en"",""fr"")"),"La valeur de la note de crédit est supérieure au total total")</f>
        <v>La valeur de la note de crédit est supérieure au total total</v>
      </c>
    </row>
    <row r="675" spans="1:6" ht="15.75" customHeight="1" x14ac:dyDescent="0.25">
      <c r="A675" s="1" t="s">
        <v>1268</v>
      </c>
      <c r="B675" s="1" t="s">
        <v>1269</v>
      </c>
      <c r="C675" s="1" t="str">
        <f ca="1">IFERROR(__xludf.DUMMYFUNCTION("GOOGLETRANSLATE(B675,""en"",""ar"")"),"هل أنت متأكد أنك تريد استعادة النسخ الاحتياطي")</f>
        <v>هل أنت متأكد أنك تريد استعادة النسخ الاحتياطي</v>
      </c>
      <c r="D675" s="1" t="str">
        <f ca="1">IFERROR(__xludf.DUMMYFUNCTION("GOOGLETRANSLATE(B675,""en"",""zh-CN"")"),"您确定要还原备份")</f>
        <v>您确定要还原备份</v>
      </c>
      <c r="E675" s="1" t="str">
        <f ca="1">IFERROR(__xludf.DUMMYFUNCTION("GOOGLETRANSLATE(B675,""en"",""ja"")"),"バックアップを復元しますか？")</f>
        <v>バックアップを復元しますか？</v>
      </c>
      <c r="F675" s="1" t="str">
        <f ca="1">IFERROR(__xludf.DUMMYFUNCTION("GOOGLETRANSLATE(B675,""en"",""fr"")"),"Êtes-vous sûr de vouloir restaurer la sauvegarde")</f>
        <v>Êtes-vous sûr de vouloir restaurer la sauvegarde</v>
      </c>
    </row>
    <row r="676" spans="1:6" ht="15.75" customHeight="1" x14ac:dyDescent="0.25">
      <c r="A676" s="1" t="s">
        <v>1270</v>
      </c>
      <c r="B676" s="1" t="s">
        <v>1271</v>
      </c>
      <c r="C676" s="1" t="str">
        <f ca="1">IFERROR(__xludf.DUMMYFUNCTION("GOOGLETRANSLATE(B676,""en"",""ar"")"),"يرجى الانتظار استعادة تقدم ...")</f>
        <v>يرجى الانتظار استعادة تقدم ...</v>
      </c>
      <c r="D676" s="1" t="str">
        <f ca="1">IFERROR(__xludf.DUMMYFUNCTION("GOOGLETRANSLATE(B676,""en"",""zh-CN"")"),"请等待恢复正在进行......")</f>
        <v>请等待恢复正在进行......</v>
      </c>
      <c r="E676" s="1" t="str">
        <f ca="1">IFERROR(__xludf.DUMMYFUNCTION("GOOGLETRANSLATE(B676,""en"",""ja"")"),"復元が進んでいるのを待ってください...")</f>
        <v>復元が進んでいるのを待ってください...</v>
      </c>
      <c r="F676" s="1" t="str">
        <f ca="1">IFERROR(__xludf.DUMMYFUNCTION("GOOGLETRANSLATE(B676,""en"",""fr"")"),"Veuillez patienter la restauration progresse ...")</f>
        <v>Veuillez patienter la restauration progresse ...</v>
      </c>
    </row>
    <row r="677" spans="1:6" ht="15.75" customHeight="1" x14ac:dyDescent="0.25">
      <c r="A677" s="1" t="s">
        <v>1272</v>
      </c>
      <c r="B677" s="1" t="s">
        <v>1273</v>
      </c>
      <c r="C677" s="1" t="str">
        <f ca="1">IFERROR(__xludf.DUMMYFUNCTION("GOOGLETRANSLATE(B677,""en"",""ar"")"),"نوع تقرير الإيرادات")</f>
        <v>نوع تقرير الإيرادات</v>
      </c>
      <c r="D677" s="1" t="str">
        <f ca="1">IFERROR(__xludf.DUMMYFUNCTION("GOOGLETRANSLATE(B677,""en"",""zh-CN"")"),"收入报告类型")</f>
        <v>收入报告类型</v>
      </c>
      <c r="E677" s="1" t="str">
        <f ca="1">IFERROR(__xludf.DUMMYFUNCTION("GOOGLETRANSLATE(B677,""en"",""ja"")"),"収益報告タイプ")</f>
        <v>収益報告タイプ</v>
      </c>
      <c r="F677" s="1" t="str">
        <f ca="1">IFERROR(__xludf.DUMMYFUNCTION("GOOGLETRANSLATE(B677,""en"",""fr"")"),"Type de rapport de revenus")</f>
        <v>Type de rapport de revenus</v>
      </c>
    </row>
    <row r="678" spans="1:6" ht="15.75" customHeight="1" x14ac:dyDescent="0.25">
      <c r="A678" s="1" t="s">
        <v>1274</v>
      </c>
      <c r="B678" s="1" t="s">
        <v>968</v>
      </c>
      <c r="C678" s="1" t="str">
        <f ca="1">IFERROR(__xludf.DUMMYFUNCTION("GOOGLETRANSLATE(B678,""en"",""ar"")"),"إجمالي المبيعات")</f>
        <v>إجمالي المبيعات</v>
      </c>
      <c r="D678" s="1" t="str">
        <f ca="1">IFERROR(__xludf.DUMMYFUNCTION("GOOGLETRANSLATE(B678,""en"",""zh-CN"")"),"总销售额")</f>
        <v>总销售额</v>
      </c>
      <c r="E678" s="1" t="str">
        <f ca="1">IFERROR(__xludf.DUMMYFUNCTION("GOOGLETRANSLATE(B678,""en"",""ja"")"),"総売上高")</f>
        <v>総売上高</v>
      </c>
      <c r="F678" s="1" t="str">
        <f ca="1">IFERROR(__xludf.DUMMYFUNCTION("GOOGLETRANSLATE(B678,""en"",""fr"")"),"Ventes totales")</f>
        <v>Ventes totales</v>
      </c>
    </row>
    <row r="679" spans="1:6" ht="15.75" customHeight="1" x14ac:dyDescent="0.25">
      <c r="A679" s="1" t="s">
        <v>1275</v>
      </c>
      <c r="B679" s="1" t="s">
        <v>1276</v>
      </c>
      <c r="C679" s="1" t="str">
        <f ca="1">IFERROR(__xludf.DUMMYFUNCTION("GOOGLETRANSLATE(B679,""en"",""ar"")"),"الكلفة الاجماليه")</f>
        <v>الكلفة الاجماليه</v>
      </c>
      <c r="D679" s="1" t="str">
        <f ca="1">IFERROR(__xludf.DUMMYFUNCTION("GOOGLETRANSLATE(B679,""en"",""zh-CN"")"),"总费用")</f>
        <v>总费用</v>
      </c>
      <c r="E679" s="1" t="str">
        <f ca="1">IFERROR(__xludf.DUMMYFUNCTION("GOOGLETRANSLATE(B679,""en"",""ja"")"),"総料金")</f>
        <v>総料金</v>
      </c>
      <c r="F679" s="1" t="str">
        <f ca="1">IFERROR(__xludf.DUMMYFUNCTION("GOOGLETRANSLATE(B679,""en"",""fr"")"),"Charges totales")</f>
        <v>Charges totales</v>
      </c>
    </row>
    <row r="680" spans="1:6" ht="15.75" customHeight="1" x14ac:dyDescent="0.25">
      <c r="A680" s="1" t="s">
        <v>1277</v>
      </c>
      <c r="B680" s="1" t="s">
        <v>221</v>
      </c>
      <c r="C680" s="1" t="str">
        <f ca="1">IFERROR(__xludf.DUMMYFUNCTION("GOOGLETRANSLATE(B680,""en"",""ar"")"),"مجموع الضريبة")</f>
        <v>مجموع الضريبة</v>
      </c>
      <c r="D680" s="1" t="str">
        <f ca="1">IFERROR(__xludf.DUMMYFUNCTION("GOOGLETRANSLATE(B680,""en"",""zh-CN"")"),"总税收")</f>
        <v>总税收</v>
      </c>
      <c r="E680" s="1" t="str">
        <f ca="1">IFERROR(__xludf.DUMMYFUNCTION("GOOGLETRANSLATE(B680,""en"",""ja"")"),"総税")</f>
        <v>総税</v>
      </c>
      <c r="F680" s="1" t="str">
        <f ca="1">IFERROR(__xludf.DUMMYFUNCTION("GOOGLETRANSLATE(B680,""en"",""fr"")"),"Taxe total")</f>
        <v>Taxe total</v>
      </c>
    </row>
    <row r="681" spans="1:6" ht="15.75" customHeight="1" x14ac:dyDescent="0.25">
      <c r="A681" s="1" t="s">
        <v>1278</v>
      </c>
      <c r="B681" s="1" t="s">
        <v>1279</v>
      </c>
      <c r="C681" s="1" t="str">
        <f ca="1">IFERROR(__xludf.DUMMYFUNCTION("GOOGLETRANSLATE(B681,""en"",""ar"")"),"خذني للإبلاغ")</f>
        <v>خذني للإبلاغ</v>
      </c>
      <c r="D681" s="1" t="str">
        <f ca="1">IFERROR(__xludf.DUMMYFUNCTION("GOOGLETRANSLATE(B681,""en"",""zh-CN"")"),"带我来报告")</f>
        <v>带我来报告</v>
      </c>
      <c r="E681" s="1" t="str">
        <f ca="1">IFERROR(__xludf.DUMMYFUNCTION("GOOGLETRANSLATE(B681,""en"",""ja"")"),"報告するように連れて行きます")</f>
        <v>報告するように連れて行きます</v>
      </c>
      <c r="F681" s="1" t="str">
        <f ca="1">IFERROR(__xludf.DUMMYFUNCTION("GOOGLETRANSLATE(B681,""en"",""fr"")"),"Emmène-moi pour signaler")</f>
        <v>Emmène-moi pour signaler</v>
      </c>
    </row>
    <row r="682" spans="1:6" ht="15.75" customHeight="1" x14ac:dyDescent="0.25">
      <c r="A682" s="1" t="s">
        <v>1280</v>
      </c>
      <c r="B682" s="1" t="s">
        <v>1281</v>
      </c>
      <c r="C682" s="1" t="str">
        <f ca="1">IFERROR(__xludf.DUMMYFUNCTION("GOOGLETRANSLATE(B682,""en"",""ar"")"),"تقرير نقدي")</f>
        <v>تقرير نقدي</v>
      </c>
      <c r="D682" s="1" t="str">
        <f ca="1">IFERROR(__xludf.DUMMYFUNCTION("GOOGLETRANSLATE(B682,""en"",""zh-CN"")"),"现金报告")</f>
        <v>现金报告</v>
      </c>
      <c r="E682" s="1" t="str">
        <f ca="1">IFERROR(__xludf.DUMMYFUNCTION("GOOGLETRANSLATE(B682,""en"",""ja"")"),"現金レポート")</f>
        <v>現金レポート</v>
      </c>
      <c r="F682" s="1" t="str">
        <f ca="1">IFERROR(__xludf.DUMMYFUNCTION("GOOGLETRANSLATE(B682,""en"",""fr"")"),"Rapport en espèces")</f>
        <v>Rapport en espèces</v>
      </c>
    </row>
    <row r="683" spans="1:6" ht="15.75" customHeight="1" x14ac:dyDescent="0.25">
      <c r="A683" s="1" t="s">
        <v>1282</v>
      </c>
      <c r="B683" s="1" t="s">
        <v>1283</v>
      </c>
      <c r="C683" s="1" t="str">
        <f ca="1">IFERROR(__xludf.DUMMYFUNCTION("GOOGLETRANSLATE(B683,""en"",""ar"")"),"تطهير البيانات تفشل!")</f>
        <v>تطهير البيانات تفشل!</v>
      </c>
      <c r="D683" s="1" t="str">
        <f ca="1">IFERROR(__xludf.DUMMYFUNCTION("GOOGLETRANSLATE(B683,""en"",""zh-CN"")"),"数据清除失败！")</f>
        <v>数据清除失败！</v>
      </c>
      <c r="E683" s="1" t="str">
        <f ca="1">IFERROR(__xludf.DUMMYFUNCTION("GOOGLETRANSLATE(B683,""en"",""ja"")"),"データクリアは失敗します。")</f>
        <v>データクリアは失敗します。</v>
      </c>
      <c r="F683" s="1" t="str">
        <f ca="1">IFERROR(__xludf.DUMMYFUNCTION("GOOGLETRANSLATE(B683,""en"",""fr"")"),"L'échange de données est échoué!")</f>
        <v>L'échange de données est échoué!</v>
      </c>
    </row>
    <row r="684" spans="1:6" ht="15.75" customHeight="1" x14ac:dyDescent="0.25">
      <c r="A684" s="1" t="s">
        <v>1284</v>
      </c>
      <c r="B684" s="1" t="s">
        <v>1285</v>
      </c>
      <c r="C684" s="1" t="str">
        <f ca="1">IFERROR(__xludf.DUMMYFUNCTION("GOOGLETRANSLATE(B684,""en"",""ar"")"),"مفتاح الترخيص الخاص بك هو")</f>
        <v>مفتاح الترخيص الخاص بك هو</v>
      </c>
      <c r="D684" s="1" t="str">
        <f ca="1">IFERROR(__xludf.DUMMYFUNCTION("GOOGLETRANSLATE(B684,""en"",""zh-CN"")"),"您的许可证密钥是")</f>
        <v>您的许可证密钥是</v>
      </c>
      <c r="E684" s="1" t="str">
        <f ca="1">IFERROR(__xludf.DUMMYFUNCTION("GOOGLETRANSLATE(B684,""en"",""ja"")"),"あなたのライセンスキーです")</f>
        <v>あなたのライセンスキーです</v>
      </c>
      <c r="F684" s="1" t="str">
        <f ca="1">IFERROR(__xludf.DUMMYFUNCTION("GOOGLETRANSLATE(B684,""en"",""fr"")"),"Votre clé de licence est")</f>
        <v>Votre clé de licence est</v>
      </c>
    </row>
    <row r="685" spans="1:6" ht="15.75" customHeight="1" x14ac:dyDescent="0.25">
      <c r="A685" s="1" t="s">
        <v>1286</v>
      </c>
      <c r="B685" s="1" t="s">
        <v>1287</v>
      </c>
      <c r="C685" s="1" t="str">
        <f ca="1">IFERROR(__xludf.DUMMYFUNCTION("GOOGLETRANSLATE(B685,""en"",""ar"")"),"إضافة طابعة")</f>
        <v>إضافة طابعة</v>
      </c>
      <c r="D685" s="1" t="str">
        <f ca="1">IFERROR(__xludf.DUMMYFUNCTION("GOOGLETRANSLATE(B685,""en"",""zh-CN"")"),"添加打印机")</f>
        <v>添加打印机</v>
      </c>
      <c r="E685" s="1" t="str">
        <f ca="1">IFERROR(__xludf.DUMMYFUNCTION("GOOGLETRANSLATE(B685,""en"",""ja"")"),"プリンタを追加します")</f>
        <v>プリンタを追加します</v>
      </c>
      <c r="F685" s="1" t="str">
        <f ca="1">IFERROR(__xludf.DUMMYFUNCTION("GOOGLETRANSLATE(B685,""en"",""fr"")"),"Ajouter une imprimante")</f>
        <v>Ajouter une imprimante</v>
      </c>
    </row>
    <row r="686" spans="1:6" ht="15.75" customHeight="1" x14ac:dyDescent="0.25">
      <c r="A686" s="1" t="s">
        <v>1288</v>
      </c>
      <c r="B686" s="1" t="s">
        <v>570</v>
      </c>
      <c r="C686" s="1" t="str">
        <f ca="1">IFERROR(__xludf.DUMMYFUNCTION("GOOGLETRANSLATE(B686,""en"",""ar"")"),"طابعة نموذج")</f>
        <v>طابعة نموذج</v>
      </c>
      <c r="D686" s="1" t="str">
        <f ca="1">IFERROR(__xludf.DUMMYFUNCTION("GOOGLETRANSLATE(B686,""en"",""zh-CN"")"),"打印机型号")</f>
        <v>打印机型号</v>
      </c>
      <c r="E686" s="1" t="str">
        <f ca="1">IFERROR(__xludf.DUMMYFUNCTION("GOOGLETRANSLATE(B686,""en"",""ja"")"),"プリンタモデル")</f>
        <v>プリンタモデル</v>
      </c>
      <c r="F686" s="1" t="str">
        <f ca="1">IFERROR(__xludf.DUMMYFUNCTION("GOOGLETRANSLATE(B686,""en"",""fr"")"),"Modèle d'imprimante")</f>
        <v>Modèle d'imprimante</v>
      </c>
    </row>
    <row r="687" spans="1:6" ht="15.75" customHeight="1" x14ac:dyDescent="0.25">
      <c r="A687" s="1" t="s">
        <v>1289</v>
      </c>
      <c r="B687" s="1" t="s">
        <v>1290</v>
      </c>
      <c r="C687" s="1" t="str">
        <f ca="1">IFERROR(__xludf.DUMMYFUNCTION("GOOGLETRANSLATE(B687,""en"",""ar"")"),"نوع الطابعة")</f>
        <v>نوع الطابعة</v>
      </c>
      <c r="D687" s="1" t="str">
        <f ca="1">IFERROR(__xludf.DUMMYFUNCTION("GOOGLETRANSLATE(B687,""en"",""zh-CN"")"),"打印机类型")</f>
        <v>打印机类型</v>
      </c>
      <c r="E687" s="1" t="str">
        <f ca="1">IFERROR(__xludf.DUMMYFUNCTION("GOOGLETRANSLATE(B687,""en"",""ja"")"),"プリンタの種類")</f>
        <v>プリンタの種類</v>
      </c>
      <c r="F687" s="1" t="str">
        <f ca="1">IFERROR(__xludf.DUMMYFUNCTION("GOOGLETRANSLATE(B687,""en"",""fr"")"),"Type d'imprimante")</f>
        <v>Type d'imprimante</v>
      </c>
    </row>
    <row r="688" spans="1:6" ht="15.75" customHeight="1" x14ac:dyDescent="0.25">
      <c r="A688" s="1" t="s">
        <v>1291</v>
      </c>
      <c r="B688" s="1" t="s">
        <v>1292</v>
      </c>
      <c r="C688" s="1" t="str">
        <f ca="1">IFERROR(__xludf.DUMMYFUNCTION("GOOGLETRANSLATE(B688,""en"",""ar"")"),"وضع اتصال")</f>
        <v>وضع اتصال</v>
      </c>
      <c r="D688" s="1" t="str">
        <f ca="1">IFERROR(__xludf.DUMMYFUNCTION("GOOGLETRANSLATE(B688,""en"",""zh-CN"")"),"连接模式")</f>
        <v>连接模式</v>
      </c>
      <c r="E688" s="1" t="str">
        <f ca="1">IFERROR(__xludf.DUMMYFUNCTION("GOOGLETRANSLATE(B688,""en"",""ja"")"),"接続モード")</f>
        <v>接続モード</v>
      </c>
      <c r="F688" s="1" t="str">
        <f ca="1">IFERROR(__xludf.DUMMYFUNCTION("GOOGLETRANSLATE(B688,""en"",""fr"")"),"Mode de connexion")</f>
        <v>Mode de connexion</v>
      </c>
    </row>
    <row r="689" spans="1:6" ht="15.75" customHeight="1" x14ac:dyDescent="0.25">
      <c r="A689" s="1" t="s">
        <v>1293</v>
      </c>
      <c r="B689" s="1" t="s">
        <v>1294</v>
      </c>
      <c r="C689" s="1" t="str">
        <f ca="1">IFERROR(__xludf.DUMMYFUNCTION("GOOGLETRANSLATE(B689,""en"",""ar"")"),"جهاز")</f>
        <v>جهاز</v>
      </c>
      <c r="D689" s="1" t="str">
        <f ca="1">IFERROR(__xludf.DUMMYFUNCTION("GOOGLETRANSLATE(B689,""en"",""zh-CN"")"),"设备")</f>
        <v>设备</v>
      </c>
      <c r="E689" s="1" t="str">
        <f ca="1">IFERROR(__xludf.DUMMYFUNCTION("GOOGLETRANSLATE(B689,""en"",""ja"")"),"端末")</f>
        <v>端末</v>
      </c>
      <c r="F689" s="1" t="str">
        <f ca="1">IFERROR(__xludf.DUMMYFUNCTION("GOOGLETRANSLATE(B689,""en"",""fr"")"),"Appareil")</f>
        <v>Appareil</v>
      </c>
    </row>
    <row r="690" spans="1:6" ht="15.75" customHeight="1" x14ac:dyDescent="0.25">
      <c r="A690" s="1" t="s">
        <v>1295</v>
      </c>
      <c r="B690" s="1" t="s">
        <v>1147</v>
      </c>
      <c r="C690" s="1" t="str">
        <f ca="1">IFERROR(__xludf.DUMMYFUNCTION("GOOGLETRANSLATE(B690,""en"",""ar"")"),"حالة")</f>
        <v>حالة</v>
      </c>
      <c r="D690" s="1" t="str">
        <f ca="1">IFERROR(__xludf.DUMMYFUNCTION("GOOGLETRANSLATE(B690,""en"",""zh-CN"")"),"地位")</f>
        <v>地位</v>
      </c>
      <c r="E690" s="1" t="str">
        <f ca="1">IFERROR(__xludf.DUMMYFUNCTION("GOOGLETRANSLATE(B690,""en"",""ja"")"),"状態")</f>
        <v>状態</v>
      </c>
      <c r="F690" s="1" t="str">
        <f ca="1">IFERROR(__xludf.DUMMYFUNCTION("GOOGLETRANSLATE(B690,""en"",""fr"")"),"Statut")</f>
        <v>Statut</v>
      </c>
    </row>
    <row r="691" spans="1:6" ht="15.75" customHeight="1" x14ac:dyDescent="0.25">
      <c r="A691" s="1" t="s">
        <v>1296</v>
      </c>
      <c r="B691" s="1" t="s">
        <v>1297</v>
      </c>
      <c r="C691" s="1" t="str">
        <f ca="1">IFERROR(__xludf.DUMMYFUNCTION("GOOGLETRANSLATE(B691,""en"",""ar"")"),"بلوتوث غير مدعوم من هذا الجهاز")</f>
        <v>بلوتوث غير مدعوم من هذا الجهاز</v>
      </c>
      <c r="D691" s="1" t="str">
        <f ca="1">IFERROR(__xludf.DUMMYFUNCTION("GOOGLETRANSLATE(B691,""en"",""zh-CN"")"),"蓝牙不受此设备的支持")</f>
        <v>蓝牙不受此设备的支持</v>
      </c>
      <c r="E691" s="1" t="str">
        <f ca="1">IFERROR(__xludf.DUMMYFUNCTION("GOOGLETRANSLATE(B691,""en"",""ja"")"),"Bluetoothはこのデバイスによってサポートされていません")</f>
        <v>Bluetoothはこのデバイスによってサポートされていません</v>
      </c>
      <c r="F691" s="1" t="str">
        <f ca="1">IFERROR(__xludf.DUMMYFUNCTION("GOOGLETRANSLATE(B691,""en"",""fr"")"),"Bluetooth n'est pas pris en charge par cet appareil")</f>
        <v>Bluetooth n'est pas pris en charge par cet appareil</v>
      </c>
    </row>
    <row r="692" spans="1:6" ht="15.75" customHeight="1" x14ac:dyDescent="0.25">
      <c r="A692" s="1" t="s">
        <v>1298</v>
      </c>
      <c r="B692" s="1" t="s">
        <v>1299</v>
      </c>
      <c r="C692" s="1" t="str">
        <f ca="1">IFERROR(__xludf.DUMMYFUNCTION("GOOGLETRANSLATE(B692,""en"",""ar"")"),"لا توجد أجهزة للاتصال")</f>
        <v>لا توجد أجهزة للاتصال</v>
      </c>
      <c r="D692" s="1" t="str">
        <f ca="1">IFERROR(__xludf.DUMMYFUNCTION("GOOGLETRANSLATE(B692,""en"",""zh-CN"")"),"没有连接的设备")</f>
        <v>没有连接的设备</v>
      </c>
      <c r="E692" s="1" t="str">
        <f ca="1">IFERROR(__xludf.DUMMYFUNCTION("GOOGLETRANSLATE(B692,""en"",""ja"")"),"接続する機器はありません")</f>
        <v>接続する機器はありません</v>
      </c>
      <c r="F692" s="1" t="str">
        <f ca="1">IFERROR(__xludf.DUMMYFUNCTION("GOOGLETRANSLATE(B692,""en"",""fr"")"),"Aucun périphérique à connecter")</f>
        <v>Aucun périphérique à connecter</v>
      </c>
    </row>
    <row r="693" spans="1:6" ht="15.75" customHeight="1" x14ac:dyDescent="0.25">
      <c r="A693" s="1" t="s">
        <v>1300</v>
      </c>
      <c r="B693" s="1" t="s">
        <v>1301</v>
      </c>
      <c r="C693" s="1" t="str">
        <f ca="1">IFERROR(__xludf.DUMMYFUNCTION("GOOGLETRANSLATE(B693,""en"",""ar"")"),"تمكين الطابعة")</f>
        <v>تمكين الطابعة</v>
      </c>
      <c r="D693" s="1" t="str">
        <f ca="1">IFERROR(__xludf.DUMMYFUNCTION("GOOGLETRANSLATE(B693,""en"",""zh-CN"")"),"启用打印机")</f>
        <v>启用打印机</v>
      </c>
      <c r="E693" s="1" t="str">
        <f ca="1">IFERROR(__xludf.DUMMYFUNCTION("GOOGLETRANSLATE(B693,""en"",""ja"")"),"プリンタを有効にします")</f>
        <v>プリンタを有効にします</v>
      </c>
      <c r="F693" s="1" t="str">
        <f ca="1">IFERROR(__xludf.DUMMYFUNCTION("GOOGLETRANSLATE(B693,""en"",""fr"")"),"Activer l'imprimante")</f>
        <v>Activer l'imprimante</v>
      </c>
    </row>
    <row r="694" spans="1:6" ht="15.75" customHeight="1" x14ac:dyDescent="0.25">
      <c r="A694" s="1" t="s">
        <v>1302</v>
      </c>
      <c r="B694" s="1" t="s">
        <v>1303</v>
      </c>
      <c r="C694" s="1" t="str">
        <f ca="1">IFERROR(__xludf.DUMMYFUNCTION("GOOGLETRANSLATE(B694,""en"",""ar"")"),"هل أنت متأكد أنك تريد تمكين الطابعة؟")</f>
        <v>هل أنت متأكد أنك تريد تمكين الطابعة؟</v>
      </c>
      <c r="D694" s="1" t="str">
        <f ca="1">IFERROR(__xludf.DUMMYFUNCTION("GOOGLETRANSLATE(B694,""en"",""zh-CN"")"),"您确定要启用打印机吗？")</f>
        <v>您确定要启用打印机吗？</v>
      </c>
      <c r="E694" s="1" t="str">
        <f ca="1">IFERROR(__xludf.DUMMYFUNCTION("GOOGLETRANSLATE(B694,""en"",""ja"")"),"プリンタを有効にしてもよろしいですか？")</f>
        <v>プリンタを有効にしてもよろしいですか？</v>
      </c>
      <c r="F694" s="1" t="str">
        <f ca="1">IFERROR(__xludf.DUMMYFUNCTION("GOOGLETRANSLATE(B694,""en"",""fr"")"),"Êtes-vous sûr de vouloir activer l'imprimante?")</f>
        <v>Êtes-vous sûr de vouloir activer l'imprimante?</v>
      </c>
    </row>
    <row r="695" spans="1:6" ht="15.75" customHeight="1" x14ac:dyDescent="0.25">
      <c r="A695" s="1" t="s">
        <v>1304</v>
      </c>
      <c r="B695" s="1" t="s">
        <v>1305</v>
      </c>
      <c r="C695" s="1" t="str">
        <f ca="1">IFERROR(__xludf.DUMMYFUNCTION("GOOGLETRANSLATE(B695,""en"",""ar"")"),"تعطيل الطابعة")</f>
        <v>تعطيل الطابعة</v>
      </c>
      <c r="D695" s="1" t="str">
        <f ca="1">IFERROR(__xludf.DUMMYFUNCTION("GOOGLETRANSLATE(B695,""en"",""zh-CN"")"),"禁用打印机")</f>
        <v>禁用打印机</v>
      </c>
      <c r="E695" s="1" t="str">
        <f ca="1">IFERROR(__xludf.DUMMYFUNCTION("GOOGLETRANSLATE(B695,""en"",""ja"")"),"プリンタを無効にします")</f>
        <v>プリンタを無効にします</v>
      </c>
      <c r="F695" s="1" t="str">
        <f ca="1">IFERROR(__xludf.DUMMYFUNCTION("GOOGLETRANSLATE(B695,""en"",""fr"")"),"Désactiver l'imprimante")</f>
        <v>Désactiver l'imprimante</v>
      </c>
    </row>
    <row r="696" spans="1:6" ht="15.75" customHeight="1" x14ac:dyDescent="0.25">
      <c r="A696" s="1" t="s">
        <v>1306</v>
      </c>
      <c r="B696" s="1" t="s">
        <v>1307</v>
      </c>
      <c r="C696" s="1" t="str">
        <f ca="1">IFERROR(__xludf.DUMMYFUNCTION("GOOGLETRANSLATE(B696,""en"",""ar"")"),"هل أنت متأكد أنك تريد تعطيل الطابعة؟")</f>
        <v>هل أنت متأكد أنك تريد تعطيل الطابعة؟</v>
      </c>
      <c r="D696" s="1" t="str">
        <f ca="1">IFERROR(__xludf.DUMMYFUNCTION("GOOGLETRANSLATE(B696,""en"",""zh-CN"")"),"您确定要禁用打印机吗？")</f>
        <v>您确定要禁用打印机吗？</v>
      </c>
      <c r="E696" s="1" t="str">
        <f ca="1">IFERROR(__xludf.DUMMYFUNCTION("GOOGLETRANSLATE(B696,""en"",""ja"")"),"プリンタを無効にしてよろしいですか？")</f>
        <v>プリンタを無効にしてよろしいですか？</v>
      </c>
      <c r="F696" s="1" t="str">
        <f ca="1">IFERROR(__xludf.DUMMYFUNCTION("GOOGLETRANSLATE(B696,""en"",""fr"")"),"Êtes-vous sûr de vouloir désactiver l'imprimante?")</f>
        <v>Êtes-vous sûr de vouloir désactiver l'imprimante?</v>
      </c>
    </row>
    <row r="697" spans="1:6" ht="15.75" customHeight="1" x14ac:dyDescent="0.25">
      <c r="A697" s="1" t="s">
        <v>1308</v>
      </c>
      <c r="B697" s="1" t="s">
        <v>1309</v>
      </c>
      <c r="C697" s="1" t="str">
        <f ca="1">IFERROR(__xludf.DUMMYFUNCTION("GOOGLETRANSLATE(B697,""en"",""ar"")"),"الطابعات")</f>
        <v>الطابعات</v>
      </c>
      <c r="D697" s="1" t="str">
        <f ca="1">IFERROR(__xludf.DUMMYFUNCTION("GOOGLETRANSLATE(B697,""en"",""zh-CN"")"),"打印机")</f>
        <v>打印机</v>
      </c>
      <c r="E697" s="1" t="str">
        <f ca="1">IFERROR(__xludf.DUMMYFUNCTION("GOOGLETRANSLATE(B697,""en"",""ja"")"),"プリンタ")</f>
        <v>プリンタ</v>
      </c>
      <c r="F697" s="1" t="str">
        <f ca="1">IFERROR(__xludf.DUMMYFUNCTION("GOOGLETRANSLATE(B697,""en"",""fr"")"),"Imprimantes")</f>
        <v>Imprimantes</v>
      </c>
    </row>
    <row r="698" spans="1:6" ht="15.75" customHeight="1" x14ac:dyDescent="0.25">
      <c r="A698" s="1" t="s">
        <v>1310</v>
      </c>
      <c r="B698" s="1" t="s">
        <v>1311</v>
      </c>
      <c r="C698" s="1" t="str">
        <f ca="1">IFERROR(__xludf.DUMMYFUNCTION("GOOGLETRANSLATE(B698,""en"",""ar"")"),"جهاز يقترن")</f>
        <v>جهاز يقترن</v>
      </c>
      <c r="D698" s="1" t="str">
        <f ca="1">IFERROR(__xludf.DUMMYFUNCTION("GOOGLETRANSLATE(B698,""en"",""zh-CN"")"),"配对设备")</f>
        <v>配对设备</v>
      </c>
      <c r="E698" s="1" t="str">
        <f ca="1">IFERROR(__xludf.DUMMYFUNCTION("GOOGLETRANSLATE(B698,""en"",""ja"")"),"ペアデバイス")</f>
        <v>ペアデバイス</v>
      </c>
      <c r="F698" s="1" t="str">
        <f ca="1">IFERROR(__xludf.DUMMYFUNCTION("GOOGLETRANSLATE(B698,""en"",""fr"")"),"Appareil jumelé")</f>
        <v>Appareil jumelé</v>
      </c>
    </row>
    <row r="699" spans="1:6" ht="15.75" customHeight="1" x14ac:dyDescent="0.25">
      <c r="A699" s="1" t="s">
        <v>1312</v>
      </c>
      <c r="B699" s="1" t="s">
        <v>1313</v>
      </c>
      <c r="C699" s="1" t="str">
        <f ca="1">IFERROR(__xludf.DUMMYFUNCTION("GOOGLETRANSLATE(B699,""en"",""ar"")"),"عنوان IP")</f>
        <v>عنوان IP</v>
      </c>
      <c r="D699" s="1" t="str">
        <f ca="1">IFERROR(__xludf.DUMMYFUNCTION("GOOGLETRANSLATE(B699,""en"",""zh-CN"")"),"IP地址")</f>
        <v>IP地址</v>
      </c>
      <c r="E699" s="1" t="str">
        <f ca="1">IFERROR(__xludf.DUMMYFUNCTION("GOOGLETRANSLATE(B699,""en"",""ja"")"),"IPアドレス")</f>
        <v>IPアドレス</v>
      </c>
      <c r="F699" s="1" t="str">
        <f ca="1">IFERROR(__xludf.DUMMYFUNCTION("GOOGLETRANSLATE(B699,""en"",""fr"")"),"adresse IP")</f>
        <v>adresse IP</v>
      </c>
    </row>
    <row r="700" spans="1:6" ht="15.75" customHeight="1" x14ac:dyDescent="0.25">
      <c r="A700" s="1" t="s">
        <v>1314</v>
      </c>
      <c r="B700" s="1" t="s">
        <v>1315</v>
      </c>
      <c r="C700" s="1" t="str">
        <f ca="1">IFERROR(__xludf.DUMMYFUNCTION("GOOGLETRANSLATE(B700,""en"",""ar"")"),"جهاز متصل.")</f>
        <v>جهاز متصل.</v>
      </c>
      <c r="D700" s="1" t="str">
        <f ca="1">IFERROR(__xludf.DUMMYFUNCTION("GOOGLETRANSLATE(B700,""en"",""zh-CN"")"),"连接设备")</f>
        <v>连接设备</v>
      </c>
      <c r="E700" s="1" t="str">
        <f ca="1">IFERROR(__xludf.DUMMYFUNCTION("GOOGLETRANSLATE(B700,""en"",""ja"")"),"接続機器")</f>
        <v>接続機器</v>
      </c>
      <c r="F700" s="1" t="str">
        <f ca="1">IFERROR(__xludf.DUMMYFUNCTION("GOOGLETRANSLATE(B700,""en"",""fr"")"),"Dispositif connecté")</f>
        <v>Dispositif connecté</v>
      </c>
    </row>
    <row r="701" spans="1:6" ht="15.75" customHeight="1" x14ac:dyDescent="0.25">
      <c r="A701" s="1" t="s">
        <v>1316</v>
      </c>
      <c r="B701" s="1" t="s">
        <v>1317</v>
      </c>
      <c r="C701" s="1" t="str">
        <f ca="1">IFERROR(__xludf.DUMMYFUNCTION("GOOGLETRANSLATE(B701,""en"",""ar"")"),"حذف الطابعة")</f>
        <v>حذف الطابعة</v>
      </c>
      <c r="D701" s="1" t="str">
        <f ca="1">IFERROR(__xludf.DUMMYFUNCTION("GOOGLETRANSLATE(B701,""en"",""zh-CN"")"),"删除打印机")</f>
        <v>删除打印机</v>
      </c>
      <c r="E701" s="1" t="str">
        <f ca="1">IFERROR(__xludf.DUMMYFUNCTION("GOOGLETRANSLATE(B701,""en"",""ja"")"),"プリンタを削除します")</f>
        <v>プリンタを削除します</v>
      </c>
      <c r="F701" s="1" t="str">
        <f ca="1">IFERROR(__xludf.DUMMYFUNCTION("GOOGLETRANSLATE(B701,""en"",""fr"")"),"Supprimer l'imprimante")</f>
        <v>Supprimer l'imprimante</v>
      </c>
    </row>
    <row r="702" spans="1:6" ht="15.75" customHeight="1" x14ac:dyDescent="0.25">
      <c r="A702" s="1" t="s">
        <v>1318</v>
      </c>
      <c r="B702" s="1" t="s">
        <v>1319</v>
      </c>
      <c r="C702" s="1" t="str">
        <f ca="1">IFERROR(__xludf.DUMMYFUNCTION("GOOGLETRANSLATE(B702,""en"",""ar"")"),"هل أنت متأكد أنك تريد حذف الطابعة؟")</f>
        <v>هل أنت متأكد أنك تريد حذف الطابعة؟</v>
      </c>
      <c r="D702" s="1" t="str">
        <f ca="1">IFERROR(__xludf.DUMMYFUNCTION("GOOGLETRANSLATE(B702,""en"",""zh-CN"")"),"您确定要删除打印机吗？")</f>
        <v>您确定要删除打印机吗？</v>
      </c>
      <c r="E702" s="1" t="str">
        <f ca="1">IFERROR(__xludf.DUMMYFUNCTION("GOOGLETRANSLATE(B702,""en"",""ja"")"),"プリンタを削除してもよろしいですか？")</f>
        <v>プリンタを削除してもよろしいですか？</v>
      </c>
      <c r="F702" s="1" t="str">
        <f ca="1">IFERROR(__xludf.DUMMYFUNCTION("GOOGLETRANSLATE(B702,""en"",""fr"")"),"Êtes-vous sûr de vouloir supprimer l'imprimante?")</f>
        <v>Êtes-vous sûr de vouloir supprimer l'imprimante?</v>
      </c>
    </row>
    <row r="703" spans="1:6" ht="15.75" customHeight="1" x14ac:dyDescent="0.25">
      <c r="A703" s="1" t="s">
        <v>1320</v>
      </c>
      <c r="B703" s="1" t="s">
        <v>1321</v>
      </c>
      <c r="C703" s="1" t="str">
        <f ca="1">IFERROR(__xludf.DUMMYFUNCTION("GOOGLETRANSLATE(B703,""en"",""ar"")"),"تخصيص البرمجيات")</f>
        <v>تخصيص البرمجيات</v>
      </c>
      <c r="D703" s="1" t="str">
        <f ca="1">IFERROR(__xludf.DUMMYFUNCTION("GOOGLETRANSLATE(B703,""en"",""zh-CN"")"),"软件定制")</f>
        <v>软件定制</v>
      </c>
      <c r="E703" s="1" t="str">
        <f ca="1">IFERROR(__xludf.DUMMYFUNCTION("GOOGLETRANSLATE(B703,""en"",""ja"")"),"ソフトウェアのカスタマイズ")</f>
        <v>ソフトウェアのカスタマイズ</v>
      </c>
      <c r="F703" s="1" t="str">
        <f ca="1">IFERROR(__xludf.DUMMYFUNCTION("GOOGLETRANSLATE(B703,""en"",""fr"")"),"Personnalisation logicielle")</f>
        <v>Personnalisation logicielle</v>
      </c>
    </row>
    <row r="704" spans="1:6" ht="15.75" customHeight="1" x14ac:dyDescent="0.25">
      <c r="A704" s="1" t="s">
        <v>1322</v>
      </c>
      <c r="B704" s="1" t="s">
        <v>1323</v>
      </c>
      <c r="C704" s="1" t="str">
        <f ca="1">IFERROR(__xludf.DUMMYFUNCTION("GOOGLETRANSLATE(B704,""en"",""ar"")"),"إعداد عملاء الإعداد")</f>
        <v>إعداد عملاء الإعداد</v>
      </c>
      <c r="D704" s="1" t="str">
        <f ca="1">IFERROR(__xludf.DUMMYFUNCTION("GOOGLETRANSLATE(B704,""en"",""zh-CN"")"),"设置客户显示")</f>
        <v>设置客户显示</v>
      </c>
      <c r="E704" s="1" t="str">
        <f ca="1">IFERROR(__xludf.DUMMYFUNCTION("GOOGLETRANSLATE(B704,""en"",""ja"")"),"カスタマーディスプレイを設定します")</f>
        <v>カスタマーディスプレイを設定します</v>
      </c>
      <c r="F704" s="1" t="str">
        <f ca="1">IFERROR(__xludf.DUMMYFUNCTION("GOOGLETRANSLATE(B704,""en"",""fr"")"),"Affichage du client de configuration")</f>
        <v>Affichage du client de configuration</v>
      </c>
    </row>
    <row r="705" spans="1:6" ht="15.75" customHeight="1" x14ac:dyDescent="0.25">
      <c r="A705" s="1" t="s">
        <v>1324</v>
      </c>
      <c r="B705" s="1" t="s">
        <v>1325</v>
      </c>
      <c r="C705" s="1" t="str">
        <f ca="1">IFERROR(__xludf.DUMMYFUNCTION("GOOGLETRANSLATE(B705,""en"",""ar"")"),"النسخ الاحتياطي للبيانات ناجحة")</f>
        <v>النسخ الاحتياطي للبيانات ناجحة</v>
      </c>
      <c r="D705" s="1" t="str">
        <f ca="1">IFERROR(__xludf.DUMMYFUNCTION("GOOGLETRANSLATE(B705,""en"",""zh-CN"")"),"数据备份是成功的")</f>
        <v>数据备份是成功的</v>
      </c>
      <c r="E705" s="1" t="str">
        <f ca="1">IFERROR(__xludf.DUMMYFUNCTION("GOOGLETRANSLATE(B705,""en"",""ja"")"),"データバックアップは成功しました")</f>
        <v>データバックアップは成功しました</v>
      </c>
      <c r="F705" s="1" t="str">
        <f ca="1">IFERROR(__xludf.DUMMYFUNCTION("GOOGLETRANSLATE(B705,""en"",""fr"")"),"La sauvegarde des données est réussie")</f>
        <v>La sauvegarde des données est réussie</v>
      </c>
    </row>
    <row r="706" spans="1:6" ht="15.75" customHeight="1" x14ac:dyDescent="0.25">
      <c r="A706" s="1" t="s">
        <v>1326</v>
      </c>
      <c r="B706" s="1" t="s">
        <v>1327</v>
      </c>
      <c r="C706" s="1" t="str">
        <f ca="1">IFERROR(__xludf.DUMMYFUNCTION("GOOGLETRANSLATE(B706,""en"",""ar"")"),"تم إكمال تكوين الطابعة بنجاح")</f>
        <v>تم إكمال تكوين الطابعة بنجاح</v>
      </c>
      <c r="D706" s="1" t="str">
        <f ca="1">IFERROR(__xludf.DUMMYFUNCTION("GOOGLETRANSLATE(B706,""en"",""zh-CN"")"),"打印机配置已成功完成")</f>
        <v>打印机配置已成功完成</v>
      </c>
      <c r="E706" s="1" t="str">
        <f ca="1">IFERROR(__xludf.DUMMYFUNCTION("GOOGLETRANSLATE(B706,""en"",""ja"")"),"プリンタ設定は正常に完了しました")</f>
        <v>プリンタ設定は正常に完了しました</v>
      </c>
      <c r="F706" s="1" t="str">
        <f ca="1">IFERROR(__xludf.DUMMYFUNCTION("GOOGLETRANSLATE(B706,""en"",""fr"")"),"La configuration de l'imprimante est complétée avec succès")</f>
        <v>La configuration de l'imprimante est complétée avec succès</v>
      </c>
    </row>
    <row r="707" spans="1:6" ht="15.75" customHeight="1" x14ac:dyDescent="0.25">
      <c r="A707" s="1" t="s">
        <v>1328</v>
      </c>
      <c r="B707" s="1" t="s">
        <v>1329</v>
      </c>
      <c r="C707" s="1" t="str">
        <f ca="1">IFERROR(__xludf.DUMMYFUNCTION("GOOGLETRANSLATE(B707,""en"",""ar"")"),"حدد وضع الاتصال")</f>
        <v>حدد وضع الاتصال</v>
      </c>
      <c r="D707" s="1" t="str">
        <f ca="1">IFERROR(__xludf.DUMMYFUNCTION("GOOGLETRANSLATE(B707,""en"",""zh-CN"")"),"选择连接模式")</f>
        <v>选择连接模式</v>
      </c>
      <c r="E707" s="1" t="str">
        <f ca="1">IFERROR(__xludf.DUMMYFUNCTION("GOOGLETRANSLATE(B707,""en"",""ja"")"),"接続モードを選択してください")</f>
        <v>接続モードを選択してください</v>
      </c>
      <c r="F707" s="1" t="str">
        <f ca="1">IFERROR(__xludf.DUMMYFUNCTION("GOOGLETRANSLATE(B707,""en"",""fr"")"),"Sélectionnez le mode de connexion")</f>
        <v>Sélectionnez le mode de connexion</v>
      </c>
    </row>
    <row r="708" spans="1:6" ht="15.75" customHeight="1" x14ac:dyDescent="0.25">
      <c r="A708" s="1" t="s">
        <v>1330</v>
      </c>
      <c r="B708" s="1" t="s">
        <v>1331</v>
      </c>
      <c r="C708" s="1" t="str">
        <f ca="1">IFERROR(__xludf.DUMMYFUNCTION("GOOGLETRANSLATE(B708,""en"",""ar"")"),"خطأ في اتصال الطابعة")</f>
        <v>خطأ في اتصال الطابعة</v>
      </c>
      <c r="D708" s="1" t="str">
        <f ca="1">IFERROR(__xludf.DUMMYFUNCTION("GOOGLETRANSLATE(B708,""en"",""zh-CN"")"),"打印机连接错误")</f>
        <v>打印机连接错误</v>
      </c>
      <c r="E708" s="1" t="str">
        <f ca="1">IFERROR(__xludf.DUMMYFUNCTION("GOOGLETRANSLATE(B708,""en"",""ja"")"),"プリンタ接続エラー")</f>
        <v>プリンタ接続エラー</v>
      </c>
      <c r="F708" s="1" t="str">
        <f ca="1">IFERROR(__xludf.DUMMYFUNCTION("GOOGLETRANSLATE(B708,""en"",""fr"")"),"Erreur de connexion de l'imprimante")</f>
        <v>Erreur de connexion de l'imprimante</v>
      </c>
    </row>
    <row r="709" spans="1:6" ht="15.75" customHeight="1" x14ac:dyDescent="0.25">
      <c r="A709" s="1" t="s">
        <v>1332</v>
      </c>
      <c r="B709" s="1" t="s">
        <v>1333</v>
      </c>
      <c r="C709" s="1" t="str">
        <f ca="1">IFERROR(__xludf.DUMMYFUNCTION("GOOGLETRANSLATE(B709,""en"",""ar"")"),"مرحبا، انتهت صلاحية الفترة التجريبية الخاصة بك وبعض الخيارات غير متوفرة، الآن لديك خيارات قياسية فقط. يرجى أن تصبح علاوة أو عرض العملاء المتقدمة")</f>
        <v>مرحبا، انتهت صلاحية الفترة التجريبية الخاصة بك وبعض الخيارات غير متوفرة، الآن لديك خيارات قياسية فقط. يرجى أن تصبح علاوة أو عرض العملاء المتقدمة</v>
      </c>
      <c r="D709" s="1" t="str">
        <f ca="1">IFERROR(__xludf.DUMMYFUNCTION("GOOGLETRANSLATE(B709,""en"",""zh-CN"")"),"嗨，您的试用期限已过期，其中一些选项不可用，现在您只有标准选项。请成为溢价或高级客户查看")</f>
        <v>嗨，您的试用期限已过期，其中一些选项不可用，现在您只有标准选项。请成为溢价或高级客户查看</v>
      </c>
      <c r="E709" s="1" t="str">
        <f ca="1">IFERROR(__xludf.DUMMYFUNCTION("GOOGLETRANSLATE(B709,""en"",""ja"")"),"こんにちは、あなたの試用期間は期限切れであり、いくつかのオプションは利用できません、今は標準のオプションしかありません。プレミアムまたは高度な顧客ビューになりましょう")</f>
        <v>こんにちは、あなたの試用期間は期限切れであり、いくつかのオプションは利用できません、今は標準のオプションしかありません。プレミアムまたは高度な顧客ビューになりましょう</v>
      </c>
      <c r="F709" s="1" t="str">
        <f ca="1">IFERROR(__xludf.DUMMYFUNCTION("GOOGLETRANSLATE(B709,""en"",""fr"")"),"Bonjour, votre période d'essai est expirée et certaines des options ne sont pas disponibles, vous n'avez maintenant que des options standard. Veuillez devenir une vue client premium ou avancée la")</f>
        <v>Bonjour, votre période d'essai est expirée et certaines des options ne sont pas disponibles, vous n'avez maintenant que des options standard. Veuillez devenir une vue client premium ou avancée la</v>
      </c>
    </row>
    <row r="710" spans="1:6" ht="15.75" customHeight="1" x14ac:dyDescent="0.25">
      <c r="A710" s="1" t="s">
        <v>1334</v>
      </c>
      <c r="B710" s="1" t="s">
        <v>1335</v>
      </c>
      <c r="C710" s="1" t="str">
        <f ca="1">IFERROR(__xludf.DUMMYFUNCTION("GOOGLETRANSLATE(B710,""en"",""ar"")"),"استعادة غير متوفر، يرجى أن تصبح عميل متميز")</f>
        <v>استعادة غير متوفر، يرجى أن تصبح عميل متميز</v>
      </c>
      <c r="D710" s="1" t="str">
        <f ca="1">IFERROR(__xludf.DUMMYFUNCTION("GOOGLETRANSLATE(B710,""en"",""zh-CN"")"),"恢复不可用，请成为高级客户")</f>
        <v>恢复不可用，请成为高级客户</v>
      </c>
      <c r="E710" s="1" t="str">
        <f ca="1">IFERROR(__xludf.DUMMYFUNCTION("GOOGLETRANSLATE(B710,""en"",""ja"")"),"復元は利用できません、プレミアム顧客になりましょう")</f>
        <v>復元は利用できません、プレミアム顧客になりましょう</v>
      </c>
      <c r="F710" s="1" t="str">
        <f ca="1">IFERROR(__xludf.DUMMYFUNCTION("GOOGLETRANSLATE(B710,""en"",""fr"")"),"La restauration n'est pas disponible, veuillez devenir client premium")</f>
        <v>La restauration n'est pas disponible, veuillez devenir client premium</v>
      </c>
    </row>
    <row r="711" spans="1:6" ht="15.75" customHeight="1" x14ac:dyDescent="0.25">
      <c r="A711" s="1" t="s">
        <v>1336</v>
      </c>
      <c r="B711" s="1" t="s">
        <v>1337</v>
      </c>
      <c r="C711" s="1" t="str">
        <f ca="1">IFERROR(__xludf.DUMMYFUNCTION("GOOGLETRANSLATE(B711,""en"",""ar"")"),"يرجى اختيار العميل")</f>
        <v>يرجى اختيار العميل</v>
      </c>
      <c r="D711" s="1" t="str">
        <f ca="1">IFERROR(__xludf.DUMMYFUNCTION("GOOGLETRANSLATE(B711,""en"",""zh-CN"")"),"请选择客户")</f>
        <v>请选择客户</v>
      </c>
      <c r="E711" s="1" t="str">
        <f ca="1">IFERROR(__xludf.DUMMYFUNCTION("GOOGLETRANSLATE(B711,""en"",""ja"")"),"顧客を選択してください")</f>
        <v>顧客を選択してください</v>
      </c>
      <c r="F711" s="1" t="str">
        <f ca="1">IFERROR(__xludf.DUMMYFUNCTION("GOOGLETRANSLATE(B711,""en"",""fr"")"),"Veuillez sélectionner un client")</f>
        <v>Veuillez sélectionner un client</v>
      </c>
    </row>
    <row r="712" spans="1:6" ht="15.75" customHeight="1" x14ac:dyDescent="0.25">
      <c r="A712" s="1" t="s">
        <v>1338</v>
      </c>
      <c r="B712" s="1" t="s">
        <v>1339</v>
      </c>
      <c r="C712" s="1" t="str">
        <f ca="1">IFERROR(__xludf.DUMMYFUNCTION("GOOGLETRANSLATE(B712,""en"",""ar"")"),"يرجى اختيار أمين الصندوق")</f>
        <v>يرجى اختيار أمين الصندوق</v>
      </c>
      <c r="D712" s="1" t="str">
        <f ca="1">IFERROR(__xludf.DUMMYFUNCTION("GOOGLETRANSLATE(B712,""en"",""zh-CN"")"),"请选择收银员")</f>
        <v>请选择收银员</v>
      </c>
      <c r="E712" s="1" t="str">
        <f ca="1">IFERROR(__xludf.DUMMYFUNCTION("GOOGLETRANSLATE(B712,""en"",""ja"")"),"レジ係を選択してください")</f>
        <v>レジ係を選択してください</v>
      </c>
      <c r="F712" s="1" t="str">
        <f ca="1">IFERROR(__xludf.DUMMYFUNCTION("GOOGLETRANSLATE(B712,""en"",""fr"")"),"Veuillez sélectionner un caissier")</f>
        <v>Veuillez sélectionner un caissier</v>
      </c>
    </row>
    <row r="713" spans="1:6" ht="15.75" customHeight="1" x14ac:dyDescent="0.25">
      <c r="A713" s="1" t="s">
        <v>1340</v>
      </c>
      <c r="B713" s="1" t="s">
        <v>1341</v>
      </c>
      <c r="C713" s="1" t="str">
        <f ca="1">IFERROR(__xludf.DUMMYFUNCTION("GOOGLETRANSLATE(B713,""en"",""ar"")"),"إيصال العملاء الحكيم")</f>
        <v>إيصال العملاء الحكيم</v>
      </c>
      <c r="D713" s="1" t="str">
        <f ca="1">IFERROR(__xludf.DUMMYFUNCTION("GOOGLETRANSLATE(B713,""en"",""zh-CN"")"),"客户明智收据")</f>
        <v>客户明智收据</v>
      </c>
      <c r="E713" s="1" t="str">
        <f ca="1">IFERROR(__xludf.DUMMYFUNCTION("GOOGLETRANSLATE(B713,""en"",""ja"")"),"顧客賢明な領収書")</f>
        <v>顧客賢明な領収書</v>
      </c>
      <c r="F713" s="1" t="str">
        <f ca="1">IFERROR(__xludf.DUMMYFUNCTION("GOOGLETRANSLATE(B713,""en"",""fr"")"),"Réception de la clientèle")</f>
        <v>Réception de la clientèle</v>
      </c>
    </row>
    <row r="714" spans="1:6" ht="15.75" customHeight="1" x14ac:dyDescent="0.25">
      <c r="A714" s="1" t="s">
        <v>1342</v>
      </c>
      <c r="B714" s="1" t="s">
        <v>180</v>
      </c>
      <c r="C714" s="1" t="str">
        <f ca="1">IFERROR(__xludf.DUMMYFUNCTION("GOOGLETRANSLATE(B714,""en"",""ar"")"),"الكمية")</f>
        <v>الكمية</v>
      </c>
      <c r="D714" s="1" t="str">
        <f ca="1">IFERROR(__xludf.DUMMYFUNCTION("GOOGLETRANSLATE(B714,""en"",""zh-CN"")"),"QTY.")</f>
        <v>QTY.</v>
      </c>
      <c r="E714" s="1" t="str">
        <f ca="1">IFERROR(__xludf.DUMMYFUNCTION("GOOGLETRANSLATE(B714,""en"",""ja"")"),"q")</f>
        <v>q</v>
      </c>
      <c r="F714" s="1" t="str">
        <f ca="1">IFERROR(__xludf.DUMMYFUNCTION("GOOGLETRANSLATE(B714,""en"",""fr"")"),"Quantité")</f>
        <v>Quantité</v>
      </c>
    </row>
    <row r="715" spans="1:6" ht="15.75" customHeight="1" x14ac:dyDescent="0.25">
      <c r="A715" s="1" t="s">
        <v>1343</v>
      </c>
      <c r="B715" s="1" t="s">
        <v>1344</v>
      </c>
      <c r="C715" s="1" t="str">
        <f ca="1">IFERROR(__xludf.DUMMYFUNCTION("GOOGLETRANSLATE(B715,""en"",""ar"")"),"رقم الإيصال :")</f>
        <v>رقم الإيصال :</v>
      </c>
      <c r="D715" s="1" t="str">
        <f ca="1">IFERROR(__xludf.DUMMYFUNCTION("GOOGLETRANSLATE(B715,""en"",""zh-CN"")"),"收据不：")</f>
        <v>收据不：</v>
      </c>
      <c r="E715" s="1" t="str">
        <f ca="1">IFERROR(__xludf.DUMMYFUNCTION("GOOGLETRANSLATE(B715,""en"",""ja"")"),"領収書番号 ：")</f>
        <v>領収書番号 ：</v>
      </c>
      <c r="F715" s="1" t="str">
        <f ca="1">IFERROR(__xludf.DUMMYFUNCTION("GOOGLETRANSLATE(B715,""en"",""fr"")"),"NO RECEPTÉ:")</f>
        <v>NO RECEPTÉ:</v>
      </c>
    </row>
    <row r="716" spans="1:6" ht="15.75" customHeight="1" x14ac:dyDescent="0.25">
      <c r="A716" s="1" t="s">
        <v>1345</v>
      </c>
      <c r="B716" s="1" t="s">
        <v>1346</v>
      </c>
      <c r="C716" s="1" t="str">
        <f ca="1">IFERROR(__xludf.DUMMYFUNCTION("GOOGLETRANSLATE(B716,""en"",""ar"")"),"باي بال المرجع")</f>
        <v>باي بال المرجع</v>
      </c>
      <c r="D716" s="1" t="str">
        <f ca="1">IFERROR(__xludf.DUMMYFUNCTION("GOOGLETRANSLATE(B716,""en"",""zh-CN"")"),"PayPal Ref.")</f>
        <v>PayPal Ref.</v>
      </c>
      <c r="E716" s="1" t="str">
        <f ca="1">IFERROR(__xludf.DUMMYFUNCTION("GOOGLETRANSLATE(B716,""en"",""ja"")"),"PayPal Ref")</f>
        <v>PayPal Ref</v>
      </c>
      <c r="F716" s="1" t="str">
        <f ca="1">IFERROR(__xludf.DUMMYFUNCTION("GOOGLETRANSLATE(B716,""en"",""fr"")"),"PayPal Ref")</f>
        <v>PayPal Ref</v>
      </c>
    </row>
    <row r="717" spans="1:6" ht="15.75" customHeight="1" x14ac:dyDescent="0.25">
      <c r="A717" s="1" t="s">
        <v>1347</v>
      </c>
      <c r="B717" s="1" t="s">
        <v>1348</v>
      </c>
      <c r="C717" s="1" t="str">
        <f ca="1">IFERROR(__xludf.DUMMYFUNCTION("GOOGLETRANSLATE(B717,""en"",""ar"")"),"باي بال")</f>
        <v>باي بال</v>
      </c>
      <c r="D717" s="1" t="str">
        <f ca="1">IFERROR(__xludf.DUMMYFUNCTION("GOOGLETRANSLATE(B717,""en"",""zh-CN"")"),"PayPal.")</f>
        <v>PayPal.</v>
      </c>
      <c r="E717" s="1" t="str">
        <f ca="1">IFERROR(__xludf.DUMMYFUNCTION("GOOGLETRANSLATE(B717,""en"",""ja"")"),"ペイパル")</f>
        <v>ペイパル</v>
      </c>
      <c r="F717" s="1" t="str">
        <f ca="1">IFERROR(__xludf.DUMMYFUNCTION("GOOGLETRANSLATE(B717,""en"",""fr"")"),"Pay Pal")</f>
        <v>Pay Pal</v>
      </c>
    </row>
    <row r="718" spans="1:6" ht="15.75" customHeight="1" x14ac:dyDescent="0.25">
      <c r="A718" s="1" t="s">
        <v>1349</v>
      </c>
      <c r="B718" s="1" t="s">
        <v>1350</v>
      </c>
      <c r="C718" s="1" t="str">
        <f ca="1">IFERROR(__xludf.DUMMYFUNCTION("GOOGLETRANSLATE(B718,""en"",""ar"")"),"الرجاء إدخال مرجع PayPal")</f>
        <v>الرجاء إدخال مرجع PayPal</v>
      </c>
      <c r="D718" s="1" t="str">
        <f ca="1">IFERROR(__xludf.DUMMYFUNCTION("GOOGLETRANSLATE(B718,""en"",""zh-CN"")"),"请输入PayPal参考")</f>
        <v>请输入PayPal参考</v>
      </c>
      <c r="E718" s="1" t="str">
        <f ca="1">IFERROR(__xludf.DUMMYFUNCTION("GOOGLETRANSLATE(B718,""en"",""ja"")"),"PayPalの参照に入ってください")</f>
        <v>PayPalの参照に入ってください</v>
      </c>
      <c r="F718" s="1" t="str">
        <f ca="1">IFERROR(__xludf.DUMMYFUNCTION("GOOGLETRANSLATE(B718,""en"",""fr"")"),"S'il vous plaît entrer la référence PayPal")</f>
        <v>S'il vous plaît entrer la référence PayPal</v>
      </c>
    </row>
    <row r="719" spans="1:6" ht="15.75" customHeight="1" x14ac:dyDescent="0.25">
      <c r="A719" s="1" t="s">
        <v>1351</v>
      </c>
      <c r="B719" s="1" t="s">
        <v>1348</v>
      </c>
      <c r="C719" s="1" t="str">
        <f ca="1">IFERROR(__xludf.DUMMYFUNCTION("GOOGLETRANSLATE(B719,""en"",""ar"")"),"باي بال")</f>
        <v>باي بال</v>
      </c>
      <c r="D719" s="1" t="str">
        <f ca="1">IFERROR(__xludf.DUMMYFUNCTION("GOOGLETRANSLATE(B719,""en"",""zh-CN"")"),"PayPal.")</f>
        <v>PayPal.</v>
      </c>
      <c r="E719" s="1" t="str">
        <f ca="1">IFERROR(__xludf.DUMMYFUNCTION("GOOGLETRANSLATE(B719,""en"",""ja"")"),"ペイパル")</f>
        <v>ペイパル</v>
      </c>
      <c r="F719" s="1" t="str">
        <f ca="1">IFERROR(__xludf.DUMMYFUNCTION("GOOGLETRANSLATE(B719,""en"",""fr"")"),"Pay Pal")</f>
        <v>Pay Pal</v>
      </c>
    </row>
    <row r="720" spans="1:6" ht="15.75" customHeight="1" x14ac:dyDescent="0.25">
      <c r="A720" s="1" t="s">
        <v>1352</v>
      </c>
      <c r="B720" s="1" t="s">
        <v>1353</v>
      </c>
      <c r="C720" s="1" t="str">
        <f ca="1">IFERROR(__xludf.DUMMYFUNCTION("GOOGLETRANSLATE(B720,""en"",""ar"")"),"تسوية الائتمان ناجحة")</f>
        <v>تسوية الائتمان ناجحة</v>
      </c>
      <c r="D720" s="1" t="str">
        <f ca="1">IFERROR(__xludf.DUMMYFUNCTION("GOOGLETRANSLATE(B720,""en"",""zh-CN"")"),"信用结算成功")</f>
        <v>信用结算成功</v>
      </c>
      <c r="E720" s="1" t="str">
        <f ca="1">IFERROR(__xludf.DUMMYFUNCTION("GOOGLETRANSLATE(B720,""en"",""ja"")"),"信用の和解は成功しました")</f>
        <v>信用の和解は成功しました</v>
      </c>
      <c r="F720" s="1" t="str">
        <f ca="1">IFERROR(__xludf.DUMMYFUNCTION("GOOGLETRANSLATE(B720,""en"",""fr"")"),"Le règlement de crédit réussit")</f>
        <v>Le règlement de crédit réussit</v>
      </c>
    </row>
    <row r="721" spans="1:6" ht="15.75" customHeight="1" x14ac:dyDescent="0.25">
      <c r="A721" s="1" t="s">
        <v>1354</v>
      </c>
      <c r="B721" s="1" t="s">
        <v>1355</v>
      </c>
      <c r="C721" s="1" t="str">
        <f ca="1">IFERROR(__xludf.DUMMYFUNCTION("GOOGLETRANSLATE(B721,""en"",""ar"")"),"تم حذف مستوطنة الائتمان")</f>
        <v>تم حذف مستوطنة الائتمان</v>
      </c>
      <c r="D721" s="1" t="str">
        <f ca="1">IFERROR(__xludf.DUMMYFUNCTION("GOOGLETRANSLATE(B721,""en"",""zh-CN"")"),"信用结算已被删除")</f>
        <v>信用结算已被删除</v>
      </c>
      <c r="E721" s="1" t="str">
        <f ca="1">IFERROR(__xludf.DUMMYFUNCTION("GOOGLETRANSLATE(B721,""en"",""ja"")"),"クレジット決済は削除されました")</f>
        <v>クレジット決済は削除されました</v>
      </c>
      <c r="F721" s="1" t="str">
        <f ca="1">IFERROR(__xludf.DUMMYFUNCTION("GOOGLETRANSLATE(B721,""en"",""fr"")"),"Le règlement de crédit a été supprimé")</f>
        <v>Le règlement de crédit a été supprimé</v>
      </c>
    </row>
    <row r="722" spans="1:6" ht="15.75" customHeight="1" x14ac:dyDescent="0.25">
      <c r="A722" s="1" t="s">
        <v>1356</v>
      </c>
      <c r="B722" s="1" t="s">
        <v>1357</v>
      </c>
      <c r="C722" s="1" t="str">
        <f ca="1">IFERROR(__xludf.DUMMYFUNCTION("GOOGLETRANSLATE(B722,""en"",""ar"")"),"حدد ملاحظة الائتمان")</f>
        <v>حدد ملاحظة الائتمان</v>
      </c>
      <c r="D722" s="1" t="str">
        <f ca="1">IFERROR(__xludf.DUMMYFUNCTION("GOOGLETRANSLATE(B722,""en"",""zh-CN"")"),"选择信用额度")</f>
        <v>选择信用额度</v>
      </c>
      <c r="E722" s="1" t="str">
        <f ca="1">IFERROR(__xludf.DUMMYFUNCTION("GOOGLETRANSLATE(B722,""en"",""ja"")"),"クレジットノートを選択してください")</f>
        <v>クレジットノートを選択してください</v>
      </c>
      <c r="F722" s="1" t="str">
        <f ca="1">IFERROR(__xludf.DUMMYFUNCTION("GOOGLETRANSLATE(B722,""en"",""fr"")"),"Sélectionnez Note de crédit")</f>
        <v>Sélectionnez Note de crédit</v>
      </c>
    </row>
    <row r="723" spans="1:6" ht="15.75" customHeight="1" x14ac:dyDescent="0.25">
      <c r="A723" s="1" t="s">
        <v>1358</v>
      </c>
      <c r="B723" s="1" t="s">
        <v>1359</v>
      </c>
      <c r="C723" s="1" t="str">
        <f ca="1">IFERROR(__xludf.DUMMYFUNCTION("GOOGLETRANSLATE(B723,""en"",""ar"")"),"تسوية")</f>
        <v>تسوية</v>
      </c>
      <c r="D723" s="1" t="str">
        <f ca="1">IFERROR(__xludf.DUMMYFUNCTION("GOOGLETRANSLATE(B723,""en"",""zh-CN"")"),"定居")</f>
        <v>定居</v>
      </c>
      <c r="E723" s="1" t="str">
        <f ca="1">IFERROR(__xludf.DUMMYFUNCTION("GOOGLETRANSLATE(B723,""en"",""ja"")"),"解決")</f>
        <v>解決</v>
      </c>
      <c r="F723" s="1" t="str">
        <f ca="1">IFERROR(__xludf.DUMMYFUNCTION("GOOGLETRANSLATE(B723,""en"",""fr"")"),"Régler")</f>
        <v>Régler</v>
      </c>
    </row>
    <row r="724" spans="1:6" ht="15.75" customHeight="1" x14ac:dyDescent="0.25">
      <c r="A724" s="1" t="s">
        <v>1360</v>
      </c>
      <c r="B724" s="1" t="s">
        <v>1361</v>
      </c>
      <c r="C724" s="1" t="str">
        <f ca="1">IFERROR(__xludf.DUMMYFUNCTION("GOOGLETRANSLATE(B724,""en"",""ar"")"),"كمية أعلى من القيمة الائتمانية إيصال")</f>
        <v>كمية أعلى من القيمة الائتمانية إيصال</v>
      </c>
      <c r="D724" s="1" t="str">
        <f ca="1">IFERROR(__xludf.DUMMYFUNCTION("GOOGLETRANSLATE(B724,""en"",""zh-CN"")"),"金额高于收据信贷价值")</f>
        <v>金额高于收据信贷价值</v>
      </c>
      <c r="E724" s="1" t="str">
        <f ca="1">IFERROR(__xludf.DUMMYFUNCTION("GOOGLETRANSLATE(B724,""en"",""ja"")"),"領収書クレジット価値より高い量")</f>
        <v>領収書クレジット価値より高い量</v>
      </c>
      <c r="F724" s="1" t="str">
        <f ca="1">IFERROR(__xludf.DUMMYFUNCTION("GOOGLETRANSLATE(B724,""en"",""fr"")"),"Montant supérieur à la valeur de crédit de la réception")</f>
        <v>Montant supérieur à la valeur de crédit de la réception</v>
      </c>
    </row>
    <row r="725" spans="1:6" ht="15.75" customHeight="1" x14ac:dyDescent="0.25">
      <c r="A725" s="1" t="s">
        <v>1362</v>
      </c>
      <c r="B725" s="1" t="s">
        <v>1363</v>
      </c>
      <c r="C725" s="1" t="str">
        <f ca="1">IFERROR(__xludf.DUMMYFUNCTION("GOOGLETRANSLATE(B725,""en"",""ar"")"),"إكمال")</f>
        <v>إكمال</v>
      </c>
      <c r="D725" s="1" t="str">
        <f ca="1">IFERROR(__xludf.DUMMYFUNCTION("GOOGLETRANSLATE(B725,""en"",""zh-CN"")"),"完全的")</f>
        <v>完全的</v>
      </c>
      <c r="E725" s="1" t="str">
        <f ca="1">IFERROR(__xludf.DUMMYFUNCTION("GOOGLETRANSLATE(B725,""en"",""ja"")"),"完了")</f>
        <v>完了</v>
      </c>
      <c r="F725" s="1" t="str">
        <f ca="1">IFERROR(__xludf.DUMMYFUNCTION("GOOGLETRANSLATE(B725,""en"",""fr"")"),"Compléter")</f>
        <v>Compléter</v>
      </c>
    </row>
    <row r="726" spans="1:6" ht="15.75" customHeight="1" x14ac:dyDescent="0.25">
      <c r="A726" s="1" t="s">
        <v>1364</v>
      </c>
      <c r="B726" s="1" t="s">
        <v>1365</v>
      </c>
      <c r="C726" s="1" t="str">
        <f ca="1">IFERROR(__xludf.DUMMYFUNCTION("GOOGLETRANSLATE(B726,""en"",""ar"")"),"هل أنت متأكد من أنك تريد إكمال إيصال الائتمان؟")</f>
        <v>هل أنت متأكد من أنك تريد إكمال إيصال الائتمان؟</v>
      </c>
      <c r="D726" s="1" t="str">
        <f ca="1">IFERROR(__xludf.DUMMYFUNCTION("GOOGLETRANSLATE(B726,""en"",""zh-CN"")"),"您确定要完成信用收据吗？")</f>
        <v>您确定要完成信用收据吗？</v>
      </c>
      <c r="E726" s="1" t="str">
        <f ca="1">IFERROR(__xludf.DUMMYFUNCTION("GOOGLETRANSLATE(B726,""en"",""ja"")"),"クレジットレシートを完成させますか？")</f>
        <v>クレジットレシートを完成させますか？</v>
      </c>
      <c r="F726" s="1" t="str">
        <f ca="1">IFERROR(__xludf.DUMMYFUNCTION("GOOGLETRANSLATE(B726,""en"",""fr"")"),"Êtes-vous sûr de vouloir compléter le crédit?")</f>
        <v>Êtes-vous sûr de vouloir compléter le crédit?</v>
      </c>
    </row>
    <row r="727" spans="1:6" ht="15.75" customHeight="1" x14ac:dyDescent="0.25">
      <c r="A727" s="1" t="s">
        <v>1366</v>
      </c>
      <c r="B727" s="1" t="s">
        <v>1367</v>
      </c>
      <c r="C727" s="1" t="str">
        <f ca="1">IFERROR(__xludf.DUMMYFUNCTION("GOOGLETRANSLATE(B727,""en"",""ar"")"),"استلام الائتمان الكامل")</f>
        <v>استلام الائتمان الكامل</v>
      </c>
      <c r="D727" s="1" t="str">
        <f ca="1">IFERROR(__xludf.DUMMYFUNCTION("GOOGLETRANSLATE(B727,""en"",""zh-CN"")"),"完整的信用收据")</f>
        <v>完整的信用收据</v>
      </c>
      <c r="E727" s="1" t="str">
        <f ca="1">IFERROR(__xludf.DUMMYFUNCTION("GOOGLETRANSLATE(B727,""en"",""ja"")"),"完全なクレジットレシート")</f>
        <v>完全なクレジットレシート</v>
      </c>
      <c r="F727" s="1" t="str">
        <f ca="1">IFERROR(__xludf.DUMMYFUNCTION("GOOGLETRANSLATE(B727,""en"",""fr"")"),"Réception de crédit complet")</f>
        <v>Réception de crédit complet</v>
      </c>
    </row>
    <row r="728" spans="1:6" ht="15.75" customHeight="1" x14ac:dyDescent="0.25">
      <c r="A728" s="1" t="s">
        <v>1368</v>
      </c>
      <c r="B728" s="1" t="s">
        <v>1369</v>
      </c>
      <c r="C728" s="1" t="str">
        <f ca="1">IFERROR(__xludf.DUMMYFUNCTION("GOOGLETRANSLATE(B728,""en"",""ar"")"),"سيؤدي ذلك إلى وضع اللمسات الأخيرة على جميع سجلات المعاملات الخاصة بك.")</f>
        <v>سيؤدي ذلك إلى وضع اللمسات الأخيرة على جميع سجلات المعاملات الخاصة بك.</v>
      </c>
      <c r="D728" s="1" t="str">
        <f ca="1">IFERROR(__xludf.DUMMYFUNCTION("GOOGLETRANSLATE(B728,""en"",""zh-CN"")"),"这将最终确定您的所有交易记录。")</f>
        <v>这将最终确定您的所有交易记录。</v>
      </c>
      <c r="E728" s="1" t="str">
        <f ca="1">IFERROR(__xludf.DUMMYFUNCTION("GOOGLETRANSLATE(B728,""en"",""ja"")"),"これにより、すべてのトランザクションレコードが確定されます。")</f>
        <v>これにより、すべてのトランザクションレコードが確定されます。</v>
      </c>
      <c r="F728" s="1" t="str">
        <f ca="1">IFERROR(__xludf.DUMMYFUNCTION("GOOGLETRANSLATE(B728,""en"",""fr"")"),"Cela finira vos enregistrements de tous les transactions.")</f>
        <v>Cela finira vos enregistrements de tous les transactions.</v>
      </c>
    </row>
    <row r="729" spans="1:6" ht="15.75" customHeight="1" x14ac:dyDescent="0.25">
      <c r="A729" s="1" t="s">
        <v>1370</v>
      </c>
      <c r="B729" s="1" t="s">
        <v>1371</v>
      </c>
      <c r="C729" s="1" t="str">
        <f ca="1">IFERROR(__xludf.DUMMYFUNCTION("GOOGLETRANSLATE(B729,""en"",""ar"")"),"هل تريد بالتأكيد إكمال نهاية التحول؟")</f>
        <v>هل تريد بالتأكيد إكمال نهاية التحول؟</v>
      </c>
      <c r="D729" s="1" t="str">
        <f ca="1">IFERROR(__xludf.DUMMYFUNCTION("GOOGLETRANSLATE(B729,""en"",""zh-CN"")"),"你肯定想完成转换结束吗？")</f>
        <v>你肯定想完成转换结束吗？</v>
      </c>
      <c r="E729" s="1" t="str">
        <f ca="1">IFERROR(__xludf.DUMMYFUNCTION("GOOGLETRANSLATE(B729,""en"",""ja"")"),"シフトエンドを完了しますか？")</f>
        <v>シフトエンドを完了しますか？</v>
      </c>
      <c r="F729" s="1" t="str">
        <f ca="1">IFERROR(__xludf.DUMMYFUNCTION("GOOGLETRANSLATE(B729,""en"",""fr"")"),"Voulez-vous sûr que vous souhaitez terminer la fin du changement de vitesse?")</f>
        <v>Voulez-vous sûr que vous souhaitez terminer la fin du changement de vitesse?</v>
      </c>
    </row>
    <row r="730" spans="1:6" ht="15.75" customHeight="1" x14ac:dyDescent="0.25">
      <c r="A730" s="1" t="s">
        <v>1372</v>
      </c>
      <c r="B730" s="1" t="s">
        <v>1373</v>
      </c>
      <c r="C730" s="1" t="str">
        <f ca="1">IFERROR(__xludf.DUMMYFUNCTION("GOOGLETRANSLATE(B730,""en"",""ar"")"),"المزيد من التفاصيل")</f>
        <v>المزيد من التفاصيل</v>
      </c>
      <c r="D730" s="1" t="str">
        <f ca="1">IFERROR(__xludf.DUMMYFUNCTION("GOOGLETRANSLATE(B730,""en"",""zh-CN"")"),"更多细节")</f>
        <v>更多细节</v>
      </c>
      <c r="E730" s="1" t="str">
        <f ca="1">IFERROR(__xludf.DUMMYFUNCTION("GOOGLETRANSLATE(B730,""en"",""ja"")"),"詳細")</f>
        <v>詳細</v>
      </c>
      <c r="F730" s="1" t="str">
        <f ca="1">IFERROR(__xludf.DUMMYFUNCTION("GOOGLETRANSLATE(B730,""en"",""fr"")"),"Plus de détails")</f>
        <v>Plus de détails</v>
      </c>
    </row>
    <row r="731" spans="1:6" ht="15.75" customHeight="1" x14ac:dyDescent="0.25">
      <c r="A731" s="1" t="s">
        <v>1374</v>
      </c>
      <c r="B731" s="1" t="s">
        <v>1375</v>
      </c>
      <c r="C731" s="1" t="str">
        <f ca="1">IFERROR(__xludf.DUMMYFUNCTION("GOOGLETRANSLATE(B731,""en"",""ar"")"),"سياسة خاصة")</f>
        <v>سياسة خاصة</v>
      </c>
      <c r="D731" s="1" t="str">
        <f ca="1">IFERROR(__xludf.DUMMYFUNCTION("GOOGLETRANSLATE(B731,""en"",""zh-CN"")"),"隐私政策")</f>
        <v>隐私政策</v>
      </c>
      <c r="E731" s="1" t="str">
        <f ca="1">IFERROR(__xludf.DUMMYFUNCTION("GOOGLETRANSLATE(B731,""en"",""ja"")"),"プライバシーポリシー")</f>
        <v>プライバシーポリシー</v>
      </c>
      <c r="F731" s="1" t="str">
        <f ca="1">IFERROR(__xludf.DUMMYFUNCTION("GOOGLETRANSLATE(B731,""en"",""fr"")"),"Politique de confidentialité")</f>
        <v>Politique de confidentialité</v>
      </c>
    </row>
    <row r="732" spans="1:6" ht="15.75" customHeight="1" x14ac:dyDescent="0.25">
      <c r="A732" s="1" t="s">
        <v>1376</v>
      </c>
      <c r="B732" s="1" t="s">
        <v>1377</v>
      </c>
      <c r="C732" s="1" t="str">
        <f ca="1">IFERROR(__xludf.DUMMYFUNCTION("GOOGLETRANSLATE(B732,""en"",""ar"")"),"سيتم تسجيل التفاصيل التالية")</f>
        <v>سيتم تسجيل التفاصيل التالية</v>
      </c>
      <c r="D732" s="1" t="str">
        <f ca="1">IFERROR(__xludf.DUMMYFUNCTION("GOOGLETRANSLATE(B732,""en"",""zh-CN"")"),"将记录以下详细信息")</f>
        <v>将记录以下详细信息</v>
      </c>
      <c r="E732" s="1" t="str">
        <f ca="1">IFERROR(__xludf.DUMMYFUNCTION("GOOGLETRANSLATE(B732,""en"",""ja"")"),"以下の詳細が記録されます")</f>
        <v>以下の詳細が記録されます</v>
      </c>
      <c r="F732" s="1" t="str">
        <f ca="1">IFERROR(__xludf.DUMMYFUNCTION("GOOGLETRANSLATE(B732,""en"",""fr"")"),"Les détails suivants seront enregistrés")</f>
        <v>Les détails suivants seront enregistrés</v>
      </c>
    </row>
    <row r="733" spans="1:6" ht="15.75" customHeight="1" x14ac:dyDescent="0.25">
      <c r="A733" s="1" t="s">
        <v>1378</v>
      </c>
      <c r="B733" s="1" t="s">
        <v>1379</v>
      </c>
      <c r="C733" s="1" t="str">
        <f ca="1">IFERROR(__xludf.DUMMYFUNCTION("GOOGLETRANSLATE(B733,""en"",""ar"")"),"شراء الآن")</f>
        <v>شراء الآن</v>
      </c>
      <c r="D733" s="1" t="str">
        <f ca="1">IFERROR(__xludf.DUMMYFUNCTION("GOOGLETRANSLATE(B733,""en"",""zh-CN"")"),"现在买")</f>
        <v>现在买</v>
      </c>
      <c r="E733" s="1" t="str">
        <f ca="1">IFERROR(__xludf.DUMMYFUNCTION("GOOGLETRANSLATE(B733,""en"",""ja"")"),"今すぐ購入")</f>
        <v>今すぐ購入</v>
      </c>
      <c r="F733" s="1" t="str">
        <f ca="1">IFERROR(__xludf.DUMMYFUNCTION("GOOGLETRANSLATE(B733,""en"",""fr"")"),"acheter maintenant")</f>
        <v>acheter maintenant</v>
      </c>
    </row>
    <row r="734" spans="1:6" ht="15.75" customHeight="1" x14ac:dyDescent="0.25">
      <c r="A734" s="1" t="s">
        <v>1380</v>
      </c>
      <c r="B734" s="1" t="s">
        <v>1381</v>
      </c>
      <c r="C734" s="1" t="str">
        <f ca="1">IFERROR(__xludf.DUMMYFUNCTION("GOOGLETRANSLATE(B734,""en"",""ar"")"),"تم الانتهاء من مهمة نهاية اليوم، يرجى إلغاء ذلك لاستخدام ThisModule.")</f>
        <v>تم الانتهاء من مهمة نهاية اليوم، يرجى إلغاء ذلك لاستخدام ThisModule.</v>
      </c>
      <c r="D734" s="1" t="str">
        <f ca="1">IFERROR(__xludf.DUMMYFUNCTION("GOOGLETRANSLATE(B734,""en"",""zh-CN"")"),"一天结束任务已完成，请取消它以使用此模块。")</f>
        <v>一天结束任务已完成，请取消它以使用此模块。</v>
      </c>
      <c r="E734" s="1" t="str">
        <f ca="1">IFERROR(__xludf.DUMMYFUNCTION("GOOGLETRANSLATE(B734,""en"",""ja"")"),"日付終了タスクが終了しました、このモジュールを使用するにはキャンセルしてください。")</f>
        <v>日付終了タスクが終了しました、このモジュールを使用するにはキャンセルしてください。</v>
      </c>
      <c r="F734" s="1" t="str">
        <f ca="1">IFERROR(__xludf.DUMMYFUNCTION("GOOGLETRANSLATE(B734,""en"",""fr"")"),"La tâche de fin de journée a été terminée, veuillez l'annuler pour utiliser ceModule.")</f>
        <v>La tâche de fin de journée a été terminée, veuillez l'annuler pour utiliser ceModule.</v>
      </c>
    </row>
    <row r="735" spans="1:6" ht="15.75" customHeight="1" x14ac:dyDescent="0.25">
      <c r="A735" s="1" t="s">
        <v>1382</v>
      </c>
      <c r="B735" s="1" t="s">
        <v>432</v>
      </c>
      <c r="C735" s="1" t="str">
        <f ca="1">IFERROR(__xludf.DUMMYFUNCTION("GOOGLETRANSLATE(B735,""en"",""ar"")"),"إلغاء اليوم النهائي")</f>
        <v>إلغاء اليوم النهائي</v>
      </c>
      <c r="D735" s="1" t="str">
        <f ca="1">IFERROR(__xludf.DUMMYFUNCTION("GOOGLETRANSLATE(B735,""en"",""zh-CN"")"),"取消日期")</f>
        <v>取消日期</v>
      </c>
      <c r="E735" s="1" t="str">
        <f ca="1">IFERROR(__xludf.DUMMYFUNCTION("GOOGLETRANSLATE(B735,""en"",""ja"")"),"日端をキャンセルします")</f>
        <v>日端をキャンセルします</v>
      </c>
      <c r="F735" s="1" t="str">
        <f ca="1">IFERROR(__xludf.DUMMYFUNCTION("GOOGLETRANSLATE(B735,""en"",""fr"")"),"Annuler la fin de la journée")</f>
        <v>Annuler la fin de la journée</v>
      </c>
    </row>
    <row r="736" spans="1:6" ht="15.75" customHeight="1" x14ac:dyDescent="0.25">
      <c r="A736" s="1" t="s">
        <v>1383</v>
      </c>
      <c r="B736" s="1" t="s">
        <v>1384</v>
      </c>
      <c r="C736" s="1" t="str">
        <f ca="1">IFERROR(__xludf.DUMMYFUNCTION("GOOGLETRANSLATE(B736,""en"",""ar"")"),"هل أنت متأكد أنك تريد إلغاء نهاية اليوم؟")</f>
        <v>هل أنت متأكد أنك تريد إلغاء نهاية اليوم؟</v>
      </c>
      <c r="D736" s="1" t="str">
        <f ca="1">IFERROR(__xludf.DUMMYFUNCTION("GOOGLETRANSLATE(B736,""en"",""zh-CN"")"),"你确定要取消一天结束吗？")</f>
        <v>你确定要取消一天结束吗？</v>
      </c>
      <c r="E736" s="1" t="str">
        <f ca="1">IFERROR(__xludf.DUMMYFUNCTION("GOOGLETRANSLATE(B736,""en"",""ja"")"),"一日の終わりをキャンセルしたいのですか？")</f>
        <v>一日の終わりをキャンセルしたいのですか？</v>
      </c>
      <c r="F736" s="1" t="str">
        <f ca="1">IFERROR(__xludf.DUMMYFUNCTION("GOOGLETRANSLATE(B736,""en"",""fr"")"),"Êtes-vous sûr de vouloir annuler la fin de la journée?")</f>
        <v>Êtes-vous sûr de vouloir annuler la fin de la journée?</v>
      </c>
    </row>
    <row r="737" spans="1:6" ht="15.75" customHeight="1" x14ac:dyDescent="0.25">
      <c r="A737" s="1" t="s">
        <v>1385</v>
      </c>
      <c r="B737" s="1" t="s">
        <v>1386</v>
      </c>
      <c r="C737" s="1" t="str">
        <f ca="1">IFERROR(__xludf.DUMMYFUNCTION("GOOGLETRANSLATE(B737,""en"",""ar"")"),"تم إلغاء نهاية اليوم بنجاح.")</f>
        <v>تم إلغاء نهاية اليوم بنجاح.</v>
      </c>
      <c r="D737" s="1" t="str">
        <f ca="1">IFERROR(__xludf.DUMMYFUNCTION("GOOGLETRANSLATE(B737,""en"",""zh-CN"")"),"一天结束成功取消。")</f>
        <v>一天结束成功取消。</v>
      </c>
      <c r="E737" s="1" t="str">
        <f ca="1">IFERROR(__xludf.DUMMYFUNCTION("GOOGLETRANSLATE(B737,""en"",""ja"")"),"日末はキャンセルに成功しました。")</f>
        <v>日末はキャンセルに成功しました。</v>
      </c>
      <c r="F737" s="1" t="str">
        <f ca="1">IFERROR(__xludf.DUMMYFUNCTION("GOOGLETRANSLATE(B737,""en"",""fr"")"),"Fin de journée annulée avec succès.")</f>
        <v>Fin de journée annulée avec succès.</v>
      </c>
    </row>
    <row r="738" spans="1:6" ht="15.75" customHeight="1" x14ac:dyDescent="0.25">
      <c r="A738" s="1" t="s">
        <v>1387</v>
      </c>
      <c r="B738" s="1" t="s">
        <v>1388</v>
      </c>
      <c r="C738" s="1" t="str">
        <f ca="1">IFERROR(__xludf.DUMMYFUNCTION("GOOGLETRANSLATE(B738,""en"",""ar"")"),"فعله")</f>
        <v>فعله</v>
      </c>
      <c r="D738" s="1" t="str">
        <f ca="1">IFERROR(__xludf.DUMMYFUNCTION("GOOGLETRANSLATE(B738,""en"",""zh-CN"")"),"完毕")</f>
        <v>完毕</v>
      </c>
      <c r="E738" s="1" t="str">
        <f ca="1">IFERROR(__xludf.DUMMYFUNCTION("GOOGLETRANSLATE(B738,""en"",""ja"")"),"終わり")</f>
        <v>終わり</v>
      </c>
      <c r="F738" s="1" t="str">
        <f ca="1">IFERROR(__xludf.DUMMYFUNCTION("GOOGLETRANSLATE(B738,""en"",""fr"")"),"Fait")</f>
        <v>Fait</v>
      </c>
    </row>
    <row r="739" spans="1:6" ht="15.75" customHeight="1" x14ac:dyDescent="0.25">
      <c r="A739" s="1" t="s">
        <v>1389</v>
      </c>
      <c r="B739" s="1" t="s">
        <v>1390</v>
      </c>
      <c r="C739" s="1" t="str">
        <f ca="1">IFERROR(__xludf.DUMMYFUNCTION("GOOGLETRANSLATE(B739,""en"",""ar"")"),"القرص.")</f>
        <v>القرص.</v>
      </c>
      <c r="D739" s="1" t="str">
        <f ca="1">IFERROR(__xludf.DUMMYFUNCTION("GOOGLETRANSLATE(B739,""en"",""zh-CN"")"),"光盘。")</f>
        <v>光盘。</v>
      </c>
      <c r="E739" s="1" t="str">
        <f ca="1">IFERROR(__xludf.DUMMYFUNCTION("GOOGLETRANSLATE(B739,""en"",""ja"")"),"ディスク。")</f>
        <v>ディスク。</v>
      </c>
      <c r="F739" s="1" t="str">
        <f ca="1">IFERROR(__xludf.DUMMYFUNCTION("GOOGLETRANSLATE(B739,""en"",""fr"")"),"Disque.")</f>
        <v>Disque.</v>
      </c>
    </row>
    <row r="740" spans="1:6" ht="15.75" customHeight="1" x14ac:dyDescent="0.25">
      <c r="A740" s="1" t="s">
        <v>1391</v>
      </c>
      <c r="B740" s="1" t="s">
        <v>205</v>
      </c>
      <c r="C740" s="1" t="str">
        <f ca="1">IFERROR(__xludf.DUMMYFUNCTION("GOOGLETRANSLATE(B740,""en"",""ar"")"),"مجموع")</f>
        <v>مجموع</v>
      </c>
      <c r="D740" s="1" t="str">
        <f ca="1">IFERROR(__xludf.DUMMYFUNCTION("GOOGLETRANSLATE(B740,""en"",""zh-CN"")"),"全部的")</f>
        <v>全部的</v>
      </c>
      <c r="E740" s="1" t="str">
        <f ca="1">IFERROR(__xludf.DUMMYFUNCTION("GOOGLETRANSLATE(B740,""en"",""ja"")"),"合計")</f>
        <v>合計</v>
      </c>
      <c r="F740" s="1" t="str">
        <f ca="1">IFERROR(__xludf.DUMMYFUNCTION("GOOGLETRANSLATE(B740,""en"",""fr"")"),"Le total")</f>
        <v>Le total</v>
      </c>
    </row>
    <row r="741" spans="1:6" ht="15.75" customHeight="1" x14ac:dyDescent="0.25">
      <c r="A741" s="1" t="s">
        <v>1392</v>
      </c>
      <c r="B741" s="1" t="s">
        <v>1393</v>
      </c>
      <c r="C741" s="1" t="str">
        <f ca="1">IFERROR(__xludf.DUMMYFUNCTION("GOOGLETRANSLATE(B741,""en"",""ar"")"),"وكيلات :")</f>
        <v>وكيلات :</v>
      </c>
      <c r="D741" s="1" t="str">
        <f ca="1">IFERROR(__xludf.DUMMYFUNCTION("GOOGLETRANSLATE(B741,""en"",""zh-CN"")"),"代理人 ：")</f>
        <v>代理人 ：</v>
      </c>
      <c r="E741" s="1" t="str">
        <f ca="1">IFERROR(__xludf.DUMMYFUNCTION("GOOGLETRANSLATE(B741,""en"",""ja"")"),"エージェント ：")</f>
        <v>エージェント ：</v>
      </c>
      <c r="F741" s="1" t="str">
        <f ca="1">IFERROR(__xludf.DUMMYFUNCTION("GOOGLETRANSLATE(B741,""en"",""fr"")"),"Agent:")</f>
        <v>Agent:</v>
      </c>
    </row>
    <row r="742" spans="1:6" ht="15.75" customHeight="1" x14ac:dyDescent="0.25">
      <c r="A742" s="1" t="s">
        <v>1394</v>
      </c>
      <c r="B742" s="1" t="s">
        <v>1395</v>
      </c>
      <c r="C742" s="1" t="str">
        <f ca="1">IFERROR(__xludf.DUMMYFUNCTION("GOOGLETRANSLATE(B742,""en"",""ar"")"),"تعليق")</f>
        <v>تعليق</v>
      </c>
      <c r="D742" s="1" t="str">
        <f ca="1">IFERROR(__xludf.DUMMYFUNCTION("GOOGLETRANSLATE(B742,""en"",""zh-CN"")"),"评论")</f>
        <v>评论</v>
      </c>
      <c r="E742" s="1" t="str">
        <f ca="1">IFERROR(__xludf.DUMMYFUNCTION("GOOGLETRANSLATE(B742,""en"",""ja"")"),"コメント")</f>
        <v>コメント</v>
      </c>
      <c r="F742" s="1" t="str">
        <f ca="1">IFERROR(__xludf.DUMMYFUNCTION("GOOGLETRANSLATE(B742,""en"",""fr"")"),"Commenter")</f>
        <v>Commenter</v>
      </c>
    </row>
    <row r="743" spans="1:6" ht="15.75" customHeight="1" x14ac:dyDescent="0.25">
      <c r="A743" s="1" t="s">
        <v>1396</v>
      </c>
      <c r="B743" s="1" t="s">
        <v>1397</v>
      </c>
      <c r="C743" s="1" t="str">
        <f ca="1">IFERROR(__xludf.DUMMYFUNCTION("GOOGLETRANSLATE(B743,""en"",""ar"")"),"تم الانتهاء بنجاح إيصال الائتمان")</f>
        <v>تم الانتهاء بنجاح إيصال الائتمان</v>
      </c>
      <c r="D743" s="1" t="str">
        <f ca="1">IFERROR(__xludf.DUMMYFUNCTION("GOOGLETRANSLATE(B743,""en"",""zh-CN"")"),"信用收据已成功完成")</f>
        <v>信用收据已成功完成</v>
      </c>
      <c r="E743" s="1" t="str">
        <f ca="1">IFERROR(__xludf.DUMMYFUNCTION("GOOGLETRANSLATE(B743,""en"",""ja"")"),"クレジット領収書は正常に完了しました")</f>
        <v>クレジット領収書は正常に完了しました</v>
      </c>
      <c r="F743" s="1" t="str">
        <f ca="1">IFERROR(__xludf.DUMMYFUNCTION("GOOGLETRANSLATE(B743,""en"",""fr"")"),"Le reçu de crédit est terminé avec succès")</f>
        <v>Le reçu de crédit est terminé avec succès</v>
      </c>
    </row>
    <row r="744" spans="1:6" ht="15.75" customHeight="1" x14ac:dyDescent="0.25">
      <c r="A744" s="1" t="s">
        <v>1398</v>
      </c>
      <c r="B744" s="1" t="s">
        <v>1399</v>
      </c>
      <c r="C744" s="1" t="str">
        <f ca="1">IFERROR(__xludf.DUMMYFUNCTION("GOOGLETRANSLATE(B744,""en"",""ar"")"),"يتم تشغيل التشغيل التلقائي.")</f>
        <v>يتم تشغيل التشغيل التلقائي.</v>
      </c>
      <c r="D744" s="1" t="str">
        <f ca="1">IFERROR(__xludf.DUMMYFUNCTION("GOOGLETRANSLATE(B744,""en"",""zh-CN"")"),"自动启动已开启。")</f>
        <v>自动启动已开启。</v>
      </c>
      <c r="E744" s="1" t="str">
        <f ca="1">IFERROR(__xludf.DUMMYFUNCTION("GOOGLETRANSLATE(B744,""en"",""ja"")"),"自動起動がオンになります。")</f>
        <v>自動起動がオンになります。</v>
      </c>
      <c r="F744" s="1" t="str">
        <f ca="1">IFERROR(__xludf.DUMMYFUNCTION("GOOGLETRANSLATE(B744,""en"",""fr"")"),"Le lancement automatique est allumé.")</f>
        <v>Le lancement automatique est allumé.</v>
      </c>
    </row>
    <row r="745" spans="1:6" ht="15.75" customHeight="1" x14ac:dyDescent="0.25">
      <c r="A745" s="1" t="s">
        <v>1400</v>
      </c>
      <c r="B745" s="1" t="s">
        <v>1401</v>
      </c>
      <c r="C745" s="1" t="str">
        <f ca="1">IFERROR(__xludf.DUMMYFUNCTION("GOOGLETRANSLATE(B745,""en"",""ar"")"),"اطفئه")</f>
        <v>اطفئه</v>
      </c>
      <c r="D745" s="1" t="str">
        <f ca="1">IFERROR(__xludf.DUMMYFUNCTION("GOOGLETRANSLATE(B745,""en"",""zh-CN"")"),"关掉")</f>
        <v>关掉</v>
      </c>
      <c r="E745" s="1" t="str">
        <f ca="1">IFERROR(__xludf.DUMMYFUNCTION("GOOGLETRANSLATE(B745,""en"",""ja"")"),"消す")</f>
        <v>消す</v>
      </c>
      <c r="F745" s="1" t="str">
        <f ca="1">IFERROR(__xludf.DUMMYFUNCTION("GOOGLETRANSLATE(B745,""en"",""fr"")"),"Éteindre")</f>
        <v>Éteindre</v>
      </c>
    </row>
    <row r="746" spans="1:6" ht="15.75" customHeight="1" x14ac:dyDescent="0.25">
      <c r="A746" s="1" t="s">
        <v>1402</v>
      </c>
      <c r="B746" s="1" t="s">
        <v>1403</v>
      </c>
      <c r="C746" s="1" t="str">
        <f ca="1">IFERROR(__xludf.DUMMYFUNCTION("GOOGLETRANSLATE(B746,""en"",""ar"")"),"تشغيل تلقائي")</f>
        <v>تشغيل تلقائي</v>
      </c>
      <c r="D746" s="1" t="str">
        <f ca="1">IFERROR(__xludf.DUMMYFUNCTION("GOOGLETRANSLATE(B746,""en"",""zh-CN"")"),"自动发射")</f>
        <v>自动发射</v>
      </c>
      <c r="E746" s="1" t="str">
        <f ca="1">IFERROR(__xludf.DUMMYFUNCTION("GOOGLETRANSLATE(B746,""en"",""ja"")"),"自動起動")</f>
        <v>自動起動</v>
      </c>
      <c r="F746" s="1" t="str">
        <f ca="1">IFERROR(__xludf.DUMMYFUNCTION("GOOGLETRANSLATE(B746,""en"",""fr"")"),"Lancement automatique")</f>
        <v>Lancement automatique</v>
      </c>
    </row>
    <row r="747" spans="1:6" ht="15.75" customHeight="1" x14ac:dyDescent="0.25">
      <c r="A747" s="1" t="s">
        <v>1404</v>
      </c>
      <c r="B747" s="1" t="s">
        <v>1405</v>
      </c>
      <c r="C747" s="1" t="str">
        <f ca="1">IFERROR(__xludf.DUMMYFUNCTION("GOOGLETRANSLATE(B747,""en"",""ar"")"),"هل أنت متأكد من أنك تريد إيقاف تشغيل الإطلاق التلقائي؟")</f>
        <v>هل أنت متأكد من أنك تريد إيقاف تشغيل الإطلاق التلقائي؟</v>
      </c>
      <c r="D747" s="1" t="str">
        <f ca="1">IFERROR(__xludf.DUMMYFUNCTION("GOOGLETRANSLATE(B747,""en"",""zh-CN"")"),"您确定要关闭自动发布吗？")</f>
        <v>您确定要关闭自动发布吗？</v>
      </c>
      <c r="E747" s="1" t="str">
        <f ca="1">IFERROR(__xludf.DUMMYFUNCTION("GOOGLETRANSLATE(B747,""en"",""ja"")"),"自動起動をオフにしてもよろしいですか？")</f>
        <v>自動起動をオフにしてもよろしいですか？</v>
      </c>
      <c r="F747" s="1" t="str">
        <f ca="1">IFERROR(__xludf.DUMMYFUNCTION("GOOGLETRANSLATE(B747,""en"",""fr"")"),"Êtes-vous sûr de vouloir désactiver le lancement automatique?")</f>
        <v>Êtes-vous sûr de vouloir désactiver le lancement automatique?</v>
      </c>
    </row>
    <row r="748" spans="1:6" ht="15.75" customHeight="1" x14ac:dyDescent="0.25">
      <c r="A748" s="1" t="s">
        <v>1406</v>
      </c>
      <c r="B748" s="1" t="s">
        <v>1407</v>
      </c>
      <c r="C748" s="1" t="str">
        <f ca="1">IFERROR(__xludf.DUMMYFUNCTION("GOOGLETRANSLATE(B748,""en"",""ar"")"),"يتم إيقاف تشغيل التشغيل التلقائي.")</f>
        <v>يتم إيقاف تشغيل التشغيل التلقائي.</v>
      </c>
      <c r="D748" s="1" t="str">
        <f ca="1">IFERROR(__xludf.DUMMYFUNCTION("GOOGLETRANSLATE(B748,""en"",""zh-CN"")"),"自动启动关闭。")</f>
        <v>自动启动关闭。</v>
      </c>
      <c r="E748" s="1" t="str">
        <f ca="1">IFERROR(__xludf.DUMMYFUNCTION("GOOGLETRANSLATE(B748,""en"",""ja"")"),"自動起動はオフになります。")</f>
        <v>自動起動はオフになります。</v>
      </c>
      <c r="F748" s="1" t="str">
        <f ca="1">IFERROR(__xludf.DUMMYFUNCTION("GOOGLETRANSLATE(B748,""en"",""fr"")"),"Le lancement automatique est éteint.")</f>
        <v>Le lancement automatique est éteint.</v>
      </c>
    </row>
    <row r="749" spans="1:6" ht="15.75" customHeight="1" x14ac:dyDescent="0.25">
      <c r="A749" s="1" t="s">
        <v>1408</v>
      </c>
      <c r="B749" s="1" t="s">
        <v>1409</v>
      </c>
      <c r="C749" s="1" t="str">
        <f ca="1">IFERROR(__xludf.DUMMYFUNCTION("GOOGLETRANSLATE(B749,""en"",""ar"")"),"تلقى الدفع")</f>
        <v>تلقى الدفع</v>
      </c>
      <c r="D749" s="1" t="str">
        <f ca="1">IFERROR(__xludf.DUMMYFUNCTION("GOOGLETRANSLATE(B749,""en"",""zh-CN"")"),"已收到付款")</f>
        <v>已收到付款</v>
      </c>
      <c r="E749" s="1" t="str">
        <f ca="1">IFERROR(__xludf.DUMMYFUNCTION("GOOGLETRANSLATE(B749,""en"",""ja"")"),"お支払い頂いた")</f>
        <v>お支払い頂いた</v>
      </c>
      <c r="F749" s="1" t="str">
        <f ca="1">IFERROR(__xludf.DUMMYFUNCTION("GOOGLETRANSLATE(B749,""en"",""fr"")"),"Paiement reçu")</f>
        <v>Paiement reçu</v>
      </c>
    </row>
    <row r="750" spans="1:6" ht="15.75" customHeight="1" x14ac:dyDescent="0.25">
      <c r="A750" s="1" t="s">
        <v>1410</v>
      </c>
      <c r="B750" s="1" t="s">
        <v>1411</v>
      </c>
      <c r="C750" s="1" t="str">
        <f ca="1">IFERROR(__xludf.DUMMYFUNCTION("GOOGLETRANSLATE(B750,""en"",""ar"")"),"إيصال رائع")</f>
        <v>إيصال رائع</v>
      </c>
      <c r="D750" s="1" t="str">
        <f ca="1">IFERROR(__xludf.DUMMYFUNCTION("GOOGLETRANSLATE(B750,""en"",""zh-CN"")"),"收据优秀")</f>
        <v>收据优秀</v>
      </c>
      <c r="E750" s="1" t="str">
        <f ca="1">IFERROR(__xludf.DUMMYFUNCTION("GOOGLETRANSLATE(B750,""en"",""ja"")"),"領収書の優れた")</f>
        <v>領収書の優れた</v>
      </c>
      <c r="F750" s="1" t="str">
        <f ca="1">IFERROR(__xludf.DUMMYFUNCTION("GOOGLETRANSLATE(B750,""en"",""fr"")"),"Reçu")</f>
        <v>Reçu</v>
      </c>
    </row>
    <row r="751" spans="1:6" ht="15.75" customHeight="1" x14ac:dyDescent="0.25">
      <c r="A751" s="1" t="s">
        <v>1412</v>
      </c>
      <c r="B751" s="1" t="s">
        <v>1413</v>
      </c>
      <c r="C751" s="1" t="str">
        <f ca="1">IFERROR(__xludf.DUMMYFUNCTION("GOOGLETRANSLATE(B751,""en"",""ar"")"),"السابق المتميزة")</f>
        <v>السابق المتميزة</v>
      </c>
      <c r="D751" s="1" t="str">
        <f ca="1">IFERROR(__xludf.DUMMYFUNCTION("GOOGLETRANSLATE(B751,""en"",""zh-CN"")"),"以前的优秀")</f>
        <v>以前的优秀</v>
      </c>
      <c r="E751" s="1" t="str">
        <f ca="1">IFERROR(__xludf.DUMMYFUNCTION("GOOGLETRANSLATE(B751,""en"",""ja"")"),"前の素晴らしい")</f>
        <v>前の素晴らしい</v>
      </c>
      <c r="F751" s="1" t="str">
        <f ca="1">IFERROR(__xludf.DUMMYFUNCTION("GOOGLETRANSLATE(B751,""en"",""fr"")"),"Exceptionnel précédent")</f>
        <v>Exceptionnel précédent</v>
      </c>
    </row>
    <row r="752" spans="1:6" ht="15.75" customHeight="1" x14ac:dyDescent="0.25">
      <c r="A752" s="1" t="s">
        <v>1414</v>
      </c>
      <c r="B752" s="1" t="s">
        <v>1415</v>
      </c>
      <c r="C752" s="1" t="str">
        <f ca="1">IFERROR(__xludf.DUMMYFUNCTION("GOOGLETRANSLATE(B752,""en"",""ar"")"),"قيمة الوصل")</f>
        <v>قيمة الوصل</v>
      </c>
      <c r="D752" s="1" t="str">
        <f ca="1">IFERROR(__xludf.DUMMYFUNCTION("GOOGLETRANSLATE(B752,""en"",""zh-CN"")"),"收据金额")</f>
        <v>收据金额</v>
      </c>
      <c r="E752" s="1" t="str">
        <f ca="1">IFERROR(__xludf.DUMMYFUNCTION("GOOGLETRANSLATE(B752,""en"",""ja"")"),"受領額")</f>
        <v>受領額</v>
      </c>
      <c r="F752" s="1" t="str">
        <f ca="1">IFERROR(__xludf.DUMMYFUNCTION("GOOGLETRANSLATE(B752,""en"",""fr"")"),"Montant de réception")</f>
        <v>Montant de réception</v>
      </c>
    </row>
    <row r="753" spans="1:6" ht="15.75" customHeight="1" x14ac:dyDescent="0.25">
      <c r="A753" s="1" t="s">
        <v>1416</v>
      </c>
      <c r="B753" s="1" t="s">
        <v>1417</v>
      </c>
      <c r="C753" s="1" t="str">
        <f ca="1">IFERROR(__xludf.DUMMYFUNCTION("GOOGLETRANSLATE(B753,""en"",""ar"")"),"استلام الائتمان")</f>
        <v>استلام الائتمان</v>
      </c>
      <c r="D753" s="1" t="str">
        <f ca="1">IFERROR(__xludf.DUMMYFUNCTION("GOOGLETRANSLATE(B753,""en"",""zh-CN"")"),"信用收据")</f>
        <v>信用收据</v>
      </c>
      <c r="E753" s="1" t="str">
        <f ca="1">IFERROR(__xludf.DUMMYFUNCTION("GOOGLETRANSLATE(B753,""en"",""ja"")"),"クレジットレシート")</f>
        <v>クレジットレシート</v>
      </c>
      <c r="F753" s="1" t="str">
        <f ca="1">IFERROR(__xludf.DUMMYFUNCTION("GOOGLETRANSLATE(B753,""en"",""fr"")"),"Réception de crédit")</f>
        <v>Réception de crédit</v>
      </c>
    </row>
    <row r="754" spans="1:6" ht="15.75" customHeight="1" x14ac:dyDescent="0.25">
      <c r="A754" s="1" t="s">
        <v>1418</v>
      </c>
      <c r="B754" s="1" t="s">
        <v>1419</v>
      </c>
      <c r="C754" s="1" t="str">
        <f ca="1">IFERROR(__xludf.DUMMYFUNCTION("GOOGLETRANSLATE(B754,""en"",""ar"")"),"مجموع العملاء المتميزة")</f>
        <v>مجموع العملاء المتميزة</v>
      </c>
      <c r="D754" s="1" t="str">
        <f ca="1">IFERROR(__xludf.DUMMYFUNCTION("GOOGLETRANSLATE(B754,""en"",""zh-CN"")"),"客户总杰出")</f>
        <v>客户总杰出</v>
      </c>
      <c r="E754" s="1" t="str">
        <f ca="1">IFERROR(__xludf.DUMMYFUNCTION("GOOGLETRANSLATE(B754,""en"",""ja"")"),"顧客総数")</f>
        <v>顧客総数</v>
      </c>
      <c r="F754" s="1" t="str">
        <f ca="1">IFERROR(__xludf.DUMMYFUNCTION("GOOGLETRANSLATE(B754,""en"",""fr"")"),"Total du client en circulation")</f>
        <v>Total du client en circulation</v>
      </c>
    </row>
    <row r="755" spans="1:6" ht="15.75" customHeight="1" x14ac:dyDescent="0.25">
      <c r="A755" s="1" t="s">
        <v>1420</v>
      </c>
      <c r="B755" s="1" t="s">
        <v>1421</v>
      </c>
      <c r="C755" s="1" t="str">
        <f ca="1">IFERROR(__xludf.DUMMYFUNCTION("GOOGLETRANSLATE(B755,""en"",""ar"")"),"العملاء المتميزة")</f>
        <v>العملاء المتميزة</v>
      </c>
      <c r="D755" s="1" t="str">
        <f ca="1">IFERROR(__xludf.DUMMYFUNCTION("GOOGLETRANSLATE(B755,""en"",""zh-CN"")"),"客户杰出")</f>
        <v>客户杰出</v>
      </c>
      <c r="E755" s="1" t="str">
        <f ca="1">IFERROR(__xludf.DUMMYFUNCTION("GOOGLETRANSLATE(B755,""en"",""ja"")"),"お客様の傑解")</f>
        <v>お客様の傑解</v>
      </c>
      <c r="F755" s="1" t="str">
        <f ca="1">IFERROR(__xludf.DUMMYFUNCTION("GOOGLETRANSLATE(B755,""en"",""fr"")"),"Exceptionnel du client")</f>
        <v>Exceptionnel du client</v>
      </c>
    </row>
    <row r="756" spans="1:6" ht="15.75" customHeight="1" x14ac:dyDescent="0.25">
      <c r="A756" s="1" t="s">
        <v>1422</v>
      </c>
      <c r="B756" s="1" t="s">
        <v>1423</v>
      </c>
      <c r="C756" s="1" t="str">
        <f ca="1">IFERROR(__xludf.DUMMYFUNCTION("GOOGLETRANSLATE(B756,""en"",""ar"")"),"مجموع المستحق")</f>
        <v>مجموع المستحق</v>
      </c>
      <c r="D756" s="1" t="str">
        <f ca="1">IFERROR(__xludf.DUMMYFUNCTION("GOOGLETRANSLATE(B756,""en"",""zh-CN"")"),"总杰出")</f>
        <v>总杰出</v>
      </c>
      <c r="E756" s="1" t="str">
        <f ca="1">IFERROR(__xludf.DUMMYFUNCTION("GOOGLETRANSLATE(B756,""en"",""ja"")"),"残高の総額")</f>
        <v>残高の総額</v>
      </c>
      <c r="F756" s="1" t="str">
        <f ca="1">IFERROR(__xludf.DUMMYFUNCTION("GOOGLETRANSLATE(B756,""en"",""fr"")"),"TOTAL EXCELLAIRE")</f>
        <v>TOTAL EXCELLAIRE</v>
      </c>
    </row>
    <row r="757" spans="1:6" ht="15.75" customHeight="1" x14ac:dyDescent="0.25">
      <c r="A757" s="1" t="s">
        <v>1424</v>
      </c>
      <c r="B757" s="1" t="s">
        <v>1425</v>
      </c>
      <c r="C757" s="1" t="str">
        <f ca="1">IFERROR(__xludf.DUMMYFUNCTION("GOOGLETRANSLATE(B757,""en"",""ar"")"),"نوع التسوية")</f>
        <v>نوع التسوية</v>
      </c>
      <c r="D757" s="1" t="str">
        <f ca="1">IFERROR(__xludf.DUMMYFUNCTION("GOOGLETRANSLATE(B757,""en"",""zh-CN"")"),"结算类型")</f>
        <v>结算类型</v>
      </c>
      <c r="E757" s="1" t="str">
        <f ca="1">IFERROR(__xludf.DUMMYFUNCTION("GOOGLETRANSLATE(B757,""en"",""ja"")"),"決済タイプ")</f>
        <v>決済タイプ</v>
      </c>
      <c r="F757" s="1" t="str">
        <f ca="1">IFERROR(__xludf.DUMMYFUNCTION("GOOGLETRANSLATE(B757,""en"",""fr"")"),"Type de règlement")</f>
        <v>Type de règlement</v>
      </c>
    </row>
    <row r="758" spans="1:6" ht="15.75" customHeight="1" x14ac:dyDescent="0.25">
      <c r="A758" s="1" t="s">
        <v>1426</v>
      </c>
      <c r="B758" s="1" t="s">
        <v>1427</v>
      </c>
      <c r="C758" s="1" t="str">
        <f ca="1">IFERROR(__xludf.DUMMYFUNCTION("GOOGLETRANSLATE(B758,""en"",""ar"")"),"استلام استقر")</f>
        <v>استلام استقر</v>
      </c>
      <c r="D758" s="1" t="str">
        <f ca="1">IFERROR(__xludf.DUMMYFUNCTION("GOOGLETRANSLATE(B758,""en"",""zh-CN"")"),"结算收据")</f>
        <v>结算收据</v>
      </c>
      <c r="E758" s="1" t="str">
        <f ca="1">IFERROR(__xludf.DUMMYFUNCTION("GOOGLETRANSLATE(B758,""en"",""ja"")"),"決済領収書")</f>
        <v>決済領収書</v>
      </c>
      <c r="F758" s="1" t="str">
        <f ca="1">IFERROR(__xludf.DUMMYFUNCTION("GOOGLETRANSLATE(B758,""en"",""fr"")"),"Reçu")</f>
        <v>Reçu</v>
      </c>
    </row>
    <row r="759" spans="1:6" ht="15.75" customHeight="1" x14ac:dyDescent="0.25">
      <c r="A759" s="1" t="s">
        <v>1428</v>
      </c>
      <c r="B759" s="1" t="s">
        <v>1417</v>
      </c>
      <c r="C759" s="1" t="str">
        <f ca="1">IFERROR(__xludf.DUMMYFUNCTION("GOOGLETRANSLATE(B759,""en"",""ar"")"),"استلام الائتمان")</f>
        <v>استلام الائتمان</v>
      </c>
      <c r="D759" s="1" t="str">
        <f ca="1">IFERROR(__xludf.DUMMYFUNCTION("GOOGLETRANSLATE(B759,""en"",""zh-CN"")"),"信用收据")</f>
        <v>信用收据</v>
      </c>
      <c r="E759" s="1" t="str">
        <f ca="1">IFERROR(__xludf.DUMMYFUNCTION("GOOGLETRANSLATE(B759,""en"",""ja"")"),"クレジットレシート")</f>
        <v>クレジットレシート</v>
      </c>
      <c r="F759" s="1" t="str">
        <f ca="1">IFERROR(__xludf.DUMMYFUNCTION("GOOGLETRANSLATE(B759,""en"",""fr"")"),"Réception de crédit")</f>
        <v>Réception de crédit</v>
      </c>
    </row>
    <row r="760" spans="1:6" ht="15.75" customHeight="1" x14ac:dyDescent="0.25">
      <c r="A760" s="1" t="s">
        <v>1429</v>
      </c>
      <c r="B760" s="1" t="s">
        <v>1430</v>
      </c>
      <c r="C760" s="1" t="str">
        <f ca="1">IFERROR(__xludf.DUMMYFUNCTION("GOOGLETRANSLATE(B760,""en"",""ar"")"),"غير مدفوع")</f>
        <v>غير مدفوع</v>
      </c>
      <c r="D760" s="1" t="str">
        <f ca="1">IFERROR(__xludf.DUMMYFUNCTION("GOOGLETRANSLATE(B760,""en"",""zh-CN"")"),"未付")</f>
        <v>未付</v>
      </c>
      <c r="E760" s="1" t="str">
        <f ca="1">IFERROR(__xludf.DUMMYFUNCTION("GOOGLETRANSLATE(B760,""en"",""ja"")"),"未払い")</f>
        <v>未払い</v>
      </c>
      <c r="F760" s="1" t="str">
        <f ca="1">IFERROR(__xludf.DUMMYFUNCTION("GOOGLETRANSLATE(B760,""en"",""fr"")"),"Non payé")</f>
        <v>Non payé</v>
      </c>
    </row>
    <row r="761" spans="1:6" ht="15.75" customHeight="1" x14ac:dyDescent="0.25">
      <c r="A761" s="1" t="s">
        <v>1431</v>
      </c>
      <c r="B761" s="1" t="s">
        <v>1432</v>
      </c>
      <c r="C761" s="1" t="str">
        <f ca="1">IFERROR(__xludf.DUMMYFUNCTION("GOOGLETRANSLATE(B761,""en"",""ar"")"),"يتم نقل الاستلام بنجاح إلى قائمة إيصال غير مدفوعة")</f>
        <v>يتم نقل الاستلام بنجاح إلى قائمة إيصال غير مدفوعة</v>
      </c>
      <c r="D761" s="1" t="str">
        <f ca="1">IFERROR(__xludf.DUMMYFUNCTION("GOOGLETRANSLATE(B761,""en"",""zh-CN"")"),"收据已成功转移到未付款的收据列表")</f>
        <v>收据已成功转移到未付款的收据列表</v>
      </c>
      <c r="E761" s="1" t="str">
        <f ca="1">IFERROR(__xludf.DUMMYFUNCTION("GOOGLETRANSLATE(B761,""en"",""ja"")"),"領収書は未払い領収書リストに正常に移動されます")</f>
        <v>領収書は未払い領収書リストに正常に移動されます</v>
      </c>
      <c r="F761" s="1" t="str">
        <f ca="1">IFERROR(__xludf.DUMMYFUNCTION("GOOGLETRANSLATE(B761,""en"",""fr"")"),"Le reçu est transféré avec succès à la liste des reçus impayés")</f>
        <v>Le reçu est transféré avec succès à la liste des reçus impayés</v>
      </c>
    </row>
    <row r="762" spans="1:6" ht="15.75" customHeight="1" x14ac:dyDescent="0.25">
      <c r="A762" s="1" t="s">
        <v>1433</v>
      </c>
      <c r="B762" s="1" t="s">
        <v>1434</v>
      </c>
      <c r="C762" s="1" t="str">
        <f ca="1">IFERROR(__xludf.DUMMYFUNCTION("GOOGLETRANSLATE(B762,""en"",""ar"")"),"هل أنت متأكد من أنك تريد نقل هذا الاستلام إلى قائمة إيصال غير مستقر؟")</f>
        <v>هل أنت متأكد من أنك تريد نقل هذا الاستلام إلى قائمة إيصال غير مستقر؟</v>
      </c>
      <c r="D762" s="1" t="str">
        <f ca="1">IFERROR(__xludf.DUMMYFUNCTION("GOOGLETRANSLATE(B762,""en"",""zh-CN"")"),"您确定要将此收据搬到未解脱的收据列表吗？")</f>
        <v>您确定要将此收据搬到未解脱的收据列表吗？</v>
      </c>
      <c r="E762" s="1" t="str">
        <f ca="1">IFERROR(__xludf.DUMMYFUNCTION("GOOGLETRANSLATE(B762,""en"",""ja"")"),"この領収書を未解決の領収書リストに移動しますか？")</f>
        <v>この領収書を未解決の領収書リストに移動しますか？</v>
      </c>
      <c r="F762" s="1" t="str">
        <f ca="1">IFERROR(__xludf.DUMMYFUNCTION("GOOGLETRANSLATE(B762,""en"",""fr"")"),"Êtes-vous sûr de vouloir déplacer cet accusé de réception à la liste des reçus défectueux?")</f>
        <v>Êtes-vous sûr de vouloir déplacer cet accusé de réception à la liste des reçus défectueux?</v>
      </c>
    </row>
    <row r="763" spans="1:6" ht="15.75" customHeight="1" x14ac:dyDescent="0.25">
      <c r="A763" s="1" t="s">
        <v>1435</v>
      </c>
      <c r="B763" s="1" t="s">
        <v>1436</v>
      </c>
      <c r="C763" s="1" t="str">
        <f ca="1">IFERROR(__xludf.DUMMYFUNCTION("GOOGLETRANSLATE(B763,""en"",""ar"")"),"تغيير وحدة النهاية")</f>
        <v>تغيير وحدة النهاية</v>
      </c>
      <c r="D763" s="1" t="str">
        <f ca="1">IFERROR(__xludf.DUMMYFUNCTION("GOOGLETRANSLATE(B763,""en"",""zh-CN"")"),"换档端模块")</f>
        <v>换档端模块</v>
      </c>
      <c r="E763" s="1" t="str">
        <f ca="1">IFERROR(__xludf.DUMMYFUNCTION("GOOGLETRANSLATE(B763,""en"",""ja"")"),"シフトエンドモジュール")</f>
        <v>シフトエンドモジュール</v>
      </c>
      <c r="F763" s="1" t="str">
        <f ca="1">IFERROR(__xludf.DUMMYFUNCTION("GOOGLETRANSLATE(B763,""en"",""fr"")"),"Module de bout à changement")</f>
        <v>Module de bout à changement</v>
      </c>
    </row>
    <row r="764" spans="1:6" ht="15.75" customHeight="1" x14ac:dyDescent="0.25">
      <c r="A764" s="1" t="s">
        <v>1437</v>
      </c>
      <c r="B764" s="1" t="s">
        <v>1438</v>
      </c>
      <c r="C764" s="1" t="str">
        <f ca="1">IFERROR(__xludf.DUMMYFUNCTION("GOOGLETRANSLATE(B764,""en"",""ar"")"),"تحول النهاية")</f>
        <v>تحول النهاية</v>
      </c>
      <c r="D764" s="1" t="str">
        <f ca="1">IFERROR(__xludf.DUMMYFUNCTION("GOOGLETRANSLATE(B764,""en"",""zh-CN"")"),"转移结束")</f>
        <v>转移结束</v>
      </c>
      <c r="E764" s="1" t="str">
        <f ca="1">IFERROR(__xludf.DUMMYFUNCTION("GOOGLETRANSLATE(B764,""en"",""ja"")"),"シフトエンド")</f>
        <v>シフトエンド</v>
      </c>
      <c r="F764" s="1" t="str">
        <f ca="1">IFERROR(__xludf.DUMMYFUNCTION("GOOGLETRANSLATE(B764,""en"",""fr"")"),"Extrémité de changement de vitesse")</f>
        <v>Extrémité de changement de vitesse</v>
      </c>
    </row>
    <row r="765" spans="1:6" ht="15.75" customHeight="1" x14ac:dyDescent="0.25">
      <c r="A765" s="1" t="s">
        <v>1439</v>
      </c>
      <c r="B765" s="1" t="s">
        <v>1440</v>
      </c>
      <c r="C765" s="1" t="str">
        <f ca="1">IFERROR(__xludf.DUMMYFUNCTION("GOOGLETRANSLATE(B765,""en"",""ar"")"),"يرجى تمكين نهاية اليوم في إعداد البرامج")</f>
        <v>يرجى تمكين نهاية اليوم في إعداد البرامج</v>
      </c>
      <c r="D765" s="1" t="str">
        <f ca="1">IFERROR(__xludf.DUMMYFUNCTION("GOOGLETRANSLATE(B765,""en"",""zh-CN"")"),"请在软件设置中启用一天结束")</f>
        <v>请在软件设置中启用一天结束</v>
      </c>
      <c r="E765" s="1" t="str">
        <f ca="1">IFERROR(__xludf.DUMMYFUNCTION("GOOGLETRANSLATE(B765,""en"",""ja"")"),"ソフトウェアの設定で終了を有効にしてください")</f>
        <v>ソフトウェアの設定で終了を有効にしてください</v>
      </c>
      <c r="F765" s="1" t="str">
        <f ca="1">IFERROR(__xludf.DUMMYFUNCTION("GOOGLETRANSLATE(B765,""en"",""fr"")"),"Veuillez activer la fin de la journée dans la configuration du logiciel")</f>
        <v>Veuillez activer la fin de la journée dans la configuration du logiciel</v>
      </c>
    </row>
    <row r="766" spans="1:6" ht="15.75" customHeight="1" x14ac:dyDescent="0.25">
      <c r="A766" s="1" t="s">
        <v>1441</v>
      </c>
      <c r="B766" s="1" t="s">
        <v>1442</v>
      </c>
      <c r="C766" s="1" t="str">
        <f ca="1">IFERROR(__xludf.DUMMYFUNCTION("GOOGLETRANSLATE(B766,""en"",""ar"")"),"سحابة التحميل")</f>
        <v>سحابة التحميل</v>
      </c>
      <c r="D766" s="1" t="str">
        <f ca="1">IFERROR(__xludf.DUMMYFUNCTION("GOOGLETRANSLATE(B766,""en"",""zh-CN"")"),"云上传")</f>
        <v>云上传</v>
      </c>
      <c r="E766" s="1" t="str">
        <f ca="1">IFERROR(__xludf.DUMMYFUNCTION("GOOGLETRANSLATE(B766,""en"",""ja"")"),"クラウドアップロード")</f>
        <v>クラウドアップロード</v>
      </c>
      <c r="F766" s="1" t="str">
        <f ca="1">IFERROR(__xludf.DUMMYFUNCTION("GOOGLETRANSLATE(B766,""en"",""fr"")"),"Tableau Cloud")</f>
        <v>Tableau Cloud</v>
      </c>
    </row>
    <row r="767" spans="1:6" ht="15.75" customHeight="1" x14ac:dyDescent="0.25">
      <c r="A767" s="1" t="s">
        <v>1443</v>
      </c>
      <c r="B767" s="1" t="s">
        <v>1337</v>
      </c>
      <c r="C767" s="1" t="str">
        <f ca="1">IFERROR(__xludf.DUMMYFUNCTION("GOOGLETRANSLATE(B767,""en"",""ar"")"),"يرجى اختيار العميل")</f>
        <v>يرجى اختيار العميل</v>
      </c>
      <c r="D767" s="1" t="str">
        <f ca="1">IFERROR(__xludf.DUMMYFUNCTION("GOOGLETRANSLATE(B767,""en"",""zh-CN"")"),"请选择客户")</f>
        <v>请选择客户</v>
      </c>
      <c r="E767" s="1" t="str">
        <f ca="1">IFERROR(__xludf.DUMMYFUNCTION("GOOGLETRANSLATE(B767,""en"",""ja"")"),"顧客を選択してください")</f>
        <v>顧客を選択してください</v>
      </c>
      <c r="F767" s="1" t="str">
        <f ca="1">IFERROR(__xludf.DUMMYFUNCTION("GOOGLETRANSLATE(B767,""en"",""fr"")"),"Veuillez sélectionner un client")</f>
        <v>Veuillez sélectionner un client</v>
      </c>
    </row>
    <row r="768" spans="1:6" ht="15.75" customHeight="1" x14ac:dyDescent="0.25">
      <c r="A768" s="1" t="s">
        <v>1444</v>
      </c>
      <c r="B768" s="1" t="s">
        <v>1445</v>
      </c>
      <c r="C768" s="1" t="str">
        <f ca="1">IFERROR(__xludf.DUMMYFUNCTION("GOOGLETRANSLATE(B768,""en"",""ar"")"),"الرجاء إدخال مبلغ")</f>
        <v>الرجاء إدخال مبلغ</v>
      </c>
      <c r="D768" s="1" t="str">
        <f ca="1">IFERROR(__xludf.DUMMYFUNCTION("GOOGLETRANSLATE(B768,""en"",""zh-CN"")"),"请输入一笔金额")</f>
        <v>请输入一笔金额</v>
      </c>
      <c r="E768" s="1" t="str">
        <f ca="1">IFERROR(__xludf.DUMMYFUNCTION("GOOGLETRANSLATE(B768,""en"",""ja"")"),"金額を入力してください")</f>
        <v>金額を入力してください</v>
      </c>
      <c r="F768" s="1" t="str">
        <f ca="1">IFERROR(__xludf.DUMMYFUNCTION("GOOGLETRANSLATE(B768,""en"",""fr"")"),"S'il vous plaît entrer un montant")</f>
        <v>S'il vous plaît entrer un montant</v>
      </c>
    </row>
    <row r="769" spans="1:6" ht="15.75" customHeight="1" x14ac:dyDescent="0.25">
      <c r="A769" s="1" t="s">
        <v>1446</v>
      </c>
      <c r="B769" s="1" t="s">
        <v>1447</v>
      </c>
      <c r="C769" s="1" t="str">
        <f ca="1">IFERROR(__xludf.DUMMYFUNCTION("GOOGLETRANSLATE(B769,""en"",""ar"")"),"اخر تاريخ تحديث")</f>
        <v>اخر تاريخ تحديث</v>
      </c>
      <c r="D769" s="1" t="str">
        <f ca="1">IFERROR(__xludf.DUMMYFUNCTION("GOOGLETRANSLATE(B769,""en"",""zh-CN"")"),"最后更新日期")</f>
        <v>最后更新日期</v>
      </c>
      <c r="E769" s="1" t="str">
        <f ca="1">IFERROR(__xludf.DUMMYFUNCTION("GOOGLETRANSLATE(B769,""en"",""ja"")"),"最後の更新日")</f>
        <v>最後の更新日</v>
      </c>
      <c r="F769" s="1" t="str">
        <f ca="1">IFERROR(__xludf.DUMMYFUNCTION("GOOGLETRANSLATE(B769,""en"",""fr"")"),"Date de la dernière mise à jour")</f>
        <v>Date de la dernière mise à jour</v>
      </c>
    </row>
    <row r="770" spans="1:6" ht="15.75" customHeight="1" x14ac:dyDescent="0.25">
      <c r="A770" s="1" t="s">
        <v>1448</v>
      </c>
      <c r="B770" s="1" t="s">
        <v>1449</v>
      </c>
      <c r="C770" s="1" t="str">
        <f ca="1">IFERROR(__xludf.DUMMYFUNCTION("GOOGLETRANSLATE(B770,""en"",""ar"")"),"تحتاج إلى تشغيل مهمة نهاية اليوم قبل المضي قدما.")</f>
        <v>تحتاج إلى تشغيل مهمة نهاية اليوم قبل المضي قدما.</v>
      </c>
      <c r="D770" s="1" t="str">
        <f ca="1">IFERROR(__xludf.DUMMYFUNCTION("GOOGLETRANSLATE(B770,""en"",""zh-CN"")"),"您需要在继续之前运行一天结束任务。")</f>
        <v>您需要在继续之前运行一天结束任务。</v>
      </c>
      <c r="E770" s="1" t="str">
        <f ca="1">IFERROR(__xludf.DUMMYFUNCTION("GOOGLETRANSLATE(B770,""en"",""ja"")"),"続行する前にDayの終了タスクを実行する必要があります。")</f>
        <v>続行する前にDayの終了タスクを実行する必要があります。</v>
      </c>
      <c r="F770" s="1" t="str">
        <f ca="1">IFERROR(__xludf.DUMMYFUNCTION("GOOGLETRANSLATE(B770,""en"",""fr"")"),"Vous devez exécuter une tâche de fin de journée avant de continuer.")</f>
        <v>Vous devez exécuter une tâche de fin de journée avant de continuer.</v>
      </c>
    </row>
    <row r="771" spans="1:6" ht="15.75" customHeight="1" x14ac:dyDescent="0.25">
      <c r="A771" s="1" t="s">
        <v>1450</v>
      </c>
      <c r="B771" s="1" t="s">
        <v>1451</v>
      </c>
      <c r="C771" s="1" t="str">
        <f ca="1">IFERROR(__xludf.DUMMYFUNCTION("GOOGLETRANSLATE(B771,""en"",""ar"")"),"مشكلة مع النسخ الاحتياطي.")</f>
        <v>مشكلة مع النسخ الاحتياطي.</v>
      </c>
      <c r="D771" s="1" t="str">
        <f ca="1">IFERROR(__xludf.DUMMYFUNCTION("GOOGLETRANSLATE(B771,""en"",""zh-CN"")"),"备份问题。")</f>
        <v>备份问题。</v>
      </c>
      <c r="E771" s="1" t="str">
        <f ca="1">IFERROR(__xludf.DUMMYFUNCTION("GOOGLETRANSLATE(B771,""en"",""ja"")"),"バックアップに関する問題。")</f>
        <v>バックアップに関する問題。</v>
      </c>
      <c r="F771" s="1" t="str">
        <f ca="1">IFERROR(__xludf.DUMMYFUNCTION("GOOGLETRANSLATE(B771,""en"",""fr"")"),"Problème avec la sauvegarde.")</f>
        <v>Problème avec la sauvegarde.</v>
      </c>
    </row>
    <row r="772" spans="1:6" ht="15.75" customHeight="1" x14ac:dyDescent="0.25">
      <c r="A772" s="1" t="s">
        <v>1452</v>
      </c>
      <c r="B772" s="1" t="s">
        <v>1453</v>
      </c>
      <c r="C772" s="1" t="str">
        <f ca="1">IFERROR(__xludf.DUMMYFUNCTION("GOOGLETRANSLATE(B772,""en"",""ar"")"),"حاول مجددا")</f>
        <v>حاول مجددا</v>
      </c>
      <c r="D772" s="1" t="str">
        <f ca="1">IFERROR(__xludf.DUMMYFUNCTION("GOOGLETRANSLATE(B772,""en"",""zh-CN"")"),"再试一次")</f>
        <v>再试一次</v>
      </c>
      <c r="E772" s="1" t="str">
        <f ca="1">IFERROR(__xludf.DUMMYFUNCTION("GOOGLETRANSLATE(B772,""en"",""ja"")"),"再試行")</f>
        <v>再試行</v>
      </c>
      <c r="F772" s="1" t="str">
        <f ca="1">IFERROR(__xludf.DUMMYFUNCTION("GOOGLETRANSLATE(B772,""en"",""fr"")"),"Essayer à nouveau")</f>
        <v>Essayer à nouveau</v>
      </c>
    </row>
    <row r="773" spans="1:6" ht="15.75" customHeight="1" x14ac:dyDescent="0.25">
      <c r="A773" s="1" t="s">
        <v>1454</v>
      </c>
      <c r="B773" s="1" t="s">
        <v>1455</v>
      </c>
      <c r="C773" s="1" t="str">
        <f ca="1">IFERROR(__xludf.DUMMYFUNCTION("GOOGLETRANSLATE(B773,""en"",""ar"")"),"مزامنة")</f>
        <v>مزامنة</v>
      </c>
      <c r="D773" s="1" t="str">
        <f ca="1">IFERROR(__xludf.DUMMYFUNCTION("GOOGLETRANSLATE(B773,""en"",""zh-CN"")"),"同步")</f>
        <v>同步</v>
      </c>
      <c r="E773" s="1" t="str">
        <f ca="1">IFERROR(__xludf.DUMMYFUNCTION("GOOGLETRANSLATE(B773,""en"",""ja"")"),"同期する")</f>
        <v>同期する</v>
      </c>
      <c r="F773" s="1" t="str">
        <f ca="1">IFERROR(__xludf.DUMMYFUNCTION("GOOGLETRANSLATE(B773,""en"",""fr"")"),"Synchronisation")</f>
        <v>Synchronisation</v>
      </c>
    </row>
    <row r="774" spans="1:6" ht="15.75" customHeight="1" x14ac:dyDescent="0.25">
      <c r="A774" s="1" t="s">
        <v>1456</v>
      </c>
      <c r="B774" s="1" t="s">
        <v>1457</v>
      </c>
      <c r="C774" s="1" t="str">
        <f ca="1">IFERROR(__xludf.DUMMYFUNCTION("GOOGLETRANSLATE(B774,""en"",""ar"")"),"درج مفتوح")</f>
        <v>درج مفتوح</v>
      </c>
      <c r="D774" s="1" t="str">
        <f ca="1">IFERROR(__xludf.DUMMYFUNCTION("GOOGLETRANSLATE(B774,""en"",""zh-CN"")"),"打开抽屉")</f>
        <v>打开抽屉</v>
      </c>
      <c r="E774" s="1" t="str">
        <f ca="1">IFERROR(__xludf.DUMMYFUNCTION("GOOGLETRANSLATE(B774,""en"",""ja"")"),"引き出しを開く")</f>
        <v>引き出しを開く</v>
      </c>
      <c r="F774" s="1" t="str">
        <f ca="1">IFERROR(__xludf.DUMMYFUNCTION("GOOGLETRANSLATE(B774,""en"",""fr"")"),"Tiroir ouvert")</f>
        <v>Tiroir ouvert</v>
      </c>
    </row>
    <row r="775" spans="1:6" ht="15.75" customHeight="1" x14ac:dyDescent="0.25">
      <c r="A775" s="1" t="s">
        <v>1458</v>
      </c>
      <c r="B775" s="1" t="s">
        <v>1459</v>
      </c>
      <c r="C775" s="1" t="str">
        <f ca="1">IFERROR(__xludf.DUMMYFUNCTION("GOOGLETRANSLATE(B775,""en"",""ar"")"),"مزامنة سريعة")</f>
        <v>مزامنة سريعة</v>
      </c>
      <c r="D775" s="1" t="str">
        <f ca="1">IFERROR(__xludf.DUMMYFUNCTION("GOOGLETRANSLATE(B775,""en"",""zh-CN"")"),"快速同步")</f>
        <v>快速同步</v>
      </c>
      <c r="E775" s="1" t="str">
        <f ca="1">IFERROR(__xludf.DUMMYFUNCTION("GOOGLETRANSLATE(B775,""en"",""ja"")"),"クイックシンク")</f>
        <v>クイックシンク</v>
      </c>
      <c r="F775" s="1" t="str">
        <f ca="1">IFERROR(__xludf.DUMMYFUNCTION("GOOGLETRANSLATE(B775,""en"",""fr"")"),"Synchronisation rapide")</f>
        <v>Synchronisation rapide</v>
      </c>
    </row>
    <row r="776" spans="1:6" ht="15.75" customHeight="1" x14ac:dyDescent="0.25">
      <c r="A776" s="1" t="s">
        <v>1460</v>
      </c>
      <c r="B776" s="1" t="s">
        <v>219</v>
      </c>
      <c r="C776" s="1" t="str">
        <f ca="1">IFERROR(__xludf.DUMMYFUNCTION("GOOGLETRANSLATE(B776,""en"",""ar"")"),"خصم")</f>
        <v>خصم</v>
      </c>
      <c r="D776" s="1" t="str">
        <f ca="1">IFERROR(__xludf.DUMMYFUNCTION("GOOGLETRANSLATE(B776,""en"",""zh-CN"")"),"折扣")</f>
        <v>折扣</v>
      </c>
      <c r="E776" s="1" t="str">
        <f ca="1">IFERROR(__xludf.DUMMYFUNCTION("GOOGLETRANSLATE(B776,""en"",""ja"")"),"割引")</f>
        <v>割引</v>
      </c>
      <c r="F776" s="1" t="str">
        <f ca="1">IFERROR(__xludf.DUMMYFUNCTION("GOOGLETRANSLATE(B776,""en"",""fr"")"),"Remise")</f>
        <v>Remise</v>
      </c>
    </row>
    <row r="777" spans="1:6" ht="15.75" customHeight="1" x14ac:dyDescent="0.25">
      <c r="A777" s="1" t="s">
        <v>1461</v>
      </c>
      <c r="B777" s="1" t="s">
        <v>1462</v>
      </c>
      <c r="C777" s="1" t="str">
        <f ca="1">IFERROR(__xludf.DUMMYFUNCTION("GOOGLETRANSLATE(B777,""en"",""ar"")"),"إذا دردشة غير متصل، انتقل إلى")</f>
        <v>إذا دردشة غير متصل، انتقل إلى</v>
      </c>
      <c r="D777" s="1" t="str">
        <f ca="1">IFERROR(__xludf.DUMMYFUNCTION("GOOGLETRANSLATE(B777,""en"",""zh-CN"")"),"如果聊天脱机，请转到")</f>
        <v>如果聊天脱机，请转到</v>
      </c>
      <c r="E777" s="1" t="str">
        <f ca="1">IFERROR(__xludf.DUMMYFUNCTION("GOOGLETRANSLATE(B777,""en"",""ja"")"),"チャットがオフラインの場合は、に進みます")</f>
        <v>チャットがオフラインの場合は、に進みます</v>
      </c>
      <c r="F777" s="1" t="str">
        <f ca="1">IFERROR(__xludf.DUMMYFUNCTION("GOOGLETRANSLATE(B777,""en"",""fr"")"),"Si le chat est hors ligne, allez à la")</f>
        <v>Si le chat est hors ligne, allez à la</v>
      </c>
    </row>
    <row r="778" spans="1:6" ht="15.75" customHeight="1" x14ac:dyDescent="0.25">
      <c r="A778" s="1" t="s">
        <v>1463</v>
      </c>
      <c r="B778" s="1" t="s">
        <v>1464</v>
      </c>
      <c r="C778" s="1" t="str">
        <f ca="1">IFERROR(__xludf.DUMMYFUNCTION("GOOGLETRANSLATE(B778,""en"",""ar"")"),"معاينة")</f>
        <v>معاينة</v>
      </c>
      <c r="D778" s="1" t="str">
        <f ca="1">IFERROR(__xludf.DUMMYFUNCTION("GOOGLETRANSLATE(B778,""en"",""zh-CN"")"),"预览")</f>
        <v>预览</v>
      </c>
      <c r="E778" s="1" t="str">
        <f ca="1">IFERROR(__xludf.DUMMYFUNCTION("GOOGLETRANSLATE(B778,""en"",""ja"")"),"プレビュー")</f>
        <v>プレビュー</v>
      </c>
      <c r="F778" s="1" t="str">
        <f ca="1">IFERROR(__xludf.DUMMYFUNCTION("GOOGLETRANSLATE(B778,""en"",""fr"")"),"Aperçu")</f>
        <v>Aperçu</v>
      </c>
    </row>
    <row r="779" spans="1:6" ht="15.75" customHeight="1" x14ac:dyDescent="0.25">
      <c r="A779" s="1" t="s">
        <v>1465</v>
      </c>
      <c r="B779" s="1" t="s">
        <v>1466</v>
      </c>
      <c r="C779" s="1" t="str">
        <f ca="1">IFERROR(__xludf.DUMMYFUNCTION("GOOGLETRANSLATE(B779,""en"",""ar"")"),"تصميم الاستلام")</f>
        <v>تصميم الاستلام</v>
      </c>
      <c r="D779" s="1" t="str">
        <f ca="1">IFERROR(__xludf.DUMMYFUNCTION("GOOGLETRANSLATE(B779,""en"",""zh-CN"")"),"设计收据")</f>
        <v>设计收据</v>
      </c>
      <c r="E779" s="1" t="str">
        <f ca="1">IFERROR(__xludf.DUMMYFUNCTION("GOOGLETRANSLATE(B779,""en"",""ja"")"),"領収書を設計する")</f>
        <v>領収書を設計する</v>
      </c>
      <c r="F779" s="1" t="str">
        <f ca="1">IFERROR(__xludf.DUMMYFUNCTION("GOOGLETRANSLATE(B779,""en"",""fr"")"),"Concevoir le reçu")</f>
        <v>Concevoir le reçu</v>
      </c>
    </row>
    <row r="780" spans="1:6" ht="15.75" customHeight="1" x14ac:dyDescent="0.25">
      <c r="A780" s="1" t="s">
        <v>1467</v>
      </c>
      <c r="B780" s="1" t="s">
        <v>1468</v>
      </c>
      <c r="C780" s="1" t="str">
        <f ca="1">IFERROR(__xludf.DUMMYFUNCTION("GOOGLETRANSLATE(B780,""en"",""ar"")"),"يخفي")</f>
        <v>يخفي</v>
      </c>
      <c r="D780" s="1" t="str">
        <f ca="1">IFERROR(__xludf.DUMMYFUNCTION("GOOGLETRANSLATE(B780,""en"",""zh-CN"")"),"隐藏")</f>
        <v>隐藏</v>
      </c>
      <c r="E780" s="1" t="str">
        <f ca="1">IFERROR(__xludf.DUMMYFUNCTION("GOOGLETRANSLATE(B780,""en"",""ja"")"),"隠れる")</f>
        <v>隠れる</v>
      </c>
      <c r="F780" s="1" t="str">
        <f ca="1">IFERROR(__xludf.DUMMYFUNCTION("GOOGLETRANSLATE(B780,""en"",""fr"")"),"Cacher")</f>
        <v>Cacher</v>
      </c>
    </row>
    <row r="781" spans="1:6" ht="15.75" customHeight="1" x14ac:dyDescent="0.25">
      <c r="A781" s="1" t="s">
        <v>1469</v>
      </c>
      <c r="B781" s="1" t="s">
        <v>1470</v>
      </c>
      <c r="C781" s="1" t="str">
        <f ca="1">IFERROR(__xludf.DUMMYFUNCTION("GOOGLETRANSLATE(B781,""en"",""ar"")"),"مقدما لا:")</f>
        <v>مقدما لا:</v>
      </c>
      <c r="D781" s="1" t="str">
        <f ca="1">IFERROR(__xludf.DUMMYFUNCTION("GOOGLETRANSLATE(B781,""en"",""zh-CN"")"),"推进否：")</f>
        <v>推进否：</v>
      </c>
      <c r="E781" s="1" t="str">
        <f ca="1">IFERROR(__xludf.DUMMYFUNCTION("GOOGLETRANSLATE(B781,""en"",""ja"")"),"アドバンスノー：")</f>
        <v>アドバンスノー：</v>
      </c>
      <c r="F781" s="1" t="str">
        <f ca="1">IFERROR(__xludf.DUMMYFUNCTION("GOOGLETRANSLATE(B781,""en"",""fr"")"),"Advance no:")</f>
        <v>Advance no:</v>
      </c>
    </row>
    <row r="782" spans="1:6" ht="15.75" customHeight="1" x14ac:dyDescent="0.25">
      <c r="A782" s="1" t="s">
        <v>1471</v>
      </c>
      <c r="B782" s="1" t="s">
        <v>1472</v>
      </c>
      <c r="C782" s="1" t="str">
        <f ca="1">IFERROR(__xludf.DUMMYFUNCTION("GOOGLETRANSLATE(B782,""en"",""ar"")"),"إجمالي الإيصال:")</f>
        <v>إجمالي الإيصال:</v>
      </c>
      <c r="D782" s="1" t="str">
        <f ca="1">IFERROR(__xludf.DUMMYFUNCTION("GOOGLETRANSLATE(B782,""en"",""zh-CN"")"),"收据总数：")</f>
        <v>收据总数：</v>
      </c>
      <c r="E782" s="1" t="str">
        <f ca="1">IFERROR(__xludf.DUMMYFUNCTION("GOOGLETRANSLATE(B782,""en"",""ja"")"),"受領の合計：")</f>
        <v>受領の合計：</v>
      </c>
      <c r="F782" s="1" t="str">
        <f ca="1">IFERROR(__xludf.DUMMYFUNCTION("GOOGLETRANSLATE(B782,""en"",""fr"")"),"Total de réception:")</f>
        <v>Total de réception:</v>
      </c>
    </row>
    <row r="783" spans="1:6" ht="15.75" customHeight="1" x14ac:dyDescent="0.25">
      <c r="A783" s="1" t="s">
        <v>1473</v>
      </c>
      <c r="B783" s="1" t="s">
        <v>1474</v>
      </c>
      <c r="C783" s="1" t="str">
        <f ca="1">IFERROR(__xludf.DUMMYFUNCTION("GOOGLETRANSLATE(B783,""en"",""ar"")"),"دفعه مقدمه :")</f>
        <v>دفعه مقدمه :</v>
      </c>
      <c r="D783" s="1" t="str">
        <f ca="1">IFERROR(__xludf.DUMMYFUNCTION("GOOGLETRANSLATE(B783,""en"",""zh-CN"")"),"预付款：")</f>
        <v>预付款：</v>
      </c>
      <c r="E783" s="1" t="str">
        <f ca="1">IFERROR(__xludf.DUMMYFUNCTION("GOOGLETRANSLATE(B783,""en"",""ja"")"),"前払い：")</f>
        <v>前払い：</v>
      </c>
      <c r="F783" s="1" t="str">
        <f ca="1">IFERROR(__xludf.DUMMYFUNCTION("GOOGLETRANSLATE(B783,""en"",""fr"")"),"Acompte :")</f>
        <v>Acompte :</v>
      </c>
    </row>
    <row r="784" spans="1:6" ht="15.75" customHeight="1" x14ac:dyDescent="0.25">
      <c r="A784" s="1" t="s">
        <v>1475</v>
      </c>
      <c r="B784" s="1" t="s">
        <v>1476</v>
      </c>
      <c r="C784" s="1" t="str">
        <f ca="1">IFERROR(__xludf.DUMMYFUNCTION("GOOGLETRANSLATE(B784,""en"",""ar"")"),"حذف تقدم")</f>
        <v>حذف تقدم</v>
      </c>
      <c r="D784" s="1" t="str">
        <f ca="1">IFERROR(__xludf.DUMMYFUNCTION("GOOGLETRANSLATE(B784,""en"",""zh-CN"")"),"删除前进")</f>
        <v>删除前进</v>
      </c>
      <c r="E784" s="1" t="str">
        <f ca="1">IFERROR(__xludf.DUMMYFUNCTION("GOOGLETRANSLATE(B784,""en"",""ja"")"),"アドバンスを削除します")</f>
        <v>アドバンスを削除します</v>
      </c>
      <c r="F784" s="1" t="str">
        <f ca="1">IFERROR(__xludf.DUMMYFUNCTION("GOOGLETRANSLATE(B784,""en"",""fr"")"),"Supprimer l'avance")</f>
        <v>Supprimer l'avance</v>
      </c>
    </row>
    <row r="785" spans="1:6" ht="15.75" customHeight="1" x14ac:dyDescent="0.25">
      <c r="A785" s="1" t="s">
        <v>1477</v>
      </c>
      <c r="B785" s="1" t="s">
        <v>1478</v>
      </c>
      <c r="C785" s="1" t="str">
        <f ca="1">IFERROR(__xludf.DUMMYFUNCTION("GOOGLETRANSLATE(B785,""en"",""ar"")"),"هذا النوع من الدفع غير مؤهل للحصول على المدفوعات المقدمة")</f>
        <v>هذا النوع من الدفع غير مؤهل للحصول على المدفوعات المقدمة</v>
      </c>
      <c r="D785" s="1" t="str">
        <f ca="1">IFERROR(__xludf.DUMMYFUNCTION("GOOGLETRANSLATE(B785,""en"",""zh-CN"")"),"此付款类型不符合预付款条件")</f>
        <v>此付款类型不符合预付款条件</v>
      </c>
      <c r="E785" s="1" t="str">
        <f ca="1">IFERROR(__xludf.DUMMYFUNCTION("GOOGLETRANSLATE(B785,""en"",""ja"")"),"この支払いタイプは事前払いの対象になりません")</f>
        <v>この支払いタイプは事前払いの対象になりません</v>
      </c>
      <c r="F785" s="1" t="str">
        <f ca="1">IFERROR(__xludf.DUMMYFUNCTION("GOOGLETRANSLATE(B785,""en"",""fr"")"),"Ce type de paiement n'est pas admissible aux paiements anticipés")</f>
        <v>Ce type de paiement n'est pas admissible aux paiements anticipés</v>
      </c>
    </row>
    <row r="786" spans="1:6" ht="15.75" customHeight="1" x14ac:dyDescent="0.25">
      <c r="A786" s="1" t="s">
        <v>1479</v>
      </c>
      <c r="B786" s="1" t="s">
        <v>1480</v>
      </c>
      <c r="C786" s="1" t="str">
        <f ca="1">IFERROR(__xludf.DUMMYFUNCTION("GOOGLETRANSLATE(B786,""en"",""ar"")"),"فشل مزامنة البيانات.")</f>
        <v>فشل مزامنة البيانات.</v>
      </c>
      <c r="D786" s="1" t="str">
        <f ca="1">IFERROR(__xludf.DUMMYFUNCTION("GOOGLETRANSLATE(B786,""en"",""zh-CN"")"),"数据同步失败。")</f>
        <v>数据同步失败。</v>
      </c>
      <c r="E786" s="1" t="str">
        <f ca="1">IFERROR(__xludf.DUMMYFUNCTION("GOOGLETRANSLATE(B786,""en"",""ja"")"),"データ同期は失敗しました。")</f>
        <v>データ同期は失敗しました。</v>
      </c>
      <c r="F786" s="1" t="str">
        <f ca="1">IFERROR(__xludf.DUMMYFUNCTION("GOOGLETRANSLATE(B786,""en"",""fr"")"),"La synchronisation des données est échouée.")</f>
        <v>La synchronisation des données est échouée.</v>
      </c>
    </row>
    <row r="787" spans="1:6" ht="15.75" customHeight="1" x14ac:dyDescent="0.25">
      <c r="A787" s="1" t="s">
        <v>1481</v>
      </c>
      <c r="B787" s="1" t="s">
        <v>1482</v>
      </c>
      <c r="C787" s="1" t="str">
        <f ca="1">IFERROR(__xludf.DUMMYFUNCTION("GOOGLETRANSLATE(B787,""en"",""ar"")"),"أكمل إيصال هذه الدفعة المقدمة")</f>
        <v>أكمل إيصال هذه الدفعة المقدمة</v>
      </c>
      <c r="D787" s="1" t="str">
        <f ca="1">IFERROR(__xludf.DUMMYFUNCTION("GOOGLETRANSLATE(B787,""en"",""zh-CN"")"),"完成此提前付款的收据")</f>
        <v>完成此提前付款的收据</v>
      </c>
      <c r="E787" s="1" t="str">
        <f ca="1">IFERROR(__xludf.DUMMYFUNCTION("GOOGLETRANSLATE(B787,""en"",""ja"")"),"この前払いの領収書を完成させます")</f>
        <v>この前払いの領収書を完成させます</v>
      </c>
      <c r="F787" s="1" t="str">
        <f ca="1">IFERROR(__xludf.DUMMYFUNCTION("GOOGLETRANSLATE(B787,""en"",""fr"")"),"Complétez le reçu pour ce paiement anticipé")</f>
        <v>Complétez le reçu pour ce paiement anticipé</v>
      </c>
    </row>
    <row r="788" spans="1:6" ht="15.75" customHeight="1" x14ac:dyDescent="0.25">
      <c r="A788" s="1" t="s">
        <v>1483</v>
      </c>
      <c r="B788" s="1" t="s">
        <v>1484</v>
      </c>
      <c r="C788" s="1" t="str">
        <f ca="1">IFERROR(__xludf.DUMMYFUNCTION("GOOGLETRANSLATE(B788,""en"",""ar"")"),"عرض المدفوعات المقدمة")</f>
        <v>عرض المدفوعات المقدمة</v>
      </c>
      <c r="D788" s="1" t="str">
        <f ca="1">IFERROR(__xludf.DUMMYFUNCTION("GOOGLETRANSLATE(B788,""en"",""zh-CN"")"),"查看预付款")</f>
        <v>查看预付款</v>
      </c>
      <c r="E788" s="1" t="str">
        <f ca="1">IFERROR(__xludf.DUMMYFUNCTION("GOOGLETRANSLATE(B788,""en"",""ja"")"),"アドバンスペイメントを表示します")</f>
        <v>アドバンスペイメントを表示します</v>
      </c>
      <c r="F788" s="1" t="str">
        <f ca="1">IFERROR(__xludf.DUMMYFUNCTION("GOOGLETRANSLATE(B788,""en"",""fr"")"),"Voir les paiements anticipés")</f>
        <v>Voir les paiements anticipés</v>
      </c>
    </row>
    <row r="789" spans="1:6" ht="15.75" customHeight="1" x14ac:dyDescent="0.25">
      <c r="A789" s="1" t="s">
        <v>1485</v>
      </c>
      <c r="B789" s="1" t="s">
        <v>1486</v>
      </c>
      <c r="C789" s="1" t="str">
        <f ca="1">IFERROR(__xludf.DUMMYFUNCTION("GOOGLETRANSLATE(B789,""en"",""ar"")"),"دفعه مقدمه")</f>
        <v>دفعه مقدمه</v>
      </c>
      <c r="D789" s="1" t="str">
        <f ca="1">IFERROR(__xludf.DUMMYFUNCTION("GOOGLETRANSLATE(B789,""en"",""zh-CN"")"),"预付款")</f>
        <v>预付款</v>
      </c>
      <c r="E789" s="1" t="str">
        <f ca="1">IFERROR(__xludf.DUMMYFUNCTION("GOOGLETRANSLATE(B789,""en"",""ja"")"),"前払い")</f>
        <v>前払い</v>
      </c>
      <c r="F789" s="1" t="str">
        <f ca="1">IFERROR(__xludf.DUMMYFUNCTION("GOOGLETRANSLATE(B789,""en"",""fr"")"),"Acompte")</f>
        <v>Acompte</v>
      </c>
    </row>
    <row r="790" spans="1:6" ht="15.75" customHeight="1" x14ac:dyDescent="0.25">
      <c r="A790" s="1" t="s">
        <v>1487</v>
      </c>
      <c r="B790" s="1" t="s">
        <v>1488</v>
      </c>
      <c r="C790" s="1" t="str">
        <f ca="1">IFERROR(__xludf.DUMMYFUNCTION("GOOGLETRANSLATE(B790,""en"",""ar"")"),"هل ترغب في حذف هذه الدفعة المقدمة؟")</f>
        <v>هل ترغب في حذف هذه الدفعة المقدمة؟</v>
      </c>
      <c r="D790" s="1" t="str">
        <f ca="1">IFERROR(__xludf.DUMMYFUNCTION("GOOGLETRANSLATE(B790,""en"",""zh-CN"")"),"您想删除此预付款吗？")</f>
        <v>您想删除此预付款吗？</v>
      </c>
      <c r="E790" s="1" t="str">
        <f ca="1">IFERROR(__xludf.DUMMYFUNCTION("GOOGLETRANSLATE(B790,""en"",""ja"")"),"この前払いの支払いを削除しますか？")</f>
        <v>この前払いの支払いを削除しますか？</v>
      </c>
      <c r="F790" s="1" t="str">
        <f ca="1">IFERROR(__xludf.DUMMYFUNCTION("GOOGLETRANSLATE(B790,""en"",""fr"")"),"Voulez-vous supprimer ce paiement anticipé?")</f>
        <v>Voulez-vous supprimer ce paiement anticipé?</v>
      </c>
    </row>
    <row r="791" spans="1:6" ht="15.75" customHeight="1" x14ac:dyDescent="0.25">
      <c r="A791" s="1" t="s">
        <v>1489</v>
      </c>
      <c r="B791" s="1" t="s">
        <v>1490</v>
      </c>
      <c r="C791" s="1" t="str">
        <f ca="1">IFERROR(__xludf.DUMMYFUNCTION("GOOGLETRANSLATE(B791,""en"",""ar"")"),"قائمة الدفع مقدما")</f>
        <v>قائمة الدفع مقدما</v>
      </c>
      <c r="D791" s="1" t="str">
        <f ca="1">IFERROR(__xludf.DUMMYFUNCTION("GOOGLETRANSLATE(B791,""en"",""zh-CN"")"),"预付款清单")</f>
        <v>预付款清单</v>
      </c>
      <c r="E791" s="1" t="str">
        <f ca="1">IFERROR(__xludf.DUMMYFUNCTION("GOOGLETRANSLATE(B791,""en"",""ja"")"),"事前支払いリスト")</f>
        <v>事前支払いリスト</v>
      </c>
      <c r="F791" s="1" t="str">
        <f ca="1">IFERROR(__xludf.DUMMYFUNCTION("GOOGLETRANSLATE(B791,""en"",""fr"")"),"Liste de paiement anticipée")</f>
        <v>Liste de paiement anticipée</v>
      </c>
    </row>
    <row r="792" spans="1:6" ht="15.75" customHeight="1" x14ac:dyDescent="0.25">
      <c r="A792" s="1" t="s">
        <v>1491</v>
      </c>
      <c r="B792" s="1" t="s">
        <v>1492</v>
      </c>
      <c r="C792" s="1" t="str">
        <f ca="1">IFERROR(__xludf.DUMMYFUNCTION("GOOGLETRANSLATE(B792,""en"",""ar"")"),"مقدما لا")</f>
        <v>مقدما لا</v>
      </c>
      <c r="D792" s="1" t="str">
        <f ca="1">IFERROR(__xludf.DUMMYFUNCTION("GOOGLETRANSLATE(B792,""en"",""zh-CN"")"),"前进")</f>
        <v>前进</v>
      </c>
      <c r="E792" s="1" t="str">
        <f ca="1">IFERROR(__xludf.DUMMYFUNCTION("GOOGLETRANSLATE(B792,""en"",""ja"")"),"前進しない")</f>
        <v>前進しない</v>
      </c>
      <c r="F792" s="1" t="str">
        <f ca="1">IFERROR(__xludf.DUMMYFUNCTION("GOOGLETRANSLATE(B792,""en"",""fr"")"),"Avance non")</f>
        <v>Avance non</v>
      </c>
    </row>
    <row r="793" spans="1:6" ht="15.75" customHeight="1" x14ac:dyDescent="0.25">
      <c r="A793" s="1" t="s">
        <v>1493</v>
      </c>
      <c r="B793" s="1" t="s">
        <v>851</v>
      </c>
      <c r="C793" s="1" t="str">
        <f ca="1">IFERROR(__xludf.DUMMYFUNCTION("GOOGLETRANSLATE(B793,""en"",""ar"")"),"عميل :")</f>
        <v>عميل :</v>
      </c>
      <c r="D793" s="1" t="str">
        <f ca="1">IFERROR(__xludf.DUMMYFUNCTION("GOOGLETRANSLATE(B793,""en"",""zh-CN"")"),"顾客 ：")</f>
        <v>顾客 ：</v>
      </c>
      <c r="E793" s="1" t="str">
        <f ca="1">IFERROR(__xludf.DUMMYFUNCTION("GOOGLETRANSLATE(B793,""en"",""ja"")"),"お客様 ：")</f>
        <v>お客様 ：</v>
      </c>
      <c r="F793" s="1" t="str">
        <f ca="1">IFERROR(__xludf.DUMMYFUNCTION("GOOGLETRANSLATE(B793,""en"",""fr"")"),"Client :")</f>
        <v>Client :</v>
      </c>
    </row>
    <row r="794" spans="1:6" ht="15.75" customHeight="1" x14ac:dyDescent="0.25">
      <c r="A794" s="1" t="s">
        <v>1494</v>
      </c>
      <c r="B794" s="1" t="s">
        <v>1486</v>
      </c>
      <c r="C794" s="1" t="str">
        <f ca="1">IFERROR(__xludf.DUMMYFUNCTION("GOOGLETRANSLATE(B794,""en"",""ar"")"),"دفعه مقدمه")</f>
        <v>دفعه مقدمه</v>
      </c>
      <c r="D794" s="1" t="str">
        <f ca="1">IFERROR(__xludf.DUMMYFUNCTION("GOOGLETRANSLATE(B794,""en"",""zh-CN"")"),"预付款")</f>
        <v>预付款</v>
      </c>
      <c r="E794" s="1" t="str">
        <f ca="1">IFERROR(__xludf.DUMMYFUNCTION("GOOGLETRANSLATE(B794,""en"",""ja"")"),"前払い")</f>
        <v>前払い</v>
      </c>
      <c r="F794" s="1" t="str">
        <f ca="1">IFERROR(__xludf.DUMMYFUNCTION("GOOGLETRANSLATE(B794,""en"",""fr"")"),"Acompte")</f>
        <v>Acompte</v>
      </c>
    </row>
    <row r="795" spans="1:6" ht="15.75" customHeight="1" x14ac:dyDescent="0.25">
      <c r="A795" s="1" t="s">
        <v>1495</v>
      </c>
      <c r="B795" s="1" t="s">
        <v>1496</v>
      </c>
      <c r="C795" s="1" t="str">
        <f ca="1">IFERROR(__xludf.DUMMYFUNCTION("GOOGLETRANSLATE(B795,""en"",""ar"")"),"خدمة الدردشة غير متصل")</f>
        <v>خدمة الدردشة غير متصل</v>
      </c>
      <c r="D795" s="1" t="str">
        <f ca="1">IFERROR(__xludf.DUMMYFUNCTION("GOOGLETRANSLATE(B795,""en"",""zh-CN"")"),"离线聊天服务")</f>
        <v>离线聊天服务</v>
      </c>
      <c r="E795" s="1" t="str">
        <f ca="1">IFERROR(__xludf.DUMMYFUNCTION("GOOGLETRANSLATE(B795,""en"",""ja"")"),"チャットサービスオフライン")</f>
        <v>チャットサービスオフライン</v>
      </c>
      <c r="F795" s="1" t="str">
        <f ca="1">IFERROR(__xludf.DUMMYFUNCTION("GOOGLETRANSLATE(B795,""en"",""fr"")"),"Service de discussion hors ligne")</f>
        <v>Service de discussion hors ligne</v>
      </c>
    </row>
    <row r="796" spans="1:6" ht="15.75" customHeight="1" x14ac:dyDescent="0.25">
      <c r="A796" s="1" t="s">
        <v>1497</v>
      </c>
      <c r="B796" s="1" t="s">
        <v>1498</v>
      </c>
      <c r="C796" s="1" t="str">
        <f ca="1">IFERROR(__xludf.DUMMYFUNCTION("GOOGLETRANSLATE(B796,""en"",""ar"")"),"اتصال الإنترنت غير متوفر")</f>
        <v>اتصال الإنترنت غير متوفر</v>
      </c>
      <c r="D796" s="1" t="str">
        <f ca="1">IFERROR(__xludf.DUMMYFUNCTION("GOOGLETRANSLATE(B796,""en"",""zh-CN"")"),"无法使用互联网连接")</f>
        <v>无法使用互联网连接</v>
      </c>
      <c r="E796" s="1" t="str">
        <f ca="1">IFERROR(__xludf.DUMMYFUNCTION("GOOGLETRANSLATE(B796,""en"",""ja"")"),"インターネット接続は利用できません")</f>
        <v>インターネット接続は利用できません</v>
      </c>
      <c r="F796" s="1" t="str">
        <f ca="1">IFERROR(__xludf.DUMMYFUNCTION("GOOGLETRANSLATE(B796,""en"",""fr"")"),"La connexion Internet n'est pas disponible")</f>
        <v>La connexion Internet n'est pas disponible</v>
      </c>
    </row>
    <row r="797" spans="1:6" ht="15.75" customHeight="1" x14ac:dyDescent="0.25">
      <c r="A797" s="1" t="s">
        <v>1499</v>
      </c>
      <c r="B797" s="1" t="s">
        <v>1500</v>
      </c>
      <c r="C797" s="1" t="str">
        <f ca="1">IFERROR(__xludf.DUMMYFUNCTION("GOOGLETRANSLATE(B797,""en"",""ar"")"),"تاريخ غير صالح.")</f>
        <v>تاريخ غير صالح.</v>
      </c>
      <c r="D797" s="1" t="str">
        <f ca="1">IFERROR(__xludf.DUMMYFUNCTION("GOOGLETRANSLATE(B797,""en"",""zh-CN"")"),"失效日期。")</f>
        <v>失效日期。</v>
      </c>
      <c r="E797" s="1" t="str">
        <f ca="1">IFERROR(__xludf.DUMMYFUNCTION("GOOGLETRANSLATE(B797,""en"",""ja"")"),"無効な日付。")</f>
        <v>無効な日付。</v>
      </c>
      <c r="F797" s="1" t="str">
        <f ca="1">IFERROR(__xludf.DUMMYFUNCTION("GOOGLETRANSLATE(B797,""en"",""fr"")"),"Date invalide.")</f>
        <v>Date invalide.</v>
      </c>
    </row>
    <row r="798" spans="1:6" ht="15.75" customHeight="1" x14ac:dyDescent="0.25">
      <c r="A798" s="1" t="s">
        <v>1501</v>
      </c>
      <c r="B798" s="1" t="s">
        <v>1502</v>
      </c>
      <c r="C798" s="1" t="str">
        <f ca="1">IFERROR(__xludf.DUMMYFUNCTION("GOOGLETRANSLATE(B798,""en"",""ar"")"),"يرجى الاتصال بالإنترنت. ومع ذلك، يمكن استبدال رمز المنتج الخاص بك (SKU) بالمنتجات الموجودة.")</f>
        <v>يرجى الاتصال بالإنترنت. ومع ذلك، يمكن استبدال رمز المنتج الخاص بك (SKU) بالمنتجات الموجودة.</v>
      </c>
      <c r="D798" s="1" t="str">
        <f ca="1">IFERROR(__xludf.DUMMYFUNCTION("GOOGLETRANSLATE(B798,""en"",""zh-CN"")"),"请连接到Internet.另一种产品代码（SKU）可以替换为现有产品。")</f>
        <v>请连接到Internet.另一种产品代码（SKU）可以替换为现有产品。</v>
      </c>
      <c r="E798" s="1" t="str">
        <f ca="1">IFERROR(__xludf.DUMMYFUNCTION("GOOGLETRANSLATE(B798,""en"",""ja"")"),"Internetに接続してください。その他の製品コード（SKU）を既存の製品に置き換えることができます。")</f>
        <v>Internetに接続してください。その他の製品コード（SKU）を既存の製品に置き換えることができます。</v>
      </c>
      <c r="F798" s="1" t="str">
        <f ca="1">IFERROR(__xludf.DUMMYFUNCTION("GOOGLETRANSLATE(B798,""en"",""fr"")"),"Veuillez vous connecter à Internet.ôtez le code de produit (SKU) peut être remplacé aux produits existants.")</f>
        <v>Veuillez vous connecter à Internet.ôtez le code de produit (SKU) peut être remplacé aux produits existants.</v>
      </c>
    </row>
    <row r="799" spans="1:6" ht="15.75" customHeight="1" x14ac:dyDescent="0.25">
      <c r="A799" s="1" t="s">
        <v>1503</v>
      </c>
      <c r="B799" s="1" t="s">
        <v>1504</v>
      </c>
      <c r="C799" s="1" t="str">
        <f ca="1">IFERROR(__xludf.DUMMYFUNCTION("GOOGLETRANSLATE(B799,""en"",""ar"")"),"قائمة استلام العملاء الحكيم")</f>
        <v>قائمة استلام العملاء الحكيم</v>
      </c>
      <c r="D799" s="1" t="str">
        <f ca="1">IFERROR(__xludf.DUMMYFUNCTION("GOOGLETRANSLATE(B799,""en"",""zh-CN"")"),"客户智商收据列表")</f>
        <v>客户智商收据列表</v>
      </c>
      <c r="E799" s="1" t="str">
        <f ca="1">IFERROR(__xludf.DUMMYFUNCTION("GOOGLETRANSLATE(B799,""en"",""ja"")"),"顧客賢明な領収書リスト")</f>
        <v>顧客賢明な領収書リスト</v>
      </c>
      <c r="F799" s="1" t="str">
        <f ca="1">IFERROR(__xludf.DUMMYFUNCTION("GOOGLETRANSLATE(B799,""en"",""fr"")"),"Liste de réception de la clientèle")</f>
        <v>Liste de réception de la clientèle</v>
      </c>
    </row>
    <row r="800" spans="1:6" ht="15.75" customHeight="1" x14ac:dyDescent="0.25">
      <c r="A800" s="1" t="s">
        <v>1505</v>
      </c>
      <c r="B800" s="1" t="s">
        <v>1506</v>
      </c>
      <c r="C800" s="1" t="str">
        <f ca="1">IFERROR(__xludf.DUMMYFUNCTION("GOOGLETRANSLATE(B800,""en"",""ar"")"),"إزالة المنتج (المنتجات) تحت هذه الفئة كذلك")</f>
        <v>إزالة المنتج (المنتجات) تحت هذه الفئة كذلك</v>
      </c>
      <c r="D800" s="1" t="str">
        <f ca="1">IFERROR(__xludf.DUMMYFUNCTION("GOOGLETRANSLATE(B800,""en"",""zh-CN"")"),"删除此类别的产品")</f>
        <v>删除此类别的产品</v>
      </c>
      <c r="E800" s="1" t="str">
        <f ca="1">IFERROR(__xludf.DUMMYFUNCTION("GOOGLETRANSLATE(B800,""en"",""ja"")"),"このカテゴリの下で製品を削除する")</f>
        <v>このカテゴリの下で製品を削除する</v>
      </c>
      <c r="F800" s="1" t="str">
        <f ca="1">IFERROR(__xludf.DUMMYFUNCTION("GOOGLETRANSLATE(B800,""en"",""fr"")"),"Supprimer le (s) produit (s) sous cette catégorie également")</f>
        <v>Supprimer le (s) produit (s) sous cette catégorie également</v>
      </c>
    </row>
    <row r="801" spans="1:6" ht="15.75" customHeight="1" x14ac:dyDescent="0.25">
      <c r="A801" s="1" t="s">
        <v>1507</v>
      </c>
      <c r="B801" s="1" t="s">
        <v>1508</v>
      </c>
      <c r="C801" s="1" t="str">
        <f ca="1">IFERROR(__xludf.DUMMYFUNCTION("GOOGLETRANSLATE(B801,""en"",""ar"")"),"المنتج (المنتجات) تحت هذه الفئة الانتقال إلى \")</f>
        <v>المنتج (المنتجات) تحت هذه الفئة الانتقال إلى \</v>
      </c>
      <c r="D801" s="1" t="str">
        <f ca="1">IFERROR(__xludf.DUMMYFUNCTION("GOOGLETRANSLATE(B801,""en"",""zh-CN"")"),"此类别下的产品转移到\")</f>
        <v>此类别下的产品转移到\</v>
      </c>
      <c r="E801" s="1" t="str">
        <f ca="1">IFERROR(__xludf.DUMMYFUNCTION("GOOGLETRANSLATE(B801,""en"",""ja"")"),"このカテゴリの下の製品は\に移動します")</f>
        <v>このカテゴリの下の製品は\に移動します</v>
      </c>
      <c r="F801" s="1" t="str">
        <f ca="1">IFERROR(__xludf.DUMMYFUNCTION("GOOGLETRANSLATE(B801,""en"",""fr"")"),"Produit (s) sous cette catégorie Passer à \")</f>
        <v>Produit (s) sous cette catégorie Passer à \</v>
      </c>
    </row>
    <row r="802" spans="1:6" ht="15.75" customHeight="1" x14ac:dyDescent="0.25">
      <c r="A802" s="1" t="s">
        <v>1509</v>
      </c>
      <c r="B802" s="1" t="s">
        <v>1510</v>
      </c>
      <c r="C802" s="1" t="str">
        <f ca="1">IFERROR(__xludf.DUMMYFUNCTION("GOOGLETRANSLATE(B802,""en"",""ar"")"),"إزالة المنتج (المنتجات) تحت هذه الفئة الفرعية")</f>
        <v>إزالة المنتج (المنتجات) تحت هذه الفئة الفرعية</v>
      </c>
      <c r="D802" s="1" t="str">
        <f ca="1">IFERROR(__xludf.DUMMYFUNCTION("GOOGLETRANSLATE(B802,""en"",""zh-CN"")"),"在此子类别下删除产品")</f>
        <v>在此子类别下删除产品</v>
      </c>
      <c r="E802" s="1" t="str">
        <f ca="1">IFERROR(__xludf.DUMMYFUNCTION("GOOGLETRANSLATE(B802,""en"",""ja"")"),"このサブカテゴリの下の製品を削除してください")</f>
        <v>このサブカテゴリの下の製品を削除してください</v>
      </c>
      <c r="F802" s="1" t="str">
        <f ca="1">IFERROR(__xludf.DUMMYFUNCTION("GOOGLETRANSLATE(B802,""en"",""fr"")"),"Supprimer le (s) produit (s) sous cette sous-catégorie")</f>
        <v>Supprimer le (s) produit (s) sous cette sous-catégorie</v>
      </c>
    </row>
    <row r="803" spans="1:6" ht="15.75" customHeight="1" x14ac:dyDescent="0.25">
      <c r="A803" s="1" t="s">
        <v>1511</v>
      </c>
      <c r="B803" s="1" t="s">
        <v>1512</v>
      </c>
      <c r="C803" s="1" t="str">
        <f ca="1">IFERROR(__xludf.DUMMYFUNCTION("GOOGLETRANSLATE(B803,""en"",""ar"")"),"المنتج (المنتجات) تحت هذه الفئة الفرعية الانتقال إلى")</f>
        <v>المنتج (المنتجات) تحت هذه الفئة الفرعية الانتقال إلى</v>
      </c>
      <c r="D803" s="1" t="str">
        <f ca="1">IFERROR(__xludf.DUMMYFUNCTION("GOOGLETRANSLATE(B803,""en"",""zh-CN"")"),"此子类别下的产品迁移到")</f>
        <v>此子类别下的产品迁移到</v>
      </c>
      <c r="E803" s="1" t="str">
        <f ca="1">IFERROR(__xludf.DUMMYFUNCTION("GOOGLETRANSLATE(B803,""en"",""ja"")"),"このサブカテゴリの下の製品は")</f>
        <v>このサブカテゴリの下の製品は</v>
      </c>
      <c r="F803" s="1" t="str">
        <f ca="1">IFERROR(__xludf.DUMMYFUNCTION("GOOGLETRANSLATE(B803,""en"",""fr"")"),"Produit (s) sous cette sous-catégorie Passer à la")</f>
        <v>Produit (s) sous cette sous-catégorie Passer à la</v>
      </c>
    </row>
    <row r="804" spans="1:6" ht="15.75" customHeight="1" x14ac:dyDescent="0.25">
      <c r="A804" s="1" t="s">
        <v>1513</v>
      </c>
      <c r="B804" s="1" t="s">
        <v>1514</v>
      </c>
      <c r="C804" s="1" t="str">
        <f ca="1">IFERROR(__xludf.DUMMYFUNCTION("GOOGLETRANSLATE(B804,""en"",""ar"")"),"هذه الفئة الفرعية تستخدم. سيتم حذف الفئة الفرعية بشكل دائم")</f>
        <v>هذه الفئة الفرعية تستخدم. سيتم حذف الفئة الفرعية بشكل دائم</v>
      </c>
      <c r="D804" s="1" t="str">
        <f ca="1">IFERROR(__xludf.DUMMYFUNCTION("GOOGLETRANSLATE(B804,""en"",""zh-CN"")"),"使用此子类别。子类别将永久删除")</f>
        <v>使用此子类别。子类别将永久删除</v>
      </c>
      <c r="E804" s="1" t="str">
        <f ca="1">IFERROR(__xludf.DUMMYFUNCTION("GOOGLETRANSLATE(B804,""en"",""ja"")"),"このサブカテゴリが使用されています。サブカテゴリは永続的に削除されます")</f>
        <v>このサブカテゴリが使用されています。サブカテゴリは永続的に削除されます</v>
      </c>
      <c r="F804" s="1" t="str">
        <f ca="1">IFERROR(__xludf.DUMMYFUNCTION("GOOGLETRANSLATE(B804,""en"",""fr"")"),"Cette sous-catégorie est utilisée. La sous-catégorie sera supprimée de manière permanente")</f>
        <v>Cette sous-catégorie est utilisée. La sous-catégorie sera supprimée de manière permanente</v>
      </c>
    </row>
    <row r="805" spans="1:6" ht="15.75" customHeight="1" x14ac:dyDescent="0.25">
      <c r="A805" s="1" t="s">
        <v>1515</v>
      </c>
      <c r="B805" s="1" t="s">
        <v>1516</v>
      </c>
      <c r="C805" s="1" t="str">
        <f ca="1">IFERROR(__xludf.DUMMYFUNCTION("GOOGLETRANSLATE(B805,""en"",""ar"")"),"هذه الفئة تستخدم. سيتم حذف الفئة بشكل دائم")</f>
        <v>هذه الفئة تستخدم. سيتم حذف الفئة بشكل دائم</v>
      </c>
      <c r="D805" s="1" t="str">
        <f ca="1">IFERROR(__xludf.DUMMYFUNCTION("GOOGLETRANSLATE(B805,""en"",""zh-CN"")"),"此类别在使用中。类别将永久删除")</f>
        <v>此类别在使用中。类别将永久删除</v>
      </c>
      <c r="E805" s="1" t="str">
        <f ca="1">IFERROR(__xludf.DUMMYFUNCTION("GOOGLETRANSLATE(B805,""en"",""ja"")"),"このカテゴリは使用されています。カテゴリは永久に削除されます")</f>
        <v>このカテゴリは使用されています。カテゴリは永久に削除されます</v>
      </c>
      <c r="F805" s="1" t="str">
        <f ca="1">IFERROR(__xludf.DUMMYFUNCTION("GOOGLETRANSLATE(B805,""en"",""fr"")"),"Cette catégorie est utilisée. La catégorie sera supprimée de manière permanente")</f>
        <v>Cette catégorie est utilisée. La catégorie sera supprimée de manière permanente</v>
      </c>
    </row>
    <row r="806" spans="1:6" ht="15.75" customHeight="1" x14ac:dyDescent="0.25">
      <c r="A806" s="1" t="s">
        <v>1517</v>
      </c>
      <c r="B806" s="1" t="s">
        <v>1518</v>
      </c>
      <c r="C806" s="1" t="str">
        <f ca="1">IFERROR(__xludf.DUMMYFUNCTION("GOOGLETRANSLATE(B806,""en"",""ar"")"),"هل تريد بالتأكيد حذف هذه الفئة؟")</f>
        <v>هل تريد بالتأكيد حذف هذه الفئة؟</v>
      </c>
      <c r="D806" s="1" t="str">
        <f ca="1">IFERROR(__xludf.DUMMYFUNCTION("GOOGLETRANSLATE(B806,""en"",""zh-CN"")"),"您是否确定要删除此类别？")</f>
        <v>您是否确定要删除此类别？</v>
      </c>
      <c r="E806" s="1" t="str">
        <f ca="1">IFERROR(__xludf.DUMMYFUNCTION("GOOGLETRANSLATE(B806,""en"",""ja"")"),"あなたは確かにこのカテゴリを削除したいですか？")</f>
        <v>あなたは確かにこのカテゴリを削除したいですか？</v>
      </c>
      <c r="F806" s="1" t="str">
        <f ca="1">IFERROR(__xludf.DUMMYFUNCTION("GOOGLETRANSLATE(B806,""en"",""fr"")"),"Êtes-vous sûr que vous voulez supprimer cette catégorie?")</f>
        <v>Êtes-vous sûr que vous voulez supprimer cette catégorie?</v>
      </c>
    </row>
    <row r="807" spans="1:6" ht="15.75" customHeight="1" x14ac:dyDescent="0.25">
      <c r="A807" s="1" t="s">
        <v>1519</v>
      </c>
      <c r="B807" s="1" t="s">
        <v>1520</v>
      </c>
      <c r="C807" s="1" t="str">
        <f ca="1">IFERROR(__xludf.DUMMYFUNCTION("GOOGLETRANSLATE(B807,""en"",""ar"")"),"معلومات البطاقة")</f>
        <v>معلومات البطاقة</v>
      </c>
      <c r="D807" s="1" t="str">
        <f ca="1">IFERROR(__xludf.DUMMYFUNCTION("GOOGLETRANSLATE(B807,""en"",""zh-CN"")"),"卡详细信息")</f>
        <v>卡详细信息</v>
      </c>
      <c r="E807" s="1" t="str">
        <f ca="1">IFERROR(__xludf.DUMMYFUNCTION("GOOGLETRANSLATE(B807,""en"",""ja"")"),"カードの詳細")</f>
        <v>カードの詳細</v>
      </c>
      <c r="F807" s="1" t="str">
        <f ca="1">IFERROR(__xludf.DUMMYFUNCTION("GOOGLETRANSLATE(B807,""en"",""fr"")"),"Détails de la carte")</f>
        <v>Détails de la carte</v>
      </c>
    </row>
    <row r="808" spans="1:6" ht="15.75" customHeight="1" x14ac:dyDescent="0.25">
      <c r="A808" s="1" t="s">
        <v>1521</v>
      </c>
      <c r="B808" s="1" t="s">
        <v>1522</v>
      </c>
      <c r="C808" s="1" t="str">
        <f ca="1">IFERROR(__xludf.DUMMYFUNCTION("GOOGLETRANSLATE(B808,""en"",""ar"")"),"تفاصيل البطاقة غير صالحة")</f>
        <v>تفاصيل البطاقة غير صالحة</v>
      </c>
      <c r="D808" s="1" t="str">
        <f ca="1">IFERROR(__xludf.DUMMYFUNCTION("GOOGLETRANSLATE(B808,""en"",""zh-CN"")"),"无效的卡详细信息")</f>
        <v>无效的卡详细信息</v>
      </c>
      <c r="E808" s="1" t="str">
        <f ca="1">IFERROR(__xludf.DUMMYFUNCTION("GOOGLETRANSLATE(B808,""en"",""ja"")"),"無効なカードの詳細")</f>
        <v>無効なカードの詳細</v>
      </c>
      <c r="F808" s="1" t="str">
        <f ca="1">IFERROR(__xludf.DUMMYFUNCTION("GOOGLETRANSLATE(B808,""en"",""fr"")"),"Détails de la carte invalide")</f>
        <v>Détails de la carte invalide</v>
      </c>
    </row>
    <row r="809" spans="1:6" ht="15.75" customHeight="1" x14ac:dyDescent="0.25">
      <c r="A809" s="1" t="s">
        <v>1523</v>
      </c>
      <c r="B809" s="1" t="s">
        <v>1524</v>
      </c>
      <c r="C809" s="1" t="str">
        <f ca="1">IFERROR(__xludf.DUMMYFUNCTION("GOOGLETRANSLATE(B809,""en"",""ar"")"),"بوابة الدفع")</f>
        <v>بوابة الدفع</v>
      </c>
      <c r="D809" s="1" t="str">
        <f ca="1">IFERROR(__xludf.DUMMYFUNCTION("GOOGLETRANSLATE(B809,""en"",""zh-CN"")"),"支付网关")</f>
        <v>支付网关</v>
      </c>
      <c r="E809" s="1" t="str">
        <f ca="1">IFERROR(__xludf.DUMMYFUNCTION("GOOGLETRANSLATE(B809,""en"",""ja"")"),"支払いゲートウェイ")</f>
        <v>支払いゲートウェイ</v>
      </c>
      <c r="F809" s="1" t="str">
        <f ca="1">IFERROR(__xludf.DUMMYFUNCTION("GOOGLETRANSLATE(B809,""en"",""fr"")"),"Passerelle de paiement")</f>
        <v>Passerelle de paiement</v>
      </c>
    </row>
    <row r="810" spans="1:6" ht="15.75" customHeight="1" x14ac:dyDescent="0.25">
      <c r="A810" s="1" t="s">
        <v>1525</v>
      </c>
      <c r="B810" s="1" t="s">
        <v>1524</v>
      </c>
      <c r="C810" s="1" t="str">
        <f ca="1">IFERROR(__xludf.DUMMYFUNCTION("GOOGLETRANSLATE(B810,""en"",""ar"")"),"بوابة الدفع")</f>
        <v>بوابة الدفع</v>
      </c>
      <c r="D810" s="1" t="str">
        <f ca="1">IFERROR(__xludf.DUMMYFUNCTION("GOOGLETRANSLATE(B810,""en"",""zh-CN"")"),"支付网关")</f>
        <v>支付网关</v>
      </c>
      <c r="E810" s="1" t="str">
        <f ca="1">IFERROR(__xludf.DUMMYFUNCTION("GOOGLETRANSLATE(B810,""en"",""ja"")"),"支払いゲートウェイ")</f>
        <v>支払いゲートウェイ</v>
      </c>
      <c r="F810" s="1" t="str">
        <f ca="1">IFERROR(__xludf.DUMMYFUNCTION("GOOGLETRANSLATE(B810,""en"",""fr"")"),"Passerelle de paiement")</f>
        <v>Passerelle de paiement</v>
      </c>
    </row>
    <row r="811" spans="1:6" ht="15.75" customHeight="1" x14ac:dyDescent="0.25">
      <c r="A811" s="1" t="s">
        <v>1526</v>
      </c>
      <c r="B811" s="1" t="s">
        <v>1527</v>
      </c>
      <c r="C811" s="1" t="str">
        <f ca="1">IFERROR(__xludf.DUMMYFUNCTION("GOOGLETRANSLATE(B811,""en"",""ar"")"),"مفتاح نشر")</f>
        <v>مفتاح نشر</v>
      </c>
      <c r="D811" s="1" t="str">
        <f ca="1">IFERROR(__xludf.DUMMYFUNCTION("GOOGLETRANSLATE(B811,""en"",""zh-CN"")"),"可发布的钥匙")</f>
        <v>可发布的钥匙</v>
      </c>
      <c r="E811" s="1" t="str">
        <f ca="1">IFERROR(__xludf.DUMMYFUNCTION("GOOGLETRANSLATE(B811,""en"",""ja"")"),"公開可能な鍵")</f>
        <v>公開可能な鍵</v>
      </c>
      <c r="F811" s="1" t="str">
        <f ca="1">IFERROR(__xludf.DUMMYFUNCTION("GOOGLETRANSLATE(B811,""en"",""fr"")"),"Clé publiable")</f>
        <v>Clé publiable</v>
      </c>
    </row>
    <row r="812" spans="1:6" ht="15.75" customHeight="1" x14ac:dyDescent="0.25">
      <c r="A812" s="1" t="s">
        <v>1528</v>
      </c>
      <c r="B812" s="1" t="s">
        <v>1529</v>
      </c>
      <c r="C812" s="1" t="str">
        <f ca="1">IFERROR(__xludf.DUMMYFUNCTION("GOOGLETRANSLATE(B812,""en"",""ar"")"),"مفتاح سري")</f>
        <v>مفتاح سري</v>
      </c>
      <c r="D812" s="1" t="str">
        <f ca="1">IFERROR(__xludf.DUMMYFUNCTION("GOOGLETRANSLATE(B812,""en"",""zh-CN"")"),"密钥")</f>
        <v>密钥</v>
      </c>
      <c r="E812" s="1" t="str">
        <f ca="1">IFERROR(__xludf.DUMMYFUNCTION("GOOGLETRANSLATE(B812,""en"",""ja"")"),"秘密鍵")</f>
        <v>秘密鍵</v>
      </c>
      <c r="F812" s="1" t="str">
        <f ca="1">IFERROR(__xludf.DUMMYFUNCTION("GOOGLETRANSLATE(B812,""en"",""fr"")"),"Clef secrète")</f>
        <v>Clef secrète</v>
      </c>
    </row>
    <row r="813" spans="1:6" ht="15.75" customHeight="1" x14ac:dyDescent="0.25">
      <c r="A813" s="1" t="s">
        <v>1530</v>
      </c>
      <c r="B813" s="1" t="s">
        <v>1147</v>
      </c>
      <c r="C813" s="1" t="str">
        <f ca="1">IFERROR(__xludf.DUMMYFUNCTION("GOOGLETRANSLATE(B813,""en"",""ar"")"),"حالة")</f>
        <v>حالة</v>
      </c>
      <c r="D813" s="1" t="str">
        <f ca="1">IFERROR(__xludf.DUMMYFUNCTION("GOOGLETRANSLATE(B813,""en"",""zh-CN"")"),"地位")</f>
        <v>地位</v>
      </c>
      <c r="E813" s="1" t="str">
        <f ca="1">IFERROR(__xludf.DUMMYFUNCTION("GOOGLETRANSLATE(B813,""en"",""ja"")"),"状態")</f>
        <v>状態</v>
      </c>
      <c r="F813" s="1" t="str">
        <f ca="1">IFERROR(__xludf.DUMMYFUNCTION("GOOGLETRANSLATE(B813,""en"",""fr"")"),"Statut")</f>
        <v>Statut</v>
      </c>
    </row>
    <row r="814" spans="1:6" ht="15.75" customHeight="1" x14ac:dyDescent="0.25">
      <c r="A814" s="1" t="s">
        <v>1531</v>
      </c>
      <c r="B814" s="1" t="s">
        <v>1524</v>
      </c>
      <c r="C814" s="1" t="str">
        <f ca="1">IFERROR(__xludf.DUMMYFUNCTION("GOOGLETRANSLATE(B814,""en"",""ar"")"),"بوابة الدفع")</f>
        <v>بوابة الدفع</v>
      </c>
      <c r="D814" s="1" t="str">
        <f ca="1">IFERROR(__xludf.DUMMYFUNCTION("GOOGLETRANSLATE(B814,""en"",""zh-CN"")"),"支付网关")</f>
        <v>支付网关</v>
      </c>
      <c r="E814" s="1" t="str">
        <f ca="1">IFERROR(__xludf.DUMMYFUNCTION("GOOGLETRANSLATE(B814,""en"",""ja"")"),"支払いゲートウェイ")</f>
        <v>支払いゲートウェイ</v>
      </c>
      <c r="F814" s="1" t="str">
        <f ca="1">IFERROR(__xludf.DUMMYFUNCTION("GOOGLETRANSLATE(B814,""en"",""fr"")"),"Passerelle de paiement")</f>
        <v>Passerelle de paiement</v>
      </c>
    </row>
    <row r="815" spans="1:6" ht="15.75" customHeight="1" x14ac:dyDescent="0.25">
      <c r="A815" s="1" t="s">
        <v>1532</v>
      </c>
      <c r="B815" s="1" t="s">
        <v>1533</v>
      </c>
      <c r="C815" s="1" t="str">
        <f ca="1">IFERROR(__xludf.DUMMYFUNCTION("GOOGLETRANSLATE(B815,""en"",""ar"")"),"هذه دفعة الدفع إعداد بالفعل")</f>
        <v>هذه دفعة الدفع إعداد بالفعل</v>
      </c>
      <c r="D815" s="1" t="str">
        <f ca="1">IFERROR(__xludf.DUMMYFUNCTION("GOOGLETRANSLATE(B815,""en"",""zh-CN"")"),"此付款网关已设置")</f>
        <v>此付款网关已设置</v>
      </c>
      <c r="E815" s="1" t="str">
        <f ca="1">IFERROR(__xludf.DUMMYFUNCTION("GOOGLETRANSLATE(B815,""en"",""ja"")"),"この支払いゲートウェイはすでに設定されています")</f>
        <v>この支払いゲートウェイはすでに設定されています</v>
      </c>
      <c r="F815" s="1" t="str">
        <f ca="1">IFERROR(__xludf.DUMMYFUNCTION("GOOGLETRANSLATE(B815,""en"",""fr"")"),"Cette passerelle de paiement déjà configurée")</f>
        <v>Cette passerelle de paiement déjà configurée</v>
      </c>
    </row>
    <row r="816" spans="1:6" ht="15.75" customHeight="1" x14ac:dyDescent="0.25">
      <c r="A816" s="1" t="s">
        <v>1534</v>
      </c>
      <c r="B816" s="1" t="s">
        <v>1535</v>
      </c>
      <c r="C816" s="1" t="str">
        <f ca="1">IFERROR(__xludf.DUMMYFUNCTION("GOOGLETRANSLATE(B816,""en"",""ar"")"),"رقم البطاقة")</f>
        <v>رقم البطاقة</v>
      </c>
      <c r="D816" s="1" t="str">
        <f ca="1">IFERROR(__xludf.DUMMYFUNCTION("GOOGLETRANSLATE(B816,""en"",""zh-CN"")"),"卡号")</f>
        <v>卡号</v>
      </c>
      <c r="E816" s="1" t="str">
        <f ca="1">IFERROR(__xludf.DUMMYFUNCTION("GOOGLETRANSLATE(B816,""en"",""ja"")"),"カード番号")</f>
        <v>カード番号</v>
      </c>
      <c r="F816" s="1" t="str">
        <f ca="1">IFERROR(__xludf.DUMMYFUNCTION("GOOGLETRANSLATE(B816,""en"",""fr"")"),"Numéro de carte")</f>
        <v>Numéro de carte</v>
      </c>
    </row>
    <row r="817" spans="1:6" ht="15.75" customHeight="1" x14ac:dyDescent="0.25">
      <c r="A817" s="1" t="s">
        <v>1536</v>
      </c>
      <c r="B817" s="1" t="s">
        <v>1537</v>
      </c>
      <c r="C817" s="1" t="str">
        <f ca="1">IFERROR(__xludf.DUMMYFUNCTION("GOOGLETRANSLATE(B817,""en"",""ar"")"),"شهر")</f>
        <v>شهر</v>
      </c>
      <c r="D817" s="1" t="str">
        <f ca="1">IFERROR(__xludf.DUMMYFUNCTION("GOOGLETRANSLATE(B817,""en"",""zh-CN"")"),"月")</f>
        <v>月</v>
      </c>
      <c r="E817" s="1" t="str">
        <f ca="1">IFERROR(__xludf.DUMMYFUNCTION("GOOGLETRANSLATE(B817,""en"",""ja"")"),"月")</f>
        <v>月</v>
      </c>
      <c r="F817" s="1" t="str">
        <f ca="1">IFERROR(__xludf.DUMMYFUNCTION("GOOGLETRANSLATE(B817,""en"",""fr"")"),"Mois")</f>
        <v>Mois</v>
      </c>
    </row>
    <row r="818" spans="1:6" ht="15.75" customHeight="1" x14ac:dyDescent="0.25">
      <c r="A818" s="1" t="s">
        <v>1538</v>
      </c>
      <c r="B818" s="1" t="s">
        <v>1539</v>
      </c>
      <c r="C818" s="1" t="str">
        <f ca="1">IFERROR(__xludf.DUMMYFUNCTION("GOOGLETRANSLATE(B818,""en"",""ar"")"),"عام")</f>
        <v>عام</v>
      </c>
      <c r="D818" s="1" t="str">
        <f ca="1">IFERROR(__xludf.DUMMYFUNCTION("GOOGLETRANSLATE(B818,""en"",""zh-CN"")"),"年")</f>
        <v>年</v>
      </c>
      <c r="E818" s="1" t="str">
        <f ca="1">IFERROR(__xludf.DUMMYFUNCTION("GOOGLETRANSLATE(B818,""en"",""ja"")"),"年")</f>
        <v>年</v>
      </c>
      <c r="F818" s="1" t="str">
        <f ca="1">IFERROR(__xludf.DUMMYFUNCTION("GOOGLETRANSLATE(B818,""en"",""fr"")"),"An")</f>
        <v>An</v>
      </c>
    </row>
    <row r="819" spans="1:6" ht="15.75" customHeight="1" x14ac:dyDescent="0.25">
      <c r="A819" s="1" t="s">
        <v>1540</v>
      </c>
      <c r="B819" s="1" t="s">
        <v>1541</v>
      </c>
      <c r="C819" s="1" t="str">
        <f ca="1">IFERROR(__xludf.DUMMYFUNCTION("GOOGLETRANSLATE(B819,""en"",""ar"")"),"CVC.")</f>
        <v>CVC.</v>
      </c>
      <c r="D819" s="1" t="str">
        <f ca="1">IFERROR(__xludf.DUMMYFUNCTION("GOOGLETRANSLATE(B819,""en"",""zh-CN"")"),"CVC")</f>
        <v>CVC</v>
      </c>
      <c r="E819" s="1" t="str">
        <f ca="1">IFERROR(__xludf.DUMMYFUNCTION("GOOGLETRANSLATE(B819,""en"",""ja"")"),"CVC")</f>
        <v>CVC</v>
      </c>
      <c r="F819" s="1" t="str">
        <f ca="1">IFERROR(__xludf.DUMMYFUNCTION("GOOGLETRANSLATE(B819,""en"",""fr"")"),"CVC")</f>
        <v>CVC</v>
      </c>
    </row>
    <row r="820" spans="1:6" ht="15.75" customHeight="1" x14ac:dyDescent="0.25">
      <c r="A820" s="1" t="s">
        <v>1542</v>
      </c>
      <c r="B820" s="1" t="s">
        <v>1543</v>
      </c>
      <c r="C820" s="1" t="str">
        <f ca="1">IFERROR(__xludf.DUMMYFUNCTION("GOOGLETRANSLATE(B820,""en"",""ar"")"),"انقر هنا")</f>
        <v>انقر هنا</v>
      </c>
      <c r="D820" s="1" t="str">
        <f ca="1">IFERROR(__xludf.DUMMYFUNCTION("GOOGLETRANSLATE(B820,""en"",""zh-CN"")"),"点击这里")</f>
        <v>点击这里</v>
      </c>
      <c r="E820" s="1" t="str">
        <f ca="1">IFERROR(__xludf.DUMMYFUNCTION("GOOGLETRANSLATE(B820,""en"",""ja"")"),"ここをクリック")</f>
        <v>ここをクリック</v>
      </c>
      <c r="F820" s="1" t="str">
        <f ca="1">IFERROR(__xludf.DUMMYFUNCTION("GOOGLETRANSLATE(B820,""en"",""fr"")"),"Cliquez ici")</f>
        <v>Cliquez ici</v>
      </c>
    </row>
    <row r="821" spans="1:6" ht="15.75" customHeight="1" x14ac:dyDescent="0.25">
      <c r="A821" s="1" t="s">
        <v>1544</v>
      </c>
      <c r="B821" s="1" t="s">
        <v>1545</v>
      </c>
      <c r="C821" s="1" t="str">
        <f ca="1">IFERROR(__xludf.DUMMYFUNCTION("GOOGLETRANSLATE(B821,""en"",""ar"")"),"العملة بوابة الدفع وعملة النظام الافتراضي مختلفة. يرجى القيام رسم الخرائط في تحرير واجهة بوابة الدفع.")</f>
        <v>العملة بوابة الدفع وعملة النظام الافتراضي مختلفة. يرجى القيام رسم الخرائط في تحرير واجهة بوابة الدفع.</v>
      </c>
      <c r="D821" s="1" t="str">
        <f ca="1">IFERROR(__xludf.DUMMYFUNCTION("GOOGLETRANSLATE(B821,""en"",""zh-CN"")"),"付款网关货币和默认系统货币不同。请在付款网关接口编辑中进行映射。")</f>
        <v>付款网关货币和默认系统货币不同。请在付款网关接口编辑中进行映射。</v>
      </c>
      <c r="E821" s="1" t="str">
        <f ca="1">IFERROR(__xludf.DUMMYFUNCTION("GOOGLETRANSLATE(B821,""en"",""ja"")"),"支払いゲートウェイ通貨とデフォルトのシステム通貨は異なります。 Payment Gatewayインターフェイス編集でマッピングしてください。")</f>
        <v>支払いゲートウェイ通貨とデフォルトのシステム通貨は異なります。 Payment Gatewayインターフェイス編集でマッピングしてください。</v>
      </c>
      <c r="F821" s="1" t="str">
        <f ca="1">IFERROR(__xludf.DUMMYFUNCTION("GOOGLETRANSLATE(B821,""en"",""fr"")"),"La devise de la passerelle de paiement et la monnaie du système par défaut est différente. Veuillez faire la mappage dans l'interface de passerelle de paiement Modifier.")</f>
        <v>La devise de la passerelle de paiement et la monnaie du système par défaut est différente. Veuillez faire la mappage dans l'interface de passerelle de paiement Modifier.</v>
      </c>
    </row>
    <row r="822" spans="1:6" ht="15.75" customHeight="1" x14ac:dyDescent="0.25">
      <c r="A822" s="1" t="s">
        <v>1546</v>
      </c>
      <c r="B822" s="1" t="s">
        <v>1547</v>
      </c>
      <c r="C822" s="1" t="str">
        <f ca="1">IFERROR(__xludf.DUMMYFUNCTION("GOOGLETRANSLATE(B822,""en"",""ar"")"),"عملة النظام")</f>
        <v>عملة النظام</v>
      </c>
      <c r="D822" s="1" t="str">
        <f ca="1">IFERROR(__xludf.DUMMYFUNCTION("GOOGLETRANSLATE(B822,""en"",""zh-CN"")"),"系统货币")</f>
        <v>系统货币</v>
      </c>
      <c r="E822" s="1" t="str">
        <f ca="1">IFERROR(__xludf.DUMMYFUNCTION("GOOGLETRANSLATE(B822,""en"",""ja"")"),"システム通貨")</f>
        <v>システム通貨</v>
      </c>
      <c r="F822" s="1" t="str">
        <f ca="1">IFERROR(__xludf.DUMMYFUNCTION("GOOGLETRANSLATE(B822,""en"",""fr"")"),"Devise du système")</f>
        <v>Devise du système</v>
      </c>
    </row>
    <row r="823" spans="1:6" ht="15.75" customHeight="1" x14ac:dyDescent="0.25">
      <c r="A823" s="1" t="s">
        <v>1548</v>
      </c>
      <c r="B823" s="1" t="s">
        <v>1549</v>
      </c>
      <c r="C823" s="1" t="str">
        <f ca="1">IFERROR(__xludf.DUMMYFUNCTION("GOOGLETRANSLATE(B823,""en"",""ar"")"),"عملة بوابة الدفع")</f>
        <v>عملة بوابة الدفع</v>
      </c>
      <c r="D823" s="1" t="str">
        <f ca="1">IFERROR(__xludf.DUMMYFUNCTION("GOOGLETRANSLATE(B823,""en"",""zh-CN"")"),"付款网关货币")</f>
        <v>付款网关货币</v>
      </c>
      <c r="E823" s="1" t="str">
        <f ca="1">IFERROR(__xludf.DUMMYFUNCTION("GOOGLETRANSLATE(B823,""en"",""ja"")"),"支払いゲートウェイ通貨")</f>
        <v>支払いゲートウェイ通貨</v>
      </c>
      <c r="F823" s="1" t="str">
        <f ca="1">IFERROR(__xludf.DUMMYFUNCTION("GOOGLETRANSLATE(B823,""en"",""fr"")"),"Devise de la passerelle de paiement")</f>
        <v>Devise de la passerelle de paiement</v>
      </c>
    </row>
    <row r="824" spans="1:6" ht="15.75" customHeight="1" x14ac:dyDescent="0.25">
      <c r="A824" s="1" t="s">
        <v>1550</v>
      </c>
      <c r="B824" s="1" t="s">
        <v>1551</v>
      </c>
      <c r="C824" s="1" t="str">
        <f ca="1">IFERROR(__xludf.DUMMYFUNCTION("GOOGLETRANSLATE(B824,""en"",""ar"")"),"ملاحظة: يرجى تحديد نفس العملة في إعداد البرامج")</f>
        <v>ملاحظة: يرجى تحديد نفس العملة في إعداد البرامج</v>
      </c>
      <c r="D824" s="1" t="str">
        <f ca="1">IFERROR(__xludf.DUMMYFUNCTION("GOOGLETRANSLATE(B824,""en"",""zh-CN"")"),"注意：请在软件设置中选择相同的货币")</f>
        <v>注意：请在软件设置中选择相同的货币</v>
      </c>
      <c r="E824" s="1" t="str">
        <f ca="1">IFERROR(__xludf.DUMMYFUNCTION("GOOGLETRANSLATE(B824,""en"",""ja"")"),"注：ソフトウェア設定で同じ通貨を選択してください")</f>
        <v>注：ソフトウェア設定で同じ通貨を選択してください</v>
      </c>
      <c r="F824" s="1" t="str">
        <f ca="1">IFERROR(__xludf.DUMMYFUNCTION("GOOGLETRANSLATE(B824,""en"",""fr"")"),"Remarque: veuillez sélectionner la même devise dans le paramètre logiciel")</f>
        <v>Remarque: veuillez sélectionner la même devise dans le paramètre logiciel</v>
      </c>
    </row>
    <row r="825" spans="1:6" ht="15.75" customHeight="1" x14ac:dyDescent="0.25">
      <c r="A825" s="1" t="s">
        <v>1552</v>
      </c>
      <c r="B825" s="1" t="s">
        <v>1553</v>
      </c>
      <c r="C825" s="1" t="str">
        <f ca="1">IFERROR(__xludf.DUMMYFUNCTION("GOOGLETRANSLATE(B825,""en"",""ar"")"),"غير متصل على الانترنت")</f>
        <v>غير متصل على الانترنت</v>
      </c>
      <c r="D825" s="1" t="str">
        <f ca="1">IFERROR(__xludf.DUMMYFUNCTION("GOOGLETRANSLATE(B825,""en"",""zh-CN"")"),"离线")</f>
        <v>离线</v>
      </c>
      <c r="E825" s="1" t="str">
        <f ca="1">IFERROR(__xludf.DUMMYFUNCTION("GOOGLETRANSLATE(B825,""en"",""ja"")"),"オフライン")</f>
        <v>オフライン</v>
      </c>
      <c r="F825" s="1" t="str">
        <f ca="1">IFERROR(__xludf.DUMMYFUNCTION("GOOGLETRANSLATE(B825,""en"",""fr"")"),"Hors ligne")</f>
        <v>Hors ligne</v>
      </c>
    </row>
    <row r="826" spans="1:6" ht="15.75" customHeight="1" x14ac:dyDescent="0.25">
      <c r="A826" s="1" t="s">
        <v>1554</v>
      </c>
      <c r="B826" s="1" t="s">
        <v>1555</v>
      </c>
      <c r="C826" s="1" t="str">
        <f ca="1">IFERROR(__xludf.DUMMYFUNCTION("GOOGLETRANSLATE(B826,""en"",""ar"")"),"نقاط غير كافية.")</f>
        <v>نقاط غير كافية.</v>
      </c>
      <c r="D826" s="1" t="str">
        <f ca="1">IFERROR(__xludf.DUMMYFUNCTION("GOOGLETRANSLATE(B826,""en"",""zh-CN"")"),"积分不足。")</f>
        <v>积分不足。</v>
      </c>
      <c r="E826" s="1" t="str">
        <f ca="1">IFERROR(__xludf.DUMMYFUNCTION("GOOGLETRANSLATE(B826,""en"",""ja"")"),"点が不十分です。")</f>
        <v>点が不十分です。</v>
      </c>
      <c r="F826" s="1" t="str">
        <f ca="1">IFERROR(__xludf.DUMMYFUNCTION("GOOGLETRANSLATE(B826,""en"",""fr"")"),"Points insuffisants.")</f>
        <v>Points insuffisants.</v>
      </c>
    </row>
    <row r="827" spans="1:6" ht="15.75" customHeight="1" x14ac:dyDescent="0.25">
      <c r="A827" s="1" t="s">
        <v>1556</v>
      </c>
      <c r="B827" s="1" t="s">
        <v>1557</v>
      </c>
      <c r="C827" s="1" t="str">
        <f ca="1">IFERROR(__xludf.DUMMYFUNCTION("GOOGLETRANSLATE(B827,""en"",""ar"")"),"اختبار الطباعة")</f>
        <v>اختبار الطباعة</v>
      </c>
      <c r="D827" s="1" t="str">
        <f ca="1">IFERROR(__xludf.DUMMYFUNCTION("GOOGLETRANSLATE(B827,""en"",""zh-CN"")"),"测试打印")</f>
        <v>测试打印</v>
      </c>
      <c r="E827" s="1" t="str">
        <f ca="1">IFERROR(__xludf.DUMMYFUNCTION("GOOGLETRANSLATE(B827,""en"",""ja"")"),"テストプリント")</f>
        <v>テストプリント</v>
      </c>
      <c r="F827" s="1" t="str">
        <f ca="1">IFERROR(__xludf.DUMMYFUNCTION("GOOGLETRANSLATE(B827,""en"",""fr"")"),"Impression de test")</f>
        <v>Impression de test</v>
      </c>
    </row>
    <row r="828" spans="1:6" ht="15.75" customHeight="1" x14ac:dyDescent="0.25">
      <c r="A828" s="1" t="s">
        <v>1558</v>
      </c>
      <c r="B828" s="1" t="s">
        <v>1559</v>
      </c>
      <c r="C828" s="1" t="str">
        <f ca="1">IFERROR(__xludf.DUMMYFUNCTION("GOOGLETRANSLATE(B828,""en"",""ar"")"),"يرجى الملاحظة")</f>
        <v>يرجى الملاحظة</v>
      </c>
      <c r="D828" s="1" t="str">
        <f ca="1">IFERROR(__xludf.DUMMYFUNCTION("GOOGLETRANSLATE(B828,""en"",""zh-CN"")"),"请注意")</f>
        <v>请注意</v>
      </c>
      <c r="E828" s="1" t="str">
        <f ca="1">IFERROR(__xludf.DUMMYFUNCTION("GOOGLETRANSLATE(B828,""en"",""ja"")"),"ご注意ください")</f>
        <v>ご注意ください</v>
      </c>
      <c r="F828" s="1" t="str">
        <f ca="1">IFERROR(__xludf.DUMMYFUNCTION("GOOGLETRANSLATE(B828,""en"",""fr"")"),"Veuillez noter")</f>
        <v>Veuillez noter</v>
      </c>
    </row>
    <row r="829" spans="1:6" ht="15.75" customHeight="1" x14ac:dyDescent="0.25">
      <c r="A829" s="1" t="s">
        <v>1560</v>
      </c>
      <c r="B829" s="1" t="s">
        <v>1561</v>
      </c>
      <c r="C829" s="1" t="str">
        <f ca="1">IFERROR(__xludf.DUMMYFUNCTION("GOOGLETRANSLATE(B829,""en"",""ar"")"),"ستقوم هذه الوظيفة بمسح بيانات التطبيق للمحطة")</f>
        <v>ستقوم هذه الوظيفة بمسح بيانات التطبيق للمحطة</v>
      </c>
      <c r="D829" s="1" t="str">
        <f ca="1">IFERROR(__xludf.DUMMYFUNCTION("GOOGLETRANSLATE(B829,""en"",""zh-CN"")"),"此功能将清除终端的应用程序数据")</f>
        <v>此功能将清除终端的应用程序数据</v>
      </c>
      <c r="E829" s="1" t="str">
        <f ca="1">IFERROR(__xludf.DUMMYFUNCTION("GOOGLETRANSLATE(B829,""en"",""ja"")"),"この機能は端末のアプリケーションデータを消去します")</f>
        <v>この機能は端末のアプリケーションデータを消去します</v>
      </c>
      <c r="F829" s="1" t="str">
        <f ca="1">IFERROR(__xludf.DUMMYFUNCTION("GOOGLETRANSLATE(B829,""en"",""fr"")"),"Cette fonction va effacer les données d'application du terminal")</f>
        <v>Cette fonction va effacer les données d'application du terminal</v>
      </c>
    </row>
    <row r="830" spans="1:6" ht="15.75" customHeight="1" x14ac:dyDescent="0.25">
      <c r="A830" s="1" t="s">
        <v>1562</v>
      </c>
      <c r="B830" s="1" t="s">
        <v>1563</v>
      </c>
      <c r="C830" s="1" t="str">
        <f ca="1">IFERROR(__xludf.DUMMYFUNCTION("GOOGLETRANSLATE(B830,""en"",""ar"")"),"إذا كنت ترغب في مسح البيانات في بوابة Web Office Office أيضا، فيرجى تسجيل الدخول والقيام بذلك يدويا")</f>
        <v>إذا كنت ترغب في مسح البيانات في بوابة Web Office Office أيضا، فيرجى تسجيل الدخول والقيام بذلك يدويا</v>
      </c>
      <c r="D830" s="1" t="str">
        <f ca="1">IFERROR(__xludf.DUMMYFUNCTION("GOOGLETRANSLATE(B830,""en"",""zh-CN"")"),"如果要在后台Web门户中清除数据，请登录并手动执行此操作")</f>
        <v>如果要在后台Web门户中清除数据，请登录并手动执行此操作</v>
      </c>
      <c r="E830" s="1" t="str">
        <f ca="1">IFERROR(__xludf.DUMMYFUNCTION("GOOGLETRANSLATE(B830,""en"",""ja"")"),"バックオフィスのWebポータルにデータをクリアしたい場合は、ログインして手動で実行してください。")</f>
        <v>バックオフィスのWebポータルにデータをクリアしたい場合は、ログインして手動で実行してください。</v>
      </c>
      <c r="F830" s="1" t="str">
        <f ca="1">IFERROR(__xludf.DUMMYFUNCTION("GOOGLETRANSLATE(B830,""en"",""fr"")"),"Si vous souhaitez effacer les données dans le portail Web du back Office, veuillez vous connecter et le faire manuellement")</f>
        <v>Si vous souhaitez effacer les données dans le portail Web du back Office, veuillez vous connecter et le faire manuellement</v>
      </c>
    </row>
    <row r="831" spans="1:6" ht="15.75" customHeight="1" x14ac:dyDescent="0.25">
      <c r="A831" s="1" t="s">
        <v>1564</v>
      </c>
      <c r="B831" s="1" t="s">
        <v>1565</v>
      </c>
      <c r="C831" s="1" t="str">
        <f ca="1">IFERROR(__xludf.DUMMYFUNCTION("GOOGLETRANSLATE(B831,""en"",""ar"")"),"كلمة المرور (يجب أن تحتوي على 6 أحرف على الأقل)؟")</f>
        <v>كلمة المرور (يجب أن تحتوي على 6 أحرف على الأقل)؟</v>
      </c>
      <c r="D831" s="1" t="str">
        <f ca="1">IFERROR(__xludf.DUMMYFUNCTION("GOOGLETRANSLATE(B831,""en"",""zh-CN"")"),"密码（应至少包含6个字符）??")</f>
        <v>密码（应至少包含6个字符）??</v>
      </c>
      <c r="E831" s="1" t="str">
        <f ca="1">IFERROR(__xludf.DUMMYFUNCTION("GOOGLETRANSLATE(B831,""en"",""ja"")"),"パスワード（少なくとも6文字を含める必要があります）？")</f>
        <v>パスワード（少なくとも6文字を含める必要があります）？</v>
      </c>
      <c r="F831" s="1" t="str">
        <f ca="1">IFERROR(__xludf.DUMMYFUNCTION("GOOGLETRANSLATE(B831,""en"",""fr"")"),"Mot de passe (doit contenir au moins 6 caractères) ??")</f>
        <v>Mot de passe (doit contenir au moins 6 caractères) ??</v>
      </c>
    </row>
    <row r="832" spans="1:6" ht="15.75" customHeight="1" x14ac:dyDescent="0.25">
      <c r="A832" s="1" t="s">
        <v>1566</v>
      </c>
      <c r="B832" s="1" t="s">
        <v>1567</v>
      </c>
      <c r="C832" s="1" t="str">
        <f ca="1">IFERROR(__xludf.DUMMYFUNCTION("GOOGLETRANSLATE(B832,""en"",""ar"")"),"يجب أن يحتوي الحقل على 8 أحرف على الأقل")</f>
        <v>يجب أن يحتوي الحقل على 8 أحرف على الأقل</v>
      </c>
      <c r="D832" s="1" t="str">
        <f ca="1">IFERROR(__xludf.DUMMYFUNCTION("GOOGLETRANSLATE(B832,""en"",""zh-CN"")"),"字段必须包含至少8个字符")</f>
        <v>字段必须包含至少8个字符</v>
      </c>
      <c r="E832" s="1" t="str">
        <f ca="1">IFERROR(__xludf.DUMMYFUNCTION("GOOGLETRANSLATE(B832,""en"",""ja"")"),"フィールドには少なくとも8文字が含まれていなければなりません")</f>
        <v>フィールドには少なくとも8文字が含まれていなければなりません</v>
      </c>
      <c r="F832" s="1" t="str">
        <f ca="1">IFERROR(__xludf.DUMMYFUNCTION("GOOGLETRANSLATE(B832,""en"",""fr"")"),"Le champ doit contenir au moins 8 caractères")</f>
        <v>Le champ doit contenir au moins 8 caractères</v>
      </c>
    </row>
    <row r="833" spans="1:6" ht="15.75" customHeight="1" x14ac:dyDescent="0.25">
      <c r="A833" s="1" t="s">
        <v>1568</v>
      </c>
      <c r="B833" s="1" t="s">
        <v>1569</v>
      </c>
      <c r="C833" s="1" t="str">
        <f ca="1">IFERROR(__xludf.DUMMYFUNCTION("GOOGLETRANSLATE(B833,""en"",""ar"")"),"بوابة الدفع شريطية تدعم هذه العملات")</f>
        <v>بوابة الدفع شريطية تدعم هذه العملات</v>
      </c>
      <c r="D833" s="1" t="str">
        <f ca="1">IFERROR(__xludf.DUMMYFUNCTION("GOOGLETRANSLATE(B833,""en"",""zh-CN"")"),"条纹支付网关支持这些货币")</f>
        <v>条纹支付网关支持这些货币</v>
      </c>
      <c r="E833" s="1" t="str">
        <f ca="1">IFERROR(__xludf.DUMMYFUNCTION("GOOGLETRANSLATE(B833,""en"",""ja"")"),"ストライプ支払いゲートウェイはこれらの通貨をサポートしています")</f>
        <v>ストライプ支払いゲートウェイはこれらの通貨をサポートしています</v>
      </c>
      <c r="F833" s="1" t="str">
        <f ca="1">IFERROR(__xludf.DUMMYFUNCTION("GOOGLETRANSLATE(B833,""en"",""fr"")"),"Passerelle de paiement à rayures Soutenez ces devises")</f>
        <v>Passerelle de paiement à rayures Soutenez ces devises</v>
      </c>
    </row>
    <row r="834" spans="1:6" ht="15.75" customHeight="1" x14ac:dyDescent="0.25">
      <c r="A834" s="1" t="s">
        <v>1570</v>
      </c>
      <c r="B834" s="1" t="s">
        <v>1571</v>
      </c>
      <c r="C834" s="1" t="str">
        <f ca="1">IFERROR(__xludf.DUMMYFUNCTION("GOOGLETRANSLATE(B834,""en"",""ar"")"),"تم إعداد كلمة المرور بنجاح")</f>
        <v>تم إعداد كلمة المرور بنجاح</v>
      </c>
      <c r="D834" s="1" t="str">
        <f ca="1">IFERROR(__xludf.DUMMYFUNCTION("GOOGLETRANSLATE(B834,""en"",""zh-CN"")"),"密码已成功设置")</f>
        <v>密码已成功设置</v>
      </c>
      <c r="E834" s="1" t="str">
        <f ca="1">IFERROR(__xludf.DUMMYFUNCTION("GOOGLETRANSLATE(B834,""en"",""ja"")"),"パスワードが正常に設定されました")</f>
        <v>パスワードが正常に設定されました</v>
      </c>
      <c r="F834" s="1" t="str">
        <f ca="1">IFERROR(__xludf.DUMMYFUNCTION("GOOGLETRANSLATE(B834,""en"",""fr"")"),"Le mot de passe a été configuré avec succès")</f>
        <v>Le mot de passe a été configuré avec succès</v>
      </c>
    </row>
    <row r="835" spans="1:6" ht="15.75" customHeight="1" x14ac:dyDescent="0.25">
      <c r="A835" s="1" t="s">
        <v>1572</v>
      </c>
      <c r="B835" s="1" t="s">
        <v>1573</v>
      </c>
      <c r="C835" s="1" t="str">
        <f ca="1">IFERROR(__xludf.DUMMYFUNCTION("GOOGLETRANSLATE(B835,""en"",""ar"")"),"استلام TEMP #")</f>
        <v>استلام TEMP #</v>
      </c>
      <c r="D835" s="1" t="str">
        <f ca="1">IFERROR(__xludf.DUMMYFUNCTION("GOOGLETRANSLATE(B835,""en"",""zh-CN"")"),"收据TEMP＃")</f>
        <v>收据TEMP＃</v>
      </c>
      <c r="E835" s="1" t="str">
        <f ca="1">IFERROR(__xludf.DUMMYFUNCTION("GOOGLETRANSLATE(B835,""en"",""ja"")"),"領収書温度＃")</f>
        <v>領収書温度＃</v>
      </c>
      <c r="F835" s="1" t="str">
        <f ca="1">IFERROR(__xludf.DUMMYFUNCTION("GOOGLETRANSLATE(B835,""en"",""fr"")"),"Reçu Temp #")</f>
        <v>Reçu Temp #</v>
      </c>
    </row>
    <row r="836" spans="1:6" ht="15.75" customHeight="1" x14ac:dyDescent="0.25">
      <c r="A836" s="1" t="s">
        <v>1574</v>
      </c>
      <c r="B836" s="1" t="s">
        <v>1575</v>
      </c>
      <c r="C836" s="1" t="str">
        <f ca="1">IFERROR(__xludf.DUMMYFUNCTION("GOOGLETRANSLATE(B836,""en"",""ar"")"),"هدف")</f>
        <v>هدف</v>
      </c>
      <c r="D836" s="1" t="str">
        <f ca="1">IFERROR(__xludf.DUMMYFUNCTION("GOOGLETRANSLATE(B836,""en"",""zh-CN"")"),"观点")</f>
        <v>观点</v>
      </c>
      <c r="E836" s="1" t="str">
        <f ca="1">IFERROR(__xludf.DUMMYFUNCTION("GOOGLETRANSLATE(B836,""en"",""ja"")"),"点")</f>
        <v>点</v>
      </c>
      <c r="F836" s="1" t="str">
        <f ca="1">IFERROR(__xludf.DUMMYFUNCTION("GOOGLETRANSLATE(B836,""en"",""fr"")"),"Point")</f>
        <v>Point</v>
      </c>
    </row>
    <row r="837" spans="1:6" ht="15.75" customHeight="1" x14ac:dyDescent="0.25">
      <c r="A837" s="1" t="s">
        <v>1576</v>
      </c>
      <c r="B837" s="1" t="s">
        <v>1577</v>
      </c>
      <c r="C837" s="1" t="str">
        <f ca="1">IFERROR(__xludf.DUMMYFUNCTION("GOOGLETRANSLATE(B837,""en"",""ar"")"),"تقرير تسوية الائتمان")</f>
        <v>تقرير تسوية الائتمان</v>
      </c>
      <c r="D837" s="1" t="str">
        <f ca="1">IFERROR(__xludf.DUMMYFUNCTION("GOOGLETRANSLATE(B837,""en"",""zh-CN"")"),"信用结算报告")</f>
        <v>信用结算报告</v>
      </c>
      <c r="E837" s="1" t="str">
        <f ca="1">IFERROR(__xludf.DUMMYFUNCTION("GOOGLETRANSLATE(B837,""en"",""ja"")"),"クレジット決済レポート")</f>
        <v>クレジット決済レポート</v>
      </c>
      <c r="F837" s="1" t="str">
        <f ca="1">IFERROR(__xludf.DUMMYFUNCTION("GOOGLETRANSLATE(B837,""en"",""fr"")"),"Rapport de règlement du crédit")</f>
        <v>Rapport de règlement du crédit</v>
      </c>
    </row>
    <row r="838" spans="1:6" ht="15.75" customHeight="1" x14ac:dyDescent="0.25">
      <c r="A838" s="1" t="s">
        <v>1578</v>
      </c>
      <c r="B838" s="1" t="s">
        <v>1579</v>
      </c>
      <c r="C838" s="1" t="str">
        <f ca="1">IFERROR(__xludf.DUMMYFUNCTION("GOOGLETRANSLATE(B838,""en"",""ar"")"),"معرف المستوطنة")</f>
        <v>معرف المستوطنة</v>
      </c>
      <c r="D838" s="1" t="str">
        <f ca="1">IFERROR(__xludf.DUMMYFUNCTION("GOOGLETRANSLATE(B838,""en"",""zh-CN"")"),"结算ref id")</f>
        <v>结算ref id</v>
      </c>
      <c r="E838" s="1" t="str">
        <f ca="1">IFERROR(__xludf.DUMMYFUNCTION("GOOGLETRANSLATE(B838,""en"",""ja"")"),"和解文献ID")</f>
        <v>和解文献ID</v>
      </c>
      <c r="F838" s="1" t="str">
        <f ca="1">IFERROR(__xludf.DUMMYFUNCTION("GOOGLETRANSLATE(B838,""en"",""fr"")"),"ID de réflexion")</f>
        <v>ID de réflexion</v>
      </c>
    </row>
    <row r="839" spans="1:6" ht="15.75" customHeight="1" x14ac:dyDescent="0.25">
      <c r="A839" s="1" t="s">
        <v>1580</v>
      </c>
      <c r="B839" s="1" t="s">
        <v>1581</v>
      </c>
      <c r="C839" s="1" t="str">
        <f ca="1">IFERROR(__xludf.DUMMYFUNCTION("GOOGLETRANSLATE(B839,""en"",""ar"")"),"ورقة لفة تنتهي تقريبا. \ n")</f>
        <v>ورقة لفة تنتهي تقريبا. \ n</v>
      </c>
      <c r="D839" s="1" t="str">
        <f ca="1">IFERROR(__xludf.DUMMYFUNCTION("GOOGLETRANSLATE(B839,""en"",""zh-CN"")"),"卷纸几乎结束。\ n")</f>
        <v>卷纸几乎结束。\ n</v>
      </c>
      <c r="E839" s="1" t="str">
        <f ca="1">IFERROR(__xludf.DUMMYFUNCTION("GOOGLETRANSLATE(B839,""en"",""ja"")"),"ロール紙はほぼ終わっています。\ N.")</f>
        <v>ロール紙はほぼ終わっています。\ N.</v>
      </c>
      <c r="F839" s="1" t="str">
        <f ca="1">IFERROR(__xludf.DUMMYFUNCTION("GOOGLETRANSLATE(B839,""en"",""fr"")"),"Le papier rouleau est presque fini. \ N")</f>
        <v>Le papier rouleau est presque fini. \ N</v>
      </c>
    </row>
    <row r="840" spans="1:6" ht="15.75" customHeight="1" x14ac:dyDescent="0.25">
      <c r="A840" s="1" t="s">
        <v>1582</v>
      </c>
      <c r="B840" s="1" t="s">
        <v>1583</v>
      </c>
      <c r="C840" s="1" t="str">
        <f ca="1">IFERROR(__xludf.DUMMYFUNCTION("GOOGLETRANSLATE(B840,""en"",""ar"")"),"مستوى البطارية من الطابعة منخفضة. \ n")</f>
        <v>مستوى البطارية من الطابعة منخفضة. \ n</v>
      </c>
      <c r="D840" s="1" t="str">
        <f ca="1">IFERROR(__xludf.DUMMYFUNCTION("GOOGLETRANSLATE(B840,""en"",""zh-CN"")"),"电池电量的打印机很低。\ n")</f>
        <v>电池电量的打印机很低。\ n</v>
      </c>
      <c r="E840" s="1" t="str">
        <f ca="1">IFERROR(__xludf.DUMMYFUNCTION("GOOGLETRANSLATE(B840,""en"",""ja"")"),"プリンタの電池残量が低い。\ N")</f>
        <v>プリンタの電池残量が低い。\ N</v>
      </c>
      <c r="F840" s="1" t="str">
        <f ca="1">IFERROR(__xludf.DUMMYFUNCTION("GOOGLETRANSLATE(B840,""en"",""fr"")"),"Le niveau de la batterie de l'imprimante est faible. \ N")</f>
        <v>Le niveau de la batterie de l'imprimante est faible. \ N</v>
      </c>
    </row>
    <row r="841" spans="1:6" ht="15.75" customHeight="1" x14ac:dyDescent="0.25">
      <c r="A841" s="1" t="s">
        <v>1584</v>
      </c>
      <c r="B841" s="1" t="s">
        <v>1585</v>
      </c>
      <c r="C841" s="1" t="str">
        <f ca="1">IFERROR(__xludf.DUMMYFUNCTION("GOOGLETRANSLATE(B841,""en"",""ar"")"),"حجم الورق")</f>
        <v>حجم الورق</v>
      </c>
      <c r="D841" s="1" t="str">
        <f ca="1">IFERROR(__xludf.DUMMYFUNCTION("GOOGLETRANSLATE(B841,""en"",""zh-CN"")"),"纸张尺寸")</f>
        <v>纸张尺寸</v>
      </c>
      <c r="E841" s="1" t="str">
        <f ca="1">IFERROR(__xludf.DUMMYFUNCTION("GOOGLETRANSLATE(B841,""en"",""ja"")"),"紙のサイズ")</f>
        <v>紙のサイズ</v>
      </c>
      <c r="F841" s="1" t="str">
        <f ca="1">IFERROR(__xludf.DUMMYFUNCTION("GOOGLETRANSLATE(B841,""en"",""fr"")"),"Taille de papier")</f>
        <v>Taille de papier</v>
      </c>
    </row>
    <row r="842" spans="1:6" ht="15.75" customHeight="1" x14ac:dyDescent="0.25">
      <c r="A842" s="1" t="s">
        <v>1586</v>
      </c>
      <c r="B842" s="1" t="s">
        <v>1587</v>
      </c>
      <c r="C842" s="1" t="str">
        <f ca="1">IFERROR(__xludf.DUMMYFUNCTION("GOOGLETRANSLATE(B842,""en"",""ar"")"),"هل ترغب في مسح سجلات العينات؟")</f>
        <v>هل ترغب في مسح سجلات العينات؟</v>
      </c>
      <c r="D842" s="1" t="str">
        <f ca="1">IFERROR(__xludf.DUMMYFUNCTION("GOOGLETRANSLATE(B842,""en"",""zh-CN"")"),"你想清除样本记录吗？")</f>
        <v>你想清除样本记录吗？</v>
      </c>
      <c r="E842" s="1" t="str">
        <f ca="1">IFERROR(__xludf.DUMMYFUNCTION("GOOGLETRANSLATE(B842,""en"",""ja"")"),"サンプルレコードを消去しますか？")</f>
        <v>サンプルレコードを消去しますか？</v>
      </c>
      <c r="F842" s="1" t="str">
        <f ca="1">IFERROR(__xludf.DUMMYFUNCTION("GOOGLETRANSLATE(B842,""en"",""fr"")"),"Voulez-vous effacer des exemples d'enregistrements?")</f>
        <v>Voulez-vous effacer des exemples d'enregistrements?</v>
      </c>
    </row>
    <row r="843" spans="1:6" ht="15.75" customHeight="1" x14ac:dyDescent="0.25">
      <c r="A843" s="1" t="s">
        <v>1588</v>
      </c>
      <c r="B843" s="1" t="s">
        <v>1589</v>
      </c>
      <c r="C843" s="1" t="str">
        <f ca="1">IFERROR(__xludf.DUMMYFUNCTION("GOOGLETRANSLATE(B843,""en"",""ar"")"),"تحميل النسخ الاحتياطي للبيانات إلى سحابة. ستكون النسخ الاحتياطي متاحة في قسم الاستعادة كذلك")</f>
        <v>تحميل النسخ الاحتياطي للبيانات إلى سحابة. ستكون النسخ الاحتياطي متاحة في قسم الاستعادة كذلك</v>
      </c>
      <c r="D843" s="1" t="str">
        <f ca="1">IFERROR(__xludf.DUMMYFUNCTION("GOOGLETRANSLATE(B843,""en"",""zh-CN"")"),"将数据备份上传到云。备份也将在恢复部分中使用")</f>
        <v>将数据备份上传到云。备份也将在恢复部分中使用</v>
      </c>
      <c r="E843" s="1" t="str">
        <f ca="1">IFERROR(__xludf.DUMMYFUNCTION("GOOGLETRANSLATE(B843,""en"",""ja"")"),"データバックアップをクラウドにアップロードします。バックアップは復元セクションでも利用できます")</f>
        <v>データバックアップをクラウドにアップロードします。バックアップは復元セクションでも利用できます</v>
      </c>
      <c r="F843" s="1" t="str">
        <f ca="1">IFERROR(__xludf.DUMMYFUNCTION("GOOGLETRANSLATE(B843,""en"",""fr"")"),"Téléchargez la sauvegarde des données sur le cloud. La sauvegarde sera disponible dans la section restaurer")</f>
        <v>Téléchargez la sauvegarde des données sur le cloud. La sauvegarde sera disponible dans la section restaurer</v>
      </c>
    </row>
    <row r="844" spans="1:6" ht="15.75" customHeight="1" x14ac:dyDescent="0.25">
      <c r="A844" s="1" t="s">
        <v>1590</v>
      </c>
      <c r="B844" s="1" t="s">
        <v>694</v>
      </c>
      <c r="C844" s="1" t="str">
        <f ca="1">IFERROR(__xludf.DUMMYFUNCTION("GOOGLETRANSLATE(B844,""en"",""ar"")"),"حدد نوع عملك")</f>
        <v>حدد نوع عملك</v>
      </c>
      <c r="D844" s="1" t="str">
        <f ca="1">IFERROR(__xludf.DUMMYFUNCTION("GOOGLETRANSLATE(B844,""en"",""zh-CN"")"),"选择您的业务类型")</f>
        <v>选择您的业务类型</v>
      </c>
      <c r="E844" s="1" t="str">
        <f ca="1">IFERROR(__xludf.DUMMYFUNCTION("GOOGLETRANSLATE(B844,""en"",""ja"")"),"ビジネスタイプを選択してください")</f>
        <v>ビジネスタイプを選択してください</v>
      </c>
      <c r="F844" s="1" t="str">
        <f ca="1">IFERROR(__xludf.DUMMYFUNCTION("GOOGLETRANSLATE(B844,""en"",""fr"")"),"Sélectionnez votre type d'entreprise")</f>
        <v>Sélectionnez votre type d'entreprise</v>
      </c>
    </row>
    <row r="845" spans="1:6" ht="15.75" customHeight="1" x14ac:dyDescent="0.25">
      <c r="A845" s="1" t="s">
        <v>1591</v>
      </c>
      <c r="B845" s="1" t="s">
        <v>1592</v>
      </c>
      <c r="C845" s="1" t="str">
        <f ca="1">IFERROR(__xludf.DUMMYFUNCTION("GOOGLETRANSLATE(B845,""en"",""ar"")"),"حدد اسم المحطة")</f>
        <v>حدد اسم المحطة</v>
      </c>
      <c r="D845" s="1" t="str">
        <f ca="1">IFERROR(__xludf.DUMMYFUNCTION("GOOGLETRANSLATE(B845,""en"",""zh-CN"")"),"选择终端名称")</f>
        <v>选择终端名称</v>
      </c>
      <c r="E845" s="1" t="str">
        <f ca="1">IFERROR(__xludf.DUMMYFUNCTION("GOOGLETRANSLATE(B845,""en"",""ja"")"),"端末名を選択してください")</f>
        <v>端末名を選択してください</v>
      </c>
      <c r="F845" s="1" t="str">
        <f ca="1">IFERROR(__xludf.DUMMYFUNCTION("GOOGLETRANSLATE(B845,""en"",""fr"")"),"Sélectionnez le nom du terminal")</f>
        <v>Sélectionnez le nom du terminal</v>
      </c>
    </row>
    <row r="846" spans="1:6" ht="15.75" customHeight="1" x14ac:dyDescent="0.25">
      <c r="A846" s="1" t="s">
        <v>1593</v>
      </c>
      <c r="B846" s="1" t="s">
        <v>1594</v>
      </c>
      <c r="C846" s="1" t="str">
        <f ca="1">IFERROR(__xludf.DUMMYFUNCTION("GOOGLETRANSLATE(B846,""en"",""ar"")"),"حدد متجر")</f>
        <v>حدد متجر</v>
      </c>
      <c r="D846" s="1" t="str">
        <f ca="1">IFERROR(__xludf.DUMMYFUNCTION("GOOGLETRANSLATE(B846,""en"",""zh-CN"")"),"选择商店")</f>
        <v>选择商店</v>
      </c>
      <c r="E846" s="1" t="str">
        <f ca="1">IFERROR(__xludf.DUMMYFUNCTION("GOOGLETRANSLATE(B846,""en"",""ja"")"),"ショップを選択してください")</f>
        <v>ショップを選択してください</v>
      </c>
      <c r="F846" s="1" t="str">
        <f ca="1">IFERROR(__xludf.DUMMYFUNCTION("GOOGLETRANSLATE(B846,""en"",""fr"")"),"Sélectionner")</f>
        <v>Sélectionner</v>
      </c>
    </row>
    <row r="847" spans="1:6" ht="15.75" customHeight="1" x14ac:dyDescent="0.25">
      <c r="A847" s="1" t="s">
        <v>1595</v>
      </c>
      <c r="B847" s="1" t="s">
        <v>1596</v>
      </c>
      <c r="C847" s="1" t="str">
        <f ca="1">IFERROR(__xludf.DUMMYFUNCTION("GOOGLETRANSLATE(B847,""en"",""ar"")"),"بعد التسجيل، يجب أن تتلقى رسالة بريد إلكتروني للتسجيل لبوابة Web Office Web.")</f>
        <v>بعد التسجيل، يجب أن تتلقى رسالة بريد إلكتروني للتسجيل لبوابة Web Office Web.</v>
      </c>
      <c r="D847" s="1" t="str">
        <f ca="1">IFERROR(__xludf.DUMMYFUNCTION("GOOGLETRANSLATE(B847,""en"",""zh-CN"")"),"注册后，您应该收到一封电子邮件，以注册后台Web Portal。")</f>
        <v>注册后，您应该收到一封电子邮件，以注册后台Web Portal。</v>
      </c>
      <c r="E847" s="1" t="str">
        <f ca="1">IFERROR(__xludf.DUMMYFUNCTION("GOOGLETRANSLATE(B847,""en"",""ja"")"),"登録後は、バックオフィスのWeb Portalに登録する電子メールを受け取る必要があります。")</f>
        <v>登録後は、バックオフィスのWeb Portalに登録する電子メールを受け取る必要があります。</v>
      </c>
      <c r="F847" s="1" t="str">
        <f ca="1">IFERROR(__xludf.DUMMYFUNCTION("GOOGLETRANSLATE(B847,""en"",""fr"")"),"Après l'enregistrement, vous devez recevoir un courrier électronique pour vous inscrire au portail Web Back Office.")</f>
        <v>Après l'enregistrement, vous devez recevoir un courrier électronique pour vous inscrire au portail Web Back Office.</v>
      </c>
    </row>
    <row r="848" spans="1:6" ht="15.75" customHeight="1" x14ac:dyDescent="0.25">
      <c r="A848" s="1" t="s">
        <v>1597</v>
      </c>
      <c r="B848" s="1" t="s">
        <v>1598</v>
      </c>
      <c r="C848" s="1" t="str">
        <f ca="1">IFERROR(__xludf.DUMMYFUNCTION("GOOGLETRANSLATE(B848,""en"",""ar"")"),"إذا نسيت كلمة المرور، من فضلك")</f>
        <v>إذا نسيت كلمة المرور، من فضلك</v>
      </c>
      <c r="D848" s="1" t="str">
        <f ca="1">IFERROR(__xludf.DUMMYFUNCTION("GOOGLETRANSLATE(B848,""en"",""zh-CN"")"),"如果你忘记密码，请")</f>
        <v>如果你忘记密码，请</v>
      </c>
      <c r="E848" s="1" t="str">
        <f ca="1">IFERROR(__xludf.DUMMYFUNCTION("GOOGLETRANSLATE(B848,""en"",""ja"")"),"パスワードを忘れた場合は、お願いします")</f>
        <v>パスワードを忘れた場合は、お願いします</v>
      </c>
      <c r="F848" s="1" t="str">
        <f ca="1">IFERROR(__xludf.DUMMYFUNCTION("GOOGLETRANSLATE(B848,""en"",""fr"")"),"Si vous oubliez le mot de passe, s'il vous plaît")</f>
        <v>Si vous oubliez le mot de passe, s'il vous plaît</v>
      </c>
    </row>
    <row r="849" spans="1:6" ht="15.75" customHeight="1" x14ac:dyDescent="0.25">
      <c r="A849" s="1" t="s">
        <v>1599</v>
      </c>
      <c r="B849" s="1" t="s">
        <v>1600</v>
      </c>
      <c r="C849" s="1" t="str">
        <f ca="1">IFERROR(__xludf.DUMMYFUNCTION("GOOGLETRANSLATE(B849,""en"",""ar"")"),"على سبيل المثال متجر 1.")</f>
        <v>على سبيل المثال متجر 1.</v>
      </c>
      <c r="D849" s="1" t="str">
        <f ca="1">IFERROR(__xludf.DUMMYFUNCTION("GOOGLETRANSLATE(B849,""en"",""zh-CN"")"),"例如店1")</f>
        <v>例如店1</v>
      </c>
      <c r="E849" s="1" t="str">
        <f ca="1">IFERROR(__xludf.DUMMYFUNCTION("GOOGLETRANSLATE(B849,""en"",""ja"")"),"例えばショップ1.")</f>
        <v>例えばショップ1.</v>
      </c>
      <c r="F849" s="1" t="str">
        <f ca="1">IFERROR(__xludf.DUMMYFUNCTION("GOOGLETRANSLATE(B849,""en"",""fr"")"),"par exemple. Magasin 1")</f>
        <v>par exemple. Magasin 1</v>
      </c>
    </row>
    <row r="850" spans="1:6" ht="15.75" customHeight="1" x14ac:dyDescent="0.25">
      <c r="A850" s="1" t="s">
        <v>1601</v>
      </c>
      <c r="B850" s="1" t="s">
        <v>1602</v>
      </c>
      <c r="C850" s="1" t="str">
        <f ca="1">IFERROR(__xludf.DUMMYFUNCTION("GOOGLETRANSLATE(B850,""en"",""ar"")"),"اسم المحطة")</f>
        <v>اسم المحطة</v>
      </c>
      <c r="D850" s="1" t="str">
        <f ca="1">IFERROR(__xludf.DUMMYFUNCTION("GOOGLETRANSLATE(B850,""en"",""zh-CN"")"),"终端名称")</f>
        <v>终端名称</v>
      </c>
      <c r="E850" s="1" t="str">
        <f ca="1">IFERROR(__xludf.DUMMYFUNCTION("GOOGLETRANSLATE(B850,""en"",""ja"")"),"ターミナル名")</f>
        <v>ターミナル名</v>
      </c>
      <c r="F850" s="1" t="str">
        <f ca="1">IFERROR(__xludf.DUMMYFUNCTION("GOOGLETRANSLATE(B850,""en"",""fr"")"),"Nom du terminal")</f>
        <v>Nom du terminal</v>
      </c>
    </row>
    <row r="851" spans="1:6" ht="15.75" customHeight="1" x14ac:dyDescent="0.25">
      <c r="A851" s="1" t="s">
        <v>1603</v>
      </c>
      <c r="B851" s="1" t="s">
        <v>1604</v>
      </c>
      <c r="C851" s="1" t="str">
        <f ca="1">IFERROR(__xludf.DUMMYFUNCTION("GOOGLETRANSLATE(B851,""en"",""ar"")"),"#VALUE!")</f>
        <v>#VALUE!</v>
      </c>
      <c r="D851" s="1" t="str">
        <f ca="1">IFERROR(__xludf.DUMMYFUNCTION("GOOGLETRANSLATE(B851,""en"",""zh-CN"")"),"#VALUE!")</f>
        <v>#VALUE!</v>
      </c>
      <c r="E851" s="1" t="str">
        <f ca="1">IFERROR(__xludf.DUMMYFUNCTION("GOOGLETRANSLATE(B851,""en"",""ja"")"),"#VALUE!")</f>
        <v>#VALUE!</v>
      </c>
      <c r="F851" s="1" t="str">
        <f ca="1">IFERROR(__xludf.DUMMYFUNCTION("GOOGLETRANSLATE(B851,""en"",""fr"")"),"#VALUE!")</f>
        <v>#VALUE!</v>
      </c>
    </row>
    <row r="852" spans="1:6" ht="15.75" customHeight="1" x14ac:dyDescent="0.25">
      <c r="A852" s="1" t="s">
        <v>1605</v>
      </c>
      <c r="B852" s="1" t="s">
        <v>1606</v>
      </c>
      <c r="C852" s="1" t="str">
        <f ca="1">IFERROR(__xludf.DUMMYFUNCTION("GOOGLETRANSLATE(B852,""en"",""ar"")"),"هل أنت متأكد تريد المضي قدما؟ \ Nyou تحتاج إلى اتصال بالإنترنت")</f>
        <v>هل أنت متأكد تريد المضي قدما؟ \ Nyou تحتاج إلى اتصال بالإنترنت</v>
      </c>
      <c r="D852" s="1" t="str">
        <f ca="1">IFERROR(__xludf.DUMMYFUNCTION("GOOGLETRANSLATE(B852,""en"",""zh-CN"")"),"你一定要继续吗？ \ nyou需要有互联网连接")</f>
        <v>你一定要继续吗？ \ nyou需要有互联网连接</v>
      </c>
      <c r="E852" s="1" t="str">
        <f ca="1">IFERROR(__xludf.DUMMYFUNCTION("GOOGLETRANSLATE(B852,""en"",""ja"")"),"あなたは確かに進みたいですか？インターネット接続が必要です")</f>
        <v>あなたは確かに進みたいですか？インターネット接続が必要です</v>
      </c>
      <c r="F852" s="1" t="str">
        <f ca="1">IFERROR(__xludf.DUMMYFUNCTION("GOOGLETRANSLATE(B852,""en"",""fr"")"),"Voulez-vous sûr de continuer? \ nyou besoin d'avoir une connexion internet")</f>
        <v>Voulez-vous sûr de continuer? \ nyou besoin d'avoir une connexion internet</v>
      </c>
    </row>
    <row r="853" spans="1:6" ht="15.75" customHeight="1" x14ac:dyDescent="0.25">
      <c r="A853" s="1" t="s">
        <v>1607</v>
      </c>
      <c r="B853" s="1" t="s">
        <v>1608</v>
      </c>
      <c r="C853" s="1" t="str">
        <f ca="1">IFERROR(__xludf.DUMMYFUNCTION("GOOGLETRANSLATE(B853,""en"",""ar"")"),"ستقوم هذه الوظيفة بإزالة جميع بيانات العينة. هل تريد الاستمرار؟")</f>
        <v>ستقوم هذه الوظيفة بإزالة جميع بيانات العينة. هل تريد الاستمرار؟</v>
      </c>
      <c r="D853" s="1" t="str">
        <f ca="1">IFERROR(__xludf.DUMMYFUNCTION("GOOGLETRANSLATE(B853,""en"",""zh-CN"")"),"此功能将清除所有样本数据。你要继续吗？")</f>
        <v>此功能将清除所有样本数据。你要继续吗？</v>
      </c>
      <c r="E853" s="1" t="str">
        <f ca="1">IFERROR(__xludf.DUMMYFUNCTION("GOOGLETRANSLATE(B853,""en"",""ja"")"),"この関数はすべてのサンプルデータをクリアします。続けますか？")</f>
        <v>この関数はすべてのサンプルデータをクリアします。続けますか？</v>
      </c>
      <c r="F853" s="1" t="str">
        <f ca="1">IFERROR(__xludf.DUMMYFUNCTION("GOOGLETRANSLATE(B853,""en"",""fr"")"),"Cette fonction effacera toutes les données d'échantillon. Voulez-vous continuer?")</f>
        <v>Cette fonction effacera toutes les données d'échantillon. Voulez-vous continuer?</v>
      </c>
    </row>
    <row r="854" spans="1:6" ht="15.75" customHeight="1" x14ac:dyDescent="0.25">
      <c r="A854" s="1" t="s">
        <v>1609</v>
      </c>
      <c r="B854" s="1" t="s">
        <v>1610</v>
      </c>
      <c r="C854" s="1" t="str">
        <f ca="1">IFERROR(__xludf.DUMMYFUNCTION("GOOGLETRANSLATE(B854,""en"",""ar"")"),"نوع العمل")</f>
        <v>نوع العمل</v>
      </c>
      <c r="D854" s="1" t="str">
        <f ca="1">IFERROR(__xludf.DUMMYFUNCTION("GOOGLETRANSLATE(B854,""en"",""zh-CN"")"),"业务类型")</f>
        <v>业务类型</v>
      </c>
      <c r="E854" s="1" t="str">
        <f ca="1">IFERROR(__xludf.DUMMYFUNCTION("GOOGLETRANSLATE(B854,""en"",""ja"")"),"事業の種類")</f>
        <v>事業の種類</v>
      </c>
      <c r="F854" s="1" t="str">
        <f ca="1">IFERROR(__xludf.DUMMYFUNCTION("GOOGLETRANSLATE(B854,""en"",""fr"")"),"Type d'entreprise")</f>
        <v>Type d'entreprise</v>
      </c>
    </row>
    <row r="855" spans="1:6" ht="15.75" customHeight="1" x14ac:dyDescent="0.25">
      <c r="A855" s="1" t="s">
        <v>1611</v>
      </c>
      <c r="B855" s="1" t="s">
        <v>1612</v>
      </c>
      <c r="C855" s="1" t="str">
        <f ca="1">IFERROR(__xludf.DUMMYFUNCTION("GOOGLETRANSLATE(B855,""en"",""ar"")"),"الحفاظ على المخزون / الأسهم")</f>
        <v>الحفاظ على المخزون / الأسهم</v>
      </c>
      <c r="D855" s="1" t="str">
        <f ca="1">IFERROR(__xludf.DUMMYFUNCTION("GOOGLETRANSLATE(B855,""en"",""zh-CN"")"),"维持库存/股票")</f>
        <v>维持库存/股票</v>
      </c>
      <c r="E855" s="1" t="str">
        <f ca="1">IFERROR(__xludf.DUMMYFUNCTION("GOOGLETRANSLATE(B855,""en"",""ja"")"),"在庫/在庫を維持する")</f>
        <v>在庫/在庫を維持する</v>
      </c>
      <c r="F855" s="1" t="str">
        <f ca="1">IFERROR(__xludf.DUMMYFUNCTION("GOOGLETRANSLATE(B855,""en"",""fr"")"),"Maintenir l'inventaire / stock")</f>
        <v>Maintenir l'inventaire / stock</v>
      </c>
    </row>
    <row r="856" spans="1:6" ht="15.75" customHeight="1" x14ac:dyDescent="0.25">
      <c r="A856" s="1" t="s">
        <v>1613</v>
      </c>
      <c r="B856" s="1" t="s">
        <v>1614</v>
      </c>
      <c r="C856" s="1" t="str">
        <f ca="1">IFERROR(__xludf.DUMMYFUNCTION("GOOGLETRANSLATE(B856,""en"",""ar"")"),"الحفاظ على المخزون")</f>
        <v>الحفاظ على المخزون</v>
      </c>
      <c r="D856" s="1" t="str">
        <f ca="1">IFERROR(__xludf.DUMMYFUNCTION("GOOGLETRANSLATE(B856,""en"",""zh-CN"")"),"保持股票")</f>
        <v>保持股票</v>
      </c>
      <c r="E856" s="1" t="str">
        <f ca="1">IFERROR(__xludf.DUMMYFUNCTION("GOOGLETRANSLATE(B856,""en"",""ja"")"),"在庫を維持する")</f>
        <v>在庫を維持する</v>
      </c>
      <c r="F856" s="1" t="str">
        <f ca="1">IFERROR(__xludf.DUMMYFUNCTION("GOOGLETRANSLATE(B856,""en"",""fr"")"),"Maintenir le stock")</f>
        <v>Maintenir le stock</v>
      </c>
    </row>
    <row r="857" spans="1:6" ht="15.75" customHeight="1" x14ac:dyDescent="0.25">
      <c r="A857" s="1" t="s">
        <v>1615</v>
      </c>
      <c r="B857" s="1" t="s">
        <v>1616</v>
      </c>
      <c r="C857" s="1" t="str">
        <f ca="1">IFERROR(__xludf.DUMMYFUNCTION("GOOGLETRANSLATE(B857,""en"",""ar"")"),"بيع نقدا")</f>
        <v>بيع نقدا</v>
      </c>
      <c r="D857" s="1" t="str">
        <f ca="1">IFERROR(__xludf.DUMMYFUNCTION("GOOGLETRANSLATE(B857,""en"",""zh-CN"")"),"现金销售")</f>
        <v>现金销售</v>
      </c>
      <c r="E857" s="1" t="str">
        <f ca="1">IFERROR(__xludf.DUMMYFUNCTION("GOOGLETRANSLATE(B857,""en"",""ja"")"),"現金売却")</f>
        <v>現金売却</v>
      </c>
      <c r="F857" s="1" t="str">
        <f ca="1">IFERROR(__xludf.DUMMYFUNCTION("GOOGLETRANSLATE(B857,""en"",""fr"")"),"Vente en espèces")</f>
        <v>Vente en espèces</v>
      </c>
    </row>
    <row r="858" spans="1:6" ht="15.75" customHeight="1" x14ac:dyDescent="0.25">
      <c r="A858" s="1" t="s">
        <v>1617</v>
      </c>
      <c r="B858" s="1" t="s">
        <v>1618</v>
      </c>
      <c r="C858" s="1" t="str">
        <f ca="1">IFERROR(__xludf.DUMMYFUNCTION("GOOGLETRANSLATE(B858,""en"",""ar"")"),"دفع")</f>
        <v>دفع</v>
      </c>
      <c r="D858" s="1" t="str">
        <f ca="1">IFERROR(__xludf.DUMMYFUNCTION("GOOGLETRANSLATE(B858,""en"",""zh-CN"")"),"支付")</f>
        <v>支付</v>
      </c>
      <c r="E858" s="1" t="str">
        <f ca="1">IFERROR(__xludf.DUMMYFUNCTION("GOOGLETRANSLATE(B858,""en"",""ja"")"),"支払い")</f>
        <v>支払い</v>
      </c>
      <c r="F858" s="1" t="str">
        <f ca="1">IFERROR(__xludf.DUMMYFUNCTION("GOOGLETRANSLATE(B858,""en"",""fr"")"),"Payer")</f>
        <v>Payer</v>
      </c>
    </row>
    <row r="859" spans="1:6" ht="15.75" customHeight="1" x14ac:dyDescent="0.25">
      <c r="A859" s="1" t="s">
        <v>1619</v>
      </c>
      <c r="B859" s="1" t="s">
        <v>1620</v>
      </c>
      <c r="C859" s="1" t="str">
        <f ca="1">IFERROR(__xludf.DUMMYFUNCTION("GOOGLETRANSLATE(B859,""en"",""ar"")"),"طلب مسح البيانات المستلمة")</f>
        <v>طلب مسح البيانات المستلمة</v>
      </c>
      <c r="D859" s="1" t="str">
        <f ca="1">IFERROR(__xludf.DUMMYFUNCTION("GOOGLETRANSLATE(B859,""en"",""zh-CN"")"),"收到数据清算请求")</f>
        <v>收到数据清算请求</v>
      </c>
      <c r="E859" s="1" t="str">
        <f ca="1">IFERROR(__xludf.DUMMYFUNCTION("GOOGLETRANSLATE(B859,""en"",""ja"")"),"データクリアリクエストを受信しました")</f>
        <v>データクリアリクエストを受信しました</v>
      </c>
      <c r="F859" s="1" t="str">
        <f ca="1">IFERROR(__xludf.DUMMYFUNCTION("GOOGLETRANSLATE(B859,""en"",""fr"")"),"Demande de compensation de données reçue")</f>
        <v>Demande de compensation de données reçue</v>
      </c>
    </row>
    <row r="860" spans="1:6" ht="15.75" customHeight="1" x14ac:dyDescent="0.25">
      <c r="A860" s="1" t="s">
        <v>1621</v>
      </c>
      <c r="B860" s="1" t="s">
        <v>1622</v>
      </c>
      <c r="C860" s="1" t="str">
        <f ca="1">IFERROR(__xludf.DUMMYFUNCTION("GOOGLETRANSLATE(B860,""en"",""ar"")"),"عملية تبادل البيانات قيد التقدم")</f>
        <v>عملية تبادل البيانات قيد التقدم</v>
      </c>
      <c r="D860" s="1" t="str">
        <f ca="1">IFERROR(__xludf.DUMMYFUNCTION("GOOGLETRANSLATE(B860,""en"",""zh-CN"")"),"数据清算过程正在进行中")</f>
        <v>数据清算过程正在进行中</v>
      </c>
      <c r="E860" s="1" t="str">
        <f ca="1">IFERROR(__xludf.DUMMYFUNCTION("GOOGLETRANSLATE(B860,""en"",""ja"")"),"データクリアプロセスが進行中です")</f>
        <v>データクリアプロセスが進行中です</v>
      </c>
      <c r="F860" s="1" t="str">
        <f ca="1">IFERROR(__xludf.DUMMYFUNCTION("GOOGLETRANSLATE(B860,""en"",""fr"")"),"Le processus de compensation des données est en cours")</f>
        <v>Le processus de compensation des données est en cours</v>
      </c>
    </row>
    <row r="861" spans="1:6" ht="15.75" customHeight="1" x14ac:dyDescent="0.25">
      <c r="A861" s="1" t="s">
        <v>1623</v>
      </c>
      <c r="B861" s="1" t="s">
        <v>1624</v>
      </c>
      <c r="C861" s="1" t="str">
        <f ca="1">IFERROR(__xludf.DUMMYFUNCTION("GOOGLETRANSLATE(B861,""en"",""ar"")"),"قم بإقران طابعة Bluetooth بجهاز POS واضغط \")</f>
        <v>قم بإقران طابعة Bluetooth بجهاز POS واضغط \</v>
      </c>
      <c r="D861" s="1" t="str">
        <f ca="1">IFERROR(__xludf.DUMMYFUNCTION("GOOGLETRANSLATE(B861,""en"",""zh-CN"")"),"使用POS设备对蓝牙打印机并按\")</f>
        <v>使用POS设备对蓝牙打印机并按\</v>
      </c>
      <c r="E861" s="1" t="str">
        <f ca="1">IFERROR(__xludf.DUMMYFUNCTION("GOOGLETRANSLATE(B861,""en"",""ja"")"),"BluetoothプリンタをPOSデバイスとペアリングして\を押します。")</f>
        <v>BluetoothプリンタをPOSデバイスとペアリングして\を押します。</v>
      </c>
      <c r="F861" s="1" t="str">
        <f ca="1">IFERROR(__xludf.DUMMYFUNCTION("GOOGLETRANSLATE(B861,""en"",""fr"")"),"Associez l'imprimante Bluetooth avec le dispositif POS et appuyez sur \")</f>
        <v>Associez l'imprimante Bluetooth avec le dispositif POS et appuyez sur \</v>
      </c>
    </row>
    <row r="862" spans="1:6" ht="15.75" customHeight="1" x14ac:dyDescent="0.25">
      <c r="A862" s="1" t="s">
        <v>1625</v>
      </c>
      <c r="B862" s="1" t="s">
        <v>1626</v>
      </c>
      <c r="C862" s="1" t="str">
        <f ca="1">IFERROR(__xludf.DUMMYFUNCTION("GOOGLETRANSLATE(B862,""en"",""ar"")"),"بحث الجهاز المقترن")</f>
        <v>بحث الجهاز المقترن</v>
      </c>
      <c r="D862" s="1" t="str">
        <f ca="1">IFERROR(__xludf.DUMMYFUNCTION("GOOGLETRANSLATE(B862,""en"",""zh-CN"")"),"搜索配对设备")</f>
        <v>搜索配对设备</v>
      </c>
      <c r="E862" s="1" t="str">
        <f ca="1">IFERROR(__xludf.DUMMYFUNCTION("GOOGLETRANSLATE(B862,""en"",""ja"")"),"ペアデバイスを検索")</f>
        <v>ペアデバイスを検索</v>
      </c>
      <c r="F862" s="1" t="str">
        <f ca="1">IFERROR(__xludf.DUMMYFUNCTION("GOOGLETRANSLATE(B862,""en"",""fr"")"),"Appareil jumelé de recherche")</f>
        <v>Appareil jumelé de recherche</v>
      </c>
    </row>
    <row r="863" spans="1:6" ht="15.75" customHeight="1" x14ac:dyDescent="0.25">
      <c r="A863" s="1" t="s">
        <v>1627</v>
      </c>
      <c r="B863" s="1" t="s">
        <v>1628</v>
      </c>
      <c r="C863" s="1" t="str">
        <f ca="1">IFERROR(__xludf.DUMMYFUNCTION("GOOGLETRANSLATE(B863,""en"",""ar"")"),"يمكنك عرض كلمة مرور المسؤول الحالية في Back Office Web Portal - انتقل إلى المحطات وعرض كلمة مرور المسؤول")</f>
        <v>يمكنك عرض كلمة مرور المسؤول الحالية في Back Office Web Portal - انتقل إلى المحطات وعرض كلمة مرور المسؤول</v>
      </c>
      <c r="D863" s="1" t="str">
        <f ca="1">IFERROR(__xludf.DUMMYFUNCTION("GOOGLETRANSLATE(B863,""en"",""zh-CN"")"),"您可以在后台Web门户中查看当前的管理员密码 - 转到终端并查看管理员密码")</f>
        <v>您可以在后台Web门户中查看当前的管理员密码 - 转到终端并查看管理员密码</v>
      </c>
      <c r="E863" s="1" t="str">
        <f ca="1">IFERROR(__xludf.DUMMYFUNCTION("GOOGLETRANSLATE(B863,""en"",""ja"")"),"現在の管理者パスワードをバックオフィスのWeb Portalに表示することができます - 端末への移動して管理者パスワードを表示する")</f>
        <v>現在の管理者パスワードをバックオフィスのWeb Portalに表示することができます - 端末への移動して管理者パスワードを表示する</v>
      </c>
      <c r="F863" s="1" t="str">
        <f ca="1">IFERROR(__xludf.DUMMYFUNCTION("GOOGLETRANSLATE(B863,""en"",""fr"")"),"Vous pouvez afficher le mot de passe de l'administrateur en cours dans le portail Web Back Office - Aller aux terminaux et afficher le mot de passe admin")</f>
        <v>Vous pouvez afficher le mot de passe de l'administrateur en cours dans le portail Web Back Office - Aller aux terminaux et afficher le mot de passe admin</v>
      </c>
    </row>
    <row r="864" spans="1:6" ht="15.75" customHeight="1" x14ac:dyDescent="0.25">
      <c r="A864" s="1" t="s">
        <v>1629</v>
      </c>
      <c r="B864" s="1" t="s">
        <v>1630</v>
      </c>
      <c r="C864" s="1" t="str">
        <f ca="1">IFERROR(__xludf.DUMMYFUNCTION("GOOGLETRANSLATE(B864,""en"",""ar"")"),"يرجى الاتصال بالادارة والحصول على إعادة تعيين كلمة المرور")</f>
        <v>يرجى الاتصال بالادارة والحصول على إعادة تعيين كلمة المرور</v>
      </c>
      <c r="D864" s="1" t="str">
        <f ca="1">IFERROR(__xludf.DUMMYFUNCTION("GOOGLETRANSLATE(B864,""en"",""zh-CN"")"),"请联系管理员并重置密码")</f>
        <v>请联系管理员并重置密码</v>
      </c>
      <c r="E864" s="1" t="str">
        <f ca="1">IFERROR(__xludf.DUMMYFUNCTION("GOOGLETRANSLATE(B864,""en"",""ja"")"),"管理者に連絡してパスワードのリセットを取得してください")</f>
        <v>管理者に連絡してパスワードのリセットを取得してください</v>
      </c>
      <c r="F864" s="1" t="str">
        <f ca="1">IFERROR(__xludf.DUMMYFUNCTION("GOOGLETRANSLATE(B864,""en"",""fr"")"),"Veuillez contacter admin et obtenir la réinitialisation du mot de passe")</f>
        <v>Veuillez contacter admin et obtenir la réinitialisation du mot de passe</v>
      </c>
    </row>
    <row r="865" spans="1:6" ht="15.75" customHeight="1" x14ac:dyDescent="0.25">
      <c r="A865" s="1" t="s">
        <v>1631</v>
      </c>
      <c r="B865" s="1" t="s">
        <v>1632</v>
      </c>
      <c r="C865" s="1" t="str">
        <f ca="1">IFERROR(__xludf.DUMMYFUNCTION("GOOGLETRANSLATE(B865,""en"",""ar"")"),"بطاقة")</f>
        <v>بطاقة</v>
      </c>
      <c r="D865" s="1" t="str">
        <f ca="1">IFERROR(__xludf.DUMMYFUNCTION("GOOGLETRANSLATE(B865,""en"",""zh-CN"")"),"卡片")</f>
        <v>卡片</v>
      </c>
      <c r="E865" s="1" t="str">
        <f ca="1">IFERROR(__xludf.DUMMYFUNCTION("GOOGLETRANSLATE(B865,""en"",""ja"")"),"カード")</f>
        <v>カード</v>
      </c>
      <c r="F865" s="1" t="str">
        <f ca="1">IFERROR(__xludf.DUMMYFUNCTION("GOOGLETRANSLATE(B865,""en"",""fr"")"),"Carte")</f>
        <v>Carte</v>
      </c>
    </row>
    <row r="866" spans="1:6" ht="15.75" customHeight="1" x14ac:dyDescent="0.25">
      <c r="A866" s="1" t="s">
        <v>1633</v>
      </c>
      <c r="B866" s="1" t="s">
        <v>1634</v>
      </c>
      <c r="C866" s="1" t="str">
        <f ca="1">IFERROR(__xludf.DUMMYFUNCTION("GOOGLETRANSLATE(B866,""en"",""ar"")"),"المبلغ الذي تسلمه")</f>
        <v>المبلغ الذي تسلمه</v>
      </c>
      <c r="D866" s="1" t="str">
        <f ca="1">IFERROR(__xludf.DUMMYFUNCTION("GOOGLETRANSLATE(B866,""en"",""zh-CN"")"),"收到金额")</f>
        <v>收到金额</v>
      </c>
      <c r="E866" s="1" t="str">
        <f ca="1">IFERROR(__xludf.DUMMYFUNCTION("GOOGLETRANSLATE(B866,""en"",""ja"")"),"受け取った金額")</f>
        <v>受け取った金額</v>
      </c>
      <c r="F866" s="1" t="str">
        <f ca="1">IFERROR(__xludf.DUMMYFUNCTION("GOOGLETRANSLATE(B866,""en"",""fr"")"),"Montant reçu")</f>
        <v>Montant reçu</v>
      </c>
    </row>
    <row r="867" spans="1:6" ht="15.75" customHeight="1" x14ac:dyDescent="0.25">
      <c r="A867" s="1" t="s">
        <v>1635</v>
      </c>
      <c r="B867" s="1" t="s">
        <v>1636</v>
      </c>
      <c r="C867" s="1" t="str">
        <f ca="1">IFERROR(__xludf.DUMMYFUNCTION("GOOGLETRANSLATE(B867,""en"",""ar"")"),"الإعداد كوت")</f>
        <v>الإعداد كوت</v>
      </c>
      <c r="D867" s="1" t="str">
        <f ca="1">IFERROR(__xludf.DUMMYFUNCTION("GOOGLETRANSLATE(B867,""en"",""zh-CN"")"),"设置kot")</f>
        <v>设置kot</v>
      </c>
      <c r="E867" s="1" t="str">
        <f ca="1">IFERROR(__xludf.DUMMYFUNCTION("GOOGLETRANSLATE(B867,""en"",""ja"")"),"ケットのセットアップ")</f>
        <v>ケットのセットアップ</v>
      </c>
      <c r="F867" s="1" t="str">
        <f ca="1">IFERROR(__xludf.DUMMYFUNCTION("GOOGLETRANSLATE(B867,""en"",""fr"")"),"Configuration Kot")</f>
        <v>Configuration Kot</v>
      </c>
    </row>
    <row r="868" spans="1:6" ht="15.75" customHeight="1" x14ac:dyDescent="0.25">
      <c r="A868" s="1" t="s">
        <v>1637</v>
      </c>
      <c r="B868" s="1" t="s">
        <v>406</v>
      </c>
      <c r="C868" s="1" t="str">
        <f ca="1">IFERROR(__xludf.DUMMYFUNCTION("GOOGLETRANSLATE(B868,""en"",""ar"")"),"اسم")</f>
        <v>اسم</v>
      </c>
      <c r="D868" s="1" t="str">
        <f ca="1">IFERROR(__xludf.DUMMYFUNCTION("GOOGLETRANSLATE(B868,""en"",""zh-CN"")"),"名称")</f>
        <v>名称</v>
      </c>
      <c r="E868" s="1" t="str">
        <f ca="1">IFERROR(__xludf.DUMMYFUNCTION("GOOGLETRANSLATE(B868,""en"",""ja"")"),"名前")</f>
        <v>名前</v>
      </c>
      <c r="F868" s="1" t="str">
        <f ca="1">IFERROR(__xludf.DUMMYFUNCTION("GOOGLETRANSLATE(B868,""en"",""fr"")"),"Nom")</f>
        <v>Nom</v>
      </c>
    </row>
    <row r="869" spans="1:6" ht="15.75" customHeight="1" x14ac:dyDescent="0.25">
      <c r="A869" s="1" t="s">
        <v>1638</v>
      </c>
      <c r="B869" s="1" t="s">
        <v>1636</v>
      </c>
      <c r="C869" s="1" t="str">
        <f ca="1">IFERROR(__xludf.DUMMYFUNCTION("GOOGLETRANSLATE(B869,""en"",""ar"")"),"الإعداد كوت")</f>
        <v>الإعداد كوت</v>
      </c>
      <c r="D869" s="1" t="str">
        <f ca="1">IFERROR(__xludf.DUMMYFUNCTION("GOOGLETRANSLATE(B869,""en"",""zh-CN"")"),"设置kot")</f>
        <v>设置kot</v>
      </c>
      <c r="E869" s="1" t="str">
        <f ca="1">IFERROR(__xludf.DUMMYFUNCTION("GOOGLETRANSLATE(B869,""en"",""ja"")"),"ケットのセットアップ")</f>
        <v>ケットのセットアップ</v>
      </c>
      <c r="F869" s="1" t="str">
        <f ca="1">IFERROR(__xludf.DUMMYFUNCTION("GOOGLETRANSLATE(B869,""en"",""fr"")"),"Configuration Kot")</f>
        <v>Configuration Kot</v>
      </c>
    </row>
    <row r="870" spans="1:6" ht="15.75" customHeight="1" x14ac:dyDescent="0.25">
      <c r="A870" s="1" t="s">
        <v>1639</v>
      </c>
      <c r="B870" s="1" t="s">
        <v>1640</v>
      </c>
      <c r="C870" s="1" t="str">
        <f ca="1">IFERROR(__xludf.DUMMYFUNCTION("GOOGLETRANSLATE(B870,""en"",""ar"")"),"جهاز USB.")</f>
        <v>جهاز USB.</v>
      </c>
      <c r="D870" s="1" t="str">
        <f ca="1">IFERROR(__xludf.DUMMYFUNCTION("GOOGLETRANSLATE(B870,""en"",""zh-CN"")"),"USB设备")</f>
        <v>USB设备</v>
      </c>
      <c r="E870" s="1" t="str">
        <f ca="1">IFERROR(__xludf.DUMMYFUNCTION("GOOGLETRANSLATE(B870,""en"",""ja"")"),"USBデバイス")</f>
        <v>USBデバイス</v>
      </c>
      <c r="F870" s="1" t="str">
        <f ca="1">IFERROR(__xludf.DUMMYFUNCTION("GOOGLETRANSLATE(B870,""en"",""fr"")"),"périphérique USB")</f>
        <v>périphérique USB</v>
      </c>
    </row>
    <row r="871" spans="1:6" ht="15.75" customHeight="1" x14ac:dyDescent="0.25">
      <c r="A871" s="1" t="s">
        <v>1641</v>
      </c>
      <c r="B871" s="1" t="s">
        <v>1642</v>
      </c>
      <c r="C871" s="1" t="str">
        <f ca="1">IFERROR(__xludf.DUMMYFUNCTION("GOOGLETRANSLATE(B871,""en"",""ar"")"),"حذف")</f>
        <v>حذف</v>
      </c>
      <c r="D871" s="1" t="str">
        <f ca="1">IFERROR(__xludf.DUMMYFUNCTION("GOOGLETRANSLATE(B871,""en"",""zh-CN"")"),"删除")</f>
        <v>删除</v>
      </c>
      <c r="E871" s="1" t="str">
        <f ca="1">IFERROR(__xludf.DUMMYFUNCTION("GOOGLETRANSLATE(B871,""en"",""ja"")"),"消去")</f>
        <v>消去</v>
      </c>
      <c r="F871" s="1" t="str">
        <f ca="1">IFERROR(__xludf.DUMMYFUNCTION("GOOGLETRANSLATE(B871,""en"",""fr"")"),"Supprimer")</f>
        <v>Supprimer</v>
      </c>
    </row>
    <row r="872" spans="1:6" ht="15.75" customHeight="1" x14ac:dyDescent="0.25">
      <c r="A872" s="1" t="s">
        <v>1643</v>
      </c>
      <c r="B872" s="1" t="s">
        <v>1644</v>
      </c>
      <c r="C872" s="1" t="str">
        <f ca="1">IFERROR(__xludf.DUMMYFUNCTION("GOOGLETRANSLATE(B872,""en"",""ar"")"),"تم حذف جهاز Kot بنجاح")</f>
        <v>تم حذف جهاز Kot بنجاح</v>
      </c>
      <c r="D872" s="1" t="str">
        <f ca="1">IFERROR(__xludf.DUMMYFUNCTION("GOOGLETRANSLATE(B872,""en"",""zh-CN"")"),"KOT设备已成功删除")</f>
        <v>KOT设备已成功删除</v>
      </c>
      <c r="E872" s="1" t="str">
        <f ca="1">IFERROR(__xludf.DUMMYFUNCTION("GOOGLETRANSLATE(B872,""en"",""ja"")"),"kotデバイスは正常に削除されました")</f>
        <v>kotデバイスは正常に削除されました</v>
      </c>
      <c r="F872" s="1" t="str">
        <f ca="1">IFERROR(__xludf.DUMMYFUNCTION("GOOGLETRANSLATE(B872,""en"",""fr"")"),"Le périphérique KOT a été supprimé avec succès")</f>
        <v>Le périphérique KOT a été supprimé avec succès</v>
      </c>
    </row>
    <row r="873" spans="1:6" ht="15.75" customHeight="1" x14ac:dyDescent="0.25">
      <c r="A873" s="1" t="s">
        <v>1645</v>
      </c>
      <c r="B873" s="1" t="s">
        <v>1646</v>
      </c>
      <c r="C873" s="1" t="str">
        <f ca="1">IFERROR(__xludf.DUMMYFUNCTION("GOOGLETRANSLATE(B873,""en"",""ar"")"),"هل أنت متأكد أنك تريد حذف جهاز Kot هذا؟")</f>
        <v>هل أنت متأكد أنك تريد حذف جهاز Kot هذا؟</v>
      </c>
      <c r="D873" s="1" t="str">
        <f ca="1">IFERROR(__xludf.DUMMYFUNCTION("GOOGLETRANSLATE(B873,""en"",""zh-CN"")"),"您确定要删除此KOT设备吗？")</f>
        <v>您确定要删除此KOT设备吗？</v>
      </c>
      <c r="E873" s="1" t="str">
        <f ca="1">IFERROR(__xludf.DUMMYFUNCTION("GOOGLETRANSLATE(B873,""en"",""ja"")"),"このコットデバイスを削除してよろしいですか？")</f>
        <v>このコットデバイスを削除してよろしいですか？</v>
      </c>
      <c r="F873" s="1" t="str">
        <f ca="1">IFERROR(__xludf.DUMMYFUNCTION("GOOGLETRANSLATE(B873,""en"",""fr"")"),"Êtes-vous sûr de vouloir supprimer ce périphérique Kot?")</f>
        <v>Êtes-vous sûr de vouloir supprimer ce périphérique Kot?</v>
      </c>
    </row>
    <row r="874" spans="1:6" ht="15.75" customHeight="1" x14ac:dyDescent="0.25">
      <c r="A874" s="1" t="s">
        <v>1647</v>
      </c>
      <c r="B874" s="1" t="s">
        <v>1648</v>
      </c>
      <c r="C874" s="1" t="str">
        <f ca="1">IFERROR(__xludf.DUMMYFUNCTION("GOOGLETRANSLATE(B874,""en"",""ar"")"),"تم حفظ جهاز KOT بنجاح")</f>
        <v>تم حفظ جهاز KOT بنجاح</v>
      </c>
      <c r="D874" s="1" t="str">
        <f ca="1">IFERROR(__xludf.DUMMYFUNCTION("GOOGLETRANSLATE(B874,""en"",""zh-CN"")"),"KOT设备已成功保存")</f>
        <v>KOT设备已成功保存</v>
      </c>
      <c r="E874" s="1" t="str">
        <f ca="1">IFERROR(__xludf.DUMMYFUNCTION("GOOGLETRANSLATE(B874,""en"",""ja"")"),"KOTデバイスが正常に保存されました")</f>
        <v>KOTデバイスが正常に保存されました</v>
      </c>
      <c r="F874" s="1" t="str">
        <f ca="1">IFERROR(__xludf.DUMMYFUNCTION("GOOGLETRANSLATE(B874,""en"",""fr"")"),"Dispositif Kot enregistré avec succès")</f>
        <v>Dispositif Kot enregistré avec succès</v>
      </c>
    </row>
    <row r="875" spans="1:6" ht="15.75" customHeight="1" x14ac:dyDescent="0.25">
      <c r="A875" s="1" t="s">
        <v>1649</v>
      </c>
      <c r="B875" s="1" t="s">
        <v>1650</v>
      </c>
      <c r="C875" s="1" t="str">
        <f ca="1">IFERROR(__xludf.DUMMYFUNCTION("GOOGLETRANSLATE(B875,""en"",""ar"")"),"وضع اتصال")</f>
        <v>وضع اتصال</v>
      </c>
      <c r="D875" s="1" t="str">
        <f ca="1">IFERROR(__xludf.DUMMYFUNCTION("GOOGLETRANSLATE(B875,""en"",""zh-CN"")"),"连接模式")</f>
        <v>连接模式</v>
      </c>
      <c r="E875" s="1" t="str">
        <f ca="1">IFERROR(__xludf.DUMMYFUNCTION("GOOGLETRANSLATE(B875,""en"",""ja"")"),"接続モード")</f>
        <v>接続モード</v>
      </c>
      <c r="F875" s="1" t="str">
        <f ca="1">IFERROR(__xludf.DUMMYFUNCTION("GOOGLETRANSLATE(B875,""en"",""fr"")"),"Mode de connexion")</f>
        <v>Mode de connexion</v>
      </c>
    </row>
    <row r="876" spans="1:6" ht="15.75" customHeight="1" x14ac:dyDescent="0.25">
      <c r="A876" s="1" t="s">
        <v>1651</v>
      </c>
      <c r="B876" s="1" t="s">
        <v>1652</v>
      </c>
      <c r="C876" s="1" t="str">
        <f ca="1">IFERROR(__xludf.DUMMYFUNCTION("GOOGLETRANSLATE(B876,""en"",""ar"")"),"استهداف")</f>
        <v>استهداف</v>
      </c>
      <c r="D876" s="1" t="str">
        <f ca="1">IFERROR(__xludf.DUMMYFUNCTION("GOOGLETRANSLATE(B876,""en"",""zh-CN"")"),"目标")</f>
        <v>目标</v>
      </c>
      <c r="E876" s="1" t="str">
        <f ca="1">IFERROR(__xludf.DUMMYFUNCTION("GOOGLETRANSLATE(B876,""en"",""ja"")"),"目標")</f>
        <v>目標</v>
      </c>
      <c r="F876" s="1" t="str">
        <f ca="1">IFERROR(__xludf.DUMMYFUNCTION("GOOGLETRANSLATE(B876,""en"",""fr"")"),"Cibler")</f>
        <v>Cibler</v>
      </c>
    </row>
    <row r="877" spans="1:6" ht="15.75" customHeight="1" x14ac:dyDescent="0.25">
      <c r="A877" s="1" t="s">
        <v>1653</v>
      </c>
      <c r="B877" s="1" t="s">
        <v>1654</v>
      </c>
      <c r="C877" s="1" t="str">
        <f ca="1">IFERROR(__xludf.DUMMYFUNCTION("GOOGLETRANSLATE(B877,""en"",""ar"")"),"عرض العملاء المحفوظة بنجاح")</f>
        <v>عرض العملاء المحفوظة بنجاح</v>
      </c>
      <c r="D877" s="1" t="str">
        <f ca="1">IFERROR(__xludf.DUMMYFUNCTION("GOOGLETRANSLATE(B877,""en"",""zh-CN"")"),"客户显示已成功保存")</f>
        <v>客户显示已成功保存</v>
      </c>
      <c r="E877" s="1" t="str">
        <f ca="1">IFERROR(__xludf.DUMMYFUNCTION("GOOGLETRANSLATE(B877,""en"",""ja"")"),"カスタマーディスプレイが正常に保存されました")</f>
        <v>カスタマーディスプレイが正常に保存されました</v>
      </c>
      <c r="F877" s="1" t="str">
        <f ca="1">IFERROR(__xludf.DUMMYFUNCTION("GOOGLETRANSLATE(B877,""en"",""fr"")"),"L'affichage du client enregistré avec succès")</f>
        <v>L'affichage du client enregistré avec succès</v>
      </c>
    </row>
    <row r="878" spans="1:6" ht="15.75" customHeight="1" x14ac:dyDescent="0.25">
      <c r="A878" s="1" t="s">
        <v>1655</v>
      </c>
      <c r="B878" s="1" t="s">
        <v>1656</v>
      </c>
      <c r="C878" s="1" t="str">
        <f ca="1">IFERROR(__xludf.DUMMYFUNCTION("GOOGLETRANSLATE(B878,""en"",""ar"")"),"إعادة تعيين كلمة المرور")</f>
        <v>إعادة تعيين كلمة المرور</v>
      </c>
      <c r="D878" s="1" t="str">
        <f ca="1">IFERROR(__xludf.DUMMYFUNCTION("GOOGLETRANSLATE(B878,""en"",""zh-CN"")"),"重设密码")</f>
        <v>重设密码</v>
      </c>
      <c r="E878" s="1" t="str">
        <f ca="1">IFERROR(__xludf.DUMMYFUNCTION("GOOGLETRANSLATE(B878,""en"",""ja"")"),"パスワードを再設定する")</f>
        <v>パスワードを再設定する</v>
      </c>
      <c r="F878" s="1" t="str">
        <f ca="1">IFERROR(__xludf.DUMMYFUNCTION("GOOGLETRANSLATE(B878,""en"",""fr"")"),"Réinitialiser le mot de passe")</f>
        <v>Réinitialiser le mot de passe</v>
      </c>
    </row>
    <row r="879" spans="1:6" ht="15.75" customHeight="1" x14ac:dyDescent="0.25">
      <c r="A879" s="1" t="s">
        <v>1657</v>
      </c>
      <c r="B879" s="1" t="s">
        <v>1658</v>
      </c>
      <c r="C879" s="1" t="str">
        <f ca="1">IFERROR(__xludf.DUMMYFUNCTION("GOOGLETRANSLATE(B879,""en"",""ar"")"),"إعادة تعيين كلمة المرور")</f>
        <v>إعادة تعيين كلمة المرور</v>
      </c>
      <c r="D879" s="1" t="str">
        <f ca="1">IFERROR(__xludf.DUMMYFUNCTION("GOOGLETRANSLATE(B879,""en"",""zh-CN"")"),"重设密码")</f>
        <v>重设密码</v>
      </c>
      <c r="E879" s="1" t="str">
        <f ca="1">IFERROR(__xludf.DUMMYFUNCTION("GOOGLETRANSLATE(B879,""en"",""ja"")"),"パスワードを再設定する")</f>
        <v>パスワードを再設定する</v>
      </c>
      <c r="F879" s="1" t="str">
        <f ca="1">IFERROR(__xludf.DUMMYFUNCTION("GOOGLETRANSLATE(B879,""en"",""fr"")"),"réinitialiser le mot de passe")</f>
        <v>réinitialiser le mot de passe</v>
      </c>
    </row>
    <row r="880" spans="1:6" ht="15.75" customHeight="1" x14ac:dyDescent="0.25">
      <c r="A880" s="1" t="s">
        <v>1659</v>
      </c>
      <c r="B880" s="1" t="s">
        <v>1660</v>
      </c>
      <c r="C880" s="1" t="str">
        <f ca="1">IFERROR(__xludf.DUMMYFUNCTION("GOOGLETRANSLATE(B880,""en"",""ar"")"),"بريدك الالكتروني")</f>
        <v>بريدك الالكتروني</v>
      </c>
      <c r="D880" s="1" t="str">
        <f ca="1">IFERROR(__xludf.DUMMYFUNCTION("GOOGLETRANSLATE(B880,""en"",""zh-CN"")"),"你的邮件")</f>
        <v>你的邮件</v>
      </c>
      <c r="E880" s="1" t="str">
        <f ca="1">IFERROR(__xludf.DUMMYFUNCTION("GOOGLETRANSLATE(B880,""en"",""ja"")"),"あなたのEメール")</f>
        <v>あなたのEメール</v>
      </c>
      <c r="F880" s="1" t="str">
        <f ca="1">IFERROR(__xludf.DUMMYFUNCTION("GOOGLETRANSLATE(B880,""en"",""fr"")"),"Votre email")</f>
        <v>Votre email</v>
      </c>
    </row>
    <row r="881" spans="1:6" ht="15.75" customHeight="1" x14ac:dyDescent="0.25">
      <c r="A881" s="1" t="s">
        <v>1661</v>
      </c>
      <c r="B881" s="1" t="s">
        <v>404</v>
      </c>
      <c r="C881" s="1" t="str">
        <f ca="1">IFERROR(__xludf.DUMMYFUNCTION("GOOGLETRANSLATE(B881,""en"",""ar"")"),"رمز")</f>
        <v>رمز</v>
      </c>
      <c r="D881" s="1" t="str">
        <f ca="1">IFERROR(__xludf.DUMMYFUNCTION("GOOGLETRANSLATE(B881,""en"",""zh-CN"")"),"代码")</f>
        <v>代码</v>
      </c>
      <c r="E881" s="1" t="str">
        <f ca="1">IFERROR(__xludf.DUMMYFUNCTION("GOOGLETRANSLATE(B881,""en"",""ja"")"),"コード")</f>
        <v>コード</v>
      </c>
      <c r="F881" s="1" t="str">
        <f ca="1">IFERROR(__xludf.DUMMYFUNCTION("GOOGLETRANSLATE(B881,""en"",""fr"")"),"Code")</f>
        <v>Code</v>
      </c>
    </row>
    <row r="882" spans="1:6" ht="15.75" customHeight="1" x14ac:dyDescent="0.25">
      <c r="A882" s="1" t="s">
        <v>1662</v>
      </c>
      <c r="B882" s="1" t="s">
        <v>1663</v>
      </c>
      <c r="C882" s="1" t="str">
        <f ca="1">IFERROR(__xludf.DUMMYFUNCTION("GOOGLETRANSLATE(B882,""en"",""ar"")"),"ادخل الرمز")</f>
        <v>ادخل الرمز</v>
      </c>
      <c r="D882" s="1" t="str">
        <f ca="1">IFERROR(__xludf.DUMMYFUNCTION("GOOGLETRANSLATE(B882,""en"",""zh-CN"")"),"输入代码")</f>
        <v>输入代码</v>
      </c>
      <c r="E882" s="1" t="str">
        <f ca="1">IFERROR(__xludf.DUMMYFUNCTION("GOOGLETRANSLATE(B882,""en"",""ja"")"),"コードを入力する")</f>
        <v>コードを入力する</v>
      </c>
      <c r="F882" s="1" t="str">
        <f ca="1">IFERROR(__xludf.DUMMYFUNCTION("GOOGLETRANSLATE(B882,""en"",""fr"")"),"Entrez le code")</f>
        <v>Entrez le code</v>
      </c>
    </row>
    <row r="883" spans="1:6" ht="15.75" customHeight="1" x14ac:dyDescent="0.25">
      <c r="A883" s="1" t="s">
        <v>1664</v>
      </c>
      <c r="B883" s="1" t="s">
        <v>1665</v>
      </c>
      <c r="C883" s="1" t="str">
        <f ca="1">IFERROR(__xludf.DUMMYFUNCTION("GOOGLETRANSLATE(B883,""en"",""ar"")"),"رمز التحقق غير صالح")</f>
        <v>رمز التحقق غير صالح</v>
      </c>
      <c r="D883" s="1" t="str">
        <f ca="1">IFERROR(__xludf.DUMMYFUNCTION("GOOGLETRANSLATE(B883,""en"",""zh-CN"")"),"无效验证码")</f>
        <v>无效验证码</v>
      </c>
      <c r="E883" s="1" t="str">
        <f ca="1">IFERROR(__xludf.DUMMYFUNCTION("GOOGLETRANSLATE(B883,""en"",""ja"")"),"無効な検証コード")</f>
        <v>無効な検証コード</v>
      </c>
      <c r="F883" s="1" t="str">
        <f ca="1">IFERROR(__xludf.DUMMYFUNCTION("GOOGLETRANSLATE(B883,""en"",""fr"")"),"Code de vérification invalide")</f>
        <v>Code de vérification invalide</v>
      </c>
    </row>
    <row r="884" spans="1:6" ht="15.75" customHeight="1" x14ac:dyDescent="0.25">
      <c r="A884" s="1" t="s">
        <v>1666</v>
      </c>
      <c r="B884" s="1" t="s">
        <v>1667</v>
      </c>
      <c r="C884" s="1" t="str">
        <f ca="1">IFERROR(__xludf.DUMMYFUNCTION("GOOGLETRANSLATE(B884,""en"",""ar"")"),"انتهت صلاحية رمز التحقق الخاص بك")</f>
        <v>انتهت صلاحية رمز التحقق الخاص بك</v>
      </c>
      <c r="D884" s="1" t="str">
        <f ca="1">IFERROR(__xludf.DUMMYFUNCTION("GOOGLETRANSLATE(B884,""en"",""zh-CN"")"),"您的验证码已过期")</f>
        <v>您的验证码已过期</v>
      </c>
      <c r="E884" s="1" t="str">
        <f ca="1">IFERROR(__xludf.DUMMYFUNCTION("GOOGLETRANSLATE(B884,""en"",""ja"")"),"あなたの検証コードは期限切れです")</f>
        <v>あなたの検証コードは期限切れです</v>
      </c>
      <c r="F884" s="1" t="str">
        <f ca="1">IFERROR(__xludf.DUMMYFUNCTION("GOOGLETRANSLATE(B884,""en"",""fr"")"),"Votre code de vérification a été expiré")</f>
        <v>Votre code de vérification a été expiré</v>
      </c>
    </row>
    <row r="885" spans="1:6" ht="15.75" customHeight="1" x14ac:dyDescent="0.25">
      <c r="A885" s="1" t="s">
        <v>1668</v>
      </c>
      <c r="B885" s="1" t="s">
        <v>1669</v>
      </c>
      <c r="C885" s="1" t="str">
        <f ca="1">IFERROR(__xludf.DUMMYFUNCTION("GOOGLETRANSLATE(B885,""en"",""ar"")"),"مطلوب البريد الإلكتروني لاسترداد كلمة المرور")</f>
        <v>مطلوب البريد الإلكتروني لاسترداد كلمة المرور</v>
      </c>
      <c r="D885" s="1" t="str">
        <f ca="1">IFERROR(__xludf.DUMMYFUNCTION("GOOGLETRANSLATE(B885,""en"",""zh-CN"")"),"电子邮件需要休息密码")</f>
        <v>电子邮件需要休息密码</v>
      </c>
      <c r="E885" s="1" t="str">
        <f ca="1">IFERROR(__xludf.DUMMYFUNCTION("GOOGLETRANSLATE(B885,""en"",""ja"")"),"パスワードを休ませるために電子メールが必要です")</f>
        <v>パスワードを休ませるために電子メールが必要です</v>
      </c>
      <c r="F885" s="1" t="str">
        <f ca="1">IFERROR(__xludf.DUMMYFUNCTION("GOOGLETRANSLATE(B885,""en"",""fr"")"),"Le courrier électronique est requis pour reposer le mot de passe")</f>
        <v>Le courrier électronique est requis pour reposer le mot de passe</v>
      </c>
    </row>
    <row r="886" spans="1:6" ht="15.75" customHeight="1" x14ac:dyDescent="0.25">
      <c r="A886" s="1" t="s">
        <v>1670</v>
      </c>
      <c r="B886" s="1" t="s">
        <v>301</v>
      </c>
      <c r="C886" s="1" t="str">
        <f ca="1">IFERROR(__xludf.DUMMYFUNCTION("GOOGLETRANSLATE(B886,""en"",""ar"")"),"إرسال")</f>
        <v>إرسال</v>
      </c>
      <c r="D886" s="1" t="str">
        <f ca="1">IFERROR(__xludf.DUMMYFUNCTION("GOOGLETRANSLATE(B886,""en"",""zh-CN"")"),"发送")</f>
        <v>发送</v>
      </c>
      <c r="E886" s="1" t="str">
        <f ca="1">IFERROR(__xludf.DUMMYFUNCTION("GOOGLETRANSLATE(B886,""en"",""ja"")"),"送信")</f>
        <v>送信</v>
      </c>
      <c r="F886" s="1" t="str">
        <f ca="1">IFERROR(__xludf.DUMMYFUNCTION("GOOGLETRANSLATE(B886,""en"",""fr"")"),"Envoyer")</f>
        <v>Envoyer</v>
      </c>
    </row>
    <row r="887" spans="1:6" ht="15.75" customHeight="1" x14ac:dyDescent="0.25">
      <c r="A887" s="1" t="s">
        <v>1671</v>
      </c>
      <c r="B887" s="1" t="s">
        <v>1373</v>
      </c>
      <c r="C887" s="1" t="str">
        <f ca="1">IFERROR(__xludf.DUMMYFUNCTION("GOOGLETRANSLATE(B887,""en"",""ar"")"),"المزيد من التفاصيل")</f>
        <v>المزيد من التفاصيل</v>
      </c>
      <c r="D887" s="1" t="str">
        <f ca="1">IFERROR(__xludf.DUMMYFUNCTION("GOOGLETRANSLATE(B887,""en"",""zh-CN"")"),"更多细节")</f>
        <v>更多细节</v>
      </c>
      <c r="E887" s="1" t="str">
        <f ca="1">IFERROR(__xludf.DUMMYFUNCTION("GOOGLETRANSLATE(B887,""en"",""ja"")"),"詳細")</f>
        <v>詳細</v>
      </c>
      <c r="F887" s="1" t="str">
        <f ca="1">IFERROR(__xludf.DUMMYFUNCTION("GOOGLETRANSLATE(B887,""en"",""fr"")"),"Plus de détails")</f>
        <v>Plus de détails</v>
      </c>
    </row>
    <row r="888" spans="1:6" ht="15.75" customHeight="1" x14ac:dyDescent="0.25">
      <c r="A888" s="1" t="s">
        <v>1672</v>
      </c>
      <c r="B888" s="1" t="s">
        <v>1673</v>
      </c>
      <c r="C888" s="1" t="str">
        <f ca="1">IFERROR(__xludf.DUMMYFUNCTION("GOOGLETRANSLATE(B888,""en"",""ar"")"),"إرسال رمز التحقق")</f>
        <v>إرسال رمز التحقق</v>
      </c>
      <c r="D888" s="1" t="str">
        <f ca="1">IFERROR(__xludf.DUMMYFUNCTION("GOOGLETRANSLATE(B888,""en"",""zh-CN"")"),"发送验证码")</f>
        <v>发送验证码</v>
      </c>
      <c r="E888" s="1" t="str">
        <f ca="1">IFERROR(__xludf.DUMMYFUNCTION("GOOGLETRANSLATE(B888,""en"",""ja"")"),"確認コードを送信してください")</f>
        <v>確認コードを送信してください</v>
      </c>
      <c r="F888" s="1" t="str">
        <f ca="1">IFERROR(__xludf.DUMMYFUNCTION("GOOGLETRANSLATE(B888,""en"",""fr"")"),"Envoyer le code de vérification")</f>
        <v>Envoyer le code de vérification</v>
      </c>
    </row>
    <row r="889" spans="1:6" ht="15.75" customHeight="1" x14ac:dyDescent="0.25">
      <c r="A889" s="1" t="s">
        <v>1674</v>
      </c>
      <c r="B889" s="1" t="s">
        <v>1675</v>
      </c>
      <c r="C889" s="1" t="str">
        <f ca="1">IFERROR(__xludf.DUMMYFUNCTION("GOOGLETRANSLATE(B889,""en"",""ar"")"),"أدخل رمز التحقق")</f>
        <v>أدخل رمز التحقق</v>
      </c>
      <c r="D889" s="1" t="str">
        <f ca="1">IFERROR(__xludf.DUMMYFUNCTION("GOOGLETRANSLATE(B889,""en"",""zh-CN"")"),"输入验证码")</f>
        <v>输入验证码</v>
      </c>
      <c r="E889" s="1" t="str">
        <f ca="1">IFERROR(__xludf.DUMMYFUNCTION("GOOGLETRANSLATE(B889,""en"",""ja"")"),"認証コードを入力してください")</f>
        <v>認証コードを入力してください</v>
      </c>
      <c r="F889" s="1" t="str">
        <f ca="1">IFERROR(__xludf.DUMMYFUNCTION("GOOGLETRANSLATE(B889,""en"",""fr"")"),"Entrez le code de vérification")</f>
        <v>Entrez le code de vérification</v>
      </c>
    </row>
    <row r="890" spans="1:6" ht="15.75" customHeight="1" x14ac:dyDescent="0.25">
      <c r="A890" s="1" t="s">
        <v>1676</v>
      </c>
      <c r="B890" s="1" t="s">
        <v>1677</v>
      </c>
      <c r="C890" s="1" t="str">
        <f ca="1">IFERROR(__xludf.DUMMYFUNCTION("GOOGLETRANSLATE(B890,""en"",""ar"")"),"لا يسمح لهذا المستخدم بتقديم خصومات")</f>
        <v>لا يسمح لهذا المستخدم بتقديم خصومات</v>
      </c>
      <c r="D890" s="1" t="str">
        <f ca="1">IFERROR(__xludf.DUMMYFUNCTION("GOOGLETRANSLATE(B890,""en"",""zh-CN"")"),"此用户不允许提供折扣")</f>
        <v>此用户不允许提供折扣</v>
      </c>
      <c r="E890" s="1" t="str">
        <f ca="1">IFERROR(__xludf.DUMMYFUNCTION("GOOGLETRANSLATE(B890,""en"",""ja"")"),"このユーザーは割引を提供することを許可されていません")</f>
        <v>このユーザーは割引を提供することを許可されていません</v>
      </c>
      <c r="F890" s="1" t="str">
        <f ca="1">IFERROR(__xludf.DUMMYFUNCTION("GOOGLETRANSLATE(B890,""en"",""fr"")"),"Cet utilisateur n'est pas autorisé à offrir des rabais")</f>
        <v>Cet utilisateur n'est pas autorisé à offrir des rabais</v>
      </c>
    </row>
    <row r="891" spans="1:6" ht="15.75" customHeight="1" x14ac:dyDescent="0.25">
      <c r="A891" s="1" t="s">
        <v>1678</v>
      </c>
      <c r="B891" s="1" t="s">
        <v>1679</v>
      </c>
      <c r="C891" s="1" t="str">
        <f ca="1">IFERROR(__xludf.DUMMYFUNCTION("GOOGLETRANSLATE(B891,""en"",""ar"")"),"تنقضي")</f>
        <v>تنقضي</v>
      </c>
      <c r="D891" s="1" t="str">
        <f ca="1">IFERROR(__xludf.DUMMYFUNCTION("GOOGLETRANSLATE(B891,""en"",""zh-CN"")"),"到期")</f>
        <v>到期</v>
      </c>
      <c r="E891" s="1" t="str">
        <f ca="1">IFERROR(__xludf.DUMMYFUNCTION("GOOGLETRANSLATE(B891,""en"",""ja"")"),"期限切れ")</f>
        <v>期限切れ</v>
      </c>
      <c r="F891" s="1" t="str">
        <f ca="1">IFERROR(__xludf.DUMMYFUNCTION("GOOGLETRANSLATE(B891,""en"",""fr"")"),"Expirer")</f>
        <v>Expirer</v>
      </c>
    </row>
    <row r="892" spans="1:6" ht="15.75" customHeight="1" x14ac:dyDescent="0.25">
      <c r="A892" s="1" t="s">
        <v>1680</v>
      </c>
      <c r="B892" s="1" t="s">
        <v>1681</v>
      </c>
      <c r="C892" s="1" t="str">
        <f ca="1">IFERROR(__xludf.DUMMYFUNCTION("GOOGLETRANSLATE(B892,""en"",""ar"")"),"عربة فارغة")</f>
        <v>عربة فارغة</v>
      </c>
      <c r="D892" s="1" t="str">
        <f ca="1">IFERROR(__xludf.DUMMYFUNCTION("GOOGLETRANSLATE(B892,""en"",""zh-CN"")"),"空购物车")</f>
        <v>空购物车</v>
      </c>
      <c r="E892" s="1" t="str">
        <f ca="1">IFERROR(__xludf.DUMMYFUNCTION("GOOGLETRANSLATE(B892,""en"",""ja"")"),"空のカート")</f>
        <v>空のカート</v>
      </c>
      <c r="F892" s="1" t="str">
        <f ca="1">IFERROR(__xludf.DUMMYFUNCTION("GOOGLETRANSLATE(B892,""en"",""fr"")"),"Panier vide")</f>
        <v>Panier vide</v>
      </c>
    </row>
    <row r="893" spans="1:6" ht="15.75" customHeight="1" x14ac:dyDescent="0.25">
      <c r="A893" s="1" t="s">
        <v>1682</v>
      </c>
      <c r="B893" s="1" t="s">
        <v>1683</v>
      </c>
      <c r="C893" s="1" t="str">
        <f ca="1">IFERROR(__xludf.DUMMYFUNCTION("GOOGLETRANSLATE(B893,""en"",""ar"")"),"عربة البند")</f>
        <v>عربة البند</v>
      </c>
      <c r="D893" s="1" t="str">
        <f ca="1">IFERROR(__xludf.DUMMYFUNCTION("GOOGLETRANSLATE(B893,""en"",""zh-CN"")"),"物品车")</f>
        <v>物品车</v>
      </c>
      <c r="E893" s="1" t="str">
        <f ca="1">IFERROR(__xludf.DUMMYFUNCTION("GOOGLETRANSLATE(B893,""en"",""ja"")"),"アイテムカート")</f>
        <v>アイテムカート</v>
      </c>
      <c r="F893" s="1" t="str">
        <f ca="1">IFERROR(__xludf.DUMMYFUNCTION("GOOGLETRANSLATE(B893,""en"",""fr"")"),"Chariot")</f>
        <v>Chariot</v>
      </c>
    </row>
    <row r="894" spans="1:6" ht="15.75" customHeight="1" x14ac:dyDescent="0.25">
      <c r="A894" s="1" t="s">
        <v>1684</v>
      </c>
      <c r="B894" s="1" t="s">
        <v>1685</v>
      </c>
      <c r="C894" s="1" t="str">
        <f ca="1">IFERROR(__xludf.DUMMYFUNCTION("GOOGLETRANSLATE(B894,""en"",""ar"")"),"طابعة IP.")</f>
        <v>طابعة IP.</v>
      </c>
      <c r="D894" s="1" t="str">
        <f ca="1">IFERROR(__xludf.DUMMYFUNCTION("GOOGLETRANSLATE(B894,""en"",""zh-CN"")"),"打印机IP.")</f>
        <v>打印机IP.</v>
      </c>
      <c r="E894" s="1" t="str">
        <f ca="1">IFERROR(__xludf.DUMMYFUNCTION("GOOGLETRANSLATE(B894,""en"",""ja"")"),"プリンタIP")</f>
        <v>プリンタIP</v>
      </c>
      <c r="F894" s="1" t="str">
        <f ca="1">IFERROR(__xludf.DUMMYFUNCTION("GOOGLETRANSLATE(B894,""en"",""fr"")"),"Imprimante IP")</f>
        <v>Imprimante IP</v>
      </c>
    </row>
    <row r="895" spans="1:6" ht="15.75" customHeight="1" x14ac:dyDescent="0.25">
      <c r="A895" s="1" t="s">
        <v>1686</v>
      </c>
      <c r="B895" s="1" t="s">
        <v>1687</v>
      </c>
      <c r="C895" s="1" t="str">
        <f ca="1">IFERROR(__xludf.DUMMYFUNCTION("GOOGLETRANSLATE(B895,""en"",""ar"")"),"إيصال")</f>
        <v>إيصال</v>
      </c>
      <c r="D895" s="1" t="str">
        <f ca="1">IFERROR(__xludf.DUMMYFUNCTION("GOOGLETRANSLATE(B895,""en"",""zh-CN"")"),"收据")</f>
        <v>收据</v>
      </c>
      <c r="E895" s="1" t="str">
        <f ca="1">IFERROR(__xludf.DUMMYFUNCTION("GOOGLETRANSLATE(B895,""en"",""ja"")"),"レシート")</f>
        <v>レシート</v>
      </c>
      <c r="F895" s="1" t="str">
        <f ca="1">IFERROR(__xludf.DUMMYFUNCTION("GOOGLETRANSLATE(B895,""en"",""fr"")"),"Reçu")</f>
        <v>Reçu</v>
      </c>
    </row>
    <row r="896" spans="1:6" ht="15.75" customHeight="1" x14ac:dyDescent="0.25">
      <c r="A896" s="1" t="s">
        <v>1688</v>
      </c>
      <c r="B896" s="1" t="s">
        <v>1689</v>
      </c>
      <c r="C896" s="1" t="str">
        <f ca="1">IFERROR(__xludf.DUMMYFUNCTION("GOOGLETRANSLATE(B896,""en"",""ar"")"),"إنشاء نقطة استعادة")</f>
        <v>إنشاء نقطة استعادة</v>
      </c>
      <c r="D896" s="1" t="str">
        <f ca="1">IFERROR(__xludf.DUMMYFUNCTION("GOOGLETRANSLATE(B896,""en"",""zh-CN"")"),"创建恢复点")</f>
        <v>创建恢复点</v>
      </c>
      <c r="E896" s="1" t="str">
        <f ca="1">IFERROR(__xludf.DUMMYFUNCTION("GOOGLETRANSLATE(B896,""en"",""ja"")"),"復元ポイントを作成します")</f>
        <v>復元ポイントを作成します</v>
      </c>
      <c r="F896" s="1" t="str">
        <f ca="1">IFERROR(__xludf.DUMMYFUNCTION("GOOGLETRANSLATE(B896,""en"",""fr"")"),"Créer un point de restauration")</f>
        <v>Créer un point de restauration</v>
      </c>
    </row>
    <row r="897" spans="1:6" ht="15.75" customHeight="1" x14ac:dyDescent="0.25">
      <c r="A897" s="1" t="s">
        <v>1690</v>
      </c>
      <c r="B897" s="1" t="s">
        <v>1691</v>
      </c>
      <c r="C897" s="1" t="str">
        <f ca="1">IFERROR(__xludf.DUMMYFUNCTION("GOOGLETRANSLATE(B897,""en"",""ar"")"),"ينقسم")</f>
        <v>ينقسم</v>
      </c>
      <c r="D897" s="1" t="str">
        <f ca="1">IFERROR(__xludf.DUMMYFUNCTION("GOOGLETRANSLATE(B897,""en"",""zh-CN"")"),"分裂")</f>
        <v>分裂</v>
      </c>
      <c r="E897" s="1" t="str">
        <f ca="1">IFERROR(__xludf.DUMMYFUNCTION("GOOGLETRANSLATE(B897,""en"",""ja"")"),"スプリット")</f>
        <v>スプリット</v>
      </c>
      <c r="F897" s="1" t="str">
        <f ca="1">IFERROR(__xludf.DUMMYFUNCTION("GOOGLETRANSLATE(B897,""en"",""fr"")"),"Diviser")</f>
        <v>Diviser</v>
      </c>
    </row>
    <row r="898" spans="1:6" ht="15.75" customHeight="1" x14ac:dyDescent="0.25">
      <c r="A898" s="1" t="s">
        <v>1692</v>
      </c>
      <c r="B898" s="1" t="s">
        <v>1693</v>
      </c>
      <c r="C898" s="1" t="str">
        <f ca="1">IFERROR(__xludf.DUMMYFUNCTION("GOOGLETRANSLATE(B898,""en"",""ar"")"),"الشحنة")</f>
        <v>الشحنة</v>
      </c>
      <c r="D898" s="1" t="str">
        <f ca="1">IFERROR(__xludf.DUMMYFUNCTION("GOOGLETRANSLATE(B898,""en"",""zh-CN"")"),"收费")</f>
        <v>收费</v>
      </c>
      <c r="E898" s="1" t="str">
        <f ca="1">IFERROR(__xludf.DUMMYFUNCTION("GOOGLETRANSLATE(B898,""en"",""ja"")"),"充電")</f>
        <v>充電</v>
      </c>
      <c r="F898" s="1" t="str">
        <f ca="1">IFERROR(__xludf.DUMMYFUNCTION("GOOGLETRANSLATE(B898,""en"",""fr"")"),"CHARGER")</f>
        <v>CHARGER</v>
      </c>
    </row>
    <row r="899" spans="1:6" ht="15.75" customHeight="1" x14ac:dyDescent="0.25">
      <c r="A899" s="1" t="s">
        <v>1694</v>
      </c>
      <c r="B899" s="1" t="s">
        <v>721</v>
      </c>
      <c r="C899" s="1" t="str">
        <f ca="1">IFERROR(__xludf.DUMMYFUNCTION("GOOGLETRANSLATE(B899,""en"",""ar"")"),"الشحنة")</f>
        <v>الشحنة</v>
      </c>
      <c r="D899" s="1" t="str">
        <f ca="1">IFERROR(__xludf.DUMMYFUNCTION("GOOGLETRANSLATE(B899,""en"",""zh-CN"")"),"收费")</f>
        <v>收费</v>
      </c>
      <c r="E899" s="1" t="str">
        <f ca="1">IFERROR(__xludf.DUMMYFUNCTION("GOOGLETRANSLATE(B899,""en"",""ja"")"),"充電")</f>
        <v>充電</v>
      </c>
      <c r="F899" s="1" t="str">
        <f ca="1">IFERROR(__xludf.DUMMYFUNCTION("GOOGLETRANSLATE(B899,""en"",""fr"")"),"Charger")</f>
        <v>Charger</v>
      </c>
    </row>
    <row r="900" spans="1:6" ht="15.75" customHeight="1" x14ac:dyDescent="0.25">
      <c r="A900" s="1" t="s">
        <v>1695</v>
      </c>
      <c r="B900" s="1" t="s">
        <v>1696</v>
      </c>
      <c r="C900" s="1" t="str">
        <f ca="1">IFERROR(__xludf.DUMMYFUNCTION("GOOGLETRANSLATE(B900,""en"",""ar"")"),"دفع")</f>
        <v>دفع</v>
      </c>
      <c r="D900" s="1" t="str">
        <f ca="1">IFERROR(__xludf.DUMMYFUNCTION("GOOGLETRANSLATE(B900,""en"",""zh-CN"")"),"有薪酬的")</f>
        <v>有薪酬的</v>
      </c>
      <c r="E900" s="1" t="str">
        <f ca="1">IFERROR(__xludf.DUMMYFUNCTION("GOOGLETRANSLATE(B900,""en"",""ja"")"),"払わない")</f>
        <v>払わない</v>
      </c>
      <c r="F900" s="1" t="str">
        <f ca="1">IFERROR(__xludf.DUMMYFUNCTION("GOOGLETRANSLATE(B900,""en"",""fr"")"),"Payé")</f>
        <v>Payé</v>
      </c>
    </row>
    <row r="901" spans="1:6" ht="15.75" customHeight="1" x14ac:dyDescent="0.25">
      <c r="A901" s="1" t="s">
        <v>1697</v>
      </c>
      <c r="B901" s="1" t="s">
        <v>1698</v>
      </c>
      <c r="C901" s="1" t="str">
        <f ca="1">IFERROR(__xludf.DUMMYFUNCTION("GOOGLETRANSLATE(B901,""en"",""ar"")"),"تصفية حسب الفئة الفرعية")</f>
        <v>تصفية حسب الفئة الفرعية</v>
      </c>
      <c r="D901" s="1" t="str">
        <f ca="1">IFERROR(__xludf.DUMMYFUNCTION("GOOGLETRANSLATE(B901,""en"",""zh-CN"")"),"按子类别过滤")</f>
        <v>按子类别过滤</v>
      </c>
      <c r="E901" s="1" t="str">
        <f ca="1">IFERROR(__xludf.DUMMYFUNCTION("GOOGLETRANSLATE(B901,""en"",""ja"")"),"サブカテゴリ別にフィルタ")</f>
        <v>サブカテゴリ別にフィルタ</v>
      </c>
      <c r="F901" s="1" t="str">
        <f ca="1">IFERROR(__xludf.DUMMYFUNCTION("GOOGLETRANSLATE(B901,""en"",""fr"")"),"Filtrer par sous-catégorie")</f>
        <v>Filtrer par sous-catégorie</v>
      </c>
    </row>
    <row r="902" spans="1:6" ht="15.75" customHeight="1" x14ac:dyDescent="0.25">
      <c r="A902" s="1" t="s">
        <v>1699</v>
      </c>
      <c r="B902" s="1" t="s">
        <v>868</v>
      </c>
      <c r="C902" s="1" t="str">
        <f ca="1">IFERROR(__xludf.DUMMYFUNCTION("GOOGLETRANSLATE(B902,""en"",""ar"")"),"المبلغ المستحق")</f>
        <v>المبلغ المستحق</v>
      </c>
      <c r="D902" s="1" t="str">
        <f ca="1">IFERROR(__xludf.DUMMYFUNCTION("GOOGLETRANSLATE(B902,""en"",""zh-CN"")"),"适量到期")</f>
        <v>适量到期</v>
      </c>
      <c r="E902" s="1" t="str">
        <f ca="1">IFERROR(__xludf.DUMMYFUNCTION("GOOGLETRANSLATE(B902,""en"",""ja"")"),"料金")</f>
        <v>料金</v>
      </c>
      <c r="F902" s="1" t="str">
        <f ca="1">IFERROR(__xludf.DUMMYFUNCTION("GOOGLETRANSLATE(B902,""en"",""fr"")"),"Montant dû")</f>
        <v>Montant dû</v>
      </c>
    </row>
    <row r="903" spans="1:6" ht="15.75" customHeight="1" x14ac:dyDescent="0.25">
      <c r="A903" s="1" t="s">
        <v>1700</v>
      </c>
      <c r="B903" s="1" t="s">
        <v>1701</v>
      </c>
      <c r="C903" s="1" t="str">
        <f ca="1">IFERROR(__xludf.DUMMYFUNCTION("GOOGLETRANSLATE(B903,""en"",""ar"")"),"حذف الدفع")</f>
        <v>حذف الدفع</v>
      </c>
      <c r="D903" s="1" t="str">
        <f ca="1">IFERROR(__xludf.DUMMYFUNCTION("GOOGLETRANSLATE(B903,""en"",""zh-CN"")"),"删除付款")</f>
        <v>删除付款</v>
      </c>
      <c r="E903" s="1" t="str">
        <f ca="1">IFERROR(__xludf.DUMMYFUNCTION("GOOGLETRANSLATE(B903,""en"",""ja"")"),"支払いを削除します")</f>
        <v>支払いを削除します</v>
      </c>
      <c r="F903" s="1" t="str">
        <f ca="1">IFERROR(__xludf.DUMMYFUNCTION("GOOGLETRANSLATE(B903,""en"",""fr"")"),"Supprimer le paiement")</f>
        <v>Supprimer le paiement</v>
      </c>
    </row>
    <row r="904" spans="1:6" ht="15.75" customHeight="1" x14ac:dyDescent="0.25">
      <c r="A904" s="1" t="s">
        <v>1702</v>
      </c>
      <c r="B904" s="1" t="s">
        <v>1703</v>
      </c>
      <c r="C904" s="1" t="str">
        <f ca="1">IFERROR(__xludf.DUMMYFUNCTION("GOOGLETRANSLATE(B904,""en"",""ar"")"),"هل أنت متأكد من أنك تريد حذف هذه الدفعة؟")</f>
        <v>هل أنت متأكد من أنك تريد حذف هذه الدفعة؟</v>
      </c>
      <c r="D904" s="1" t="str">
        <f ca="1">IFERROR(__xludf.DUMMYFUNCTION("GOOGLETRANSLATE(B904,""en"",""zh-CN"")"),"您确定要删除此付款吗？")</f>
        <v>您确定要删除此付款吗？</v>
      </c>
      <c r="E904" s="1" t="str">
        <f ca="1">IFERROR(__xludf.DUMMYFUNCTION("GOOGLETRANSLATE(B904,""en"",""ja"")"),"この支払いを削除してよろしいですか？")</f>
        <v>この支払いを削除してよろしいですか？</v>
      </c>
      <c r="F904" s="1" t="str">
        <f ca="1">IFERROR(__xludf.DUMMYFUNCTION("GOOGLETRANSLATE(B904,""en"",""fr"")"),"Êtes-vous sûr de vouloir supprimer ce paiement?")</f>
        <v>Êtes-vous sûr de vouloir supprimer ce paiement?</v>
      </c>
    </row>
    <row r="905" spans="1:6" ht="15.75" customHeight="1" x14ac:dyDescent="0.25">
      <c r="A905" s="1" t="s">
        <v>1704</v>
      </c>
      <c r="B905" s="1" t="s">
        <v>1705</v>
      </c>
      <c r="C905" s="1" t="str">
        <f ca="1">IFERROR(__xludf.DUMMYFUNCTION("GOOGLETRANSLATE(B905,""en"",""ar"")"),"\ uf1de.")</f>
        <v>\ uf1de.</v>
      </c>
      <c r="D905" s="1" t="str">
        <f ca="1">IFERROR(__xludf.DUMMYFUNCTION("GOOGLETRANSLATE(B905,""en"",""zh-CN"")"),"\ UF1DE.")</f>
        <v>\ UF1DE.</v>
      </c>
      <c r="E905" s="1" t="str">
        <f ca="1">IFERROR(__xludf.DUMMYFUNCTION("GOOGLETRANSLATE(B905,""en"",""ja"")"),"\ uf1de")</f>
        <v>\ uf1de</v>
      </c>
      <c r="F905" s="1" t="str">
        <f ca="1">IFERROR(__xludf.DUMMYFUNCTION("GOOGLETRANSLATE(B905,""en"",""fr"")"),"\ uf1de")</f>
        <v>\ uf1de</v>
      </c>
    </row>
    <row r="906" spans="1:6" ht="15.75" customHeight="1" x14ac:dyDescent="0.25">
      <c r="A906" s="1" t="s">
        <v>1706</v>
      </c>
      <c r="B906" s="1" t="s">
        <v>1707</v>
      </c>
      <c r="C906" s="1" t="str">
        <f ca="1">IFERROR(__xludf.DUMMYFUNCTION("GOOGLETRANSLATE(B906,""en"",""ar"")"),"\ uf0d8.")</f>
        <v>\ uf0d8.</v>
      </c>
      <c r="D906" s="1" t="str">
        <f ca="1">IFERROR(__xludf.DUMMYFUNCTION("GOOGLETRANSLATE(B906,""en"",""zh-CN"")"),"\ UF0D8")</f>
        <v>\ UF0D8</v>
      </c>
      <c r="E906" s="1" t="str">
        <f ca="1">IFERROR(__xludf.DUMMYFUNCTION("GOOGLETRANSLATE(B906,""en"",""ja"")"),"\ uf0d8.")</f>
        <v>\ uf0d8.</v>
      </c>
      <c r="F906" s="1" t="str">
        <f ca="1">IFERROR(__xludf.DUMMYFUNCTION("GOOGLETRANSLATE(B906,""en"",""fr"")"),"\ uf0d8")</f>
        <v>\ uf0d8</v>
      </c>
    </row>
    <row r="907" spans="1:6" ht="15.75" customHeight="1" x14ac:dyDescent="0.25">
      <c r="A907" s="1" t="s">
        <v>1708</v>
      </c>
      <c r="B907" s="1" t="s">
        <v>1709</v>
      </c>
      <c r="C907" s="1" t="str">
        <f ca="1">IFERROR(__xludf.DUMMYFUNCTION("GOOGLETRANSLATE(B907,""en"",""ar"")"),"\ uf0dd.")</f>
        <v>\ uf0dd.</v>
      </c>
      <c r="D907" s="1" t="str">
        <f ca="1">IFERROR(__xludf.DUMMYFUNCTION("GOOGLETRANSLATE(B907,""en"",""zh-CN"")"),"\ UF0DD.")</f>
        <v>\ UF0DD.</v>
      </c>
      <c r="E907" s="1" t="str">
        <f ca="1">IFERROR(__xludf.DUMMYFUNCTION("GOOGLETRANSLATE(B907,""en"",""ja"")"),"\ uf0dd.")</f>
        <v>\ uf0dd.</v>
      </c>
      <c r="F907" s="1" t="str">
        <f ca="1">IFERROR(__xludf.DUMMYFUNCTION("GOOGLETRANSLATE(B907,""en"",""fr"")"),"\ uf0dd")</f>
        <v>\ uf0dd</v>
      </c>
    </row>
    <row r="908" spans="1:6" ht="15.75" customHeight="1" x14ac:dyDescent="0.25">
      <c r="A908" s="1" t="s">
        <v>1710</v>
      </c>
      <c r="B908" s="1" t="s">
        <v>1711</v>
      </c>
      <c r="C908" s="1" t="str">
        <f ca="1">IFERROR(__xludf.DUMMYFUNCTION("GOOGLETRANSLATE(B908,""en"",""ar"")"),"\ uf060.")</f>
        <v>\ uf060.</v>
      </c>
      <c r="D908" s="1" t="str">
        <f ca="1">IFERROR(__xludf.DUMMYFUNCTION("GOOGLETRANSLATE(B908,""en"",""zh-CN"")"),"\ UF060")</f>
        <v>\ UF060</v>
      </c>
      <c r="E908" s="1" t="str">
        <f ca="1">IFERROR(__xludf.DUMMYFUNCTION("GOOGLETRANSLATE(B908,""en"",""ja"")"),"\ uf060")</f>
        <v>\ uf060</v>
      </c>
      <c r="F908" s="1" t="str">
        <f ca="1">IFERROR(__xludf.DUMMYFUNCTION("GOOGLETRANSLATE(B908,""en"",""fr"")"),"\ uf060")</f>
        <v>\ uf060</v>
      </c>
    </row>
    <row r="909" spans="1:6" ht="15.75" customHeight="1" x14ac:dyDescent="0.25">
      <c r="A909" s="1" t="s">
        <v>1712</v>
      </c>
      <c r="B909" s="1" t="s">
        <v>1711</v>
      </c>
      <c r="C909" s="1" t="str">
        <f ca="1">IFERROR(__xludf.DUMMYFUNCTION("GOOGLETRANSLATE(B909,""en"",""ar"")"),"\ uf060.")</f>
        <v>\ uf060.</v>
      </c>
      <c r="D909" s="1" t="str">
        <f ca="1">IFERROR(__xludf.DUMMYFUNCTION("GOOGLETRANSLATE(B909,""en"",""zh-CN"")"),"\ UF060")</f>
        <v>\ UF060</v>
      </c>
      <c r="E909" s="1" t="str">
        <f ca="1">IFERROR(__xludf.DUMMYFUNCTION("GOOGLETRANSLATE(B909,""en"",""ja"")"),"\ uf060")</f>
        <v>\ uf060</v>
      </c>
      <c r="F909" s="1" t="str">
        <f ca="1">IFERROR(__xludf.DUMMYFUNCTION("GOOGLETRANSLATE(B909,""en"",""fr"")"),"\ uf060")</f>
        <v>\ uf060</v>
      </c>
    </row>
    <row r="910" spans="1:6" ht="15.75" customHeight="1" x14ac:dyDescent="0.25">
      <c r="A910" s="1" t="s">
        <v>1713</v>
      </c>
      <c r="B910" s="1" t="s">
        <v>1714</v>
      </c>
      <c r="C910" s="1" t="str">
        <f ca="1">IFERROR(__xludf.DUMMYFUNCTION("GOOGLETRANSLATE(B910,""en"",""ar"")"),"\ uf058.")</f>
        <v>\ uf058.</v>
      </c>
      <c r="D910" s="1" t="str">
        <f ca="1">IFERROR(__xludf.DUMMYFUNCTION("GOOGLETRANSLATE(B910,""en"",""zh-CN"")"),"\ UF058.")</f>
        <v>\ UF058.</v>
      </c>
      <c r="E910" s="1" t="str">
        <f ca="1">IFERROR(__xludf.DUMMYFUNCTION("GOOGLETRANSLATE(B910,""en"",""ja"")"),"\ uf058.")</f>
        <v>\ uf058.</v>
      </c>
      <c r="F910" s="1" t="str">
        <f ca="1">IFERROR(__xludf.DUMMYFUNCTION("GOOGLETRANSLATE(B910,""en"",""fr"")"),"\ uf058")</f>
        <v>\ uf058</v>
      </c>
    </row>
    <row r="911" spans="1:6" ht="15.75" customHeight="1" x14ac:dyDescent="0.25">
      <c r="A911" s="1" t="s">
        <v>1715</v>
      </c>
      <c r="B911" s="1" t="s">
        <v>1388</v>
      </c>
      <c r="C911" s="1" t="str">
        <f ca="1">IFERROR(__xludf.DUMMYFUNCTION("GOOGLETRANSLATE(B911,""en"",""ar"")"),"فعله")</f>
        <v>فعله</v>
      </c>
      <c r="D911" s="1" t="str">
        <f ca="1">IFERROR(__xludf.DUMMYFUNCTION("GOOGLETRANSLATE(B911,""en"",""zh-CN"")"),"完毕")</f>
        <v>完毕</v>
      </c>
      <c r="E911" s="1" t="str">
        <f ca="1">IFERROR(__xludf.DUMMYFUNCTION("GOOGLETRANSLATE(B911,""en"",""ja"")"),"終わり")</f>
        <v>終わり</v>
      </c>
      <c r="F911" s="1" t="str">
        <f ca="1">IFERROR(__xludf.DUMMYFUNCTION("GOOGLETRANSLATE(B911,""en"",""fr"")"),"Fait")</f>
        <v>Fait</v>
      </c>
    </row>
    <row r="912" spans="1:6" ht="15.75" customHeight="1" x14ac:dyDescent="0.25">
      <c r="A912" s="1" t="s">
        <v>1716</v>
      </c>
      <c r="B912" s="1" t="s">
        <v>1717</v>
      </c>
      <c r="C912" s="1" t="str">
        <f ca="1">IFERROR(__xludf.DUMMYFUNCTION("GOOGLETRANSLATE(B912,""en"",""ar"")"),"اختر السعر")</f>
        <v>اختر السعر</v>
      </c>
      <c r="D912" s="1" t="str">
        <f ca="1">IFERROR(__xludf.DUMMYFUNCTION("GOOGLETRANSLATE(B912,""en"",""zh-CN"")"),"选择价格")</f>
        <v>选择价格</v>
      </c>
      <c r="E912" s="1" t="str">
        <f ca="1">IFERROR(__xludf.DUMMYFUNCTION("GOOGLETRANSLATE(B912,""en"",""ja"")"),"価格を選択してください")</f>
        <v>価格を選択してください</v>
      </c>
      <c r="F912" s="1" t="str">
        <f ca="1">IFERROR(__xludf.DUMMYFUNCTION("GOOGLETRANSLATE(B912,""en"",""fr"")"),"Sélectionner le prix")</f>
        <v>Sélectionner le prix</v>
      </c>
    </row>
    <row r="913" spans="1:6" ht="15.75" customHeight="1" x14ac:dyDescent="0.25">
      <c r="A913" s="1" t="s">
        <v>1718</v>
      </c>
      <c r="B913" s="1" t="s">
        <v>1719</v>
      </c>
      <c r="C913" s="1" t="str">
        <f ca="1">IFERROR(__xludf.DUMMYFUNCTION("GOOGLETRANSLATE(B913,""en"",""ar"")"),"في اليد الكمية")</f>
        <v>في اليد الكمية</v>
      </c>
      <c r="D913" s="1" t="str">
        <f ca="1">IFERROR(__xludf.DUMMYFUNCTION("GOOGLETRANSLATE(B913,""en"",""zh-CN"")"),"在努力")</f>
        <v>在努力</v>
      </c>
      <c r="E913" s="1" t="str">
        <f ca="1">IFERROR(__xludf.DUMMYFUNCTION("GOOGLETRANSLATE(B913,""en"",""ja"")"),"手で金曜日に")</f>
        <v>手で金曜日に</v>
      </c>
      <c r="F913" s="1" t="str">
        <f ca="1">IFERROR(__xludf.DUMMYFUNCTION("GOOGLETRANSLATE(B913,""en"",""fr"")"),"Qté dans la main")</f>
        <v>Qté dans la main</v>
      </c>
    </row>
    <row r="914" spans="1:6" ht="15.75" customHeight="1" x14ac:dyDescent="0.25">
      <c r="A914" s="1" t="s">
        <v>1720</v>
      </c>
      <c r="B914" s="1" t="s">
        <v>1721</v>
      </c>
      <c r="C914" s="1" t="str">
        <f ca="1">IFERROR(__xludf.DUMMYFUNCTION("GOOGLETRANSLATE(B914,""en"",""ar"")"),"سعر الوحدة")</f>
        <v>سعر الوحدة</v>
      </c>
      <c r="D914" s="1" t="str">
        <f ca="1">IFERROR(__xludf.DUMMYFUNCTION("GOOGLETRANSLATE(B914,""en"",""zh-CN"")"),"单价")</f>
        <v>单价</v>
      </c>
      <c r="E914" s="1" t="str">
        <f ca="1">IFERROR(__xludf.DUMMYFUNCTION("GOOGLETRANSLATE(B914,""en"",""ja"")"),"単価")</f>
        <v>単価</v>
      </c>
      <c r="F914" s="1" t="str">
        <f ca="1">IFERROR(__xludf.DUMMYFUNCTION("GOOGLETRANSLATE(B914,""en"",""fr"")"),"Prix ​​unitaire")</f>
        <v>Prix ​​unitaire</v>
      </c>
    </row>
    <row r="915" spans="1:6" ht="15.75" customHeight="1" x14ac:dyDescent="0.25">
      <c r="A915" s="1" t="s">
        <v>1722</v>
      </c>
      <c r="B915" s="1" t="s">
        <v>1723</v>
      </c>
      <c r="C915" s="1" t="str">
        <f ca="1">IFERROR(__xludf.DUMMYFUNCTION("GOOGLETRANSLATE(B915,""en"",""ar"")"),"جهازك غير متصل بطابعة Bluetooth، قم بإقران الجهاز")</f>
        <v>جهازك غير متصل بطابعة Bluetooth، قم بإقران الجهاز</v>
      </c>
      <c r="D915" s="1" t="str">
        <f ca="1">IFERROR(__xludf.DUMMYFUNCTION("GOOGLETRANSLATE(B915,""en"",""zh-CN"")"),"您的设备未连接到蓝牙打印机，配对设备")</f>
        <v>您的设备未连接到蓝牙打印机，配对设备</v>
      </c>
      <c r="E915" s="1" t="str">
        <f ca="1">IFERROR(__xludf.DUMMYFUNCTION("GOOGLETRANSLATE(B915,""en"",""ja"")"),"デバイスはBluetoothプリンタに接続されていない、デバイスをペアにします")</f>
        <v>デバイスはBluetoothプリンタに接続されていない、デバイスをペアにします</v>
      </c>
      <c r="F915" s="1" t="str">
        <f ca="1">IFERROR(__xludf.DUMMYFUNCTION("GOOGLETRANSLATE(B915,""en"",""fr"")"),"Votre appareil n'est pas connecté à l'imprimante Bluetooth, associez le périphérique")</f>
        <v>Votre appareil n'est pas connecté à l'imprimante Bluetooth, associez le périphérique</v>
      </c>
    </row>
    <row r="916" spans="1:6" ht="15.75" customHeight="1" x14ac:dyDescent="0.25">
      <c r="A916" s="1" t="s">
        <v>1724</v>
      </c>
      <c r="B916" s="1" t="s">
        <v>1725</v>
      </c>
      <c r="C916" s="1" t="str">
        <f ca="1">IFERROR(__xludf.DUMMYFUNCTION("GOOGLETRANSLATE(B916,""en"",""ar"")"),"جهازك غير متصل بطابعة Bluetooth، أو إذا تم إقرانه، فحاول مع نموذج طابعة آخر")</f>
        <v>جهازك غير متصل بطابعة Bluetooth، أو إذا تم إقرانه، فحاول مع نموذج طابعة آخر</v>
      </c>
      <c r="D916" s="1" t="str">
        <f ca="1">IFERROR(__xludf.DUMMYFUNCTION("GOOGLETRANSLATE(B916,""en"",""zh-CN"")"),"您的设备未连接到蓝牙打印机，或者如果它是配对的另一种打印机模型")</f>
        <v>您的设备未连接到蓝牙打印机，或者如果它是配对的另一种打印机模型</v>
      </c>
      <c r="E916" s="1" t="str">
        <f ca="1">IFERROR(__xludf.DUMMYFUNCTION("GOOGLETRANSLATE(B916,""en"",""ja"")"),"デバイスはBluetoothプリンタに接続されていないか、ペアリングされている場合は、別のプリンタモデルで試してください。")</f>
        <v>デバイスはBluetoothプリンタに接続されていないか、ペアリングされている場合は、別のプリンタモデルで試してください。</v>
      </c>
      <c r="F916" s="1" t="str">
        <f ca="1">IFERROR(__xludf.DUMMYFUNCTION("GOOGLETRANSLATE(B916,""en"",""fr"")"),"Votre appareil n'est pas connecté à l'imprimante Bluetooth ou si elle est associée, essayez avec un autre modèle d'imprimante.")</f>
        <v>Votre appareil n'est pas connecté à l'imprimante Bluetooth ou si elle est associée, essayez avec un autre modèle d'imprimante.</v>
      </c>
    </row>
    <row r="917" spans="1:6" ht="15.75" customHeight="1" x14ac:dyDescent="0.25">
      <c r="A917" s="1" t="s">
        <v>1726</v>
      </c>
      <c r="B917" s="1" t="s">
        <v>1727</v>
      </c>
      <c r="C917" s="1" t="str">
        <f ca="1">IFERROR(__xludf.DUMMYFUNCTION("GOOGLETRANSLATE(B917,""en"",""ar"")"),"جهازك غير متصل بطابعة USB، متصلة الجهاز")</f>
        <v>جهازك غير متصل بطابعة USB، متصلة الجهاز</v>
      </c>
      <c r="D917" s="1" t="str">
        <f ca="1">IFERROR(__xludf.DUMMYFUNCTION("GOOGLETRANSLATE(B917,""en"",""zh-CN"")"),"您的设备未连接到USB打印机，连接设备")</f>
        <v>您的设备未连接到USB打印机，连接设备</v>
      </c>
      <c r="E917" s="1" t="str">
        <f ca="1">IFERROR(__xludf.DUMMYFUNCTION("GOOGLETRANSLATE(B917,""en"",""ja"")"),"デバイスはUSBプリンタに接続されていない、デバイスを接続していません。")</f>
        <v>デバイスはUSBプリンタに接続されていない、デバイスを接続していません。</v>
      </c>
      <c r="F917" s="1" t="str">
        <f ca="1">IFERROR(__xludf.DUMMYFUNCTION("GOOGLETRANSLATE(B917,""en"",""fr"")"),"Votre appareil n'est pas connecté à l'imprimante USB, connecté le périphérique.")</f>
        <v>Votre appareil n'est pas connecté à l'imprimante USB, connecté le périphérique.</v>
      </c>
    </row>
    <row r="918" spans="1:6" ht="15.75" customHeight="1" x14ac:dyDescent="0.25">
      <c r="A918" s="1" t="s">
        <v>1728</v>
      </c>
      <c r="B918" s="1" t="s">
        <v>1729</v>
      </c>
      <c r="C918" s="1" t="str">
        <f ca="1">IFERROR(__xludf.DUMMYFUNCTION("GOOGLETRANSLATE(B918,""en"",""ar"")"),"جهازك غير متصل بطابعة USB، أو إذا كان متصلا، فحاول مع نموذج طابعة آخر")</f>
        <v>جهازك غير متصل بطابعة USB، أو إذا كان متصلا، فحاول مع نموذج طابعة آخر</v>
      </c>
      <c r="D918" s="1" t="str">
        <f ca="1">IFERROR(__xludf.DUMMYFUNCTION("GOOGLETRANSLATE(B918,""en"",""zh-CN"")"),"您的设备未连接到USB打印机，或者如果它连接尝试其他打印机型号")</f>
        <v>您的设备未连接到USB打印机，或者如果它连接尝试其他打印机型号</v>
      </c>
      <c r="E918" s="1" t="str">
        <f ca="1">IFERROR(__xludf.DUMMYFUNCTION("GOOGLETRANSLATE(B918,""en"",""ja"")"),"あなたのデバイスはUSBプリンタに接続されていないか、別のプリンタモデルで接続されている場合")</f>
        <v>あなたのデバイスはUSBプリンタに接続されていないか、別のプリンタモデルで接続されている場合</v>
      </c>
      <c r="F918" s="1" t="str">
        <f ca="1">IFERROR(__xludf.DUMMYFUNCTION("GOOGLETRANSLATE(B918,""en"",""fr"")"),"Votre appareil n'est pas connecté à l'imprimante USB ou s'il est connecté, essayez avec un autre modèle d'imprimante.")</f>
        <v>Votre appareil n'est pas connecté à l'imprimante USB ou s'il est connecté, essayez avec un autre modèle d'imprimante.</v>
      </c>
    </row>
    <row r="919" spans="1:6" ht="15.75" customHeight="1" x14ac:dyDescent="0.25">
      <c r="A919" s="1" t="s">
        <v>1730</v>
      </c>
      <c r="B919" s="1" t="s">
        <v>1731</v>
      </c>
      <c r="C919" s="1" t="str">
        <f ca="1">IFERROR(__xludf.DUMMYFUNCTION("GOOGLETRANSLATE(B919,""en"",""ar"")"),"تغيير رمز الصورة")</f>
        <v>تغيير رمز الصورة</v>
      </c>
      <c r="D919" s="1" t="str">
        <f ca="1">IFERROR(__xludf.DUMMYFUNCTION("GOOGLETRANSLATE(B919,""en"",""zh-CN"")"),"更改图像图标")</f>
        <v>更改图像图标</v>
      </c>
      <c r="E919" s="1" t="str">
        <f ca="1">IFERROR(__xludf.DUMMYFUNCTION("GOOGLETRANSLATE(B919,""en"",""ja"")"),"画像アイコンを変更します")</f>
        <v>画像アイコンを変更します</v>
      </c>
      <c r="F919" s="1" t="str">
        <f ca="1">IFERROR(__xludf.DUMMYFUNCTION("GOOGLETRANSLATE(B919,""en"",""fr"")"),"Changer l'icône de l'image")</f>
        <v>Changer l'icône de l'image</v>
      </c>
    </row>
    <row r="920" spans="1:6" ht="15.75" customHeight="1" x14ac:dyDescent="0.25">
      <c r="A920" s="1" t="s">
        <v>1732</v>
      </c>
      <c r="B920" s="1" t="s">
        <v>1733</v>
      </c>
      <c r="C920" s="1" t="str">
        <f ca="1">IFERROR(__xludf.DUMMYFUNCTION("GOOGLETRANSLATE(B920,""en"",""ar"")"),"إضافة رمز الصورة")</f>
        <v>إضافة رمز الصورة</v>
      </c>
      <c r="D920" s="1" t="str">
        <f ca="1">IFERROR(__xludf.DUMMYFUNCTION("GOOGLETRANSLATE(B920,""en"",""zh-CN"")"),"添加图像图标")</f>
        <v>添加图像图标</v>
      </c>
      <c r="E920" s="1" t="str">
        <f ca="1">IFERROR(__xludf.DUMMYFUNCTION("GOOGLETRANSLATE(B920,""en"",""ja"")"),"イメージアイコンを追加してください")</f>
        <v>イメージアイコンを追加してください</v>
      </c>
      <c r="F920" s="1" t="str">
        <f ca="1">IFERROR(__xludf.DUMMYFUNCTION("GOOGLETRANSLATE(B920,""en"",""fr"")"),"Ajouter une icône d'image")</f>
        <v>Ajouter une icône d'image</v>
      </c>
    </row>
    <row r="921" spans="1:6" ht="15.75" customHeight="1" x14ac:dyDescent="0.25">
      <c r="A921" s="1" t="s">
        <v>1734</v>
      </c>
      <c r="B921" s="1" t="s">
        <v>1735</v>
      </c>
      <c r="C921" s="1" t="str">
        <f ca="1">IFERROR(__xludf.DUMMYFUNCTION("GOOGLETRANSLATE(B921,""en"",""ar"")"),"هل أنت متأكد أنك تريد تغيير الصورة؟")</f>
        <v>هل أنت متأكد أنك تريد تغيير الصورة؟</v>
      </c>
      <c r="D921" s="1" t="str">
        <f ca="1">IFERROR(__xludf.DUMMYFUNCTION("GOOGLETRANSLATE(B921,""en"",""zh-CN"")"),"您确定要更改图像吗？")</f>
        <v>您确定要更改图像吗？</v>
      </c>
      <c r="E921" s="1" t="str">
        <f ca="1">IFERROR(__xludf.DUMMYFUNCTION("GOOGLETRANSLATE(B921,""en"",""ja"")"),"イメージを変更しますか？")</f>
        <v>イメージを変更しますか？</v>
      </c>
      <c r="F921" s="1" t="str">
        <f ca="1">IFERROR(__xludf.DUMMYFUNCTION("GOOGLETRANSLATE(B921,""en"",""fr"")"),"Êtes-vous sûr de vouloir changer l'image?")</f>
        <v>Êtes-vous sûr de vouloir changer l'image?</v>
      </c>
    </row>
    <row r="922" spans="1:6" ht="15.75" customHeight="1" x14ac:dyDescent="0.25">
      <c r="A922" s="1" t="s">
        <v>1736</v>
      </c>
      <c r="B922" s="1" t="s">
        <v>1737</v>
      </c>
      <c r="C922" s="1" t="str">
        <f ca="1">IFERROR(__xludf.DUMMYFUNCTION("GOOGLETRANSLATE(B922,""en"",""ar"")"),"هل أنت متأكد أنك تريد إضافة هذه الصورة؟")</f>
        <v>هل أنت متأكد أنك تريد إضافة هذه الصورة؟</v>
      </c>
      <c r="D922" s="1" t="str">
        <f ca="1">IFERROR(__xludf.DUMMYFUNCTION("GOOGLETRANSLATE(B922,""en"",""zh-CN"")"),"您确定要添加此图片吗？")</f>
        <v>您确定要添加此图片吗？</v>
      </c>
      <c r="E922" s="1" t="str">
        <f ca="1">IFERROR(__xludf.DUMMYFUNCTION("GOOGLETRANSLATE(B922,""en"",""ja"")"),"このイメージを追加してよろしいですか？")</f>
        <v>このイメージを追加してよろしいですか？</v>
      </c>
      <c r="F922" s="1" t="str">
        <f ca="1">IFERROR(__xludf.DUMMYFUNCTION("GOOGLETRANSLATE(B922,""en"",""fr"")"),"Êtes-vous sûr de vouloir ajouter cette image?")</f>
        <v>Êtes-vous sûr de vouloir ajouter cette image?</v>
      </c>
    </row>
    <row r="923" spans="1:6" ht="15.75" customHeight="1" x14ac:dyDescent="0.25">
      <c r="A923" s="1" t="s">
        <v>1738</v>
      </c>
      <c r="B923" s="1" t="s">
        <v>753</v>
      </c>
      <c r="C923" s="1" t="str">
        <f ca="1">IFERROR(__xludf.DUMMYFUNCTION("GOOGLETRANSLATE(B923,""en"",""ar"")"),"رسوم الاسم")</f>
        <v>رسوم الاسم</v>
      </c>
      <c r="D923" s="1" t="str">
        <f ca="1">IFERROR(__xludf.DUMMYFUNCTION("GOOGLETRANSLATE(B923,""en"",""zh-CN"")"),"收费名称")</f>
        <v>收费名称</v>
      </c>
      <c r="E923" s="1" t="str">
        <f ca="1">IFERROR(__xludf.DUMMYFUNCTION("GOOGLETRANSLATE(B923,""en"",""ja"")"),"料金の名前")</f>
        <v>料金の名前</v>
      </c>
      <c r="F923" s="1" t="str">
        <f ca="1">IFERROR(__xludf.DUMMYFUNCTION("GOOGLETRANSLATE(B923,""en"",""fr"")"),"Nom chargé")</f>
        <v>Nom chargé</v>
      </c>
    </row>
    <row r="924" spans="1:6" ht="15.75" customHeight="1" x14ac:dyDescent="0.25">
      <c r="A924" s="1" t="s">
        <v>1739</v>
      </c>
      <c r="B924" s="1" t="s">
        <v>991</v>
      </c>
      <c r="C924" s="1" t="str">
        <f ca="1">IFERROR(__xludf.DUMMYFUNCTION("GOOGLETRANSLATE(B924,""en"",""ar"")"),"قيمة")</f>
        <v>قيمة</v>
      </c>
      <c r="D924" s="1" t="str">
        <f ca="1">IFERROR(__xludf.DUMMYFUNCTION("GOOGLETRANSLATE(B924,""en"",""zh-CN"")"),"价值")</f>
        <v>价值</v>
      </c>
      <c r="E924" s="1" t="str">
        <f ca="1">IFERROR(__xludf.DUMMYFUNCTION("GOOGLETRANSLATE(B924,""en"",""ja"")"),"価値")</f>
        <v>価値</v>
      </c>
      <c r="F924" s="1" t="str">
        <f ca="1">IFERROR(__xludf.DUMMYFUNCTION("GOOGLETRANSLATE(B924,""en"",""fr"")"),"Valeur")</f>
        <v>Valeur</v>
      </c>
    </row>
    <row r="925" spans="1:6" ht="15.75" customHeight="1" x14ac:dyDescent="0.25">
      <c r="A925" s="1" t="s">
        <v>1740</v>
      </c>
      <c r="B925" s="1" t="s">
        <v>839</v>
      </c>
      <c r="C925" s="1" t="str">
        <f ca="1">IFERROR(__xludf.DUMMYFUNCTION("GOOGLETRANSLATE(B925,""en"",""ar"")"),"يتقدم")</f>
        <v>يتقدم</v>
      </c>
      <c r="D925" s="1" t="str">
        <f ca="1">IFERROR(__xludf.DUMMYFUNCTION("GOOGLETRANSLATE(B925,""en"",""zh-CN"")"),"申请")</f>
        <v>申请</v>
      </c>
      <c r="E925" s="1" t="str">
        <f ca="1">IFERROR(__xludf.DUMMYFUNCTION("GOOGLETRANSLATE(B925,""en"",""ja"")"),"申し込み")</f>
        <v>申し込み</v>
      </c>
      <c r="F925" s="1" t="str">
        <f ca="1">IFERROR(__xludf.DUMMYFUNCTION("GOOGLETRANSLATE(B925,""en"",""fr"")"),"Appliquer")</f>
        <v>Appliquer</v>
      </c>
    </row>
    <row r="926" spans="1:6" ht="15.75" customHeight="1" x14ac:dyDescent="0.25">
      <c r="A926" s="1" t="s">
        <v>1741</v>
      </c>
      <c r="B926" s="1" t="s">
        <v>1742</v>
      </c>
      <c r="C926" s="1" t="str">
        <f ca="1">IFERROR(__xludf.DUMMYFUNCTION("GOOGLETRANSLATE(B926,""en"",""ar"")"),"حدد طابعة نموذج")</f>
        <v>حدد طابعة نموذج</v>
      </c>
      <c r="D926" s="1" t="str">
        <f ca="1">IFERROR(__xludf.DUMMYFUNCTION("GOOGLETRANSLATE(B926,""en"",""zh-CN"")"),"选择打印机型号")</f>
        <v>选择打印机型号</v>
      </c>
      <c r="E926" s="1" t="str">
        <f ca="1">IFERROR(__xludf.DUMMYFUNCTION("GOOGLETRANSLATE(B926,""en"",""ja"")"),"プリンタモデルを選択してください")</f>
        <v>プリンタモデルを選択してください</v>
      </c>
      <c r="F926" s="1" t="str">
        <f ca="1">IFERROR(__xludf.DUMMYFUNCTION("GOOGLETRANSLATE(B926,""en"",""fr"")"),"Sélectionnez le modèle d'imprimante")</f>
        <v>Sélectionnez le modèle d'imprimante</v>
      </c>
    </row>
    <row r="927" spans="1:6" ht="15.75" customHeight="1" x14ac:dyDescent="0.25">
      <c r="A927" s="1" t="s">
        <v>1743</v>
      </c>
      <c r="B927" s="1" t="s">
        <v>1744</v>
      </c>
      <c r="C927" s="1" t="str">
        <f ca="1">IFERROR(__xludf.DUMMYFUNCTION("GOOGLETRANSLATE(B927,""en"",""ar"")"),"توجيه")</f>
        <v>توجيه</v>
      </c>
      <c r="D927" s="1" t="str">
        <f ca="1">IFERROR(__xludf.DUMMYFUNCTION("GOOGLETRANSLATE(B927,""en"",""zh-CN"")"),"方向")</f>
        <v>方向</v>
      </c>
      <c r="E927" s="1" t="str">
        <f ca="1">IFERROR(__xludf.DUMMYFUNCTION("GOOGLETRANSLATE(B927,""en"",""ja"")"),"オリエンテーション")</f>
        <v>オリエンテーション</v>
      </c>
      <c r="F927" s="1" t="str">
        <f ca="1">IFERROR(__xludf.DUMMYFUNCTION("GOOGLETRANSLATE(B927,""en"",""fr"")"),"Orientation")</f>
        <v>Orientation</v>
      </c>
    </row>
    <row r="928" spans="1:6" ht="15.75" customHeight="1" x14ac:dyDescent="0.25">
      <c r="A928" s="1" t="s">
        <v>1745</v>
      </c>
      <c r="B928" s="1" t="s">
        <v>702</v>
      </c>
      <c r="C928" s="1" t="str">
        <f ca="1">IFERROR(__xludf.DUMMYFUNCTION("GOOGLETRANSLATE(B928,""en"",""ar"")"),"عنوان البريد الإلكتروني غير صالح")</f>
        <v>عنوان البريد الإلكتروني غير صالح</v>
      </c>
      <c r="D928" s="1" t="str">
        <f ca="1">IFERROR(__xludf.DUMMYFUNCTION("GOOGLETRANSLATE(B928,""en"",""zh-CN"")"),"无效的邮件地址")</f>
        <v>无效的邮件地址</v>
      </c>
      <c r="E928" s="1" t="str">
        <f ca="1">IFERROR(__xludf.DUMMYFUNCTION("GOOGLETRANSLATE(B928,""en"",""ja"")"),"無効なメールアドレス")</f>
        <v>無効なメールアドレス</v>
      </c>
      <c r="F928" s="1" t="str">
        <f ca="1">IFERROR(__xludf.DUMMYFUNCTION("GOOGLETRANSLATE(B928,""en"",""fr"")"),"Adresse e-mail invalide")</f>
        <v>Adresse e-mail invalide</v>
      </c>
    </row>
    <row r="929" spans="1:6" ht="15.75" customHeight="1" x14ac:dyDescent="0.25">
      <c r="A929" s="1" t="s">
        <v>1746</v>
      </c>
      <c r="B929" s="1" t="s">
        <v>1746</v>
      </c>
      <c r="C929" s="1" t="str">
        <f ca="1">IFERROR(__xludf.DUMMYFUNCTION("GOOGLETRANSLATE(B929,""en"",""ar"")"),"غير ضروري")</f>
        <v>غير ضروري</v>
      </c>
      <c r="D929" s="1" t="str">
        <f ca="1">IFERROR(__xludf.DUMMYFUNCTION("GOOGLETRANSLATE(B929,""en"",""zh-CN"")"),"不良")</f>
        <v>不良</v>
      </c>
      <c r="E929" s="1" t="str">
        <f ca="1">IFERROR(__xludf.DUMMYFUNCTION("GOOGLETRANSLATE(B929,""en"",""ja"")"),"ynced")</f>
        <v>ynced</v>
      </c>
      <c r="F929" s="1" t="str">
        <f ca="1">IFERROR(__xludf.DUMMYFUNCTION("GOOGLETRANSLATE(B929,""en"",""fr"")"),"non calculé")</f>
        <v>non calculé</v>
      </c>
    </row>
    <row r="930" spans="1:6" ht="15.75" customHeight="1" x14ac:dyDescent="0.25">
      <c r="A930" s="1" t="s">
        <v>1747</v>
      </c>
      <c r="B930" s="1" t="s">
        <v>1748</v>
      </c>
      <c r="C930" s="1" t="str">
        <f ca="1">IFERROR(__xludf.DUMMYFUNCTION("GOOGLETRANSLATE(B930,""en"",""ar"")"),"إعادة إرسال البريد الإلكتروني")</f>
        <v>إعادة إرسال البريد الإلكتروني</v>
      </c>
      <c r="D930" s="1" t="str">
        <f ca="1">IFERROR(__xludf.DUMMYFUNCTION("GOOGLETRANSLATE(B930,""en"",""zh-CN"")"),"重发电子邮件")</f>
        <v>重发电子邮件</v>
      </c>
      <c r="E930" s="1" t="str">
        <f ca="1">IFERROR(__xludf.DUMMYFUNCTION("GOOGLETRANSLATE(B930,""en"",""ja"")"),"メールを再送")</f>
        <v>メールを再送</v>
      </c>
      <c r="F930" s="1" t="str">
        <f ca="1">IFERROR(__xludf.DUMMYFUNCTION("GOOGLETRANSLATE(B930,""en"",""fr"")"),"Ré-envoyer l'email")</f>
        <v>Ré-envoyer l'email</v>
      </c>
    </row>
    <row r="931" spans="1:6" ht="15.75" customHeight="1" x14ac:dyDescent="0.25">
      <c r="A931" s="1" t="s">
        <v>1749</v>
      </c>
      <c r="B931" s="1" t="s">
        <v>1750</v>
      </c>
      <c r="C931" s="1" t="str">
        <f ca="1">IFERROR(__xludf.DUMMYFUNCTION("GOOGLETRANSLATE(B931,""en"",""ar"")"),"إعادة إرسال إيصال البريد الإلكتروني")</f>
        <v>إعادة إرسال إيصال البريد الإلكتروني</v>
      </c>
      <c r="D931" s="1" t="str">
        <f ca="1">IFERROR(__xludf.DUMMYFUNCTION("GOOGLETRANSLATE(B931,""en"",""zh-CN"")"),"重新发送电子邮件收据")</f>
        <v>重新发送电子邮件收据</v>
      </c>
      <c r="E931" s="1" t="str">
        <f ca="1">IFERROR(__xludf.DUMMYFUNCTION("GOOGLETRANSLATE(B931,""en"",""ja"")"),"電子メールレシートを再送信します")</f>
        <v>電子メールレシートを再送信します</v>
      </c>
      <c r="F931" s="1" t="str">
        <f ca="1">IFERROR(__xludf.DUMMYFUNCTION("GOOGLETRANSLATE(B931,""en"",""fr"")"),"Renvoyer la réception par courrier électronique")</f>
        <v>Renvoyer la réception par courrier électronique</v>
      </c>
    </row>
    <row r="932" spans="1:6" ht="15.75" customHeight="1" x14ac:dyDescent="0.25">
      <c r="A932" s="1" t="s">
        <v>1751</v>
      </c>
      <c r="B932" s="1" t="s">
        <v>1752</v>
      </c>
      <c r="C932" s="1" t="str">
        <f ca="1">IFERROR(__xludf.DUMMYFUNCTION("GOOGLETRANSLATE(B932,""en"",""ar"")"),"منتجات")</f>
        <v>منتجات</v>
      </c>
      <c r="D932" s="1" t="str">
        <f ca="1">IFERROR(__xludf.DUMMYFUNCTION("GOOGLETRANSLATE(B932,""en"",""zh-CN"")"),"产品")</f>
        <v>产品</v>
      </c>
      <c r="E932" s="1" t="str">
        <f ca="1">IFERROR(__xludf.DUMMYFUNCTION("GOOGLETRANSLATE(B932,""en"",""ja"")"),"製品")</f>
        <v>製品</v>
      </c>
      <c r="F932" s="1" t="str">
        <f ca="1">IFERROR(__xludf.DUMMYFUNCTION("GOOGLETRANSLATE(B932,""en"",""fr"")"),"Des produits")</f>
        <v>Des produits</v>
      </c>
    </row>
    <row r="933" spans="1:6" ht="15.75" customHeight="1" x14ac:dyDescent="0.25">
      <c r="A933" s="1" t="s">
        <v>1753</v>
      </c>
      <c r="B933" s="1" t="s">
        <v>1754</v>
      </c>
      <c r="C933" s="1" t="str">
        <f ca="1">IFERROR(__xludf.DUMMYFUNCTION("GOOGLETRANSLATE(B933,""en"",""ar"")"),"بدء بيع جديد")</f>
        <v>بدء بيع جديد</v>
      </c>
      <c r="D933" s="1" t="str">
        <f ca="1">IFERROR(__xludf.DUMMYFUNCTION("GOOGLETRANSLATE(B933,""en"",""zh-CN"")"),"开始新出售")</f>
        <v>开始新出售</v>
      </c>
      <c r="E933" s="1" t="str">
        <f ca="1">IFERROR(__xludf.DUMMYFUNCTION("GOOGLETRANSLATE(B933,""en"",""ja"")"),"新セールを開始しました")</f>
        <v>新セールを開始しました</v>
      </c>
      <c r="F933" s="1" t="str">
        <f ca="1">IFERROR(__xludf.DUMMYFUNCTION("GOOGLETRANSLATE(B933,""en"",""fr"")"),"Démarrer une nouvelle vente")</f>
        <v>Démarrer une nouvelle vente</v>
      </c>
    </row>
    <row r="934" spans="1:6" ht="15.75" customHeight="1" x14ac:dyDescent="0.25">
      <c r="A934" s="1" t="s">
        <v>1755</v>
      </c>
      <c r="B934" s="1" t="s">
        <v>1756</v>
      </c>
      <c r="C934" s="1" t="str">
        <f ca="1">IFERROR(__xludf.DUMMYFUNCTION("GOOGLETRANSLATE(B934,""en"",""ar"")"),"استلام ملخص")</f>
        <v>استلام ملخص</v>
      </c>
      <c r="D934" s="1" t="str">
        <f ca="1">IFERROR(__xludf.DUMMYFUNCTION("GOOGLETRANSLATE(B934,""en"",""zh-CN"")"),"收据摘要")</f>
        <v>收据摘要</v>
      </c>
      <c r="E934" s="1" t="str">
        <f ca="1">IFERROR(__xludf.DUMMYFUNCTION("GOOGLETRANSLATE(B934,""en"",""ja"")"),"領収書の概要")</f>
        <v>領収書の概要</v>
      </c>
      <c r="F934" s="1" t="str">
        <f ca="1">IFERROR(__xludf.DUMMYFUNCTION("GOOGLETRANSLATE(B934,""en"",""fr"")"),"Résumé de la réception")</f>
        <v>Résumé de la réception</v>
      </c>
    </row>
    <row r="935" spans="1:6" ht="15.75" customHeight="1" x14ac:dyDescent="0.25">
      <c r="A935" s="1" t="s">
        <v>1757</v>
      </c>
      <c r="B935" s="1" t="s">
        <v>1758</v>
      </c>
      <c r="C935" s="1" t="str">
        <f ca="1">IFERROR(__xludf.DUMMYFUNCTION("GOOGLETRANSLATE(B935,""en"",""ar"")"),"لا يوجد منتج أو الأسهم الأولي المتاحة")</f>
        <v>لا يوجد منتج أو الأسهم الأولي المتاحة</v>
      </c>
      <c r="D935" s="1" t="str">
        <f ca="1">IFERROR(__xludf.DUMMYFUNCTION("GOOGLETRANSLATE(B935,""en"",""zh-CN"")"),"没有产品或初始股票可用")</f>
        <v>没有产品或初始股票可用</v>
      </c>
      <c r="E935" s="1" t="str">
        <f ca="1">IFERROR(__xludf.DUMMYFUNCTION("GOOGLETRANSLATE(B935,""en"",""ja"")"),"利用可能な製品や初期在庫はありません")</f>
        <v>利用可能な製品や初期在庫はありません</v>
      </c>
      <c r="F935" s="1" t="str">
        <f ca="1">IFERROR(__xludf.DUMMYFUNCTION("GOOGLETRANSLATE(B935,""en"",""fr"")"),"Aucun produit ou stock initial disponible")</f>
        <v>Aucun produit ou stock initial disponible</v>
      </c>
    </row>
    <row r="936" spans="1:6" ht="15.75" customHeight="1" x14ac:dyDescent="0.25">
      <c r="A936" s="1" t="s">
        <v>1759</v>
      </c>
      <c r="B936" s="1" t="s">
        <v>1760</v>
      </c>
      <c r="C936" s="1" t="str">
        <f ca="1">IFERROR(__xludf.DUMMYFUNCTION("GOOGLETRANSLATE(B936,""en"",""ar"")"),"أكثر")</f>
        <v>أكثر</v>
      </c>
      <c r="D936" s="1" t="str">
        <f ca="1">IFERROR(__xludf.DUMMYFUNCTION("GOOGLETRANSLATE(B936,""en"",""zh-CN"")"),"更多的")</f>
        <v>更多的</v>
      </c>
      <c r="E936" s="1" t="str">
        <f ca="1">IFERROR(__xludf.DUMMYFUNCTION("GOOGLETRANSLATE(B936,""en"",""ja"")"),"もっと")</f>
        <v>もっと</v>
      </c>
      <c r="F936" s="1" t="str">
        <f ca="1">IFERROR(__xludf.DUMMYFUNCTION("GOOGLETRANSLATE(B936,""en"",""fr"")"),"Suite")</f>
        <v>Suite</v>
      </c>
    </row>
    <row r="937" spans="1:6" ht="15.75" customHeight="1" x14ac:dyDescent="0.25">
      <c r="A937" s="1" t="s">
        <v>1761</v>
      </c>
      <c r="B937" s="1" t="s">
        <v>1762</v>
      </c>
      <c r="C937" s="1" t="str">
        <f ca="1">IFERROR(__xludf.DUMMYFUNCTION("GOOGLETRANSLATE(B937,""en"",""ar"")"),"المنتجات المركبة")</f>
        <v>المنتجات المركبة</v>
      </c>
      <c r="D937" s="1" t="str">
        <f ca="1">IFERROR(__xludf.DUMMYFUNCTION("GOOGLETRANSLATE(B937,""en"",""zh-CN"")"),"复合产品")</f>
        <v>复合产品</v>
      </c>
      <c r="E937" s="1" t="str">
        <f ca="1">IFERROR(__xludf.DUMMYFUNCTION("GOOGLETRANSLATE(B937,""en"",""ja"")"),"コンポジット製品")</f>
        <v>コンポジット製品</v>
      </c>
      <c r="F937" s="1" t="str">
        <f ca="1">IFERROR(__xludf.DUMMYFUNCTION("GOOGLETRANSLATE(B937,""en"",""fr"")"),"Produits composites")</f>
        <v>Produits composites</v>
      </c>
    </row>
    <row r="938" spans="1:6" ht="15.75" customHeight="1" x14ac:dyDescent="0.25">
      <c r="A938" s="1" t="s">
        <v>1763</v>
      </c>
      <c r="B938" s="1" t="s">
        <v>1764</v>
      </c>
      <c r="C938" s="1" t="str">
        <f ca="1">IFERROR(__xludf.DUMMYFUNCTION("GOOGLETRANSLATE(B938,""en"",""ar"")"),"إنشاء إضافات")</f>
        <v>إنشاء إضافات</v>
      </c>
      <c r="D938" s="1" t="str">
        <f ca="1">IFERROR(__xludf.DUMMYFUNCTION("GOOGLETRANSLATE(B938,""en"",""zh-CN"")"),"创建插件")</f>
        <v>创建插件</v>
      </c>
      <c r="E938" s="1" t="str">
        <f ca="1">IFERROR(__xludf.DUMMYFUNCTION("GOOGLETRANSLATE(B938,""en"",""ja"")"),"アドオンを作成します")</f>
        <v>アドオンを作成します</v>
      </c>
      <c r="F938" s="1" t="str">
        <f ca="1">IFERROR(__xludf.DUMMYFUNCTION("GOOGLETRANSLATE(B938,""en"",""fr"")"),"Créer des addons")</f>
        <v>Créer des addons</v>
      </c>
    </row>
    <row r="939" spans="1:6" ht="15.75" customHeight="1" x14ac:dyDescent="0.25">
      <c r="A939" s="1" t="s">
        <v>1765</v>
      </c>
      <c r="B939" s="1" t="s">
        <v>1766</v>
      </c>
      <c r="C939" s="1" t="str">
        <f ca="1">IFERROR(__xludf.DUMMYFUNCTION("GOOGLETRANSLATE(B939,""en"",""ar"")"),"تمكين الخيارات التالية")</f>
        <v>تمكين الخيارات التالية</v>
      </c>
      <c r="D939" s="1" t="str">
        <f ca="1">IFERROR(__xludf.DUMMYFUNCTION("GOOGLETRANSLATE(B939,""en"",""zh-CN"")"),"启用以下选项")</f>
        <v>启用以下选项</v>
      </c>
      <c r="E939" s="1" t="str">
        <f ca="1">IFERROR(__xludf.DUMMYFUNCTION("GOOGLETRANSLATE(B939,""en"",""ja"")"),"以下のオプションを有効にします")</f>
        <v>以下のオプションを有効にします</v>
      </c>
      <c r="F939" s="1" t="str">
        <f ca="1">IFERROR(__xludf.DUMMYFUNCTION("GOOGLETRANSLATE(B939,""en"",""fr"")"),"Activer les options suivantes")</f>
        <v>Activer les options suivantes</v>
      </c>
    </row>
    <row r="940" spans="1:6" ht="15.75" customHeight="1" x14ac:dyDescent="0.25">
      <c r="A940" s="1" t="s">
        <v>1767</v>
      </c>
      <c r="B940" s="1" t="s">
        <v>1768</v>
      </c>
      <c r="C940" s="1" t="str">
        <f ca="1">IFERROR(__xludf.DUMMYFUNCTION("GOOGLETRANSLATE(B940,""en"",""ar"")"),"حدد Notes.")</f>
        <v>حدد Notes.</v>
      </c>
      <c r="D940" s="1" t="str">
        <f ca="1">IFERROR(__xludf.DUMMYFUNCTION("GOOGLETRANSLATE(B940,""en"",""zh-CN"")"),"选择kot笔记")</f>
        <v>选择kot笔记</v>
      </c>
      <c r="E940" s="1" t="str">
        <f ca="1">IFERROR(__xludf.DUMMYFUNCTION("GOOGLETRANSLATE(B940,""en"",""ja"")"),"KOTノートを選択してください")</f>
        <v>KOTノートを選択してください</v>
      </c>
      <c r="F940" s="1" t="str">
        <f ca="1">IFERROR(__xludf.DUMMYFUNCTION("GOOGLETRANSLATE(B940,""en"",""fr"")"),"Sélectionnez Kot Notes")</f>
        <v>Sélectionnez Kot Notes</v>
      </c>
    </row>
    <row r="941" spans="1:6" ht="15.75" customHeight="1" x14ac:dyDescent="0.25">
      <c r="A941" s="1" t="s">
        <v>1769</v>
      </c>
      <c r="B941" s="1" t="s">
        <v>1770</v>
      </c>
      <c r="C941" s="1" t="str">
        <f ca="1">IFERROR(__xludf.DUMMYFUNCTION("GOOGLETRANSLATE(B941,""en"",""ar"")"),"تباع الكمية")</f>
        <v>تباع الكمية</v>
      </c>
      <c r="D941" s="1" t="str">
        <f ca="1">IFERROR(__xludf.DUMMYFUNCTION("GOOGLETRANSLATE(B941,""en"",""zh-CN"")"),"出售数量")</f>
        <v>出售数量</v>
      </c>
      <c r="E941" s="1" t="str">
        <f ca="1">IFERROR(__xludf.DUMMYFUNCTION("GOOGLETRANSLATE(B941,""en"",""ja"")"),"販売")</f>
        <v>販売</v>
      </c>
      <c r="F941" s="1" t="str">
        <f ca="1">IFERROR(__xludf.DUMMYFUNCTION("GOOGLETRANSLATE(B941,""en"",""fr"")"),"Quantité vendue")</f>
        <v>Quantité vendue</v>
      </c>
    </row>
    <row r="942" spans="1:6" ht="15.75" customHeight="1" x14ac:dyDescent="0.25">
      <c r="A942" s="1" t="s">
        <v>1771</v>
      </c>
      <c r="B942" s="1" t="s">
        <v>1772</v>
      </c>
      <c r="C942" s="1" t="str">
        <f ca="1">IFERROR(__xludf.DUMMYFUNCTION("GOOGLETRANSLATE(B942,""en"",""ar"")"),"حدد المنتج (المنتجات)")</f>
        <v>حدد المنتج (المنتجات)</v>
      </c>
      <c r="D942" s="1" t="str">
        <f ca="1">IFERROR(__xludf.DUMMYFUNCTION("GOOGLETRANSLATE(B942,""en"",""zh-CN"")"),"选择产品")</f>
        <v>选择产品</v>
      </c>
      <c r="E942" s="1" t="str">
        <f ca="1">IFERROR(__xludf.DUMMYFUNCTION("GOOGLETRANSLATE(B942,""en"",""ja"")"),"商品を選択してください")</f>
        <v>商品を選択してください</v>
      </c>
      <c r="F942" s="1" t="str">
        <f ca="1">IFERROR(__xludf.DUMMYFUNCTION("GOOGLETRANSLATE(B942,""en"",""fr"")"),"Sélectionnez Produit (s)")</f>
        <v>Sélectionnez Produit (s)</v>
      </c>
    </row>
    <row r="943" spans="1:6" ht="15.75" customHeight="1" x14ac:dyDescent="0.25">
      <c r="A943" s="1" t="s">
        <v>1773</v>
      </c>
      <c r="B943" s="1" t="s">
        <v>1774</v>
      </c>
      <c r="C943" s="1" t="str">
        <f ca="1">IFERROR(__xludf.DUMMYFUNCTION("GOOGLETRANSLATE(B943,""en"",""ar"")"),"إضافة المنتجات أولا")</f>
        <v>إضافة المنتجات أولا</v>
      </c>
      <c r="D943" s="1" t="str">
        <f ca="1">IFERROR(__xludf.DUMMYFUNCTION("GOOGLETRANSLATE(B943,""en"",""zh-CN"")"),"先添加产品")</f>
        <v>先添加产品</v>
      </c>
      <c r="E943" s="1" t="str">
        <f ca="1">IFERROR(__xludf.DUMMYFUNCTION("GOOGLETRANSLATE(B943,""en"",""ja"")"),"Products First")</f>
        <v>Products First</v>
      </c>
      <c r="F943" s="1" t="str">
        <f ca="1">IFERROR(__xludf.DUMMYFUNCTION("GOOGLETRANSLATE(B943,""en"",""fr"")"),"Ajouter des produits d'abord")</f>
        <v>Ajouter des produits d'abord</v>
      </c>
    </row>
    <row r="944" spans="1:6" ht="15.75" customHeight="1" x14ac:dyDescent="0.25">
      <c r="A944" s="1" t="s">
        <v>1775</v>
      </c>
      <c r="B944" s="1" t="s">
        <v>1776</v>
      </c>
      <c r="C944" s="1" t="str">
        <f ca="1">IFERROR(__xludf.DUMMYFUNCTION("GOOGLETRANSLATE(B944,""en"",""ar"")"),"تسجيل")</f>
        <v>تسجيل</v>
      </c>
      <c r="D944" s="1" t="str">
        <f ca="1">IFERROR(__xludf.DUMMYFUNCTION("GOOGLETRANSLATE(B944,""en"",""zh-CN"")"),"登记")</f>
        <v>登记</v>
      </c>
      <c r="E944" s="1" t="str">
        <f ca="1">IFERROR(__xludf.DUMMYFUNCTION("GOOGLETRANSLATE(B944,""en"",""ja"")"),"登録")</f>
        <v>登録</v>
      </c>
      <c r="F944" s="1" t="str">
        <f ca="1">IFERROR(__xludf.DUMMYFUNCTION("GOOGLETRANSLATE(B944,""en"",""fr"")"),"Inscription")</f>
        <v>Inscription</v>
      </c>
    </row>
    <row r="945" spans="1:6" ht="15.75" customHeight="1" x14ac:dyDescent="0.25">
      <c r="A945" s="1" t="s">
        <v>1777</v>
      </c>
      <c r="B945" s="1" t="s">
        <v>15</v>
      </c>
      <c r="C945" s="1" t="str">
        <f ca="1">IFERROR(__xludf.DUMMYFUNCTION("GOOGLETRANSLATE(B945,""en"",""ar"")"),"تسجيل الدخول")</f>
        <v>تسجيل الدخول</v>
      </c>
      <c r="D945" s="1" t="str">
        <f ca="1">IFERROR(__xludf.DUMMYFUNCTION("GOOGLETRANSLATE(B945,""en"",""zh-CN"")"),"登入")</f>
        <v>登入</v>
      </c>
      <c r="E945" s="1" t="str">
        <f ca="1">IFERROR(__xludf.DUMMYFUNCTION("GOOGLETRANSLATE(B945,""en"",""ja"")"),"ログイン")</f>
        <v>ログイン</v>
      </c>
      <c r="F945" s="1" t="str">
        <f ca="1">IFERROR(__xludf.DUMMYFUNCTION("GOOGLETRANSLATE(B945,""en"",""fr"")"),"S'identifier")</f>
        <v>S'identifier</v>
      </c>
    </row>
    <row r="946" spans="1:6" ht="15.75" customHeight="1" x14ac:dyDescent="0.25">
      <c r="A946" s="1" t="s">
        <v>1778</v>
      </c>
      <c r="B946" s="1" t="s">
        <v>1779</v>
      </c>
      <c r="C946" s="1" t="str">
        <f ca="1">IFERROR(__xludf.DUMMYFUNCTION("GOOGLETRANSLATE(B946,""en"",""ar"")"),"أنا أفهم وأوافق على البحث عن شروط الاستخدام + نقاط الاستخدام وسياسة الخصوصية.")</f>
        <v>أنا أفهم وأوافق على البحث عن شروط الاستخدام + نقاط الاستخدام وسياسة الخصوصية.</v>
      </c>
      <c r="D946" s="1" t="str">
        <f ca="1">IFERROR(__xludf.DUMMYFUNCTION("GOOGLETRANSLATE(B946,""en"",""zh-CN"")"),"我理解并同意Salesplay + POS使用条款和隐私政策。")</f>
        <v>我理解并同意Salesplay + POS使用条款和隐私政策。</v>
      </c>
      <c r="E946" s="1" t="str">
        <f ca="1">IFERROR(__xludf.DUMMYFUNCTION("GOOGLETRANSLATE(B946,""en"",""ja"")"),"私はSalesplay + POS利用規約とプライバシーポリシーを理解し同意します。")</f>
        <v>私はSalesplay + POS利用規約とプライバシーポリシーを理解し同意します。</v>
      </c>
      <c r="F946" s="1" t="str">
        <f ca="1">IFERROR(__xludf.DUMMYFUNCTION("GOOGLETRANSLATE(B946,""en"",""fr"")"),"Je comprends et accepte des conditions d'utilisation et de la politique de confidentialité des ventes + POS.")</f>
        <v>Je comprends et accepte des conditions d'utilisation et de la politique de confidentialité des ventes + POS.</v>
      </c>
    </row>
    <row r="947" spans="1:6" ht="15.75" customHeight="1" x14ac:dyDescent="0.25">
      <c r="A947" s="1" t="s">
        <v>1780</v>
      </c>
      <c r="B947" s="1" t="s">
        <v>1781</v>
      </c>
      <c r="C947" s="1" t="str">
        <f ca="1">IFERROR(__xludf.DUMMYFUNCTION("GOOGLETRANSLATE(B947,""en"",""ar"")"),"إضافة عنصر (ق) للمنتج المركب باستخدام بوابة الويب")</f>
        <v>إضافة عنصر (ق) للمنتج المركب باستخدام بوابة الويب</v>
      </c>
      <c r="D947" s="1" t="str">
        <f ca="1">IFERROR(__xludf.DUMMYFUNCTION("GOOGLETRANSLATE(B947,""en"",""zh-CN"")"),"使用Web门户添加用于复合产品的项目")</f>
        <v>使用Web门户添加用于复合产品的项目</v>
      </c>
      <c r="E947" s="1" t="str">
        <f ca="1">IFERROR(__xludf.DUMMYFUNCTION("GOOGLETRANSLATE(B947,""en"",""ja"")"),"Web Portalを使用してコンポジット製品の項目を追加する")</f>
        <v>Web Portalを使用してコンポジット製品の項目を追加する</v>
      </c>
      <c r="F947" s="1" t="str">
        <f ca="1">IFERROR(__xludf.DUMMYFUNCTION("GOOGLETRANSLATE(B947,""en"",""fr"")"),"Ajouter un élément (s) pour le produit composite à l'aide du portail Web")</f>
        <v>Ajouter un élément (s) pour le produit composite à l'aide du portail Web</v>
      </c>
    </row>
    <row r="948" spans="1:6" ht="15.75" customHeight="1" x14ac:dyDescent="0.25">
      <c r="A948" s="1" t="s">
        <v>1782</v>
      </c>
      <c r="B948" s="1" t="s">
        <v>1783</v>
      </c>
      <c r="C948" s="1" t="str">
        <f ca="1">IFERROR(__xludf.DUMMYFUNCTION("GOOGLETRANSLATE(B948,""en"",""ar"")"),"اضف جديد")</f>
        <v>اضف جديد</v>
      </c>
      <c r="D948" s="1" t="str">
        <f ca="1">IFERROR(__xludf.DUMMYFUNCTION("GOOGLETRANSLATE(B948,""en"",""zh-CN"")"),"添新")</f>
        <v>添新</v>
      </c>
      <c r="E948" s="1" t="str">
        <f ca="1">IFERROR(__xludf.DUMMYFUNCTION("GOOGLETRANSLATE(B948,""en"",""ja"")"),"新しく追加する")</f>
        <v>新しく追加する</v>
      </c>
      <c r="F948" s="1" t="str">
        <f ca="1">IFERROR(__xludf.DUMMYFUNCTION("GOOGLETRANSLATE(B948,""en"",""fr"")"),"Ajouter de nouveau")</f>
        <v>Ajouter de nouveau</v>
      </c>
    </row>
    <row r="949" spans="1:6" ht="15.75" customHeight="1" x14ac:dyDescent="0.25">
      <c r="A949" s="1" t="s">
        <v>1784</v>
      </c>
      <c r="B949" s="1" t="s">
        <v>1785</v>
      </c>
      <c r="C949" s="1" t="str">
        <f ca="1">IFERROR(__xludf.DUMMYFUNCTION("GOOGLETRANSLATE(B949,""en"",""ar"")"),"إضافة إلى القائمة الافتراضية")</f>
        <v>إضافة إلى القائمة الافتراضية</v>
      </c>
      <c r="D949" s="1" t="str">
        <f ca="1">IFERROR(__xludf.DUMMYFUNCTION("GOOGLETRANSLATE(B949,""en"",""zh-CN"")"),"添加到默认列表中")</f>
        <v>添加到默认列表中</v>
      </c>
      <c r="E949" s="1" t="str">
        <f ca="1">IFERROR(__xludf.DUMMYFUNCTION("GOOGLETRANSLATE(B949,""en"",""ja"")"),"デフォルトリストに追加されました")</f>
        <v>デフォルトリストに追加されました</v>
      </c>
      <c r="F949" s="1" t="str">
        <f ca="1">IFERROR(__xludf.DUMMYFUNCTION("GOOGLETRANSLATE(B949,""en"",""fr"")"),"Ajouté à la liste par défaut")</f>
        <v>Ajouté à la liste par défaut</v>
      </c>
    </row>
    <row r="950" spans="1:6" ht="15.75" customHeight="1" x14ac:dyDescent="0.25">
      <c r="A950" s="1" t="s">
        <v>1786</v>
      </c>
      <c r="B950" s="1" t="s">
        <v>1787</v>
      </c>
      <c r="C950" s="1" t="str">
        <f ca="1">IFERROR(__xludf.DUMMYFUNCTION("GOOGLETRANSLATE(B950,""en"",""ar"")"),"إزالتها من القائمة الافتراضية")</f>
        <v>إزالتها من القائمة الافتراضية</v>
      </c>
      <c r="D950" s="1" t="str">
        <f ca="1">IFERROR(__xludf.DUMMYFUNCTION("GOOGLETRANSLATE(B950,""en"",""zh-CN"")"),"从默认列表中删除")</f>
        <v>从默认列表中删除</v>
      </c>
      <c r="E950" s="1" t="str">
        <f ca="1">IFERROR(__xludf.DUMMYFUNCTION("GOOGLETRANSLATE(B950,""en"",""ja"")"),"デフォルトリストから削除されました")</f>
        <v>デフォルトリストから削除されました</v>
      </c>
      <c r="F950" s="1" t="str">
        <f ca="1">IFERROR(__xludf.DUMMYFUNCTION("GOOGLETRANSLATE(B950,""en"",""fr"")"),"Supprimé de la liste par défaut")</f>
        <v>Supprimé de la liste par défaut</v>
      </c>
    </row>
    <row r="951" spans="1:6" ht="15.75" customHeight="1" x14ac:dyDescent="0.25">
      <c r="A951" s="1" t="s">
        <v>1788</v>
      </c>
      <c r="B951" s="1" t="s">
        <v>1789</v>
      </c>
      <c r="C951" s="1" t="str">
        <f ca="1">IFERROR(__xludf.DUMMYFUNCTION("GOOGLETRANSLATE(B951,""en"",""ar"")"),"ملخص المبيعات اليومية")</f>
        <v>ملخص المبيعات اليومية</v>
      </c>
      <c r="D951" s="1" t="str">
        <f ca="1">IFERROR(__xludf.DUMMYFUNCTION("GOOGLETRANSLATE(B951,""en"",""zh-CN"")"),"每日销售摘要")</f>
        <v>每日销售摘要</v>
      </c>
      <c r="E951" s="1" t="str">
        <f ca="1">IFERROR(__xludf.DUMMYFUNCTION("GOOGLETRANSLATE(B951,""en"",""ja"")"),"毎日の売上要約")</f>
        <v>毎日の売上要約</v>
      </c>
      <c r="F951" s="1" t="str">
        <f ca="1">IFERROR(__xludf.DUMMYFUNCTION("GOOGLETRANSLATE(B951,""en"",""fr"")"),"Résumé des ventes quotidiennes")</f>
        <v>Résumé des ventes quotidiennes</v>
      </c>
    </row>
    <row r="952" spans="1:6" ht="15.75" customHeight="1" x14ac:dyDescent="0.25">
      <c r="A952" s="1" t="s">
        <v>1790</v>
      </c>
      <c r="B952" s="1" t="s">
        <v>1791</v>
      </c>
      <c r="C952" s="1" t="str">
        <f ca="1">IFERROR(__xludf.DUMMYFUNCTION("GOOGLETRANSLATE(B952,""en"",""ar"")"),"ملخص مبيعات")</f>
        <v>ملخص مبيعات</v>
      </c>
      <c r="D952" s="1" t="str">
        <f ca="1">IFERROR(__xludf.DUMMYFUNCTION("GOOGLETRANSLATE(B952,""en"",""zh-CN"")"),"销售摘要")</f>
        <v>销售摘要</v>
      </c>
      <c r="E952" s="1" t="str">
        <f ca="1">IFERROR(__xludf.DUMMYFUNCTION("GOOGLETRANSLATE(B952,""en"",""ja"")"),"販売の概要")</f>
        <v>販売の概要</v>
      </c>
      <c r="F952" s="1" t="str">
        <f ca="1">IFERROR(__xludf.DUMMYFUNCTION("GOOGLETRANSLATE(B952,""en"",""fr"")"),"Résumé des ventes")</f>
        <v>Résumé des ventes</v>
      </c>
    </row>
    <row r="953" spans="1:6" ht="15.75" customHeight="1" x14ac:dyDescent="0.25">
      <c r="A953" s="1" t="s">
        <v>1792</v>
      </c>
      <c r="B953" s="1" t="s">
        <v>1793</v>
      </c>
      <c r="C953" s="1" t="str">
        <f ca="1">IFERROR(__xludf.DUMMYFUNCTION("GOOGLETRANSLATE(B953,""en"",""ar"")"),"ملفي")</f>
        <v>ملفي</v>
      </c>
      <c r="D953" s="1" t="str">
        <f ca="1">IFERROR(__xludf.DUMMYFUNCTION("GOOGLETRANSLATE(B953,""en"",""zh-CN"")"),"我的简历")</f>
        <v>我的简历</v>
      </c>
      <c r="E953" s="1" t="str">
        <f ca="1">IFERROR(__xludf.DUMMYFUNCTION("GOOGLETRANSLATE(B953,""en"",""ja"")"),"私のプロフィール")</f>
        <v>私のプロフィール</v>
      </c>
      <c r="F953" s="1" t="str">
        <f ca="1">IFERROR(__xludf.DUMMYFUNCTION("GOOGLETRANSLATE(B953,""en"",""fr"")"),"Mon profil")</f>
        <v>Mon profil</v>
      </c>
    </row>
    <row r="954" spans="1:6" ht="15.75" customHeight="1" x14ac:dyDescent="0.25">
      <c r="A954" s="1" t="s">
        <v>1794</v>
      </c>
      <c r="B954" s="1" t="s">
        <v>1795</v>
      </c>
      <c r="C954" s="1" t="str">
        <f ca="1">IFERROR(__xludf.DUMMYFUNCTION("GOOGLETRANSLATE(B954,""en"",""ar"")"),"مركز المساعدة")</f>
        <v>مركز المساعدة</v>
      </c>
      <c r="D954" s="1" t="str">
        <f ca="1">IFERROR(__xludf.DUMMYFUNCTION("GOOGLETRANSLATE(B954,""en"",""zh-CN"")"),"帮助中心")</f>
        <v>帮助中心</v>
      </c>
      <c r="E954" s="1" t="str">
        <f ca="1">IFERROR(__xludf.DUMMYFUNCTION("GOOGLETRANSLATE(B954,""en"",""ja"")"),"ヘルプセンター")</f>
        <v>ヘルプセンター</v>
      </c>
      <c r="F954" s="1" t="str">
        <f ca="1">IFERROR(__xludf.DUMMYFUNCTION("GOOGLETRANSLATE(B954,""en"",""fr"")"),"Centre d'aide")</f>
        <v>Centre d'aide</v>
      </c>
    </row>
    <row r="955" spans="1:6" ht="15.75" customHeight="1" x14ac:dyDescent="0.25">
      <c r="A955" s="1" t="s">
        <v>1796</v>
      </c>
      <c r="B955" s="1" t="s">
        <v>1797</v>
      </c>
      <c r="C955" s="1" t="str">
        <f ca="1">IFERROR(__xludf.DUMMYFUNCTION("GOOGLETRANSLATE(B955,""en"",""ar"")"),"الدردشة (ON / OFF)")</f>
        <v>الدردشة (ON / OFF)</v>
      </c>
      <c r="D955" s="1" t="str">
        <f ca="1">IFERROR(__xludf.DUMMYFUNCTION("GOOGLETRANSLATE(B955,""en"",""zh-CN"")"),"聊天（开/关）")</f>
        <v>聊天（开/关）</v>
      </c>
      <c r="E955" s="1" t="str">
        <f ca="1">IFERROR(__xludf.DUMMYFUNCTION("GOOGLETRANSLATE(B955,""en"",""ja"")"),"チャット（オン/オフ）")</f>
        <v>チャット（オン/オフ）</v>
      </c>
      <c r="F955" s="1" t="str">
        <f ca="1">IFERROR(__xludf.DUMMYFUNCTION("GOOGLETRANSLATE(B955,""en"",""fr"")"),"Chat (marche / arrêt)")</f>
        <v>Chat (marche / arrêt)</v>
      </c>
    </row>
    <row r="956" spans="1:6" ht="15.75" customHeight="1" x14ac:dyDescent="0.25">
      <c r="A956" s="1" t="s">
        <v>1798</v>
      </c>
      <c r="B956" s="1" t="s">
        <v>1799</v>
      </c>
      <c r="C956" s="1" t="str">
        <f ca="1">IFERROR(__xludf.DUMMYFUNCTION("GOOGLETRANSLATE(B956,""en"",""ar"")"),"بيع جديد")</f>
        <v>بيع جديد</v>
      </c>
      <c r="D956" s="1" t="str">
        <f ca="1">IFERROR(__xludf.DUMMYFUNCTION("GOOGLETRANSLATE(B956,""en"",""zh-CN"")"),"新销售")</f>
        <v>新销售</v>
      </c>
      <c r="E956" s="1" t="str">
        <f ca="1">IFERROR(__xludf.DUMMYFUNCTION("GOOGLETRANSLATE(B956,""en"",""ja"")"),"新売")</f>
        <v>新売</v>
      </c>
      <c r="F956" s="1" t="str">
        <f ca="1">IFERROR(__xludf.DUMMYFUNCTION("GOOGLETRANSLATE(B956,""en"",""fr"")"),"Nouvelle vente")</f>
        <v>Nouvelle vente</v>
      </c>
    </row>
    <row r="957" spans="1:6" ht="15.75" customHeight="1" x14ac:dyDescent="0.25">
      <c r="A957" s="1" t="s">
        <v>1800</v>
      </c>
      <c r="B957" s="1" t="s">
        <v>1801</v>
      </c>
      <c r="C957" s="1" t="str">
        <f ca="1">IFERROR(__xludf.DUMMYFUNCTION("GOOGLETRANSLATE(B957,""en"",""ar"")"),"إدارة المبيعات")</f>
        <v>إدارة المبيعات</v>
      </c>
      <c r="D957" s="1" t="str">
        <f ca="1">IFERROR(__xludf.DUMMYFUNCTION("GOOGLETRANSLATE(B957,""en"",""zh-CN"")"),"管理销售")</f>
        <v>管理销售</v>
      </c>
      <c r="E957" s="1" t="str">
        <f ca="1">IFERROR(__xludf.DUMMYFUNCTION("GOOGLETRANSLATE(B957,""en"",""ja"")"),"売上を管理します")</f>
        <v>売上を管理します</v>
      </c>
      <c r="F957" s="1" t="str">
        <f ca="1">IFERROR(__xludf.DUMMYFUNCTION("GOOGLETRANSLATE(B957,""en"",""fr"")"),"Gérer les ventes")</f>
        <v>Gérer les ventes</v>
      </c>
    </row>
    <row r="958" spans="1:6" ht="15.75" customHeight="1" x14ac:dyDescent="0.25">
      <c r="A958" s="1" t="s">
        <v>1802</v>
      </c>
      <c r="B958" s="1" t="s">
        <v>1752</v>
      </c>
      <c r="C958" s="1" t="str">
        <f ca="1">IFERROR(__xludf.DUMMYFUNCTION("GOOGLETRANSLATE(B958,""en"",""ar"")"),"منتجات")</f>
        <v>منتجات</v>
      </c>
      <c r="D958" s="1" t="str">
        <f ca="1">IFERROR(__xludf.DUMMYFUNCTION("GOOGLETRANSLATE(B958,""en"",""zh-CN"")"),"产品")</f>
        <v>产品</v>
      </c>
      <c r="E958" s="1" t="str">
        <f ca="1">IFERROR(__xludf.DUMMYFUNCTION("GOOGLETRANSLATE(B958,""en"",""ja"")"),"製品")</f>
        <v>製品</v>
      </c>
      <c r="F958" s="1" t="str">
        <f ca="1">IFERROR(__xludf.DUMMYFUNCTION("GOOGLETRANSLATE(B958,""en"",""fr"")"),"Des produits")</f>
        <v>Des produits</v>
      </c>
    </row>
    <row r="959" spans="1:6" ht="15.75" customHeight="1" x14ac:dyDescent="0.25">
      <c r="A959" s="1" t="s">
        <v>1803</v>
      </c>
      <c r="B959" s="1" t="s">
        <v>1804</v>
      </c>
      <c r="C959" s="1" t="str">
        <f ca="1">IFERROR(__xludf.DUMMYFUNCTION("GOOGLETRANSLATE(B959,""en"",""ar"")"),"إقرار")</f>
        <v>إقرار</v>
      </c>
      <c r="D959" s="1" t="str">
        <f ca="1">IFERROR(__xludf.DUMMYFUNCTION("GOOGLETRANSLATE(B959,""en"",""zh-CN"")"),"报告")</f>
        <v>报告</v>
      </c>
      <c r="E959" s="1" t="str">
        <f ca="1">IFERROR(__xludf.DUMMYFUNCTION("GOOGLETRANSLATE(B959,""en"",""ja"")"),"報告")</f>
        <v>報告</v>
      </c>
      <c r="F959" s="1" t="str">
        <f ca="1">IFERROR(__xludf.DUMMYFUNCTION("GOOGLETRANSLATE(B959,""en"",""fr"")"),"Rapports")</f>
        <v>Rapports</v>
      </c>
    </row>
    <row r="960" spans="1:6" ht="15.75" customHeight="1" x14ac:dyDescent="0.25">
      <c r="A960" s="1" t="s">
        <v>1805</v>
      </c>
      <c r="B960" s="1" t="s">
        <v>1806</v>
      </c>
      <c r="C960" s="1" t="str">
        <f ca="1">IFERROR(__xludf.DUMMYFUNCTION("GOOGLETRANSLATE(B960,""en"",""ar"")"),"إعدادات")</f>
        <v>إعدادات</v>
      </c>
      <c r="D960" s="1" t="str">
        <f ca="1">IFERROR(__xludf.DUMMYFUNCTION("GOOGLETRANSLATE(B960,""en"",""zh-CN"")"),"设置")</f>
        <v>设置</v>
      </c>
      <c r="E960" s="1" t="str">
        <f ca="1">IFERROR(__xludf.DUMMYFUNCTION("GOOGLETRANSLATE(B960,""en"",""ja"")"),"設定")</f>
        <v>設定</v>
      </c>
      <c r="F960" s="1" t="str">
        <f ca="1">IFERROR(__xludf.DUMMYFUNCTION("GOOGLETRANSLATE(B960,""en"",""fr"")"),"Réglages")</f>
        <v>Réglages</v>
      </c>
    </row>
    <row r="961" spans="1:6" ht="15.75" customHeight="1" x14ac:dyDescent="0.25">
      <c r="A961" s="1" t="s">
        <v>1807</v>
      </c>
      <c r="B961" s="1" t="s">
        <v>1808</v>
      </c>
      <c r="C961" s="1" t="str">
        <f ca="1">IFERROR(__xludf.DUMMYFUNCTION("GOOGLETRANSLATE(B961,""en"",""ar"")"),"النسخ الاحتياطي واستعادة")</f>
        <v>النسخ الاحتياطي واستعادة</v>
      </c>
      <c r="D961" s="1" t="str">
        <f ca="1">IFERROR(__xludf.DUMMYFUNCTION("GOOGLETRANSLATE(B961,""en"",""zh-CN"")"),"备份还原")</f>
        <v>备份还原</v>
      </c>
      <c r="E961" s="1" t="str">
        <f ca="1">IFERROR(__xludf.DUMMYFUNCTION("GOOGLETRANSLATE(B961,""en"",""ja"")"),"バックアップと復元")</f>
        <v>バックアップと復元</v>
      </c>
      <c r="F961" s="1" t="str">
        <f ca="1">IFERROR(__xludf.DUMMYFUNCTION("GOOGLETRANSLATE(B961,""en"",""fr"")"),"Sauvegarde et restauration")</f>
        <v>Sauvegarde et restauration</v>
      </c>
    </row>
    <row r="962" spans="1:6" ht="15.75" customHeight="1" x14ac:dyDescent="0.25">
      <c r="A962" s="1" t="s">
        <v>1809</v>
      </c>
      <c r="B962" s="1" t="s">
        <v>835</v>
      </c>
      <c r="C962" s="1" t="str">
        <f ca="1">IFERROR(__xludf.DUMMYFUNCTION("GOOGLETRANSLATE(B962,""en"",""ar"")"),"مكتب خلفي")</f>
        <v>مكتب خلفي</v>
      </c>
      <c r="D962" s="1" t="str">
        <f ca="1">IFERROR(__xludf.DUMMYFUNCTION("GOOGLETRANSLATE(B962,""en"",""zh-CN"")"),"后台")</f>
        <v>后台</v>
      </c>
      <c r="E962" s="1" t="str">
        <f ca="1">IFERROR(__xludf.DUMMYFUNCTION("GOOGLETRANSLATE(B962,""en"",""ja"")"),"バックオフィス")</f>
        <v>バックオフィス</v>
      </c>
      <c r="F962" s="1" t="str">
        <f ca="1">IFERROR(__xludf.DUMMYFUNCTION("GOOGLETRANSLATE(B962,""en"",""fr"")"),"Bassin")</f>
        <v>Bassin</v>
      </c>
    </row>
    <row r="963" spans="1:6" ht="15.75" customHeight="1" x14ac:dyDescent="0.25">
      <c r="A963" s="1" t="s">
        <v>1810</v>
      </c>
      <c r="B963" s="1" t="s">
        <v>1811</v>
      </c>
      <c r="C963" s="1" t="str">
        <f ca="1">IFERROR(__xludf.DUMMYFUNCTION("GOOGLETRANSLATE(B963,""en"",""ar"")"),"بوابة الدفع")</f>
        <v>بوابة الدفع</v>
      </c>
      <c r="D963" s="1" t="str">
        <f ca="1">IFERROR(__xludf.DUMMYFUNCTION("GOOGLETRANSLATE(B963,""en"",""zh-CN"")"),"支付网关")</f>
        <v>支付网关</v>
      </c>
      <c r="E963" s="1" t="str">
        <f ca="1">IFERROR(__xludf.DUMMYFUNCTION("GOOGLETRANSLATE(B963,""en"",""ja"")"),"支払いゲートウェイ")</f>
        <v>支払いゲートウェイ</v>
      </c>
      <c r="F963" s="1" t="str">
        <f ca="1">IFERROR(__xludf.DUMMYFUNCTION("GOOGLETRANSLATE(B963,""en"",""fr"")"),"Passerelle de paiement")</f>
        <v>Passerelle de paiement</v>
      </c>
    </row>
    <row r="964" spans="1:6" ht="15.75" customHeight="1" x14ac:dyDescent="0.25">
      <c r="A964" s="1" t="s">
        <v>1812</v>
      </c>
      <c r="B964" s="1" t="s">
        <v>1813</v>
      </c>
      <c r="C964" s="1" t="str">
        <f ca="1">IFERROR(__xludf.DUMMYFUNCTION("GOOGLETRANSLATE(B964,""en"",""ar"")"),"تنشيط البرامج")</f>
        <v>تنشيط البرامج</v>
      </c>
      <c r="D964" s="1" t="str">
        <f ca="1">IFERROR(__xludf.DUMMYFUNCTION("GOOGLETRANSLATE(B964,""en"",""zh-CN"")"),"软件激活")</f>
        <v>软件激活</v>
      </c>
      <c r="E964" s="1" t="str">
        <f ca="1">IFERROR(__xludf.DUMMYFUNCTION("GOOGLETRANSLATE(B964,""en"",""ja"")"),"ソフトウェアアクティベーション")</f>
        <v>ソフトウェアアクティベーション</v>
      </c>
      <c r="F964" s="1" t="str">
        <f ca="1">IFERROR(__xludf.DUMMYFUNCTION("GOOGLETRANSLATE(B964,""en"",""fr"")"),"Activation logicielle")</f>
        <v>Activation logicielle</v>
      </c>
    </row>
    <row r="965" spans="1:6" ht="15.75" customHeight="1" x14ac:dyDescent="0.25">
      <c r="A965" s="1" t="s">
        <v>1814</v>
      </c>
      <c r="B965" s="1" t="s">
        <v>1815</v>
      </c>
      <c r="C965" s="1" t="str">
        <f ca="1">IFERROR(__xludf.DUMMYFUNCTION("GOOGLETRANSLATE(B965,""en"",""ar"")"),"شراء البرمجيات")</f>
        <v>شراء البرمجيات</v>
      </c>
      <c r="D965" s="1" t="str">
        <f ca="1">IFERROR(__xludf.DUMMYFUNCTION("GOOGLETRANSLATE(B965,""en"",""zh-CN"")"),"购买软件")</f>
        <v>购买软件</v>
      </c>
      <c r="E965" s="1" t="str">
        <f ca="1">IFERROR(__xludf.DUMMYFUNCTION("GOOGLETRANSLATE(B965,""en"",""ja"")"),"ソフトウェアを購入する")</f>
        <v>ソフトウェアを購入する</v>
      </c>
      <c r="F965" s="1" t="str">
        <f ca="1">IFERROR(__xludf.DUMMYFUNCTION("GOOGLETRANSLATE(B965,""en"",""fr"")"),"Logiciel d'achat")</f>
        <v>Logiciel d'achat</v>
      </c>
    </row>
    <row r="966" spans="1:6" ht="15.75" customHeight="1" x14ac:dyDescent="0.25">
      <c r="A966" s="1" t="s">
        <v>1816</v>
      </c>
      <c r="B966" s="1" t="s">
        <v>1817</v>
      </c>
      <c r="C966" s="1" t="str">
        <f ca="1">IFERROR(__xludf.DUMMYFUNCTION("GOOGLETRANSLATE(B966,""en"",""ar"")"),"فحص التحديثات")</f>
        <v>فحص التحديثات</v>
      </c>
      <c r="D966" s="1" t="str">
        <f ca="1">IFERROR(__xludf.DUMMYFUNCTION("GOOGLETRANSLATE(B966,""en"",""zh-CN"")"),"检查更新")</f>
        <v>检查更新</v>
      </c>
      <c r="E966" s="1" t="str">
        <f ca="1">IFERROR(__xludf.DUMMYFUNCTION("GOOGLETRANSLATE(B966,""en"",""ja"")"),"更新を確認")</f>
        <v>更新を確認</v>
      </c>
      <c r="F966" s="1" t="str">
        <f ca="1">IFERROR(__xludf.DUMMYFUNCTION("GOOGLETRANSLATE(B966,""en"",""fr"")"),"Vérifier la mise à jour")</f>
        <v>Vérifier la mise à jour</v>
      </c>
    </row>
    <row r="967" spans="1:6" ht="15.75" customHeight="1" x14ac:dyDescent="0.25">
      <c r="A967" s="1" t="s">
        <v>1818</v>
      </c>
      <c r="B967" s="1" t="s">
        <v>1375</v>
      </c>
      <c r="C967" s="1" t="str">
        <f ca="1">IFERROR(__xludf.DUMMYFUNCTION("GOOGLETRANSLATE(B967,""en"",""ar"")"),"سياسة خاصة")</f>
        <v>سياسة خاصة</v>
      </c>
      <c r="D967" s="1" t="str">
        <f ca="1">IFERROR(__xludf.DUMMYFUNCTION("GOOGLETRANSLATE(B967,""en"",""zh-CN"")"),"隐私政策")</f>
        <v>隐私政策</v>
      </c>
      <c r="E967" s="1" t="str">
        <f ca="1">IFERROR(__xludf.DUMMYFUNCTION("GOOGLETRANSLATE(B967,""en"",""ja"")"),"プライバシーポリシー")</f>
        <v>プライバシーポリシー</v>
      </c>
      <c r="F967" s="1" t="str">
        <f ca="1">IFERROR(__xludf.DUMMYFUNCTION("GOOGLETRANSLATE(B967,""en"",""fr"")"),"Politique de confidentialité")</f>
        <v>Politique de confidentialité</v>
      </c>
    </row>
    <row r="968" spans="1:6" ht="15.75" customHeight="1" x14ac:dyDescent="0.25">
      <c r="A968" s="1" t="s">
        <v>1819</v>
      </c>
      <c r="B968" s="1" t="s">
        <v>1820</v>
      </c>
      <c r="C968" s="1" t="str">
        <f ca="1">IFERROR(__xludf.DUMMYFUNCTION("GOOGLETRANSLATE(B968,""en"",""ar"")"),"الطباعة، يرجى الانتظار ...")</f>
        <v>الطباعة، يرجى الانتظار ...</v>
      </c>
      <c r="D968" s="1" t="str">
        <f ca="1">IFERROR(__xludf.DUMMYFUNCTION("GOOGLETRANSLATE(B968,""en"",""zh-CN"")"),"印刷，请稍候...")</f>
        <v>印刷，请稍候...</v>
      </c>
      <c r="E968" s="1" t="str">
        <f ca="1">IFERROR(__xludf.DUMMYFUNCTION("GOOGLETRANSLATE(B968,""en"",""ja"")"),"印刷、お待ちください...")</f>
        <v>印刷、お待ちください...</v>
      </c>
      <c r="F968" s="1" t="str">
        <f ca="1">IFERROR(__xludf.DUMMYFUNCTION("GOOGLETRANSLATE(B968,""en"",""fr"")"),"Impression, veuillez patienter ...")</f>
        <v>Impression, veuillez patienter ...</v>
      </c>
    </row>
    <row r="969" spans="1:6" ht="15.75" customHeight="1" x14ac:dyDescent="0.25">
      <c r="A969" s="1" t="s">
        <v>1821</v>
      </c>
      <c r="B969" s="1" t="s">
        <v>1822</v>
      </c>
      <c r="C969" s="1" t="str">
        <f ca="1">IFERROR(__xludf.DUMMYFUNCTION("GOOGLETRANSLATE(B969,""en"",""ar"")"),"أرجو الإنتظار...")</f>
        <v>أرجو الإنتظار...</v>
      </c>
      <c r="D969" s="1" t="str">
        <f ca="1">IFERROR(__xludf.DUMMYFUNCTION("GOOGLETRANSLATE(B969,""en"",""zh-CN"")"),"请稍等...")</f>
        <v>请稍等...</v>
      </c>
      <c r="E969" s="1" t="str">
        <f ca="1">IFERROR(__xludf.DUMMYFUNCTION("GOOGLETRANSLATE(B969,""en"",""ja"")"),"お待ちください...")</f>
        <v>お待ちください...</v>
      </c>
      <c r="F969" s="1" t="str">
        <f ca="1">IFERROR(__xludf.DUMMYFUNCTION("GOOGLETRANSLATE(B969,""en"",""fr"")"),"S'il vous plaît, attendez...")</f>
        <v>S'il vous plaît, attendez...</v>
      </c>
    </row>
    <row r="970" spans="1:6" ht="15.75" customHeight="1" x14ac:dyDescent="0.25">
      <c r="A970" s="1" t="s">
        <v>1823</v>
      </c>
      <c r="B970" s="1" t="s">
        <v>1824</v>
      </c>
      <c r="C970" s="1" t="str">
        <f ca="1">IFERROR(__xludf.DUMMYFUNCTION("GOOGLETRANSLATE(B970,""en"",""ar"")"),"أخف التفاصيل")</f>
        <v>أخف التفاصيل</v>
      </c>
      <c r="D970" s="1" t="str">
        <f ca="1">IFERROR(__xludf.DUMMYFUNCTION("GOOGLETRANSLATE(B970,""en"",""zh-CN"")"),"隐藏细节")</f>
        <v>隐藏细节</v>
      </c>
      <c r="E970" s="1" t="str">
        <f ca="1">IFERROR(__xludf.DUMMYFUNCTION("GOOGLETRANSLATE(B970,""en"",""ja"")"),"詳細を隠す")</f>
        <v>詳細を隠す</v>
      </c>
      <c r="F970" s="1" t="str">
        <f ca="1">IFERROR(__xludf.DUMMYFUNCTION("GOOGLETRANSLATE(B970,""en"",""fr"")"),"Cacher les détails")</f>
        <v>Cacher les détails</v>
      </c>
    </row>
    <row r="971" spans="1:6" ht="15.75" customHeight="1" x14ac:dyDescent="0.25">
      <c r="A971" s="1" t="s">
        <v>1825</v>
      </c>
      <c r="B971" s="1" t="s">
        <v>1826</v>
      </c>
      <c r="C971" s="1" t="str">
        <f ca="1">IFERROR(__xludf.DUMMYFUNCTION("GOOGLETRANSLATE(B971,""en"",""ar"")"),"رأي")</f>
        <v>رأي</v>
      </c>
      <c r="D971" s="1" t="str">
        <f ca="1">IFERROR(__xludf.DUMMYFUNCTION("GOOGLETRANSLATE(B971,""en"",""zh-CN"")"),"看法")</f>
        <v>看法</v>
      </c>
      <c r="E971" s="1" t="str">
        <f ca="1">IFERROR(__xludf.DUMMYFUNCTION("GOOGLETRANSLATE(B971,""en"",""ja"")"),"見る")</f>
        <v>見る</v>
      </c>
      <c r="F971" s="1" t="str">
        <f ca="1">IFERROR(__xludf.DUMMYFUNCTION("GOOGLETRANSLATE(B971,""en"",""fr"")"),"VOIR")</f>
        <v>VOIR</v>
      </c>
    </row>
    <row r="972" spans="1:6" ht="15.75" customHeight="1" x14ac:dyDescent="0.25">
      <c r="A972" s="1" t="s">
        <v>1827</v>
      </c>
      <c r="B972" s="1" t="s">
        <v>1828</v>
      </c>
      <c r="C972" s="1" t="str">
        <f ca="1">IFERROR(__xludf.DUMMYFUNCTION("GOOGLETRANSLATE(B972,""en"",""ar"")"),"قائمة الطعام")</f>
        <v>قائمة الطعام</v>
      </c>
      <c r="D972" s="1" t="str">
        <f ca="1">IFERROR(__xludf.DUMMYFUNCTION("GOOGLETRANSLATE(B972,""en"",""zh-CN"")"),"菜单")</f>
        <v>菜单</v>
      </c>
      <c r="E972" s="1" t="str">
        <f ca="1">IFERROR(__xludf.DUMMYFUNCTION("GOOGLETRANSLATE(B972,""en"",""ja"")"),"メニュー")</f>
        <v>メニュー</v>
      </c>
      <c r="F972" s="1" t="str">
        <f ca="1">IFERROR(__xludf.DUMMYFUNCTION("GOOGLETRANSLATE(B972,""en"",""fr"")"),"Menu")</f>
        <v>Menu</v>
      </c>
    </row>
    <row r="973" spans="1:6" ht="15.75" customHeight="1" x14ac:dyDescent="0.25">
      <c r="A973" s="1" t="s">
        <v>1829</v>
      </c>
      <c r="B973" s="1" t="s">
        <v>1147</v>
      </c>
      <c r="C973" s="1" t="str">
        <f ca="1">IFERROR(__xludf.DUMMYFUNCTION("GOOGLETRANSLATE(B973,""en"",""ar"")"),"حالة")</f>
        <v>حالة</v>
      </c>
      <c r="D973" s="1" t="str">
        <f ca="1">IFERROR(__xludf.DUMMYFUNCTION("GOOGLETRANSLATE(B973,""en"",""zh-CN"")"),"地位")</f>
        <v>地位</v>
      </c>
      <c r="E973" s="1" t="str">
        <f ca="1">IFERROR(__xludf.DUMMYFUNCTION("GOOGLETRANSLATE(B973,""en"",""ja"")"),"状態")</f>
        <v>状態</v>
      </c>
      <c r="F973" s="1" t="str">
        <f ca="1">IFERROR(__xludf.DUMMYFUNCTION("GOOGLETRANSLATE(B973,""en"",""fr"")"),"Statut")</f>
        <v>Statut</v>
      </c>
    </row>
    <row r="974" spans="1:6" ht="15.75" customHeight="1" x14ac:dyDescent="0.25">
      <c r="A974" s="1" t="s">
        <v>1830</v>
      </c>
      <c r="B974" s="1" t="s">
        <v>1831</v>
      </c>
      <c r="C974" s="1" t="str">
        <f ca="1">IFERROR(__xludf.DUMMYFUNCTION("GOOGLETRANSLATE(B974,""en"",""ar"")"),"موظف :")</f>
        <v>موظف :</v>
      </c>
      <c r="D974" s="1" t="str">
        <f ca="1">IFERROR(__xludf.DUMMYFUNCTION("GOOGLETRANSLATE(B974,""en"",""zh-CN"")"),"员工 ：")</f>
        <v>员工 ：</v>
      </c>
      <c r="E974" s="1" t="str">
        <f ca="1">IFERROR(__xludf.DUMMYFUNCTION("GOOGLETRANSLATE(B974,""en"",""ja"")"),"従業員 ：")</f>
        <v>従業員 ：</v>
      </c>
      <c r="F974" s="1" t="str">
        <f ca="1">IFERROR(__xludf.DUMMYFUNCTION("GOOGLETRANSLATE(B974,""en"",""fr"")"),"Employé :")</f>
        <v>Employé :</v>
      </c>
    </row>
    <row r="975" spans="1:6" ht="15.75" customHeight="1" x14ac:dyDescent="0.25">
      <c r="A975" s="1" t="s">
        <v>1832</v>
      </c>
      <c r="B975" s="1" t="s">
        <v>1833</v>
      </c>
      <c r="C975" s="1" t="str">
        <f ca="1">IFERROR(__xludf.DUMMYFUNCTION("GOOGLETRANSLATE(B975,""en"",""ar"")"),"أنت لا يوجد اتصال بالإنترنت")</f>
        <v>أنت لا يوجد اتصال بالإنترنت</v>
      </c>
      <c r="D975" s="1" t="str">
        <f ca="1">IFERROR(__xludf.DUMMYFUNCTION("GOOGLETRANSLATE(B975,""en"",""zh-CN"")"),"你没有互联网连接")</f>
        <v>你没有互联网连接</v>
      </c>
      <c r="E975" s="1" t="str">
        <f ca="1">IFERROR(__xludf.DUMMYFUNCTION("GOOGLETRANSLATE(B975,""en"",""ja"")"),"あなたはインターネット接続を持っていません")</f>
        <v>あなたはインターネット接続を持っていません</v>
      </c>
      <c r="F975" s="1" t="str">
        <f ca="1">IFERROR(__xludf.DUMMYFUNCTION("GOOGLETRANSLATE(B975,""en"",""fr"")"),"Vous n'avez pas de connexion Internet")</f>
        <v>Vous n'avez pas de connexion Internet</v>
      </c>
    </row>
    <row r="976" spans="1:6" ht="15.75" customHeight="1" x14ac:dyDescent="0.25">
      <c r="A976" s="1" t="s">
        <v>1834</v>
      </c>
      <c r="B976" s="1" t="s">
        <v>1835</v>
      </c>
      <c r="C976" s="1" t="str">
        <f ca="1">IFERROR(__xludf.DUMMYFUNCTION("GOOGLETRANSLATE(B976,""en"",""ar"")"),"التسجيل الناجح!")</f>
        <v>التسجيل الناجح!</v>
      </c>
      <c r="D976" s="1" t="str">
        <f ca="1">IFERROR(__xludf.DUMMYFUNCTION("GOOGLETRANSLATE(B976,""en"",""zh-CN"")"),"注册成功！")</f>
        <v>注册成功！</v>
      </c>
      <c r="E976" s="1" t="str">
        <f ca="1">IFERROR(__xludf.DUMMYFUNCTION("GOOGLETRANSLATE(B976,""en"",""ja"")"),"登録に成功！")</f>
        <v>登録に成功！</v>
      </c>
      <c r="F976" s="1" t="str">
        <f ca="1">IFERROR(__xludf.DUMMYFUNCTION("GOOGLETRANSLATE(B976,""en"",""fr"")"),"Inscription réussi!")</f>
        <v>Inscription réussi!</v>
      </c>
    </row>
    <row r="977" spans="1:6" ht="15.75" customHeight="1" x14ac:dyDescent="0.25">
      <c r="A977" s="1" t="s">
        <v>1836</v>
      </c>
      <c r="B977" s="1" t="s">
        <v>1837</v>
      </c>
      <c r="C977" s="1" t="str">
        <f ca="1">IFERROR(__xludf.DUMMYFUNCTION("GOOGLETRANSLATE(B977,""en"",""ar"")"),"تسجيل غير ناجح!")</f>
        <v>تسجيل غير ناجح!</v>
      </c>
      <c r="D977" s="1" t="str">
        <f ca="1">IFERROR(__xludf.DUMMYFUNCTION("GOOGLETRANSLATE(B977,""en"",""zh-CN"")"),"注册不成功！")</f>
        <v>注册不成功！</v>
      </c>
      <c r="E977" s="1" t="str">
        <f ca="1">IFERROR(__xludf.DUMMYFUNCTION("GOOGLETRANSLATE(B977,""en"",""ja"")"),"登録が失敗しました！")</f>
        <v>登録が失敗しました！</v>
      </c>
      <c r="F977" s="1" t="str">
        <f ca="1">IFERROR(__xludf.DUMMYFUNCTION("GOOGLETRANSLATE(B977,""en"",""fr"")"),"Inscription infructueuse!")</f>
        <v>Inscription infructueuse!</v>
      </c>
    </row>
    <row r="978" spans="1:6" ht="15.75" customHeight="1" x14ac:dyDescent="0.25">
      <c r="A978" s="1" t="s">
        <v>1838</v>
      </c>
      <c r="B978" s="1" t="s">
        <v>1839</v>
      </c>
      <c r="C978" s="1" t="str">
        <f ca="1">IFERROR(__xludf.DUMMYFUNCTION("GOOGLETRANSLATE(B978,""en"",""ar"")"),"عميل :")</f>
        <v>عميل :</v>
      </c>
      <c r="D978" s="1" t="str">
        <f ca="1">IFERROR(__xludf.DUMMYFUNCTION("GOOGLETRANSLATE(B978,""en"",""zh-CN"")"),"顾客 ：")</f>
        <v>顾客 ：</v>
      </c>
      <c r="E978" s="1" t="str">
        <f ca="1">IFERROR(__xludf.DUMMYFUNCTION("GOOGLETRANSLATE(B978,""en"",""ja"")"),"お客様 ：")</f>
        <v>お客様 ：</v>
      </c>
      <c r="F978" s="1" t="str">
        <f ca="1">IFERROR(__xludf.DUMMYFUNCTION("GOOGLETRANSLATE(B978,""en"",""fr"")"),"Client :")</f>
        <v>Client :</v>
      </c>
    </row>
    <row r="979" spans="1:6" ht="15.75" customHeight="1" x14ac:dyDescent="0.25">
      <c r="A979" s="1" t="s">
        <v>1840</v>
      </c>
      <c r="B979" s="1" t="s">
        <v>1841</v>
      </c>
      <c r="C979" s="1" t="str">
        <f ca="1">IFERROR(__xludf.DUMMYFUNCTION("GOOGLETRANSLATE(B979,""en"",""ar"")"),"استلام مكرر")</f>
        <v>استلام مكرر</v>
      </c>
      <c r="D979" s="1" t="str">
        <f ca="1">IFERROR(__xludf.DUMMYFUNCTION("GOOGLETRANSLATE(B979,""en"",""zh-CN"")"),"重复收据")</f>
        <v>重复收据</v>
      </c>
      <c r="E979" s="1" t="str">
        <f ca="1">IFERROR(__xludf.DUMMYFUNCTION("GOOGLETRANSLATE(B979,""en"",""ja"")"),"受信の重複")</f>
        <v>受信の重複</v>
      </c>
      <c r="F979" s="1" t="str">
        <f ca="1">IFERROR(__xludf.DUMMYFUNCTION("GOOGLETRANSLATE(B979,""en"",""fr"")"),"Dupliquée de réception")</f>
        <v>Dupliquée de réception</v>
      </c>
    </row>
    <row r="980" spans="1:6" ht="15.75" customHeight="1" x14ac:dyDescent="0.25">
      <c r="A980" s="1" t="s">
        <v>1842</v>
      </c>
      <c r="B980" s="1" t="s">
        <v>1843</v>
      </c>
      <c r="C980" s="1" t="str">
        <f ca="1">IFERROR(__xludf.DUMMYFUNCTION("GOOGLETRANSLATE(B980,""en"",""ar"")"),"الرجاء تثبيت whatsapp.")</f>
        <v>الرجاء تثبيت whatsapp.</v>
      </c>
      <c r="D980" s="1" t="str">
        <f ca="1">IFERROR(__xludf.DUMMYFUNCTION("GOOGLETRANSLATE(B980,""en"",""zh-CN"")"),"请安装whatsapp.")</f>
        <v>请安装whatsapp.</v>
      </c>
      <c r="E980" s="1" t="str">
        <f ca="1">IFERROR(__xludf.DUMMYFUNCTION("GOOGLETRANSLATE(B980,""en"",""ja"")"),"WhatsAppをインストールしてください")</f>
        <v>WhatsAppをインストールしてください</v>
      </c>
      <c r="F980" s="1" t="str">
        <f ca="1">IFERROR(__xludf.DUMMYFUNCTION("GOOGLETRANSLATE(B980,""en"",""fr"")"),"S'il vous plaît installer WhatsApp")</f>
        <v>S'il vous plaît installer WhatsApp</v>
      </c>
    </row>
    <row r="981" spans="1:6" ht="15.75" customHeight="1" x14ac:dyDescent="0.25">
      <c r="A981" s="1" t="s">
        <v>1844</v>
      </c>
      <c r="B981" s="1" t="s">
        <v>1845</v>
      </c>
      <c r="C981" s="1" t="str">
        <f ca="1">IFERROR(__xludf.DUMMYFUNCTION("GOOGLETRANSLATE(B981,""en"",""ar"")"),"الرجاء تثبيت Viber.")</f>
        <v>الرجاء تثبيت Viber.</v>
      </c>
      <c r="D981" s="1" t="str">
        <f ca="1">IFERROR(__xludf.DUMMYFUNCTION("GOOGLETRANSLATE(B981,""en"",""zh-CN"")"),"请安装Viber")</f>
        <v>请安装Viber</v>
      </c>
      <c r="E981" s="1" t="str">
        <f ca="1">IFERROR(__xludf.DUMMYFUNCTION("GOOGLETRANSLATE(B981,""en"",""ja"")"),"Viberをインストールしてください")</f>
        <v>Viberをインストールしてください</v>
      </c>
      <c r="F981" s="1" t="str">
        <f ca="1">IFERROR(__xludf.DUMMYFUNCTION("GOOGLETRANSLATE(B981,""en"",""fr"")"),"S'il vous plaît installer Viber")</f>
        <v>S'il vous plaît installer Viber</v>
      </c>
    </row>
    <row r="982" spans="1:6" ht="15.75" customHeight="1" x14ac:dyDescent="0.25">
      <c r="A982" s="1" t="s">
        <v>1846</v>
      </c>
      <c r="B982" s="1" t="s">
        <v>1847</v>
      </c>
      <c r="C982" s="1" t="str">
        <f ca="1">IFERROR(__xludf.DUMMYFUNCTION("GOOGLETRANSLATE(B982,""en"",""ar"")"),"الرجاء تثبيت تويتر")</f>
        <v>الرجاء تثبيت تويتر</v>
      </c>
      <c r="D982" s="1" t="str">
        <f ca="1">IFERROR(__xludf.DUMMYFUNCTION("GOOGLETRANSLATE(B982,""en"",""zh-CN"")"),"请安装推特")</f>
        <v>请安装推特</v>
      </c>
      <c r="E982" s="1" t="str">
        <f ca="1">IFERROR(__xludf.DUMMYFUNCTION("GOOGLETRANSLATE(B982,""en"",""ja"")"),"Twitterをインストールしてください")</f>
        <v>Twitterをインストールしてください</v>
      </c>
      <c r="F982" s="1" t="str">
        <f ca="1">IFERROR(__xludf.DUMMYFUNCTION("GOOGLETRANSLATE(B982,""en"",""fr"")"),"S'il vous plaît installer twitter")</f>
        <v>S'il vous plaît installer twitter</v>
      </c>
    </row>
    <row r="983" spans="1:6" ht="15.75" customHeight="1" x14ac:dyDescent="0.25">
      <c r="A983" s="1" t="s">
        <v>1848</v>
      </c>
      <c r="B983" s="1" t="s">
        <v>1849</v>
      </c>
      <c r="C983" s="1" t="str">
        <f ca="1">IFERROR(__xludf.DUMMYFUNCTION("GOOGLETRANSLATE(B983,""en"",""ar"")"),"تناول الطعام في")</f>
        <v>تناول الطعام في</v>
      </c>
      <c r="D983" s="1" t="str">
        <f ca="1">IFERROR(__xludf.DUMMYFUNCTION("GOOGLETRANSLATE(B983,""en"",""zh-CN"")"),"在用餐")</f>
        <v>在用餐</v>
      </c>
      <c r="E983" s="1" t="str">
        <f ca="1">IFERROR(__xludf.DUMMYFUNCTION("GOOGLETRANSLATE(B983,""en"",""ja"")"),"で食事をします")</f>
        <v>で食事をします</v>
      </c>
      <c r="F983" s="1" t="str">
        <f ca="1">IFERROR(__xludf.DUMMYFUNCTION("GOOGLETRANSLATE(B983,""en"",""fr"")"),"DÎNER DANS")</f>
        <v>DÎNER DANS</v>
      </c>
    </row>
    <row r="984" spans="1:6" ht="15.75" customHeight="1" x14ac:dyDescent="0.25">
      <c r="A984" s="1" t="s">
        <v>1850</v>
      </c>
      <c r="B984" s="1" t="s">
        <v>1851</v>
      </c>
      <c r="C984" s="1" t="str">
        <f ca="1">IFERROR(__xludf.DUMMYFUNCTION("GOOGLETRANSLATE(B984,""en"",""ar"")"),"يبعد")</f>
        <v>يبعد</v>
      </c>
      <c r="D984" s="1" t="str">
        <f ca="1">IFERROR(__xludf.DUMMYFUNCTION("GOOGLETRANSLATE(B984,""en"",""zh-CN"")"),"带走")</f>
        <v>带走</v>
      </c>
      <c r="E984" s="1" t="str">
        <f ca="1">IFERROR(__xludf.DUMMYFUNCTION("GOOGLETRANSLATE(B984,""en"",""ja"")"),"取り除く")</f>
        <v>取り除く</v>
      </c>
      <c r="F984" s="1" t="str">
        <f ca="1">IFERROR(__xludf.DUMMYFUNCTION("GOOGLETRANSLATE(B984,""en"",""fr"")"),"EMPORTER")</f>
        <v>EMPORTER</v>
      </c>
    </row>
    <row r="985" spans="1:6" ht="15.75" customHeight="1" x14ac:dyDescent="0.25">
      <c r="A985" s="1" t="s">
        <v>1852</v>
      </c>
      <c r="B985" s="1" t="s">
        <v>1853</v>
      </c>
      <c r="C985" s="1" t="str">
        <f ca="1">IFERROR(__xludf.DUMMYFUNCTION("GOOGLETRANSLATE(B985,""en"",""ar"")"),"توصيل")</f>
        <v>توصيل</v>
      </c>
      <c r="D985" s="1" t="str">
        <f ca="1">IFERROR(__xludf.DUMMYFUNCTION("GOOGLETRANSLATE(B985,""en"",""zh-CN"")"),"交货")</f>
        <v>交货</v>
      </c>
      <c r="E985" s="1" t="str">
        <f ca="1">IFERROR(__xludf.DUMMYFUNCTION("GOOGLETRANSLATE(B985,""en"",""ja"")"),"配達")</f>
        <v>配達</v>
      </c>
      <c r="F985" s="1" t="str">
        <f ca="1">IFERROR(__xludf.DUMMYFUNCTION("GOOGLETRANSLATE(B985,""en"",""fr"")"),"LIVRAISON")</f>
        <v>LIVRAISON</v>
      </c>
    </row>
    <row r="986" spans="1:6" ht="15.75" customHeight="1" x14ac:dyDescent="0.25">
      <c r="A986" s="1" t="s">
        <v>1854</v>
      </c>
      <c r="B986" s="1" t="s">
        <v>1855</v>
      </c>
      <c r="C986" s="1" t="str">
        <f ca="1">IFERROR(__xludf.DUMMYFUNCTION("GOOGLETRANSLATE(B986,""en"",""ar"")"),"(الحجم المثالي: العرض = 399 بكسل، الارتفاع = 200 بكسل)")</f>
        <v>(الحجم المثالي: العرض = 399 بكسل، الارتفاع = 200 بكسل)</v>
      </c>
      <c r="D986" s="1" t="str">
        <f ca="1">IFERROR(__xludf.DUMMYFUNCTION("GOOGLETRANSLATE(B986,""en"",""zh-CN"")"),"（理想尺寸：宽度= 399像素，高度= 200像素）")</f>
        <v>（理想尺寸：宽度= 399像素，高度= 200像素）</v>
      </c>
      <c r="E986" s="1" t="str">
        <f ca="1">IFERROR(__xludf.DUMMYFUNCTION("GOOGLETRANSLATE(B986,""en"",""ja"")"),"（理想サイズ：幅= 399ピクセル、高さ= 200ピクセル）")</f>
        <v>（理想サイズ：幅= 399ピクセル、高さ= 200ピクセル）</v>
      </c>
      <c r="F986" s="1" t="str">
        <f ca="1">IFERROR(__xludf.DUMMYFUNCTION("GOOGLETRANSLATE(B986,""en"",""fr"")"),"(Taille idéale: largeur = 399 pixels, hauteur = 200 pixels)")</f>
        <v>(Taille idéale: largeur = 399 pixels, hauteur = 200 pixels)</v>
      </c>
    </row>
    <row r="987" spans="1:6" ht="15.75" customHeight="1" x14ac:dyDescent="0.25">
      <c r="A987" s="1" t="s">
        <v>1856</v>
      </c>
      <c r="B987" s="1" t="s">
        <v>1857</v>
      </c>
      <c r="C987" s="1" t="str">
        <f ca="1">IFERROR(__xludf.DUMMYFUNCTION("GOOGLETRANSLATE(B987,""en"",""ar"")"),"حدد جهاز USB.")</f>
        <v>حدد جهاز USB.</v>
      </c>
      <c r="D987" s="1" t="str">
        <f ca="1">IFERROR(__xludf.DUMMYFUNCTION("GOOGLETRANSLATE(B987,""en"",""zh-CN"")"),"选择USB设备")</f>
        <v>选择USB设备</v>
      </c>
      <c r="E987" s="1" t="str">
        <f ca="1">IFERROR(__xludf.DUMMYFUNCTION("GOOGLETRANSLATE(B987,""en"",""ja"")"),"USBデバイスを選択してください")</f>
        <v>USBデバイスを選択してください</v>
      </c>
      <c r="F987" s="1" t="str">
        <f ca="1">IFERROR(__xludf.DUMMYFUNCTION("GOOGLETRANSLATE(B987,""en"",""fr"")"),"Sélectionnez le périphérique USB")</f>
        <v>Sélectionnez le périphérique USB</v>
      </c>
    </row>
    <row r="988" spans="1:6" ht="15.75" customHeight="1" x14ac:dyDescent="0.25">
      <c r="A988" s="1" t="s">
        <v>1858</v>
      </c>
      <c r="B988" s="1" t="s">
        <v>1859</v>
      </c>
      <c r="C988" s="1" t="str">
        <f ca="1">IFERROR(__xludf.DUMMYFUNCTION("GOOGLETRANSLATE(B988,""en"",""ar"")"),"فاتورة ضريبية")</f>
        <v>فاتورة ضريبية</v>
      </c>
      <c r="D988" s="1" t="str">
        <f ca="1">IFERROR(__xludf.DUMMYFUNCTION("GOOGLETRANSLATE(B988,""en"",""zh-CN"")"),"税务发票")</f>
        <v>税务发票</v>
      </c>
      <c r="E988" s="1" t="str">
        <f ca="1">IFERROR(__xludf.DUMMYFUNCTION("GOOGLETRANSLATE(B988,""en"",""ja"")"),"税の請求書")</f>
        <v>税の請求書</v>
      </c>
      <c r="F988" s="1" t="str">
        <f ca="1">IFERROR(__xludf.DUMMYFUNCTION("GOOGLETRANSLATE(B988,""en"",""fr"")"),"FACTURE FISCALE")</f>
        <v>FACTURE FISCALE</v>
      </c>
    </row>
    <row r="989" spans="1:6" ht="15.75" customHeight="1" x14ac:dyDescent="0.25">
      <c r="A989" s="1" t="s">
        <v>1860</v>
      </c>
      <c r="B989" s="1" t="s">
        <v>1861</v>
      </c>
      <c r="C989" s="1" t="str">
        <f ca="1">IFERROR(__xludf.DUMMYFUNCTION("GOOGLETRANSLATE(B989,""en"",""ar"")"),"ضريبة ريجنو. في")</f>
        <v>ضريبة ريجنو. في</v>
      </c>
      <c r="D989" s="1" t="str">
        <f ca="1">IFERROR(__xludf.DUMMYFUNCTION("GOOGLETRANSLATE(B989,""en"",""zh-CN"")"),"增值税regno。 ：")</f>
        <v>增值税regno。 ：</v>
      </c>
      <c r="E989" s="1" t="str">
        <f ca="1">IFERROR(__xludf.DUMMYFUNCTION("GOOGLETRANSLATE(B989,""en"",""ja"")"),"VAT REGNO。 ：")</f>
        <v>VAT REGNO。 ：</v>
      </c>
      <c r="F989" s="1" t="str">
        <f ca="1">IFERROR(__xludf.DUMMYFUNCTION("GOOGLETRANSLATE(B989,""en"",""fr"")"),"TVA REGNO. :")</f>
        <v>TVA REGNO. :</v>
      </c>
    </row>
    <row r="990" spans="1:6" ht="15.75" customHeight="1" x14ac:dyDescent="0.25">
      <c r="A990" s="1" t="s">
        <v>1862</v>
      </c>
      <c r="B990" s="1" t="s">
        <v>1863</v>
      </c>
      <c r="C990" s="1" t="str">
        <f ca="1">IFERROR(__xludf.DUMMYFUNCTION("GOOGLETRANSLATE(B990,""en"",""ar"")"),"إذا كنت ترغب في إعداد شاشة عرض، فقم بتسجيل الدخول إلى بوابة الويب الرجوع إلى الوراء وإنشائها. انتقل إلى المزيد - الإعداد - إدارة قائمة الانتظار. على أي حال، يتم طباعة رقم قائمة الانتظار في الفاتورة.")</f>
        <v>إذا كنت ترغب في إعداد شاشة عرض، فقم بتسجيل الدخول إلى بوابة الويب الرجوع إلى الوراء وإنشائها. انتقل إلى المزيد - الإعداد - إدارة قائمة الانتظار. على أي حال، يتم طباعة رقم قائمة الانتظار في الفاتورة.</v>
      </c>
      <c r="D990" s="1" t="str">
        <f ca="1">IFERROR(__xludf.DUMMYFUNCTION("GOOGLETRANSLATE(B990,""en"",""zh-CN"")"),"如果要设置显示，请登录后台Web Portal并创建它。转到更多 - 设置 - 管理队列。无论如何，队列号都在账单上打印。")</f>
        <v>如果要设置显示，请登录后台Web Portal并创建它。转到更多 - 设置 - 管理队列。无论如何，队列号都在账单上打印。</v>
      </c>
      <c r="E990" s="1" t="str">
        <f ca="1">IFERROR(__xludf.DUMMYFUNCTION("GOOGLETRANSLATE(B990,""en"",""ja"")"),"ディスプレイを設定したい場合は、Back Office Web Portalにログインして作成してください。 more  -  setup  - キューを管理します。とにかくキュー番号は請求書に印刷されます。")</f>
        <v>ディスプレイを設定したい場合は、Back Office Web Portalにログインして作成してください。 more  -  setup  - キューを管理します。とにかくキュー番号は請求書に印刷されます。</v>
      </c>
      <c r="F990" s="1" t="str">
        <f ca="1">IFERROR(__xludf.DUMMYFUNCTION("GOOGLETRANSLATE(B990,""en"",""fr"")"),"Si vous souhaitez configurer un écran, connectez-vous au portail Web Back Office et à la créer. Allez à plus - Configuration - Gérer la file d'attente. Quoi qu'il en soit, le numéro de la file d'attente est imprimé sur la facture.")</f>
        <v>Si vous souhaitez configurer un écran, connectez-vous au portail Web Back Office et à la créer. Allez à plus - Configuration - Gérer la file d'attente. Quoi qu'il en soit, le numéro de la file d'attente est imprimé sur la facture.</v>
      </c>
    </row>
    <row r="991" spans="1:6" ht="15.75" customHeight="1" x14ac:dyDescent="0.25">
      <c r="A991" s="1" t="s">
        <v>1864</v>
      </c>
      <c r="B991" s="1" t="s">
        <v>1865</v>
      </c>
      <c r="C991" s="1" t="str">
        <f ca="1">IFERROR(__xludf.DUMMYFUNCTION("GOOGLETRANSLATE(B991,""en"",""ar"")"),"سيتم تطبيق تغييرات اللغة بعد إعادة تشغيل التطبيق. هل تريد المتابعة؟")</f>
        <v>سيتم تطبيق تغييرات اللغة بعد إعادة تشغيل التطبيق. هل تريد المتابعة؟</v>
      </c>
      <c r="D991" s="1" t="str">
        <f ca="1">IFERROR(__xludf.DUMMYFUNCTION("GOOGLETRANSLATE(B991,""en"",""zh-CN"")"),"在重新启动应用程序后，语言更改将适用。您要继续进行吗？")</f>
        <v>在重新启动应用程序后，语言更改将适用。您要继续进行吗？</v>
      </c>
      <c r="E991" s="1" t="str">
        <f ca="1">IFERROR(__xludf.DUMMYFUNCTION("GOOGLETRANSLATE(B991,""en"",""ja"")"),"言語の変更はAppを再起動した後に適用されます。続行しますか？")</f>
        <v>言語の変更はAppを再起動した後に適用されます。続行しますか？</v>
      </c>
      <c r="F991" s="1" t="str">
        <f ca="1">IFERROR(__xludf.DUMMYFUNCTION("GOOGLETRANSLATE(B991,""en"",""fr"")"),"Les changements de langue s'appliqueront après le redémarrage de l'application.Vous voulez continuer?")</f>
        <v>Les changements de langue s'appliqueront après le redémarrage de l'application.Vous voulez continuer?</v>
      </c>
    </row>
    <row r="992" spans="1:6" ht="15.75" customHeight="1" x14ac:dyDescent="0.25">
      <c r="A992" s="1" t="s">
        <v>1866</v>
      </c>
      <c r="B992" s="1" t="s">
        <v>1867</v>
      </c>
      <c r="C992" s="1" t="str">
        <f ca="1">IFERROR(__xludf.DUMMYFUNCTION("GOOGLETRANSLATE(B992,""en"",""ar"")"),"تغير اللغة")</f>
        <v>تغير اللغة</v>
      </c>
      <c r="D992" s="1" t="str">
        <f ca="1">IFERROR(__xludf.DUMMYFUNCTION("GOOGLETRANSLATE(B992,""en"",""zh-CN"")"),"语言改变")</f>
        <v>语言改变</v>
      </c>
      <c r="E992" s="1" t="str">
        <f ca="1">IFERROR(__xludf.DUMMYFUNCTION("GOOGLETRANSLATE(B992,""en"",""ja"")"),"言語の変更")</f>
        <v>言語の変更</v>
      </c>
      <c r="F992" s="1" t="str">
        <f ca="1">IFERROR(__xludf.DUMMYFUNCTION("GOOGLETRANSLATE(B992,""en"",""fr"")"),"Changement de langue")</f>
        <v>Changement de langue</v>
      </c>
    </row>
    <row r="993" spans="1:6" ht="15.75" customHeight="1" x14ac:dyDescent="0.25">
      <c r="A993" s="1" t="s">
        <v>1868</v>
      </c>
      <c r="B993" s="1" t="s">
        <v>1869</v>
      </c>
      <c r="C993" s="1" t="str">
        <f ca="1">IFERROR(__xludf.DUMMYFUNCTION("GOOGLETRANSLATE(B993,""en"",""ar"")"),"يرجى استخدام بوابة الويب لإنشاء شاشة KOT")</f>
        <v>يرجى استخدام بوابة الويب لإنشاء شاشة KOT</v>
      </c>
      <c r="D993" s="1" t="str">
        <f ca="1">IFERROR(__xludf.DUMMYFUNCTION("GOOGLETRANSLATE(B993,""en"",""zh-CN"")"),"请使用Web Portal创建KOT显示")</f>
        <v>请使用Web Portal创建KOT显示</v>
      </c>
      <c r="E993" s="1" t="str">
        <f ca="1">IFERROR(__xludf.DUMMYFUNCTION("GOOGLETRANSLATE(B993,""en"",""ja"")"),"kotディスプレイを作成するには、Web Portalを使用してください")</f>
        <v>kotディスプレイを作成するには、Web Portalを使用してください</v>
      </c>
      <c r="F993" s="1" t="str">
        <f ca="1">IFERROR(__xludf.DUMMYFUNCTION("GOOGLETRANSLATE(B993,""en"",""fr"")"),"Veuillez utiliser le portail Web pour créer un affichage Kot")</f>
        <v>Veuillez utiliser le portail Web pour créer un affichage Kot</v>
      </c>
    </row>
    <row r="994" spans="1:6" ht="15.75" customHeight="1" x14ac:dyDescent="0.25">
      <c r="A994" s="1" t="s">
        <v>1870</v>
      </c>
      <c r="B994" s="1" t="s">
        <v>1871</v>
      </c>
      <c r="C994" s="1" t="str">
        <f ca="1">IFERROR(__xludf.DUMMYFUNCTION("GOOGLETRANSLATE(B994,""en"",""ar"")"),"عرض كوت")</f>
        <v>عرض كوت</v>
      </c>
      <c r="D994" s="1" t="str">
        <f ca="1">IFERROR(__xludf.DUMMYFUNCTION("GOOGLETRANSLATE(B994,""en"",""zh-CN"")"),"kot显示")</f>
        <v>kot显示</v>
      </c>
      <c r="E994" s="1" t="str">
        <f ca="1">IFERROR(__xludf.DUMMYFUNCTION("GOOGLETRANSLATE(B994,""en"",""ja"")"),"KOTディスプレイ")</f>
        <v>KOTディスプレイ</v>
      </c>
      <c r="F994" s="1" t="str">
        <f ca="1">IFERROR(__xludf.DUMMYFUNCTION("GOOGLETRANSLATE(B994,""en"",""fr"")"),"Affichage Kot")</f>
        <v>Affichage Kot</v>
      </c>
    </row>
    <row r="995" spans="1:6" ht="15.75" customHeight="1" x14ac:dyDescent="0.25">
      <c r="A995" s="1" t="s">
        <v>1872</v>
      </c>
      <c r="B995" s="1" t="s">
        <v>1873</v>
      </c>
      <c r="C995" s="1" t="str">
        <f ca="1">IFERROR(__xludf.DUMMYFUNCTION("GOOGLETRANSLATE(B995,""en"",""ar"")"),"نقل الكمية")</f>
        <v>نقل الكمية</v>
      </c>
      <c r="D995" s="1" t="str">
        <f ca="1">IFERROR(__xludf.DUMMYFUNCTION("GOOGLETRANSLATE(B995,""en"",""zh-CN"")"),"转移数量")</f>
        <v>转移数量</v>
      </c>
      <c r="E995" s="1" t="str">
        <f ca="1">IFERROR(__xludf.DUMMYFUNCTION("GOOGLETRANSLATE(B995,""en"",""ja"")"),"トランスファー数")</f>
        <v>トランスファー数</v>
      </c>
      <c r="F995" s="1" t="str">
        <f ca="1">IFERROR(__xludf.DUMMYFUNCTION("GOOGLETRANSLATE(B995,""en"",""fr"")"),"Troisième transfert")</f>
        <v>Troisième transfert</v>
      </c>
    </row>
    <row r="996" spans="1:6" ht="15.75" customHeight="1" x14ac:dyDescent="0.25">
      <c r="A996" s="1" t="s">
        <v>1874</v>
      </c>
      <c r="B996" s="1" t="s">
        <v>1875</v>
      </c>
      <c r="C996" s="1" t="str">
        <f ca="1">IFERROR(__xludf.DUMMYFUNCTION("GOOGLETRANSLATE(B996,""en"",""ar"")"),"المجموع الكبرى النهائي")</f>
        <v>المجموع الكبرى النهائي</v>
      </c>
      <c r="D996" s="1" t="str">
        <f ca="1">IFERROR(__xludf.DUMMYFUNCTION("GOOGLETRANSLATE(B996,""en"",""zh-CN"")"),"总计最终总数")</f>
        <v>总计最终总数</v>
      </c>
      <c r="E996" s="1" t="str">
        <f ca="1">IFERROR(__xludf.DUMMYFUNCTION("GOOGLETRANSLATE(B996,""en"",""ja"")"),"最終的な総計")</f>
        <v>最終的な総計</v>
      </c>
      <c r="F996" s="1" t="str">
        <f ca="1">IFERROR(__xludf.DUMMYFUNCTION("GOOGLETRANSLATE(B996,""en"",""fr"")"),"Final Grand Total")</f>
        <v>Final Grand Total</v>
      </c>
    </row>
    <row r="997" spans="1:6" ht="15.75" customHeight="1" x14ac:dyDescent="0.25">
      <c r="A997" s="1" t="s">
        <v>1876</v>
      </c>
      <c r="B997" s="1" t="s">
        <v>1877</v>
      </c>
      <c r="C997" s="1" t="str">
        <f ca="1">IFERROR(__xludf.DUMMYFUNCTION("GOOGLETRANSLATE(B997,""en"",""ar"")"),"حدد العميل لفاتورة الائتمان")</f>
        <v>حدد العميل لفاتورة الائتمان</v>
      </c>
      <c r="D997" s="1" t="str">
        <f ca="1">IFERROR(__xludf.DUMMYFUNCTION("GOOGLETRANSLATE(B997,""en"",""zh-CN"")"),"选择客户的信用发票")</f>
        <v>选择客户的信用发票</v>
      </c>
      <c r="E997" s="1" t="str">
        <f ca="1">IFERROR(__xludf.DUMMYFUNCTION("GOOGLETRANSLATE(B997,""en"",""ja"")"),"クレジット請求書の顧客を選択してください")</f>
        <v>クレジット請求書の顧客を選択してください</v>
      </c>
      <c r="F997" s="1" t="str">
        <f ca="1">IFERROR(__xludf.DUMMYFUNCTION("GOOGLETRANSLATE(B997,""en"",""fr"")"),"Sélectionnez le client pour la facture de crédit")</f>
        <v>Sélectionnez le client pour la facture de crédit</v>
      </c>
    </row>
    <row r="998" spans="1:6" ht="15.75" customHeight="1" x14ac:dyDescent="0.25">
      <c r="A998" s="1" t="s">
        <v>1878</v>
      </c>
      <c r="B998" s="1" t="s">
        <v>1879</v>
      </c>
      <c r="C998" s="1" t="str">
        <f ca="1">IFERROR(__xludf.DUMMYFUNCTION("GOOGLETRANSLATE(B998,""en"",""ar"")"),"الدفع الائتمان غير مسموح به للدفع المسبق")</f>
        <v>الدفع الائتمان غير مسموح به للدفع المسبق</v>
      </c>
      <c r="D998" s="1" t="str">
        <f ca="1">IFERROR(__xludf.DUMMYFUNCTION("GOOGLETRANSLATE(B998,""en"",""zh-CN"")"),"信用付款不允许预付款")</f>
        <v>信用付款不允许预付款</v>
      </c>
      <c r="E998" s="1" t="str">
        <f ca="1">IFERROR(__xludf.DUMMYFUNCTION("GOOGLETRANSLATE(B998,""en"",""ja"")"),"クレジット支払いは前払いのために許可されていません")</f>
        <v>クレジット支払いは前払いのために許可されていません</v>
      </c>
      <c r="F998" s="1" t="str">
        <f ca="1">IFERROR(__xludf.DUMMYFUNCTION("GOOGLETRANSLATE(B998,""en"",""fr"")"),"Le paiement du crédit n'est pas autorisé pour le paiement anticipé")</f>
        <v>Le paiement du crédit n'est pas autorisé pour le paiement anticipé</v>
      </c>
    </row>
    <row r="999" spans="1:6" ht="15.75" customHeight="1" x14ac:dyDescent="0.25">
      <c r="A999" s="1" t="s">
        <v>1880</v>
      </c>
      <c r="B999" s="1" t="s">
        <v>1881</v>
      </c>
      <c r="C999" s="1" t="str">
        <f ca="1">IFERROR(__xludf.DUMMYFUNCTION("GOOGLETRANSLATE(B999,""en"",""ar"")"),"سجل تجاري #")</f>
        <v>سجل تجاري #</v>
      </c>
      <c r="D999" s="1" t="str">
        <f ca="1">IFERROR(__xludf.DUMMYFUNCTION("GOOGLETRANSLATE(B999,""en"",""zh-CN"")"),"CR＃")</f>
        <v>CR＃</v>
      </c>
      <c r="E999" s="1" t="str">
        <f ca="1">IFERROR(__xludf.DUMMYFUNCTION("GOOGLETRANSLATE(B999,""en"",""ja"")"),"CR＃")</f>
        <v>CR＃</v>
      </c>
      <c r="F999" s="1" t="str">
        <f ca="1">IFERROR(__xludf.DUMMYFUNCTION("GOOGLETRANSLATE(B999,""en"",""fr"")"),"Cr #")</f>
        <v>Cr #</v>
      </c>
    </row>
    <row r="1000" spans="1:6" ht="15.75" customHeight="1" x14ac:dyDescent="0.25">
      <c r="A1000" s="1" t="s">
        <v>1882</v>
      </c>
      <c r="B1000" s="1" t="s">
        <v>1883</v>
      </c>
      <c r="C1000" s="1" t="str">
        <f ca="1">IFERROR(__xludf.DUMMYFUNCTION("GOOGLETRANSLATE(B1000,""en"",""ar"")"),"المبلغ المسترد")</f>
        <v>المبلغ المسترد</v>
      </c>
      <c r="D1000" s="1" t="str">
        <f ca="1">IFERROR(__xludf.DUMMYFUNCTION("GOOGLETRANSLATE(B1000,""en"",""zh-CN"")"),"退款金额")</f>
        <v>退款金额</v>
      </c>
      <c r="E1000" s="1" t="str">
        <f ca="1">IFERROR(__xludf.DUMMYFUNCTION("GOOGLETRANSLATE(B1000,""en"",""ja"")"),"払い戻し額")</f>
        <v>払い戻し額</v>
      </c>
      <c r="F1000" s="1" t="str">
        <f ca="1">IFERROR(__xludf.DUMMYFUNCTION("GOOGLETRANSLATE(B1000,""en"",""fr"")"),"MONTANT DU REMBOURSEMENT")</f>
        <v>MONTANT DU REMBOURSEMENT</v>
      </c>
    </row>
    <row r="1001" spans="1:6" ht="15.75" customHeight="1" x14ac:dyDescent="0.25">
      <c r="A1001" s="1" t="s">
        <v>1884</v>
      </c>
      <c r="B1001" s="1" t="s">
        <v>1885</v>
      </c>
      <c r="C1001" s="1" t="str">
        <f ca="1">IFERROR(__xludf.DUMMYFUNCTION("GOOGLETRANSLATE(B1001,""en"",""ar"")"),"إنشاء أوامر العملاء")</f>
        <v>إنشاء أوامر العملاء</v>
      </c>
      <c r="D1001" s="1" t="str">
        <f ca="1">IFERROR(__xludf.DUMMYFUNCTION("GOOGLETRANSLATE(B1001,""en"",""zh-CN"")"),"创建客户订单")</f>
        <v>创建客户订单</v>
      </c>
      <c r="E1001" s="1" t="str">
        <f ca="1">IFERROR(__xludf.DUMMYFUNCTION("GOOGLETRANSLATE(B1001,""en"",""ja"")"),"顧客注文を作成します")</f>
        <v>顧客注文を作成します</v>
      </c>
      <c r="F1001" s="1" t="str">
        <f ca="1">IFERROR(__xludf.DUMMYFUNCTION("GOOGLETRANSLATE(B1001,""en"",""fr"")"),"Créer des commandes client")</f>
        <v>Créer des commandes client</v>
      </c>
    </row>
    <row r="1002" spans="1:6" ht="15.75" customHeight="1" x14ac:dyDescent="0.25">
      <c r="A1002" s="1" t="s">
        <v>1886</v>
      </c>
      <c r="B1002" s="1" t="s">
        <v>1887</v>
      </c>
      <c r="C1002" s="1" t="str">
        <f ca="1">IFERROR(__xludf.DUMMYFUNCTION("GOOGLETRANSLATE(B1002,""en"",""ar"")"),"هل تريد إنشاء هذا الطلب؟")</f>
        <v>هل تريد إنشاء هذا الطلب؟</v>
      </c>
      <c r="D1002" s="1" t="str">
        <f ca="1">IFERROR(__xludf.DUMMYFUNCTION("GOOGLETRANSLATE(B1002,""en"",""zh-CN"")"),"你想创建这个订单吗？")</f>
        <v>你想创建这个订单吗？</v>
      </c>
      <c r="E1002" s="1" t="str">
        <f ca="1">IFERROR(__xludf.DUMMYFUNCTION("GOOGLETRANSLATE(B1002,""en"",""ja"")"),"この注文を作成しますか？")</f>
        <v>この注文を作成しますか？</v>
      </c>
      <c r="F1002" s="1" t="str">
        <f ca="1">IFERROR(__xludf.DUMMYFUNCTION("GOOGLETRANSLATE(B1002,""en"",""fr"")"),"Voulez-vous créer cette commande?")</f>
        <v>Voulez-vous créer cette commande?</v>
      </c>
    </row>
    <row r="1003" spans="1:6" ht="15.75" customHeight="1" x14ac:dyDescent="0.25">
      <c r="A1003" s="1" t="s">
        <v>1888</v>
      </c>
      <c r="B1003" s="1" t="s">
        <v>1889</v>
      </c>
      <c r="C1003" s="1" t="str">
        <f ca="1">IFERROR(__xludf.DUMMYFUNCTION("GOOGLETRANSLATE(B1003,""en"",""ar"")"),"تطبيقات")</f>
        <v>تطبيقات</v>
      </c>
      <c r="D1003" s="1" t="str">
        <f ca="1">IFERROR(__xludf.DUMMYFUNCTION("GOOGLETRANSLATE(B1003,""en"",""zh-CN"")"),"应用")</f>
        <v>应用</v>
      </c>
      <c r="E1003" s="1" t="str">
        <f ca="1">IFERROR(__xludf.DUMMYFUNCTION("GOOGLETRANSLATE(B1003,""en"",""ja"")"),"アプリ")</f>
        <v>アプリ</v>
      </c>
      <c r="F1003" s="1" t="str">
        <f ca="1">IFERROR(__xludf.DUMMYFUNCTION("GOOGLETRANSLATE(B1003,""en"",""fr"")"),"applications")</f>
        <v>applications</v>
      </c>
    </row>
    <row r="1004" spans="1:6" ht="15.75" customHeight="1" x14ac:dyDescent="0.25">
      <c r="A1004" s="1" t="s">
        <v>1890</v>
      </c>
      <c r="B1004" s="1" t="s">
        <v>1891</v>
      </c>
      <c r="C1004" s="1" t="str">
        <f ca="1">IFERROR(__xludf.DUMMYFUNCTION("GOOGLETRANSLATE(B1004,""en"",""ar"")"),"إلغاء استلام الاستلام")</f>
        <v>إلغاء استلام الاستلام</v>
      </c>
      <c r="D1004" s="1" t="str">
        <f ca="1">IFERROR(__xludf.DUMMYFUNCTION("GOOGLETRANSLATE(B1004,""en"",""zh-CN"")"),"取消持有收据")</f>
        <v>取消持有收据</v>
      </c>
      <c r="E1004" s="1" t="str">
        <f ca="1">IFERROR(__xludf.DUMMYFUNCTION("GOOGLETRANSLATE(B1004,""en"",""ja"")"),"保留領収書をキャンセルします")</f>
        <v>保留領収書をキャンセルします</v>
      </c>
      <c r="F1004" s="1" t="str">
        <f ca="1">IFERROR(__xludf.DUMMYFUNCTION("GOOGLETRANSLATE(B1004,""en"",""fr"")"),"Annuler la réception de la suspension")</f>
        <v>Annuler la réception de la suspension</v>
      </c>
    </row>
    <row r="1005" spans="1:6" ht="15.75" customHeight="1" x14ac:dyDescent="0.25">
      <c r="A1005" s="1" t="s">
        <v>1892</v>
      </c>
      <c r="B1005" s="1" t="s">
        <v>61</v>
      </c>
      <c r="C1005" s="1" t="str">
        <f ca="1">IFERROR(__xludf.DUMMYFUNCTION("GOOGLETRANSLATE(B1005,""en"",""ar"")"),"معاملة الدرج")</f>
        <v>معاملة الدرج</v>
      </c>
      <c r="D1005" s="1" t="str">
        <f ca="1">IFERROR(__xludf.DUMMYFUNCTION("GOOGLETRANSLATE(B1005,""en"",""zh-CN"")"),"抽屉交易")</f>
        <v>抽屉交易</v>
      </c>
      <c r="E1005" s="1" t="str">
        <f ca="1">IFERROR(__xludf.DUMMYFUNCTION("GOOGLETRANSLATE(B1005,""en"",""ja"")"),"引き出しトランザクション")</f>
        <v>引き出しトランザクション</v>
      </c>
      <c r="F1005" s="1" t="str">
        <f ca="1">IFERROR(__xludf.DUMMYFUNCTION("GOOGLETRANSLATE(B1005,""en"",""fr"")"),"Transaction de tiroir")</f>
        <v>Transaction de tiroir</v>
      </c>
    </row>
    <row r="1006" spans="1:6" ht="15.75" customHeight="1" x14ac:dyDescent="0.25">
      <c r="A1006" s="1" t="s">
        <v>1893</v>
      </c>
      <c r="B1006" s="1" t="s">
        <v>1894</v>
      </c>
      <c r="C1006" s="1" t="str">
        <f ca="1">IFERROR(__xludf.DUMMYFUNCTION("GOOGLETRANSLATE(B1006,""en"",""ar"")"),"إذا لم يكن لديك مفتاح،")</f>
        <v>إذا لم يكن لديك مفتاح،</v>
      </c>
      <c r="D1006" s="1" t="str">
        <f ca="1">IFERROR(__xludf.DUMMYFUNCTION("GOOGLETRANSLATE(B1006,""en"",""zh-CN"")"),"如果你没有一个关键，")</f>
        <v>如果你没有一个关键，</v>
      </c>
      <c r="E1006" s="1" t="str">
        <f ca="1">IFERROR(__xludf.DUMMYFUNCTION("GOOGLETRANSLATE(B1006,""en"",""ja"")"),"キーがない場合は、")</f>
        <v>キーがない場合は、</v>
      </c>
      <c r="F1006" s="1" t="str">
        <f ca="1">IFERROR(__xludf.DUMMYFUNCTION("GOOGLETRANSLATE(B1006,""en"",""fr"")"),"Si vous n'avez pas de clé,")</f>
        <v>Si vous n'avez pas de clé,</v>
      </c>
    </row>
    <row r="1007" spans="1:6" ht="15.75" customHeight="1" x14ac:dyDescent="0.25">
      <c r="A1007" s="1" t="s">
        <v>1895</v>
      </c>
      <c r="B1007" s="1" t="s">
        <v>1896</v>
      </c>
      <c r="C1007" s="1" t="str">
        <f ca="1">IFERROR(__xludf.DUMMYFUNCTION("GOOGLETRANSLATE(B1007,""en"",""ar"")")," ترجمة =")</f>
        <v xml:space="preserve"> ترجمة =</v>
      </c>
      <c r="D1007" s="1" t="str">
        <f ca="1">IFERROR(__xludf.DUMMYFUNCTION("GOOGLETRANSLATE(B1007,""en"",""zh-CN"")")," 可翻译=")</f>
        <v xml:space="preserve"> 可翻译=</v>
      </c>
      <c r="E1007" s="1" t="str">
        <f ca="1">IFERROR(__xludf.DUMMYFUNCTION("GOOGLETRANSLATE(B1007,""en"",""ja"")")," 翻訳可能な=")</f>
        <v xml:space="preserve"> 翻訳可能な=</v>
      </c>
      <c r="F1007" s="1" t="str">
        <f ca="1">IFERROR(__xludf.DUMMYFUNCTION("GOOGLETRANSLATE(B1007,""en"",""fr"")")," TRADUCTABLE =")</f>
        <v xml:space="preserve"> TRADUCTABLE =</v>
      </c>
    </row>
    <row r="1008" spans="1:6" ht="15.75" customHeight="1" x14ac:dyDescent="0.25">
      <c r="A1008" s="1" t="s">
        <v>1897</v>
      </c>
      <c r="B1008" s="1" t="s">
        <v>1898</v>
      </c>
      <c r="C1008" s="1" t="str">
        <f ca="1">IFERROR(__xludf.DUMMYFUNCTION("GOOGLETRANSLATE(B1008,""en"",""ar"")"),"انقر مرة أخرى للخروج")</f>
        <v>انقر مرة أخرى للخروج</v>
      </c>
      <c r="D1008" s="1" t="str">
        <f ca="1">IFERROR(__xludf.DUMMYFUNCTION("GOOGLETRANSLATE(B1008,""en"",""zh-CN"")"),"再次单击退出")</f>
        <v>再次单击退出</v>
      </c>
      <c r="E1008" s="1" t="str">
        <f ca="1">IFERROR(__xludf.DUMMYFUNCTION("GOOGLETRANSLATE(B1008,""en"",""ja"")"),"もう一度クリックして終了します")</f>
        <v>もう一度クリックして終了します</v>
      </c>
      <c r="F1008" s="1" t="str">
        <f ca="1">IFERROR(__xludf.DUMMYFUNCTION("GOOGLETRANSLATE(B1008,""en"",""fr"")"),"Cliquez à nouveau pour quitter")</f>
        <v>Cliquez à nouveau pour quitter</v>
      </c>
    </row>
    <row r="1009" spans="1:6" ht="15.75" customHeight="1" x14ac:dyDescent="0.25">
      <c r="A1009" s="1" t="s">
        <v>1899</v>
      </c>
      <c r="B1009" s="1" t="s">
        <v>1900</v>
      </c>
      <c r="C1009" s="1" t="str">
        <f ca="1">IFERROR(__xludf.DUMMYFUNCTION("GOOGLETRANSLATE(B1009,""en"",""ar"")"),"ليس لديك إذن بأداء هذه الإجراءات.")</f>
        <v>ليس لديك إذن بأداء هذه الإجراءات.</v>
      </c>
      <c r="D1009" s="1" t="str">
        <f ca="1">IFERROR(__xludf.DUMMYFUNCTION("GOOGLETRANSLATE(B1009,""en"",""zh-CN"")"),"您没有权限执行此操作。")</f>
        <v>您没有权限执行此操作。</v>
      </c>
      <c r="E1009" s="1" t="str">
        <f ca="1">IFERROR(__xludf.DUMMYFUNCTION("GOOGLETRANSLATE(B1009,""en"",""ja"")"),"この操作を実行する権限はありません。")</f>
        <v>この操作を実行する権限はありません。</v>
      </c>
      <c r="F1009" s="1" t="str">
        <f ca="1">IFERROR(__xludf.DUMMYFUNCTION("GOOGLETRANSLATE(B1009,""en"",""fr"")"),"Vous n'avez pas la permission d'effectuer ces actions.")</f>
        <v>Vous n'avez pas la permission d'effectuer ces actions.</v>
      </c>
    </row>
    <row r="1010" spans="1:6" ht="15.75" customHeight="1" x14ac:dyDescent="0.25">
      <c r="A1010" s="1" t="s">
        <v>1901</v>
      </c>
      <c r="B1010" s="1" t="s">
        <v>1902</v>
      </c>
      <c r="C1010" s="1" t="str">
        <f ca="1">IFERROR(__xludf.DUMMYFUNCTION("GOOGLETRANSLATE(B1010,""en"",""ar"")"),"استخدم بوابة الويب BackOffice لإجراء هذا الإجراء.")</f>
        <v>استخدم بوابة الويب BackOffice لإجراء هذا الإجراء.</v>
      </c>
      <c r="D1010" s="1" t="str">
        <f ca="1">IFERROR(__xludf.DUMMYFUNCTION("GOOGLETRANSLATE(B1010,""en"",""zh-CN"")"),"使用BackOffice Web Portal执行此操作。")</f>
        <v>使用BackOffice Web Portal执行此操作。</v>
      </c>
      <c r="E1010" s="1" t="str">
        <f ca="1">IFERROR(__xludf.DUMMYFUNCTION("GOOGLETRANSLATE(B1010,""en"",""ja"")"),"このアクションを実行するには、BackOffice Web Portalを使用してください。")</f>
        <v>このアクションを実行するには、BackOffice Web Portalを使用してください。</v>
      </c>
      <c r="F1010" s="1" t="str">
        <f ca="1">IFERROR(__xludf.DUMMYFUNCTION("GOOGLETRANSLATE(B1010,""en"",""fr"")"),"Utilisez le portail Web BackOffice pour effectuer cette action.")</f>
        <v>Utilisez le portail Web BackOffice pour effectuer cette action.</v>
      </c>
    </row>
    <row r="1011" spans="1:6" ht="15.75" customHeight="1" x14ac:dyDescent="0.25">
      <c r="A1011" s="1" t="s">
        <v>1903</v>
      </c>
      <c r="B1011" s="1" t="s">
        <v>1721</v>
      </c>
      <c r="C1011" s="1" t="str">
        <f ca="1">IFERROR(__xludf.DUMMYFUNCTION("GOOGLETRANSLATE(B1011,""en"",""ar"")"),"سعر الوحدة")</f>
        <v>سعر الوحدة</v>
      </c>
      <c r="D1011" s="1" t="str">
        <f ca="1">IFERROR(__xludf.DUMMYFUNCTION("GOOGLETRANSLATE(B1011,""en"",""zh-CN"")"),"单价")</f>
        <v>单价</v>
      </c>
      <c r="E1011" s="1" t="str">
        <f ca="1">IFERROR(__xludf.DUMMYFUNCTION("GOOGLETRANSLATE(B1011,""en"",""ja"")"),"単価")</f>
        <v>単価</v>
      </c>
      <c r="F1011" s="1" t="str">
        <f ca="1">IFERROR(__xludf.DUMMYFUNCTION("GOOGLETRANSLATE(B1011,""en"",""fr"")"),"Prix ​​unitaire")</f>
        <v>Prix ​​unitaire</v>
      </c>
    </row>
    <row r="1012" spans="1:6" ht="15.75" customHeight="1" x14ac:dyDescent="0.25">
      <c r="A1012" s="1" t="s">
        <v>1904</v>
      </c>
      <c r="B1012" s="1" t="s">
        <v>1905</v>
      </c>
      <c r="C1012" s="1" t="str">
        <f ca="1">IFERROR(__xludf.DUMMYFUNCTION("GOOGLETRANSLATE(B1012,""en"",""ar"")"),"توجو")</f>
        <v>توجو</v>
      </c>
      <c r="D1012" s="1" t="str">
        <f ca="1">IFERROR(__xludf.DUMMYFUNCTION("GOOGLETRANSLATE(B1012,""en"",""zh-CN"")"),"去")</f>
        <v>去</v>
      </c>
      <c r="E1012" s="1" t="str">
        <f ca="1">IFERROR(__xludf.DUMMYFUNCTION("GOOGLETRANSLATE(B1012,""en"",""ja"")"),"トーゴ")</f>
        <v>トーゴ</v>
      </c>
      <c r="F1012" s="1" t="str">
        <f ca="1">IFERROR(__xludf.DUMMYFUNCTION("GOOGLETRANSLATE(B1012,""en"",""fr"")"),"Aller")</f>
        <v>Aller</v>
      </c>
    </row>
    <row r="1013" spans="1:6" ht="15.75" customHeight="1" x14ac:dyDescent="0.25">
      <c r="A1013" s="1" t="s">
        <v>1906</v>
      </c>
      <c r="B1013" s="1" t="s">
        <v>1907</v>
      </c>
      <c r="C1013" s="1" t="str">
        <f ca="1">IFERROR(__xludf.DUMMYFUNCTION("GOOGLETRANSLATE(B1013,""en"",""ar"")"),"تحرير المعدل")</f>
        <v>تحرير المعدل</v>
      </c>
      <c r="D1013" s="1" t="str">
        <f ca="1">IFERROR(__xludf.DUMMYFUNCTION("GOOGLETRANSLATE(B1013,""en"",""zh-CN"")"),"编辑修饰符")</f>
        <v>编辑修饰符</v>
      </c>
      <c r="E1013" s="1" t="str">
        <f ca="1">IFERROR(__xludf.DUMMYFUNCTION("GOOGLETRANSLATE(B1013,""en"",""ja"")"),"修飾子を編集します")</f>
        <v>修飾子を編集します</v>
      </c>
      <c r="F1013" s="1" t="str">
        <f ca="1">IFERROR(__xludf.DUMMYFUNCTION("GOOGLETRANSLATE(B1013,""en"",""fr"")"),"Modifier le modificateur")</f>
        <v>Modifier le modificateur</v>
      </c>
    </row>
    <row r="1014" spans="1:6" ht="15.75" customHeight="1" x14ac:dyDescent="0.25">
      <c r="A1014" s="1" t="s">
        <v>1908</v>
      </c>
      <c r="B1014" s="1" t="s">
        <v>1909</v>
      </c>
      <c r="C1014" s="1" t="str">
        <f ca="1">IFERROR(__xludf.DUMMYFUNCTION("GOOGLETRANSLATE(B1014,""en"",""ar"")"),"إضافة معدل")</f>
        <v>إضافة معدل</v>
      </c>
      <c r="D1014" s="1" t="str">
        <f ca="1">IFERROR(__xludf.DUMMYFUNCTION("GOOGLETRANSLATE(B1014,""en"",""zh-CN"")"),"添加修饰符")</f>
        <v>添加修饰符</v>
      </c>
      <c r="E1014" s="1" t="str">
        <f ca="1">IFERROR(__xludf.DUMMYFUNCTION("GOOGLETRANSLATE(B1014,""en"",""ja"")"),"修飾子を追加します")</f>
        <v>修飾子を追加します</v>
      </c>
      <c r="F1014" s="1" t="str">
        <f ca="1">IFERROR(__xludf.DUMMYFUNCTION("GOOGLETRANSLATE(B1014,""en"",""fr"")"),"Ajouter modificateur")</f>
        <v>Ajouter modificateur</v>
      </c>
    </row>
    <row r="1015" spans="1:6" ht="15.75" customHeight="1" x14ac:dyDescent="0.25">
      <c r="A1015" s="1" t="s">
        <v>1910</v>
      </c>
      <c r="B1015" s="1" t="s">
        <v>1911</v>
      </c>
      <c r="C1015" s="1" t="str">
        <f ca="1">IFERROR(__xludf.DUMMYFUNCTION("GOOGLETRANSLATE(B1015,""en"",""ar"")"),"ملاحظة")</f>
        <v>ملاحظة</v>
      </c>
      <c r="D1015" s="1" t="str">
        <f ca="1">IFERROR(__xludf.DUMMYFUNCTION("GOOGLETRANSLATE(B1015,""en"",""zh-CN"")"),"评论")</f>
        <v>评论</v>
      </c>
      <c r="E1015" s="1" t="str">
        <f ca="1">IFERROR(__xludf.DUMMYFUNCTION("GOOGLETRANSLATE(B1015,""en"",""ja"")"),"述べる")</f>
        <v>述べる</v>
      </c>
      <c r="F1015" s="1" t="str">
        <f ca="1">IFERROR(__xludf.DUMMYFUNCTION("GOOGLETRANSLATE(B1015,""en"",""fr"")"),"Remarque")</f>
        <v>Remarque</v>
      </c>
    </row>
    <row r="1016" spans="1:6" ht="15.75" customHeight="1" x14ac:dyDescent="0.25">
      <c r="A1016" s="1" t="s">
        <v>1912</v>
      </c>
      <c r="B1016" s="1" t="s">
        <v>1913</v>
      </c>
      <c r="C1016" s="1" t="str">
        <f ca="1">IFERROR(__xludf.DUMMYFUNCTION("GOOGLETRANSLATE(B1016,""en"",""ar"")"),"حذف البند")</f>
        <v>حذف البند</v>
      </c>
      <c r="D1016" s="1" t="str">
        <f ca="1">IFERROR(__xludf.DUMMYFUNCTION("GOOGLETRANSLATE(B1016,""en"",""zh-CN"")"),"删除项目")</f>
        <v>删除项目</v>
      </c>
      <c r="E1016" s="1" t="str">
        <f ca="1">IFERROR(__xludf.DUMMYFUNCTION("GOOGLETRANSLATE(B1016,""en"",""ja"")"),"アイテムを削除します")</f>
        <v>アイテムを削除します</v>
      </c>
      <c r="F1016" s="1" t="str">
        <f ca="1">IFERROR(__xludf.DUMMYFUNCTION("GOOGLETRANSLATE(B1016,""en"",""fr"")"),"Effacer l'article")</f>
        <v>Effacer l'article</v>
      </c>
    </row>
    <row r="1017" spans="1:6" ht="15.75" customHeight="1" x14ac:dyDescent="0.25">
      <c r="A1017" s="1" t="s">
        <v>1914</v>
      </c>
      <c r="B1017" s="1" t="s">
        <v>949</v>
      </c>
      <c r="C1017" s="1" t="str">
        <f ca="1">IFERROR(__xludf.DUMMYFUNCTION("GOOGLETRANSLATE(B1017,""en"",""ar"")"),"بحث")</f>
        <v>بحث</v>
      </c>
      <c r="D1017" s="1" t="str">
        <f ca="1">IFERROR(__xludf.DUMMYFUNCTION("GOOGLETRANSLATE(B1017,""en"",""zh-CN"")"),"搜索")</f>
        <v>搜索</v>
      </c>
      <c r="E1017" s="1" t="str">
        <f ca="1">IFERROR(__xludf.DUMMYFUNCTION("GOOGLETRANSLATE(B1017,""en"",""ja"")"),"検索")</f>
        <v>検索</v>
      </c>
      <c r="F1017" s="1" t="str">
        <f ca="1">IFERROR(__xludf.DUMMYFUNCTION("GOOGLETRANSLATE(B1017,""en"",""fr"")"),"Chercher")</f>
        <v>Chercher</v>
      </c>
    </row>
    <row r="1018" spans="1:6" ht="15.75" customHeight="1" x14ac:dyDescent="0.25">
      <c r="A1018" s="1" t="s">
        <v>1915</v>
      </c>
      <c r="B1018" s="1" t="s">
        <v>1916</v>
      </c>
      <c r="C1018" s="1" t="str">
        <f ca="1">IFERROR(__xludf.DUMMYFUNCTION("GOOGLETRANSLATE(B1018,""en"",""ar"")"),"\ uf002.")</f>
        <v>\ uf002.</v>
      </c>
      <c r="D1018" s="1" t="str">
        <f ca="1">IFERROR(__xludf.DUMMYFUNCTION("GOOGLETRANSLATE(B1018,""en"",""zh-CN"")"),"\ UF002.")</f>
        <v>\ UF002.</v>
      </c>
      <c r="E1018" s="1" t="str">
        <f ca="1">IFERROR(__xludf.DUMMYFUNCTION("GOOGLETRANSLATE(B1018,""en"",""ja"")"),"\ uf002.")</f>
        <v>\ uf002.</v>
      </c>
      <c r="F1018" s="1" t="str">
        <f ca="1">IFERROR(__xludf.DUMMYFUNCTION("GOOGLETRANSLATE(B1018,""en"",""fr"")"),"\ uf002")</f>
        <v>\ uf002</v>
      </c>
    </row>
    <row r="1019" spans="1:6" ht="15.75" customHeight="1" x14ac:dyDescent="0.25">
      <c r="A1019" s="1" t="s">
        <v>1917</v>
      </c>
      <c r="B1019" s="1" t="s">
        <v>1918</v>
      </c>
      <c r="C1019" s="1" t="str">
        <f ca="1">IFERROR(__xludf.DUMMYFUNCTION("GOOGLETRANSLATE(B1019,""en"",""ar"")"),"بحث جميع العناصر")</f>
        <v>بحث جميع العناصر</v>
      </c>
      <c r="D1019" s="1" t="str">
        <f ca="1">IFERROR(__xludf.DUMMYFUNCTION("GOOGLETRANSLATE(B1019,""en"",""zh-CN"")"),"搜索所有项目")</f>
        <v>搜索所有项目</v>
      </c>
      <c r="E1019" s="1" t="str">
        <f ca="1">IFERROR(__xludf.DUMMYFUNCTION("GOOGLETRANSLATE(B1019,""en"",""ja"")"),"全ての商品を検索")</f>
        <v>全ての商品を検索</v>
      </c>
      <c r="F1019" s="1" t="str">
        <f ca="1">IFERROR(__xludf.DUMMYFUNCTION("GOOGLETRANSLATE(B1019,""en"",""fr"")"),"Rechercher tous les articles")</f>
        <v>Rechercher tous les articles</v>
      </c>
    </row>
    <row r="1020" spans="1:6" ht="15.75" customHeight="1" x14ac:dyDescent="0.25">
      <c r="A1020" s="1" t="s">
        <v>1919</v>
      </c>
      <c r="B1020" s="1" t="s">
        <v>1920</v>
      </c>
      <c r="C1020" s="1" t="str">
        <f ca="1">IFERROR(__xludf.DUMMYFUNCTION("GOOGLETRANSLATE(B1020,""en"",""ar"")"),"البحث في جميع الجداول")</f>
        <v>البحث في جميع الجداول</v>
      </c>
      <c r="D1020" s="1" t="str">
        <f ca="1">IFERROR(__xludf.DUMMYFUNCTION("GOOGLETRANSLATE(B1020,""en"",""zh-CN"")"),"搜索所有表格")</f>
        <v>搜索所有表格</v>
      </c>
      <c r="E1020" s="1" t="str">
        <f ca="1">IFERROR(__xludf.DUMMYFUNCTION("GOOGLETRANSLATE(B1020,""en"",""ja"")"),"すべてのテーブルを検索")</f>
        <v>すべてのテーブルを検索</v>
      </c>
      <c r="F1020" s="1" t="str">
        <f ca="1">IFERROR(__xludf.DUMMYFUNCTION("GOOGLETRANSLATE(B1020,""en"",""fr"")"),"Rechercher toutes les tables")</f>
        <v>Rechercher toutes les tables</v>
      </c>
    </row>
    <row r="1021" spans="1:6" ht="15.75" customHeight="1" x14ac:dyDescent="0.25">
      <c r="A1021" s="1" t="s">
        <v>1921</v>
      </c>
      <c r="B1021" s="1" t="s">
        <v>258</v>
      </c>
      <c r="C1021" s="1" t="str">
        <f ca="1">IFERROR(__xludf.DUMMYFUNCTION("GOOGLETRANSLATE(B1021,""en"",""ar"")"),"حفظ")</f>
        <v>حفظ</v>
      </c>
      <c r="D1021" s="1" t="str">
        <f ca="1">IFERROR(__xludf.DUMMYFUNCTION("GOOGLETRANSLATE(B1021,""en"",""zh-CN"")"),"保存")</f>
        <v>保存</v>
      </c>
      <c r="E1021" s="1" t="str">
        <f ca="1">IFERROR(__xludf.DUMMYFUNCTION("GOOGLETRANSLATE(B1021,""en"",""ja"")"),"保存する")</f>
        <v>保存する</v>
      </c>
      <c r="F1021" s="1" t="str">
        <f ca="1">IFERROR(__xludf.DUMMYFUNCTION("GOOGLETRANSLATE(B1021,""en"",""fr"")"),"SAUVER")</f>
        <v>SAUVER</v>
      </c>
    </row>
    <row r="1022" spans="1:6" ht="15.75" customHeight="1" x14ac:dyDescent="0.25">
      <c r="A1022" s="1" t="s">
        <v>1922</v>
      </c>
      <c r="B1022" s="1" t="s">
        <v>227</v>
      </c>
      <c r="C1022" s="1" t="str">
        <f ca="1">IFERROR(__xludf.DUMMYFUNCTION("GOOGLETRANSLATE(B1022,""en"",""ar"")"),"اشعار دائن")</f>
        <v>اشعار دائن</v>
      </c>
      <c r="D1022" s="1" t="str">
        <f ca="1">IFERROR(__xludf.DUMMYFUNCTION("GOOGLETRANSLATE(B1022,""en"",""zh-CN"")"),"信用票据")</f>
        <v>信用票据</v>
      </c>
      <c r="E1022" s="1" t="str">
        <f ca="1">IFERROR(__xludf.DUMMYFUNCTION("GOOGLETRANSLATE(B1022,""en"",""ja"")"),"クレジットノート")</f>
        <v>クレジットノート</v>
      </c>
      <c r="F1022" s="1" t="str">
        <f ca="1">IFERROR(__xludf.DUMMYFUNCTION("GOOGLETRANSLATE(B1022,""en"",""fr"")"),"Note de crédit")</f>
        <v>Note de crédit</v>
      </c>
    </row>
    <row r="1023" spans="1:6" ht="15.75" customHeight="1" x14ac:dyDescent="0.25">
      <c r="A1023" s="1" t="s">
        <v>1923</v>
      </c>
      <c r="B1023" s="1" t="s">
        <v>1924</v>
      </c>
      <c r="C1023" s="1" t="str">
        <f ca="1">IFERROR(__xludf.DUMMYFUNCTION("GOOGLETRANSLATE(B1023,""en"",""ar"")"),"ملاحظة البحث عن الائتمان")</f>
        <v>ملاحظة البحث عن الائتمان</v>
      </c>
      <c r="D1023" s="1" t="str">
        <f ca="1">IFERROR(__xludf.DUMMYFUNCTION("GOOGLETRANSLATE(B1023,""en"",""zh-CN"")"),"搜索信用额")</f>
        <v>搜索信用额</v>
      </c>
      <c r="E1023" s="1" t="str">
        <f ca="1">IFERROR(__xludf.DUMMYFUNCTION("GOOGLETRANSLATE(B1023,""en"",""ja"")"),"クレジットノートを検索")</f>
        <v>クレジットノートを検索</v>
      </c>
      <c r="F1023" s="1" t="str">
        <f ca="1">IFERROR(__xludf.DUMMYFUNCTION("GOOGLETRANSLATE(B1023,""en"",""fr"")"),"Note de crédit de recherche")</f>
        <v>Note de crédit de recherche</v>
      </c>
    </row>
    <row r="1024" spans="1:6" ht="15.75" customHeight="1" x14ac:dyDescent="0.25">
      <c r="A1024" s="1" t="s">
        <v>1925</v>
      </c>
      <c r="B1024" s="1" t="s">
        <v>1926</v>
      </c>
      <c r="C1024" s="1" t="str">
        <f ca="1">IFERROR(__xludf.DUMMYFUNCTION("GOOGLETRANSLATE(B1024,""en"",""ar"")"),"إيصالات مفتوحة")</f>
        <v>إيصالات مفتوحة</v>
      </c>
      <c r="D1024" s="1" t="str">
        <f ca="1">IFERROR(__xludf.DUMMYFUNCTION("GOOGLETRANSLATE(B1024,""en"",""zh-CN"")"),"打开收据")</f>
        <v>打开收据</v>
      </c>
      <c r="E1024" s="1" t="str">
        <f ca="1">IFERROR(__xludf.DUMMYFUNCTION("GOOGLETRANSLATE(B1024,""en"",""ja"")"),"領収書を開く")</f>
        <v>領収書を開く</v>
      </c>
      <c r="F1024" s="1" t="str">
        <f ca="1">IFERROR(__xludf.DUMMYFUNCTION("GOOGLETRANSLATE(B1024,""en"",""fr"")"),"Ouvrir les reçus")</f>
        <v>Ouvrir les reçus</v>
      </c>
    </row>
    <row r="1025" spans="1:6" ht="15.75" customHeight="1" x14ac:dyDescent="0.25">
      <c r="A1025" s="1" t="s">
        <v>1927</v>
      </c>
      <c r="B1025" s="1" t="s">
        <v>1928</v>
      </c>
      <c r="C1025" s="1" t="str">
        <f ca="1">IFERROR(__xludf.DUMMYFUNCTION("GOOGLETRANSLATE(B1025,""en"",""ar"")"),"الولاية / المقاطعة / المنطقة")</f>
        <v>الولاية / المقاطعة / المنطقة</v>
      </c>
      <c r="D1025" s="1" t="str">
        <f ca="1">IFERROR(__xludf.DUMMYFUNCTION("GOOGLETRANSLATE(B1025,""en"",""zh-CN"")"),"州/省/地区")</f>
        <v>州/省/地区</v>
      </c>
      <c r="E1025" s="1" t="str">
        <f ca="1">IFERROR(__xludf.DUMMYFUNCTION("GOOGLETRANSLATE(B1025,""en"",""ja"")"),"州/県/区")</f>
        <v>州/県/区</v>
      </c>
      <c r="F1025" s="1" t="str">
        <f ca="1">IFERROR(__xludf.DUMMYFUNCTION("GOOGLETRANSLATE(B1025,""en"",""fr"")"),"Etat / Province / Région")</f>
        <v>Etat / Province / Région</v>
      </c>
    </row>
    <row r="1026" spans="1:6" ht="15.75" customHeight="1" x14ac:dyDescent="0.25">
      <c r="A1026" s="1" t="s">
        <v>1929</v>
      </c>
      <c r="B1026" s="1" t="s">
        <v>1930</v>
      </c>
      <c r="C1026" s="1" t="str">
        <f ca="1">IFERROR(__xludf.DUMMYFUNCTION("GOOGLETRANSLATE(B1026,""en"",""ar"")"),"نقل المخزون مكتمل بنجاح")</f>
        <v>نقل المخزون مكتمل بنجاح</v>
      </c>
      <c r="D1026" s="1" t="str">
        <f ca="1">IFERROR(__xludf.DUMMYFUNCTION("GOOGLETRANSLATE(B1026,""en"",""zh-CN"")"),"股票转移成功完成")</f>
        <v>股票转移成功完成</v>
      </c>
      <c r="E1026" s="1" t="str">
        <f ca="1">IFERROR(__xludf.DUMMYFUNCTION("GOOGLETRANSLATE(B1026,""en"",""ja"")"),"在庫転送は正常に完了しました")</f>
        <v>在庫転送は正常に完了しました</v>
      </c>
      <c r="F1026" s="1" t="str">
        <f ca="1">IFERROR(__xludf.DUMMYFUNCTION("GOOGLETRANSLATE(B1026,""en"",""fr"")"),"Transfert de stock terminé avec succès")</f>
        <v>Transfert de stock terminé avec succès</v>
      </c>
    </row>
    <row r="1027" spans="1:6" ht="15.75" customHeight="1" x14ac:dyDescent="0.25">
      <c r="A1027" s="1" t="s">
        <v>1931</v>
      </c>
      <c r="B1027" s="1" t="s">
        <v>1932</v>
      </c>
      <c r="C1027" s="1" t="str">
        <f ca="1">IFERROR(__xludf.DUMMYFUNCTION("GOOGLETRANSLATE(B1027,""en"",""ar"")"),"الأضاف الأسهم إلى القائمة")</f>
        <v>الأضاف الأسهم إلى القائمة</v>
      </c>
      <c r="D1027" s="1" t="str">
        <f ca="1">IFERROR(__xludf.DUMMYFUNCTION("GOOGLETRANSLATE(B1027,""en"",""zh-CN"")"),"股票添加到列表中")</f>
        <v>股票添加到列表中</v>
      </c>
      <c r="E1027" s="1" t="str">
        <f ca="1">IFERROR(__xludf.DUMMYFUNCTION("GOOGLETRANSLATE(B1027,""en"",""ja"")"),"リストに追加された在庫")</f>
        <v>リストに追加された在庫</v>
      </c>
      <c r="F1027" s="1" t="str">
        <f ca="1">IFERROR(__xludf.DUMMYFUNCTION("GOOGLETRANSLATE(B1027,""en"",""fr"")"),"Stock ajouté à la liste")</f>
        <v>Stock ajouté à la liste</v>
      </c>
    </row>
    <row r="1028" spans="1:6" ht="15.75" customHeight="1" x14ac:dyDescent="0.25">
      <c r="A1028" s="1" t="s">
        <v>1933</v>
      </c>
      <c r="B1028" s="1" t="s">
        <v>1934</v>
      </c>
      <c r="C1028" s="1" t="str">
        <f ca="1">IFERROR(__xludf.DUMMYFUNCTION("GOOGLETRANSLATE(B1028,""en"",""ar"")"),"الإيصالات الماضية")</f>
        <v>الإيصالات الماضية</v>
      </c>
      <c r="D1028" s="1" t="str">
        <f ca="1">IFERROR(__xludf.DUMMYFUNCTION("GOOGLETRANSLATE(B1028,""en"",""zh-CN"")"),"过去收据")</f>
        <v>过去收据</v>
      </c>
      <c r="E1028" s="1" t="str">
        <f ca="1">IFERROR(__xludf.DUMMYFUNCTION("GOOGLETRANSLATE(B1028,""en"",""ja"")"),"過去の領収書")</f>
        <v>過去の領収書</v>
      </c>
      <c r="F1028" s="1" t="str">
        <f ca="1">IFERROR(__xludf.DUMMYFUNCTION("GOOGLETRANSLATE(B1028,""en"",""fr"")"),"Recettes passées")</f>
        <v>Recettes passées</v>
      </c>
    </row>
    <row r="1029" spans="1:6" ht="15.75" customHeight="1" x14ac:dyDescent="0.25">
      <c r="A1029" s="1" t="s">
        <v>1935</v>
      </c>
      <c r="B1029" s="1" t="s">
        <v>1936</v>
      </c>
      <c r="C1029" s="1" t="str">
        <f ca="1">IFERROR(__xludf.DUMMYFUNCTION("GOOGLETRANSLATE(B1029,""en"",""ar"")"),"المهام")</f>
        <v>المهام</v>
      </c>
      <c r="D1029" s="1" t="str">
        <f ca="1">IFERROR(__xludf.DUMMYFUNCTION("GOOGLETRANSLATE(B1029,""en"",""zh-CN"")"),"职能")</f>
        <v>职能</v>
      </c>
      <c r="E1029" s="1" t="str">
        <f ca="1">IFERROR(__xludf.DUMMYFUNCTION("GOOGLETRANSLATE(B1029,""en"",""ja"")"),"機能")</f>
        <v>機能</v>
      </c>
      <c r="F1029" s="1" t="str">
        <f ca="1">IFERROR(__xludf.DUMMYFUNCTION("GOOGLETRANSLATE(B1029,""en"",""fr"")"),"Les fonctions")</f>
        <v>Les fonctions</v>
      </c>
    </row>
    <row r="1030" spans="1:6" ht="15.75" customHeight="1" x14ac:dyDescent="0.25">
      <c r="A1030" s="1" t="s">
        <v>1937</v>
      </c>
      <c r="B1030" s="1" t="s">
        <v>1938</v>
      </c>
      <c r="C1030" s="1" t="str">
        <f ca="1">IFERROR(__xludf.DUMMYFUNCTION("GOOGLETRANSLATE(B1030,""en"",""ar"")"),"قيمة الخصم يمكن أن تتجاوز سعر البند")</f>
        <v>قيمة الخصم يمكن أن تتجاوز سعر البند</v>
      </c>
      <c r="D1030" s="1" t="str">
        <f ca="1">IFERROR(__xludf.DUMMYFUNCTION("GOOGLETRANSLATE(B1030,""en"",""zh-CN"")"),"折扣价值可以超过物品价格")</f>
        <v>折扣价值可以超过物品价格</v>
      </c>
      <c r="E1030" s="1" t="str">
        <f ca="1">IFERROR(__xludf.DUMMYFUNCTION("GOOGLETRANSLATE(B1030,""en"",""ja"")"),"割引価格を超えることができます")</f>
        <v>割引価格を超えることができます</v>
      </c>
      <c r="F1030" s="1" t="str">
        <f ca="1">IFERROR(__xludf.DUMMYFUNCTION("GOOGLETRANSLATE(B1030,""en"",""fr"")"),"Valeur de réduction ne peut pas dépasser le prix de l'élément")</f>
        <v>Valeur de réduction ne peut pas dépasser le prix de l'élément</v>
      </c>
    </row>
    <row r="1031" spans="1:6" ht="15.75" customHeight="1" x14ac:dyDescent="0.25">
      <c r="A1031" s="1" t="s">
        <v>1939</v>
      </c>
      <c r="B1031" s="1" t="s">
        <v>1940</v>
      </c>
      <c r="C1031" s="1" t="str">
        <f ca="1">IFERROR(__xludf.DUMMYFUNCTION("GOOGLETRANSLATE(B1031,""en"",""ar"")"),"أنواع النظام")</f>
        <v>أنواع النظام</v>
      </c>
      <c r="D1031" s="1" t="str">
        <f ca="1">IFERROR(__xludf.DUMMYFUNCTION("GOOGLETRANSLATE(B1031,""en"",""zh-CN"")"),"订单类型")</f>
        <v>订单类型</v>
      </c>
      <c r="E1031" s="1" t="str">
        <f ca="1">IFERROR(__xludf.DUMMYFUNCTION("GOOGLETRANSLATE(B1031,""en"",""ja"")"),"注文タイプ")</f>
        <v>注文タイプ</v>
      </c>
      <c r="F1031" s="1" t="str">
        <f ca="1">IFERROR(__xludf.DUMMYFUNCTION("GOOGLETRANSLATE(B1031,""en"",""fr"")"),"Types de commandes")</f>
        <v>Types de commandes</v>
      </c>
    </row>
    <row r="1032" spans="1:6" ht="15.75" customHeight="1" x14ac:dyDescent="0.25">
      <c r="A1032" s="1" t="s">
        <v>1941</v>
      </c>
      <c r="B1032" s="1" t="s">
        <v>1942</v>
      </c>
      <c r="C1032" s="1" t="str">
        <f ca="1">IFERROR(__xludf.DUMMYFUNCTION("GOOGLETRANSLATE(B1032,""en"",""ar"")"),"يكمل")</f>
        <v>يكمل</v>
      </c>
      <c r="D1032" s="1" t="str">
        <f ca="1">IFERROR(__xludf.DUMMYFUNCTION("GOOGLETRANSLATE(B1032,""en"",""zh-CN"")"),"继续")</f>
        <v>继续</v>
      </c>
      <c r="E1032" s="1" t="str">
        <f ca="1">IFERROR(__xludf.DUMMYFUNCTION("GOOGLETRANSLATE(B1032,""en"",""ja"")"),"継続する")</f>
        <v>継続する</v>
      </c>
      <c r="F1032" s="1" t="str">
        <f ca="1">IFERROR(__xludf.DUMMYFUNCTION("GOOGLETRANSLATE(B1032,""en"",""fr"")"),"Continuez")</f>
        <v>Continuez</v>
      </c>
    </row>
    <row r="1033" spans="1:6" ht="15.75" customHeight="1" x14ac:dyDescent="0.25">
      <c r="A1033" s="1" t="s">
        <v>1943</v>
      </c>
      <c r="B1033" s="1" t="s">
        <v>242</v>
      </c>
      <c r="C1033" s="1" t="str">
        <f ca="1">IFERROR(__xludf.DUMMYFUNCTION("GOOGLETRANSLATE(B1033,""en"",""ar"")"),"صافي")</f>
        <v>صافي</v>
      </c>
      <c r="D1033" s="1" t="str">
        <f ca="1">IFERROR(__xludf.DUMMYFUNCTION("GOOGLETRANSLATE(B1033,""en"",""zh-CN"")"),"清除")</f>
        <v>清除</v>
      </c>
      <c r="E1033" s="1" t="str">
        <f ca="1">IFERROR(__xludf.DUMMYFUNCTION("GOOGLETRANSLATE(B1033,""en"",""ja"")"),"クリア")</f>
        <v>クリア</v>
      </c>
      <c r="F1033" s="1" t="str">
        <f ca="1">IFERROR(__xludf.DUMMYFUNCTION("GOOGLETRANSLATE(B1033,""en"",""fr"")"),"Dégager")</f>
        <v>Dégager</v>
      </c>
    </row>
    <row r="1034" spans="1:6" ht="15.75" customHeight="1" x14ac:dyDescent="0.25">
      <c r="A1034" s="1" t="s">
        <v>1944</v>
      </c>
      <c r="B1034" s="1" t="s">
        <v>117</v>
      </c>
      <c r="C1034" s="1" t="str">
        <f ca="1">IFERROR(__xludf.DUMMYFUNCTION("GOOGLETRANSLATE(B1034,""en"",""ar"")"),"إرسال")</f>
        <v>إرسال</v>
      </c>
      <c r="D1034" s="1" t="str">
        <f ca="1">IFERROR(__xludf.DUMMYFUNCTION("GOOGLETRANSLATE(B1034,""en"",""zh-CN"")"),"提交")</f>
        <v>提交</v>
      </c>
      <c r="E1034" s="1" t="str">
        <f ca="1">IFERROR(__xludf.DUMMYFUNCTION("GOOGLETRANSLATE(B1034,""en"",""ja"")"),"送信")</f>
        <v>送信</v>
      </c>
      <c r="F1034" s="1" t="str">
        <f ca="1">IFERROR(__xludf.DUMMYFUNCTION("GOOGLETRANSLATE(B1034,""en"",""fr"")"),"Soumettre")</f>
        <v>Soumettre</v>
      </c>
    </row>
    <row r="1035" spans="1:6" ht="15.75" customHeight="1" x14ac:dyDescent="0.25">
      <c r="A1035" s="1" t="s">
        <v>1945</v>
      </c>
      <c r="B1035" s="1" t="s">
        <v>1946</v>
      </c>
      <c r="C1035" s="1" t="str">
        <f ca="1">IFERROR(__xludf.DUMMYFUNCTION("GOOGLETRANSLATE(B1035,""en"",""ar"")"),"تقدم")</f>
        <v>تقدم</v>
      </c>
      <c r="D1035" s="1" t="str">
        <f ca="1">IFERROR(__xludf.DUMMYFUNCTION("GOOGLETRANSLATE(B1035,""en"",""zh-CN"")"),"继续")</f>
        <v>继续</v>
      </c>
      <c r="E1035" s="1" t="str">
        <f ca="1">IFERROR(__xludf.DUMMYFUNCTION("GOOGLETRANSLATE(B1035,""en"",""ja"")"),"続行")</f>
        <v>続行</v>
      </c>
      <c r="F1035" s="1" t="str">
        <f ca="1">IFERROR(__xludf.DUMMYFUNCTION("GOOGLETRANSLATE(B1035,""en"",""fr"")"),"Procéder")</f>
        <v>Procéder</v>
      </c>
    </row>
    <row r="1036" spans="1:6" ht="15.75" customHeight="1" x14ac:dyDescent="0.25">
      <c r="A1036" s="1" t="s">
        <v>1947</v>
      </c>
      <c r="B1036" s="1" t="s">
        <v>1948</v>
      </c>
      <c r="C1036" s="1" t="str">
        <f ca="1">IFERROR(__xludf.DUMMYFUNCTION("GOOGLETRANSLATE(B1036,""en"",""ar"")"),"يرجى الملاحظة . استخدم هذه الوظيفة بعناية لأن بعض بياناتك قد تخسر!")</f>
        <v>يرجى الملاحظة . استخدم هذه الوظيفة بعناية لأن بعض بياناتك قد تخسر!</v>
      </c>
      <c r="D1036" s="1" t="str">
        <f ca="1">IFERROR(__xludf.DUMMYFUNCTION("GOOGLETRANSLATE(B1036,""en"",""zh-CN"")"),"请注意 。仔细使用此功能，因为您的一些数据可能会丢失！")</f>
        <v>请注意 。仔细使用此功能，因为您的一些数据可能会丢失！</v>
      </c>
      <c r="E1036" s="1" t="str">
        <f ca="1">IFERROR(__xludf.DUMMYFUNCTION("GOOGLETRANSLATE(B1036,""en"",""ja"")"),"ご注意ください 。データの一部が失われる可能性があるため、この機能を慎重に使用してください。")</f>
        <v>ご注意ください 。データの一部が失われる可能性があるため、この機能を慎重に使用してください。</v>
      </c>
      <c r="F1036" s="1" t="str">
        <f ca="1">IFERROR(__xludf.DUMMYFUNCTION("GOOGLETRANSLATE(B1036,""en"",""fr"")"),"Veuillez noter . Utilisez cette fonction soigneusement car certaines de vos données peuvent perdre!")</f>
        <v>Veuillez noter . Utilisez cette fonction soigneusement car certaines de vos données peuvent perdre!</v>
      </c>
    </row>
    <row r="1037" spans="1:6" ht="15.75" customHeight="1" x14ac:dyDescent="0.25">
      <c r="A1037" s="1" t="s">
        <v>1949</v>
      </c>
      <c r="B1037" s="1" t="s">
        <v>1950</v>
      </c>
      <c r="C1037" s="1" t="str">
        <f ca="1">IFERROR(__xludf.DUMMYFUNCTION("GOOGLETRANSLATE(B1037,""en"",""ar"")"),"هذه الخانة مطلوبه")</f>
        <v>هذه الخانة مطلوبه</v>
      </c>
      <c r="D1037" s="1" t="str">
        <f ca="1">IFERROR(__xludf.DUMMYFUNCTION("GOOGLETRANSLATE(B1037,""en"",""zh-CN"")"),"这是必填栏")</f>
        <v>这是必填栏</v>
      </c>
      <c r="E1037" s="1" t="str">
        <f ca="1">IFERROR(__xludf.DUMMYFUNCTION("GOOGLETRANSLATE(B1037,""en"",""ja"")"),"この項目は必須です")</f>
        <v>この項目は必須です</v>
      </c>
      <c r="F1037" s="1" t="str">
        <f ca="1">IFERROR(__xludf.DUMMYFUNCTION("GOOGLETRANSLATE(B1037,""en"",""fr"")"),"Ce champ est requis")</f>
        <v>Ce champ est requis</v>
      </c>
    </row>
    <row r="1038" spans="1:6" ht="15.75" customHeight="1" x14ac:dyDescent="0.25">
      <c r="A1038" s="1" t="s">
        <v>1951</v>
      </c>
      <c r="B1038" s="1" t="s">
        <v>1952</v>
      </c>
      <c r="C1038" s="1" t="str">
        <f ca="1">IFERROR(__xludf.DUMMYFUNCTION("GOOGLETRANSLATE(B1038,""en"",""ar"")"),"هذا الحقل لا يمكن أن يكون فارغا")</f>
        <v>هذا الحقل لا يمكن أن يكون فارغا</v>
      </c>
      <c r="D1038" s="1" t="str">
        <f ca="1">IFERROR(__xludf.DUMMYFUNCTION("GOOGLETRANSLATE(B1038,""en"",""zh-CN"")"),"此字段不能为空")</f>
        <v>此字段不能为空</v>
      </c>
      <c r="E1038" s="1" t="str">
        <f ca="1">IFERROR(__xludf.DUMMYFUNCTION("GOOGLETRANSLATE(B1038,""en"",""ja"")"),"このフィールドは空白にはできません")</f>
        <v>このフィールドは空白にはできません</v>
      </c>
      <c r="F1038" s="1" t="str">
        <f ca="1">IFERROR(__xludf.DUMMYFUNCTION("GOOGLETRANSLATE(B1038,""en"",""fr"")"),"Ce champ ne peut être vide")</f>
        <v>Ce champ ne peut être vide</v>
      </c>
    </row>
    <row r="1039" spans="1:6" ht="15.75" customHeight="1" x14ac:dyDescent="0.25">
      <c r="A1039" s="1" t="s">
        <v>1953</v>
      </c>
      <c r="B1039" s="1" t="s">
        <v>1954</v>
      </c>
      <c r="C1039" s="1" t="str">
        <f ca="1">IFERROR(__xludf.DUMMYFUNCTION("GOOGLETRANSLATE(B1039,""en"",""ar"")"),"يجب أن يكون هذا الحقل أكبر من الصفر.")</f>
        <v>يجب أن يكون هذا الحقل أكبر من الصفر.</v>
      </c>
      <c r="D1039" s="1" t="str">
        <f ca="1">IFERROR(__xludf.DUMMYFUNCTION("GOOGLETRANSLATE(B1039,""en"",""zh-CN"")"),"该字段应大于零。")</f>
        <v>该字段应大于零。</v>
      </c>
      <c r="E1039" s="1" t="str">
        <f ca="1">IFERROR(__xludf.DUMMYFUNCTION("GOOGLETRANSLATE(B1039,""en"",""ja"")"),"このフィールドはゼロより大きくなければなりません。")</f>
        <v>このフィールドはゼロより大きくなければなりません。</v>
      </c>
      <c r="F1039" s="1" t="str">
        <f ca="1">IFERROR(__xludf.DUMMYFUNCTION("GOOGLETRANSLATE(B1039,""en"",""fr"")"),"Ce champ doit être supérieur à zéro.")</f>
        <v>Ce champ doit être supérieur à zéro.</v>
      </c>
    </row>
    <row r="1040" spans="1:6" ht="15.75" customHeight="1" x14ac:dyDescent="0.25">
      <c r="A1040" s="1" t="s">
        <v>1955</v>
      </c>
      <c r="B1040" s="1" t="s">
        <v>1956</v>
      </c>
      <c r="C1040" s="1" t="str">
        <f ca="1">IFERROR(__xludf.DUMMYFUNCTION("GOOGLETRANSLATE(B1040,""en"",""ar"")"),"أدخل بريد إلكتروني متاح")</f>
        <v>أدخل بريد إلكتروني متاح</v>
      </c>
      <c r="D1040" s="1" t="str">
        <f ca="1">IFERROR(__xludf.DUMMYFUNCTION("GOOGLETRANSLATE(B1040,""en"",""zh-CN"")"),"输入有效的电子邮件")</f>
        <v>输入有效的电子邮件</v>
      </c>
      <c r="E1040" s="1" t="str">
        <f ca="1">IFERROR(__xludf.DUMMYFUNCTION("GOOGLETRANSLATE(B1040,""en"",""ja"")"),"有効なEメールを入力してください")</f>
        <v>有効なEメールを入力してください</v>
      </c>
      <c r="F1040" s="1" t="str">
        <f ca="1">IFERROR(__xludf.DUMMYFUNCTION("GOOGLETRANSLATE(B1040,""en"",""fr"")"),"Entrer une adresse email valide")</f>
        <v>Entrer une adresse email valide</v>
      </c>
    </row>
    <row r="1041" spans="1:6" ht="15.75" customHeight="1" x14ac:dyDescent="0.25">
      <c r="A1041" s="1" t="s">
        <v>1957</v>
      </c>
      <c r="B1041" s="1" t="s">
        <v>1958</v>
      </c>
      <c r="C1041" s="1" t="str">
        <f ca="1">IFERROR(__xludf.DUMMYFUNCTION("GOOGLETRANSLATE(B1041,""en"",""ar"")"),"عناصر التحرير والسرد")</f>
        <v>عناصر التحرير والسرد</v>
      </c>
      <c r="D1041" s="1" t="str">
        <f ca="1">IFERROR(__xludf.DUMMYFUNCTION("GOOGLETRANSLATE(B1041,""en"",""zh-CN"")"),"组合物品")</f>
        <v>组合物品</v>
      </c>
      <c r="E1041" s="1" t="str">
        <f ca="1">IFERROR(__xludf.DUMMYFUNCTION("GOOGLETRANSLATE(B1041,""en"",""ja"")"),"コンボアイテム")</f>
        <v>コンボアイテム</v>
      </c>
      <c r="F1041" s="1" t="str">
        <f ca="1">IFERROR(__xludf.DUMMYFUNCTION("GOOGLETRANSLATE(B1041,""en"",""fr"")"),"Articles combo")</f>
        <v>Articles combo</v>
      </c>
    </row>
    <row r="1042" spans="1:6" ht="15.75" customHeight="1" x14ac:dyDescent="0.25">
      <c r="A1042" s="1" t="s">
        <v>1959</v>
      </c>
      <c r="B1042" s="1" t="s">
        <v>1960</v>
      </c>
      <c r="C1042" s="1" t="str">
        <f ca="1">IFERROR(__xludf.DUMMYFUNCTION("GOOGLETRANSLATE(B1042,""en"",""ar"")"),"مجموعه الخط")</f>
        <v>مجموعه الخط</v>
      </c>
      <c r="D1042" s="1" t="str">
        <f ca="1">IFERROR(__xludf.DUMMYFUNCTION("GOOGLETRANSLATE(B1042,""en"",""zh-CN"")"),"总计线")</f>
        <v>总计线</v>
      </c>
      <c r="E1042" s="1" t="str">
        <f ca="1">IFERROR(__xludf.DUMMYFUNCTION("GOOGLETRANSLATE(B1042,""en"",""ja"")"),"線の合計")</f>
        <v>線の合計</v>
      </c>
      <c r="F1042" s="1" t="str">
        <f ca="1">IFERROR(__xludf.DUMMYFUNCTION("GOOGLETRANSLATE(B1042,""en"",""fr"")"),"Total de la ligne")</f>
        <v>Total de la ligne</v>
      </c>
    </row>
    <row r="1043" spans="1:6" ht="15.75" customHeight="1" x14ac:dyDescent="0.25">
      <c r="A1043" s="1" t="s">
        <v>1961</v>
      </c>
      <c r="B1043" s="1" t="s">
        <v>1962</v>
      </c>
      <c r="C1043" s="1" t="str">
        <f ca="1">IFERROR(__xludf.DUMMYFUNCTION("GOOGLETRANSLATE(B1043,""en"",""ar"")"),"عرض أوامر معلقة")</f>
        <v>عرض أوامر معلقة</v>
      </c>
      <c r="D1043" s="1" t="str">
        <f ca="1">IFERROR(__xludf.DUMMYFUNCTION("GOOGLETRANSLATE(B1043,""en"",""zh-CN"")"),"查看待定订单")</f>
        <v>查看待定订单</v>
      </c>
      <c r="E1043" s="1" t="str">
        <f ca="1">IFERROR(__xludf.DUMMYFUNCTION("GOOGLETRANSLATE(B1043,""en"",""ja"")"),"保留中の注文を表示します")</f>
        <v>保留中の注文を表示します</v>
      </c>
      <c r="F1043" s="1" t="str">
        <f ca="1">IFERROR(__xludf.DUMMYFUNCTION("GOOGLETRANSLATE(B1043,""en"",""fr"")"),"Voir les commandes en attente")</f>
        <v>Voir les commandes en attente</v>
      </c>
    </row>
    <row r="1044" spans="1:6" ht="15.75" customHeight="1" x14ac:dyDescent="0.25">
      <c r="A1044" s="1" t="s">
        <v>1963</v>
      </c>
      <c r="B1044" s="1" t="s">
        <v>1964</v>
      </c>
      <c r="C1044" s="1" t="str">
        <f ca="1">IFERROR(__xludf.DUMMYFUNCTION("GOOGLETRANSLATE(B1044,""en"",""ar"")"),"رقم الهاتف موجود بالفعل")</f>
        <v>رقم الهاتف موجود بالفعل</v>
      </c>
      <c r="D1044" s="1" t="str">
        <f ca="1">IFERROR(__xludf.DUMMYFUNCTION("GOOGLETRANSLATE(B1044,""en"",""zh-CN"")"),"电话号码已存在")</f>
        <v>电话号码已存在</v>
      </c>
      <c r="E1044" s="1" t="str">
        <f ca="1">IFERROR(__xludf.DUMMYFUNCTION("GOOGLETRANSLATE(B1044,""en"",""ja"")"),"電話番号はすでに存在しています")</f>
        <v>電話番号はすでに存在しています</v>
      </c>
      <c r="F1044" s="1" t="str">
        <f ca="1">IFERROR(__xludf.DUMMYFUNCTION("GOOGLETRANSLATE(B1044,""en"",""fr"")"),"Le numéro de téléphone existe déjà")</f>
        <v>Le numéro de téléphone existe déjà</v>
      </c>
    </row>
    <row r="1045" spans="1:6" ht="15.75" customHeight="1" x14ac:dyDescent="0.25">
      <c r="A1045" s="1" t="s">
        <v>1965</v>
      </c>
      <c r="B1045" s="1" t="s">
        <v>1966</v>
      </c>
      <c r="C1045" s="1" t="str">
        <f ca="1">IFERROR(__xludf.DUMMYFUNCTION("GOOGLETRANSLATE(B1045,""en"",""ar"")"),"البريد الالكتروني موجود مسبقا")</f>
        <v>البريد الالكتروني موجود مسبقا</v>
      </c>
      <c r="D1045" s="1" t="str">
        <f ca="1">IFERROR(__xludf.DUMMYFUNCTION("GOOGLETRANSLATE(B1045,""en"",""zh-CN"")"),"电子邮件已存在")</f>
        <v>电子邮件已存在</v>
      </c>
      <c r="E1045" s="1" t="str">
        <f ca="1">IFERROR(__xludf.DUMMYFUNCTION("GOOGLETRANSLATE(B1045,""en"",""ja"")"),"電子メールはすでに存在しています")</f>
        <v>電子メールはすでに存在しています</v>
      </c>
      <c r="F1045" s="1" t="str">
        <f ca="1">IFERROR(__xludf.DUMMYFUNCTION("GOOGLETRANSLATE(B1045,""en"",""fr"")"),"Email existait déjà")</f>
        <v>Email existait déjà</v>
      </c>
    </row>
    <row r="1046" spans="1:6" ht="15.75" customHeight="1" x14ac:dyDescent="0.25">
      <c r="A1046" s="1" t="s">
        <v>1967</v>
      </c>
      <c r="B1046" s="1" t="s">
        <v>1064</v>
      </c>
      <c r="C1046" s="1" t="str">
        <f ca="1">IFERROR(__xludf.DUMMYFUNCTION("GOOGLETRANSLATE(B1046,""en"",""ar"")"),"مطلوب اتصال بالإنترنت")</f>
        <v>مطلوب اتصال بالإنترنت</v>
      </c>
      <c r="D1046" s="1" t="str">
        <f ca="1">IFERROR(__xludf.DUMMYFUNCTION("GOOGLETRANSLATE(B1046,""en"",""zh-CN"")"),"需要互联网连接")</f>
        <v>需要互联网连接</v>
      </c>
      <c r="E1046" s="1" t="str">
        <f ca="1">IFERROR(__xludf.DUMMYFUNCTION("GOOGLETRANSLATE(B1046,""en"",""ja"")"),"インターネット接続が必要です")</f>
        <v>インターネット接続が必要です</v>
      </c>
      <c r="F1046" s="1" t="str">
        <f ca="1">IFERROR(__xludf.DUMMYFUNCTION("GOOGLETRANSLATE(B1046,""en"",""fr"")"),"La connexion Internet est requise")</f>
        <v>La connexion Internet est requise</v>
      </c>
    </row>
    <row r="1047" spans="1:6" ht="15.75" customHeight="1" x14ac:dyDescent="0.25">
      <c r="A1047" s="1" t="s">
        <v>1968</v>
      </c>
      <c r="B1047" s="1" t="s">
        <v>1969</v>
      </c>
      <c r="C1047" s="1" t="str">
        <f ca="1">IFERROR(__xludf.DUMMYFUNCTION("GOOGLETRANSLATE(B1047,""en"",""ar"")"),"لم يتم العثور على مذكرة ائتمان")</f>
        <v>لم يتم العثور على مذكرة ائتمان</v>
      </c>
      <c r="D1047" s="1" t="str">
        <f ca="1">IFERROR(__xludf.DUMMYFUNCTION("GOOGLETRANSLATE(B1047,""en"",""zh-CN"")"),"没有找到信用票据")</f>
        <v>没有找到信用票据</v>
      </c>
      <c r="E1047" s="1" t="str">
        <f ca="1">IFERROR(__xludf.DUMMYFUNCTION("GOOGLETRANSLATE(B1047,""en"",""ja"")"),"クレジットメモは見つかりませんでした")</f>
        <v>クレジットメモは見つかりませんでした</v>
      </c>
      <c r="F1047" s="1" t="str">
        <f ca="1">IFERROR(__xludf.DUMMYFUNCTION("GOOGLETRANSLATE(B1047,""en"",""fr"")"),"Aucune note de crédit trouvée")</f>
        <v>Aucune note de crédit trouvée</v>
      </c>
    </row>
    <row r="1048" spans="1:6" ht="15.75" customHeight="1" x14ac:dyDescent="0.25">
      <c r="A1048" s="1" t="s">
        <v>1970</v>
      </c>
      <c r="B1048" s="1" t="s">
        <v>1971</v>
      </c>
      <c r="C1048" s="1" t="str">
        <f ca="1">IFERROR(__xludf.DUMMYFUNCTION("GOOGLETRANSLATE(B1048,""en"",""ar"")"),"لم يتم العثور على رد النقود")</f>
        <v>لم يتم العثور على رد النقود</v>
      </c>
      <c r="D1048" s="1" t="str">
        <f ca="1">IFERROR(__xludf.DUMMYFUNCTION("GOOGLETRANSLATE(B1048,""en"",""zh-CN"")"),"没有找到现金退款")</f>
        <v>没有找到现金退款</v>
      </c>
      <c r="E1048" s="1" t="str">
        <f ca="1">IFERROR(__xludf.DUMMYFUNCTION("GOOGLETRANSLATE(B1048,""en"",""ja"")"),"現金払い戻しは見つかりませんでした")</f>
        <v>現金払い戻しは見つかりませんでした</v>
      </c>
      <c r="F1048" s="1" t="str">
        <f ca="1">IFERROR(__xludf.DUMMYFUNCTION("GOOGLETRANSLATE(B1048,""en"",""fr"")"),"Aucun remboursement de trésorerie trouvé")</f>
        <v>Aucun remboursement de trésorerie trouvé</v>
      </c>
    </row>
    <row r="1049" spans="1:6" ht="15.75" customHeight="1" x14ac:dyDescent="0.25">
      <c r="A1049" s="1" t="s">
        <v>1972</v>
      </c>
      <c r="B1049" s="1" t="s">
        <v>1973</v>
      </c>
      <c r="C1049" s="1" t="str">
        <f ca="1">IFERROR(__xludf.DUMMYFUNCTION("GOOGLETRANSLATE(B1049,""en"",""ar"")"),"لا يوجد استلام وجدت")</f>
        <v>لا يوجد استلام وجدت</v>
      </c>
      <c r="D1049" s="1" t="str">
        <f ca="1">IFERROR(__xludf.DUMMYFUNCTION("GOOGLETRANSLATE(B1049,""en"",""zh-CN"")"),"没有找到收据")</f>
        <v>没有找到收据</v>
      </c>
      <c r="E1049" s="1" t="str">
        <f ca="1">IFERROR(__xludf.DUMMYFUNCTION("GOOGLETRANSLATE(B1049,""en"",""ja"")"),"領収書は見つかりませんでした")</f>
        <v>領収書は見つかりませんでした</v>
      </c>
      <c r="F1049" s="1" t="str">
        <f ca="1">IFERROR(__xludf.DUMMYFUNCTION("GOOGLETRANSLATE(B1049,""en"",""fr"")"),"Aucun reçu trouvé")</f>
        <v>Aucun reçu trouvé</v>
      </c>
    </row>
    <row r="1050" spans="1:6" ht="15.75" customHeight="1" x14ac:dyDescent="0.25">
      <c r="A1050" s="1" t="s">
        <v>1974</v>
      </c>
      <c r="B1050" s="1" t="s">
        <v>1975</v>
      </c>
      <c r="C1050" s="1" t="str">
        <f ca="1">IFERROR(__xludf.DUMMYFUNCTION("GOOGLETRANSLATE(B1050,""en"",""ar"")"),"تم تسجيل بطاقة NFC")</f>
        <v>تم تسجيل بطاقة NFC</v>
      </c>
      <c r="D1050" s="1" t="str">
        <f ca="1">IFERROR(__xludf.DUMMYFUNCTION("GOOGLETRANSLATE(B1050,""en"",""zh-CN"")"),"NFC卡已注册")</f>
        <v>NFC卡已注册</v>
      </c>
      <c r="E1050" s="1" t="str">
        <f ca="1">IFERROR(__xludf.DUMMYFUNCTION("GOOGLETRANSLATE(B1050,""en"",""ja"")"),"NFCカードが登録されています")</f>
        <v>NFCカードが登録されています</v>
      </c>
      <c r="F1050" s="1" t="str">
        <f ca="1">IFERROR(__xludf.DUMMYFUNCTION("GOOGLETRANSLATE(B1050,""en"",""fr"")"),"La carte NFC a été enregistrée")</f>
        <v>La carte NFC a été enregistrée</v>
      </c>
    </row>
    <row r="1051" spans="1:6" ht="15.75" customHeight="1" x14ac:dyDescent="0.25">
      <c r="A1051" s="1" t="s">
        <v>1976</v>
      </c>
      <c r="B1051" s="1" t="s">
        <v>1977</v>
      </c>
      <c r="C1051" s="1" t="str">
        <f ca="1">IFERROR(__xludf.DUMMYFUNCTION("GOOGLETRANSLATE(B1051,""en"",""ar"")"),"فشل تسجيل بطاقة NFC")</f>
        <v>فشل تسجيل بطاقة NFC</v>
      </c>
      <c r="D1051" s="1" t="str">
        <f ca="1">IFERROR(__xludf.DUMMYFUNCTION("GOOGLETRANSLATE(B1051,""en"",""zh-CN"")"),"NFC卡注册失败")</f>
        <v>NFC卡注册失败</v>
      </c>
      <c r="E1051" s="1" t="str">
        <f ca="1">IFERROR(__xludf.DUMMYFUNCTION("GOOGLETRANSLATE(B1051,""en"",""ja"")"),"NFCカードの登録に失敗しました")</f>
        <v>NFCカードの登録に失敗しました</v>
      </c>
      <c r="F1051" s="1" t="str">
        <f ca="1">IFERROR(__xludf.DUMMYFUNCTION("GOOGLETRANSLATE(B1051,""en"",""fr"")"),"L'enregistrement de la carte NFC a échoué")</f>
        <v>L'enregistrement de la carte NFC a échoué</v>
      </c>
    </row>
    <row r="1052" spans="1:6" ht="15.75" customHeight="1" x14ac:dyDescent="0.25">
      <c r="A1052" s="1" t="s">
        <v>1978</v>
      </c>
      <c r="B1052" s="1" t="s">
        <v>1979</v>
      </c>
      <c r="C1052" s="1" t="str">
        <f ca="1">IFERROR(__xludf.DUMMYFUNCTION("GOOGLETRANSLATE(B1052,""en"",""ar"")"),"رقم الهوية طويل جدا")</f>
        <v>رقم الهوية طويل جدا</v>
      </c>
      <c r="D1052" s="1" t="str">
        <f ca="1">IFERROR(__xludf.DUMMYFUNCTION("GOOGLETRANSLATE(B1052,""en"",""zh-CN"")"),"身份证号码太长了")</f>
        <v>身份证号码太长了</v>
      </c>
      <c r="E1052" s="1" t="str">
        <f ca="1">IFERROR(__xludf.DUMMYFUNCTION("GOOGLETRANSLATE(B1052,""en"",""ja"")"),"ID番号が長すぎます")</f>
        <v>ID番号が長すぎます</v>
      </c>
      <c r="F1052" s="1" t="str">
        <f ca="1">IFERROR(__xludf.DUMMYFUNCTION("GOOGLETRANSLATE(B1052,""en"",""fr"")"),"Le numéro d'identification est trop long")</f>
        <v>Le numéro d'identification est trop long</v>
      </c>
    </row>
    <row r="1053" spans="1:6" ht="15.75" customHeight="1" x14ac:dyDescent="0.25">
      <c r="A1053" s="1" t="s">
        <v>1980</v>
      </c>
      <c r="B1053" s="1" t="s">
        <v>1981</v>
      </c>
      <c r="C1053" s="1" t="str">
        <f ca="1">IFERROR(__xludf.DUMMYFUNCTION("GOOGLETRANSLATE(B1053,""en"",""ar"")"),"يرجى الضغط على بطاقة NFC")</f>
        <v>يرجى الضغط على بطاقة NFC</v>
      </c>
      <c r="D1053" s="1" t="str">
        <f ca="1">IFERROR(__xludf.DUMMYFUNCTION("GOOGLETRANSLATE(B1053,""en"",""zh-CN"")"),"请点击NFC卡")</f>
        <v>请点击NFC卡</v>
      </c>
      <c r="E1053" s="1" t="str">
        <f ca="1">IFERROR(__xludf.DUMMYFUNCTION("GOOGLETRANSLATE(B1053,""en"",""ja"")"),"NFCカードをタップしてください")</f>
        <v>NFCカードをタップしてください</v>
      </c>
      <c r="F1053" s="1" t="str">
        <f ca="1">IFERROR(__xludf.DUMMYFUNCTION("GOOGLETRANSLATE(B1053,""en"",""fr"")"),"S'il vous plaît appuyez sur la carte NFC")</f>
        <v>S'il vous plaît appuyez sur la carte NFC</v>
      </c>
    </row>
    <row r="1054" spans="1:6" ht="15.75" customHeight="1" x14ac:dyDescent="0.25">
      <c r="A1054" s="1" t="s">
        <v>1982</v>
      </c>
      <c r="B1054" s="1" t="s">
        <v>1983</v>
      </c>
      <c r="C1054" s="1" t="str">
        <f ca="1">IFERROR(__xludf.DUMMYFUNCTION("GOOGLETRANSLATE(B1054,""en"",""ar"")"),"اضافة للأمر")</f>
        <v>اضافة للأمر</v>
      </c>
      <c r="D1054" s="1" t="str">
        <f ca="1">IFERROR(__xludf.DUMMYFUNCTION("GOOGLETRANSLATE(B1054,""en"",""zh-CN"")"),"加入订单")</f>
        <v>加入订单</v>
      </c>
      <c r="E1054" s="1" t="str">
        <f ca="1">IFERROR(__xludf.DUMMYFUNCTION("GOOGLETRANSLATE(B1054,""en"",""ja"")"),"命令に追加します")</f>
        <v>命令に追加します</v>
      </c>
      <c r="F1054" s="1" t="str">
        <f ca="1">IFERROR(__xludf.DUMMYFUNCTION("GOOGLETRANSLATE(B1054,""en"",""fr"")"),"AJOUTER À LA COMMANDE")</f>
        <v>AJOUTER À LA COMMANDE</v>
      </c>
    </row>
    <row r="1055" spans="1:6" ht="15.75" customHeight="1" x14ac:dyDescent="0.25">
      <c r="A1055" s="1" t="s">
        <v>1984</v>
      </c>
      <c r="B1055" s="1" t="s">
        <v>1985</v>
      </c>
      <c r="C1055" s="1" t="str">
        <f ca="1">IFERROR(__xludf.DUMMYFUNCTION("GOOGLETRANSLATE(B1055,""en"",""ar"")"),"هل تريد حذف هذه الفاتورة السابقة؟")</f>
        <v>هل تريد حذف هذه الفاتورة السابقة؟</v>
      </c>
      <c r="D1055" s="1" t="str">
        <f ca="1">IFERROR(__xludf.DUMMYFUNCTION("GOOGLETRANSLATE(B1055,""en"",""zh-CN"")"),"你想删除这个前账单吗？")</f>
        <v>你想删除这个前账单吗？</v>
      </c>
      <c r="E1055" s="1" t="str">
        <f ca="1">IFERROR(__xludf.DUMMYFUNCTION("GOOGLETRANSLATE(B1055,""en"",""ja"")"),"この事前請求書を削除しますか？")</f>
        <v>この事前請求書を削除しますか？</v>
      </c>
      <c r="F1055" s="1" t="str">
        <f ca="1">IFERROR(__xludf.DUMMYFUNCTION("GOOGLETRANSLATE(B1055,""en"",""fr"")"),"Voulez-vous supprimer cette pré-facture?")</f>
        <v>Voulez-vous supprimer cette pré-facture?</v>
      </c>
    </row>
    <row r="1056" spans="1:6" ht="15.75" customHeight="1" x14ac:dyDescent="0.25">
      <c r="A1056" s="1" t="s">
        <v>1986</v>
      </c>
      <c r="B1056" s="1" t="s">
        <v>1987</v>
      </c>
      <c r="C1056" s="1" t="str">
        <f ca="1">IFERROR(__xludf.DUMMYFUNCTION("GOOGLETRANSLATE(B1056,""en"",""ar"")"),"حذف بيل")</f>
        <v>حذف بيل</v>
      </c>
      <c r="D1056" s="1" t="str">
        <f ca="1">IFERROR(__xludf.DUMMYFUNCTION("GOOGLETRANSLATE(B1056,""en"",""zh-CN"")"),"删除PREPART.")</f>
        <v>删除PREPART.</v>
      </c>
      <c r="E1056" s="1" t="str">
        <f ca="1">IFERROR(__xludf.DUMMYFUNCTION("GOOGLETRANSLATE(B1056,""en"",""ja"")"),"PRE Billを削除します")</f>
        <v>PRE Billを削除します</v>
      </c>
      <c r="F1056" s="1" t="str">
        <f ca="1">IFERROR(__xludf.DUMMYFUNCTION("GOOGLETRANSLATE(B1056,""en"",""fr"")"),"Supprimer le pré-facture")</f>
        <v>Supprimer le pré-facture</v>
      </c>
    </row>
    <row r="1057" spans="1:6" ht="15.75" customHeight="1" x14ac:dyDescent="0.25">
      <c r="A1057" s="1" t="s">
        <v>1988</v>
      </c>
      <c r="B1057" s="1" t="s">
        <v>1989</v>
      </c>
      <c r="C1057" s="1" t="str">
        <f ca="1">IFERROR(__xludf.DUMMYFUNCTION("GOOGLETRANSLATE(B1057,""en"",""ar"")"),"تاريخ الاستحقاق")</f>
        <v>تاريخ الاستحقاق</v>
      </c>
      <c r="D1057" s="1" t="str">
        <f ca="1">IFERROR(__xludf.DUMMYFUNCTION("GOOGLETRANSLATE(B1057,""en"",""zh-CN"")"),"截止日期")</f>
        <v>截止日期</v>
      </c>
      <c r="E1057" s="1" t="str">
        <f ca="1">IFERROR(__xludf.DUMMYFUNCTION("GOOGLETRANSLATE(B1057,""en"",""ja"")"),"期日")</f>
        <v>期日</v>
      </c>
      <c r="F1057" s="1" t="str">
        <f ca="1">IFERROR(__xludf.DUMMYFUNCTION("GOOGLETRANSLATE(B1057,""en"",""fr"")"),"Date d'échéance")</f>
        <v>Date d'échéance</v>
      </c>
    </row>
    <row r="1058" spans="1:6" ht="15.75" customHeight="1" x14ac:dyDescent="0.25">
      <c r="A1058" s="1" t="s">
        <v>1990</v>
      </c>
      <c r="B1058" s="1" t="s">
        <v>1991</v>
      </c>
      <c r="C1058" s="1" t="str">
        <f ca="1">IFERROR(__xludf.DUMMYFUNCTION("GOOGLETRANSLATE(B1058,""en"",""ar"")"),"في هذه الساعة")</f>
        <v>في هذه الساعة</v>
      </c>
      <c r="D1058" s="1" t="str">
        <f ca="1">IFERROR(__xludf.DUMMYFUNCTION("GOOGLETRANSLATE(B1058,""en"",""zh-CN"")"),"在这个小时")</f>
        <v>在这个小时</v>
      </c>
      <c r="E1058" s="1" t="str">
        <f ca="1">IFERROR(__xludf.DUMMYFUNCTION("GOOGLETRANSLATE(B1058,""en"",""ja"")"),"この時間に")</f>
        <v>この時間に</v>
      </c>
      <c r="F1058" s="1" t="str">
        <f ca="1">IFERROR(__xludf.DUMMYFUNCTION("GOOGLETRANSLATE(B1058,""en"",""fr"")"),"À cette heure")</f>
        <v>À cette heure</v>
      </c>
    </row>
    <row r="1059" spans="1:6" ht="15.75" customHeight="1" x14ac:dyDescent="0.25">
      <c r="A1059" s="1" t="s">
        <v>1992</v>
      </c>
      <c r="B1059" s="1" t="s">
        <v>1993</v>
      </c>
      <c r="C1059" s="1" t="str">
        <f ca="1">IFERROR(__xludf.DUMMYFUNCTION("GOOGLETRANSLATE(B1059,""en"",""ar"")"),"لم يتم العثور على العميل")</f>
        <v>لم يتم العثور على العميل</v>
      </c>
      <c r="D1059" s="1" t="str">
        <f ca="1">IFERROR(__xludf.DUMMYFUNCTION("GOOGLETRANSLATE(B1059,""en"",""zh-CN"")"),"找不到客户")</f>
        <v>找不到客户</v>
      </c>
      <c r="E1059" s="1" t="str">
        <f ca="1">IFERROR(__xludf.DUMMYFUNCTION("GOOGLETRANSLATE(B1059,""en"",""ja"")"),"顧客は見つかりません")</f>
        <v>顧客は見つかりません</v>
      </c>
      <c r="F1059" s="1" t="str">
        <f ca="1">IFERROR(__xludf.DUMMYFUNCTION("GOOGLETRANSLATE(B1059,""en"",""fr"")"),"Le client n'est pas trouvé")</f>
        <v>Le client n'est pas trouvé</v>
      </c>
    </row>
    <row r="1060" spans="1:6" ht="15.75" customHeight="1" x14ac:dyDescent="0.25">
      <c r="A1060" s="1" t="s">
        <v>1994</v>
      </c>
      <c r="B1060" s="1" t="s">
        <v>1995</v>
      </c>
      <c r="C1060" s="1" t="str">
        <f ca="1">IFERROR(__xludf.DUMMYFUNCTION("GOOGLETRANSLATE(B1060,""en"",""ar"")"),"تحديث الطلبات اليدوية")</f>
        <v>تحديث الطلبات اليدوية</v>
      </c>
      <c r="D1060" s="1" t="str">
        <f ca="1">IFERROR(__xludf.DUMMYFUNCTION("GOOGLETRANSLATE(B1060,""en"",""zh-CN"")"),"更新手动订单")</f>
        <v>更新手动订单</v>
      </c>
      <c r="E1060" s="1" t="str">
        <f ca="1">IFERROR(__xludf.DUMMYFUNCTION("GOOGLETRANSLATE(B1060,""en"",""ja"")"),"手動命令を更新します")</f>
        <v>手動命令を更新します</v>
      </c>
      <c r="F1060" s="1" t="str">
        <f ca="1">IFERROR(__xludf.DUMMYFUNCTION("GOOGLETRANSLATE(B1060,""en"",""fr"")"),"Mettre à jour les commandes manuelles")</f>
        <v>Mettre à jour les commandes manuelles</v>
      </c>
    </row>
    <row r="1061" spans="1:6" ht="15.75" customHeight="1" x14ac:dyDescent="0.25">
      <c r="A1061" s="1" t="s">
        <v>1996</v>
      </c>
      <c r="B1061" s="1" t="s">
        <v>1997</v>
      </c>
      <c r="C1061" s="1" t="str">
        <f ca="1">IFERROR(__xludf.DUMMYFUNCTION("GOOGLETRANSLATE(B1061,""en"",""ar"")"),"جهاز إضافي")</f>
        <v>جهاز إضافي</v>
      </c>
      <c r="D1061" s="1" t="str">
        <f ca="1">IFERROR(__xludf.DUMMYFUNCTION("GOOGLETRANSLATE(B1061,""en"",""zh-CN"")"),"额外的设备")</f>
        <v>额外的设备</v>
      </c>
      <c r="E1061" s="1" t="str">
        <f ca="1">IFERROR(__xludf.DUMMYFUNCTION("GOOGLETRANSLATE(B1061,""en"",""ja"")"),"追加の装置")</f>
        <v>追加の装置</v>
      </c>
      <c r="F1061" s="1" t="str">
        <f ca="1">IFERROR(__xludf.DUMMYFUNCTION("GOOGLETRANSLATE(B1061,""en"",""fr"")"),"Périphérique supplémentaire")</f>
        <v>Périphérique supplémentaire</v>
      </c>
    </row>
    <row r="1062" spans="1:6" ht="15.75" customHeight="1" x14ac:dyDescent="0.25">
      <c r="A1062" s="1" t="s">
        <v>1998</v>
      </c>
      <c r="B1062" s="1" t="s">
        <v>1999</v>
      </c>
      <c r="C1062" s="1" t="str">
        <f ca="1">IFERROR(__xludf.DUMMYFUNCTION("GOOGLETRANSLATE(B1062,""en"",""ar"")"),"مقياس الوزن")</f>
        <v>مقياس الوزن</v>
      </c>
      <c r="D1062" s="1" t="str">
        <f ca="1">IFERROR(__xludf.DUMMYFUNCTION("GOOGLETRANSLATE(B1062,""en"",""zh-CN"")"),"计重秤")</f>
        <v>计重秤</v>
      </c>
      <c r="E1062" s="1" t="str">
        <f ca="1">IFERROR(__xludf.DUMMYFUNCTION("GOOGLETRANSLATE(B1062,""en"",""ja"")"),"体重計")</f>
        <v>体重計</v>
      </c>
      <c r="F1062" s="1" t="str">
        <f ca="1">IFERROR(__xludf.DUMMYFUNCTION("GOOGLETRANSLATE(B1062,""en"",""fr"")"),"Échelle de poids")</f>
        <v>Échelle de poids</v>
      </c>
    </row>
    <row r="1063" spans="1:6" ht="15.75" customHeight="1" x14ac:dyDescent="0.25">
      <c r="A1063" s="1" t="s">
        <v>2000</v>
      </c>
      <c r="B1063" s="1" t="s">
        <v>2001</v>
      </c>
      <c r="C1063" s="1" t="str">
        <f ca="1">IFERROR(__xludf.DUMMYFUNCTION("GOOGLETRANSLATE(B1063,""en"",""ar"")"),"اختر جهاز")</f>
        <v>اختر جهاز</v>
      </c>
      <c r="D1063" s="1" t="str">
        <f ca="1">IFERROR(__xludf.DUMMYFUNCTION("GOOGLETRANSLATE(B1063,""en"",""zh-CN"")"),"选择设备")</f>
        <v>选择设备</v>
      </c>
      <c r="E1063" s="1" t="str">
        <f ca="1">IFERROR(__xludf.DUMMYFUNCTION("GOOGLETRANSLATE(B1063,""en"",""ja"")"),"デバイスを選択してください")</f>
        <v>デバイスを選択してください</v>
      </c>
      <c r="F1063" s="1" t="str">
        <f ca="1">IFERROR(__xludf.DUMMYFUNCTION("GOOGLETRANSLATE(B1063,""en"",""fr"")"),"Choisir un appareil")</f>
        <v>Choisir un appareil</v>
      </c>
    </row>
    <row r="1064" spans="1:6" ht="15.75" customHeight="1" x14ac:dyDescent="0.25">
      <c r="A1064" s="1" t="s">
        <v>2002</v>
      </c>
      <c r="B1064" s="1" t="s">
        <v>2003</v>
      </c>
      <c r="C1064" s="1" t="str">
        <f ca="1">IFERROR(__xludf.DUMMYFUNCTION("GOOGLETRANSLATE(B1064,""en"",""ar"")"),"تم حفظ المعلومات بنجاح")</f>
        <v>تم حفظ المعلومات بنجاح</v>
      </c>
      <c r="D1064" s="1" t="str">
        <f ca="1">IFERROR(__xludf.DUMMYFUNCTION("GOOGLETRANSLATE(B1064,""en"",""zh-CN"")"),"数据已成功保存")</f>
        <v>数据已成功保存</v>
      </c>
      <c r="E1064" s="1" t="str">
        <f ca="1">IFERROR(__xludf.DUMMYFUNCTION("GOOGLETRANSLATE(B1064,""en"",""ja"")"),"データが正常に保存されました")</f>
        <v>データが正常に保存されました</v>
      </c>
      <c r="F1064" s="1" t="str">
        <f ca="1">IFERROR(__xludf.DUMMYFUNCTION("GOOGLETRANSLATE(B1064,""en"",""fr"")"),"Données sauvegardées avec succès")</f>
        <v>Données sauvegardées avec succès</v>
      </c>
    </row>
    <row r="1065" spans="1:6" ht="15.75" customHeight="1" x14ac:dyDescent="0.25">
      <c r="A1065" s="1" t="s">
        <v>2004</v>
      </c>
      <c r="B1065" s="1" t="s">
        <v>2005</v>
      </c>
      <c r="C1065" s="1" t="str">
        <f ca="1">IFERROR(__xludf.DUMMYFUNCTION("GOOGLETRANSLATE(B1065,""en"",""ar"")"),"خطأ محفوظ البيانات")</f>
        <v>خطأ محفوظ البيانات</v>
      </c>
      <c r="D1065" s="1" t="str">
        <f ca="1">IFERROR(__xludf.DUMMYFUNCTION("GOOGLETRANSLATE(B1065,""en"",""zh-CN"")"),"数据已保存错误")</f>
        <v>数据已保存错误</v>
      </c>
      <c r="E1065" s="1" t="str">
        <f ca="1">IFERROR(__xludf.DUMMYFUNCTION("GOOGLETRANSLATE(B1065,""en"",""ja"")"),"データ保存エラー")</f>
        <v>データ保存エラー</v>
      </c>
      <c r="F1065" s="1" t="str">
        <f ca="1">IFERROR(__xludf.DUMMYFUNCTION("GOOGLETRANSLATE(B1065,""en"",""fr"")"),"Erreur enregistrée par des données")</f>
        <v>Erreur enregistrée par des données</v>
      </c>
    </row>
    <row r="1066" spans="1:6" ht="15.75" customHeight="1" x14ac:dyDescent="0.25">
      <c r="A1066" s="1" t="s">
        <v>2006</v>
      </c>
      <c r="B1066" s="1" t="s">
        <v>2007</v>
      </c>
      <c r="C1066" s="1" t="str">
        <f ca="1">IFERROR(__xludf.DUMMYFUNCTION("GOOGLETRANSLATE(B1066,""en"",""ar"")"),"الحكمة العميل")</f>
        <v>الحكمة العميل</v>
      </c>
      <c r="D1066" s="1" t="str">
        <f ca="1">IFERROR(__xludf.DUMMYFUNCTION("GOOGLETRANSLATE(B1066,""en"",""zh-CN"")"),"客户聪明")</f>
        <v>客户聪明</v>
      </c>
      <c r="E1066" s="1" t="str">
        <f ca="1">IFERROR(__xludf.DUMMYFUNCTION("GOOGLETRANSLATE(B1066,""en"",""ja"")"),"賢い")</f>
        <v>賢い</v>
      </c>
      <c r="F1066" s="1" t="str">
        <f ca="1">IFERROR(__xludf.DUMMYFUNCTION("GOOGLETRANSLATE(B1066,""en"",""fr"")"),"Client sage")</f>
        <v>Client sage</v>
      </c>
    </row>
    <row r="1067" spans="1:6" ht="15.75" customHeight="1" x14ac:dyDescent="0.25">
      <c r="A1067" s="1" t="s">
        <v>2008</v>
      </c>
      <c r="B1067" s="1" t="s">
        <v>2009</v>
      </c>
      <c r="C1067" s="1" t="str">
        <f ca="1">IFERROR(__xludf.DUMMYFUNCTION("GOOGLETRANSLATE(B1067,""en"",""ar"")"),"الموظف الحكيم")</f>
        <v>الموظف الحكيم</v>
      </c>
      <c r="D1067" s="1" t="str">
        <f ca="1">IFERROR(__xludf.DUMMYFUNCTION("GOOGLETRANSLATE(B1067,""en"",""zh-CN"")"),"员工明智")</f>
        <v>员工明智</v>
      </c>
      <c r="E1067" s="1" t="str">
        <f ca="1">IFERROR(__xludf.DUMMYFUNCTION("GOOGLETRANSLATE(B1067,""en"",""ja"")"),"賢明に従業員")</f>
        <v>賢明に従業員</v>
      </c>
      <c r="F1067" s="1" t="str">
        <f ca="1">IFERROR(__xludf.DUMMYFUNCTION("GOOGLETRANSLATE(B1067,""en"",""fr"")"),"Employé sage")</f>
        <v>Employé sage</v>
      </c>
    </row>
    <row r="1068" spans="1:6" ht="15.75" customHeight="1" x14ac:dyDescent="0.25">
      <c r="A1068" s="1" t="s">
        <v>2010</v>
      </c>
      <c r="B1068" s="1" t="s">
        <v>2011</v>
      </c>
      <c r="C1068" s="1" t="str">
        <f ca="1">IFERROR(__xludf.DUMMYFUNCTION("GOOGLETRANSLATE(B1068,""en"",""ar"")"),"بلوتوث")</f>
        <v>بلوتوث</v>
      </c>
      <c r="D1068" s="1" t="str">
        <f ca="1">IFERROR(__xludf.DUMMYFUNCTION("GOOGLETRANSLATE(B1068,""en"",""zh-CN"")"),"蓝牙")</f>
        <v>蓝牙</v>
      </c>
      <c r="E1068" s="1" t="str">
        <f ca="1">IFERROR(__xludf.DUMMYFUNCTION("GOOGLETRANSLATE(B1068,""en"",""ja"")"),"ブルートゥース")</f>
        <v>ブルートゥース</v>
      </c>
      <c r="F1068" s="1" t="str">
        <f ca="1">IFERROR(__xludf.DUMMYFUNCTION("GOOGLETRANSLATE(B1068,""en"",""fr"")"),"Bluetooth")</f>
        <v>Bluetooth</v>
      </c>
    </row>
    <row r="1069" spans="1:6" ht="15.75" customHeight="1" x14ac:dyDescent="0.25">
      <c r="A1069" s="1" t="s">
        <v>2012</v>
      </c>
      <c r="B1069" s="1" t="s">
        <v>2013</v>
      </c>
      <c r="C1069" s="1" t="str">
        <f ca="1">IFERROR(__xludf.DUMMYFUNCTION("GOOGLETRANSLATE(B1069,""en"",""ar"")"),"ن / أ")</f>
        <v>ن / أ</v>
      </c>
      <c r="D1069" s="1" t="str">
        <f ca="1">IFERROR(__xludf.DUMMYFUNCTION("GOOGLETRANSLATE(B1069,""en"",""zh-CN"")"),"N / A.")</f>
        <v>N / A.</v>
      </c>
      <c r="E1069" s="1" t="str">
        <f ca="1">IFERROR(__xludf.DUMMYFUNCTION("GOOGLETRANSLATE(B1069,""en"",""ja"")"),"めずく")</f>
        <v>めずく</v>
      </c>
      <c r="F1069" s="1" t="str">
        <f ca="1">IFERROR(__xludf.DUMMYFUNCTION("GOOGLETRANSLATE(B1069,""en"",""fr"")"),"N / A")</f>
        <v>N / A</v>
      </c>
    </row>
    <row r="1070" spans="1:6" ht="15.75" customHeight="1" x14ac:dyDescent="0.25">
      <c r="A1070" s="1" t="s">
        <v>2014</v>
      </c>
      <c r="B1070" s="1" t="s">
        <v>2015</v>
      </c>
      <c r="C1070" s="1" t="str">
        <f ca="1">IFERROR(__xludf.DUMMYFUNCTION("GOOGLETRANSLATE(B1070,""en"",""ar"")"),"تمكين الجهاز")</f>
        <v>تمكين الجهاز</v>
      </c>
      <c r="D1070" s="1" t="str">
        <f ca="1">IFERROR(__xludf.DUMMYFUNCTION("GOOGLETRANSLATE(B1070,""en"",""zh-CN"")"),"启用设备")</f>
        <v>启用设备</v>
      </c>
      <c r="E1070" s="1" t="str">
        <f ca="1">IFERROR(__xludf.DUMMYFUNCTION("GOOGLETRANSLATE(B1070,""en"",""ja"")"),"デバイスを有効にします")</f>
        <v>デバイスを有効にします</v>
      </c>
      <c r="F1070" s="1" t="str">
        <f ca="1">IFERROR(__xludf.DUMMYFUNCTION("GOOGLETRANSLATE(B1070,""en"",""fr"")"),"Activer le périphérique")</f>
        <v>Activer le périphérique</v>
      </c>
    </row>
    <row r="1071" spans="1:6" ht="15.75" customHeight="1" x14ac:dyDescent="0.25">
      <c r="A1071" s="1" t="s">
        <v>2016</v>
      </c>
      <c r="B1071" s="1" t="s">
        <v>2017</v>
      </c>
      <c r="C1071" s="1" t="str">
        <f ca="1">IFERROR(__xludf.DUMMYFUNCTION("GOOGLETRANSLATE(B1071,""en"",""ar"")"),"هل أنت متأكد أنك تريد تعطيل الجهاز؟")</f>
        <v>هل أنت متأكد أنك تريد تعطيل الجهاز؟</v>
      </c>
      <c r="D1071" s="1" t="str">
        <f ca="1">IFERROR(__xludf.DUMMYFUNCTION("GOOGLETRANSLATE(B1071,""en"",""zh-CN"")"),"您确定要禁用设备吗？")</f>
        <v>您确定要禁用设备吗？</v>
      </c>
      <c r="E1071" s="1" t="str">
        <f ca="1">IFERROR(__xludf.DUMMYFUNCTION("GOOGLETRANSLATE(B1071,""en"",""ja"")"),"デバイスを無効にしてもよろしいですか？")</f>
        <v>デバイスを無効にしてもよろしいですか？</v>
      </c>
      <c r="F1071" s="1" t="str">
        <f ca="1">IFERROR(__xludf.DUMMYFUNCTION("GOOGLETRANSLATE(B1071,""en"",""fr"")"),"Êtes-vous sûr de vouloir désactiver l'appareil?")</f>
        <v>Êtes-vous sûr de vouloir désactiver l'appareil?</v>
      </c>
    </row>
    <row r="1072" spans="1:6" ht="15.75" customHeight="1" x14ac:dyDescent="0.25">
      <c r="A1072" s="1" t="s">
        <v>2018</v>
      </c>
      <c r="B1072" s="1" t="s">
        <v>2019</v>
      </c>
      <c r="C1072" s="1" t="str">
        <f ca="1">IFERROR(__xludf.DUMMYFUNCTION("GOOGLETRANSLATE(B1072,""en"",""ar"")"),"هل أنت متأكد أنك تريد تمكين الجهاز؟")</f>
        <v>هل أنت متأكد أنك تريد تمكين الجهاز؟</v>
      </c>
      <c r="D1072" s="1" t="str">
        <f ca="1">IFERROR(__xludf.DUMMYFUNCTION("GOOGLETRANSLATE(B1072,""en"",""zh-CN"")"),"您确定要启用设备吗？")</f>
        <v>您确定要启用设备吗？</v>
      </c>
      <c r="E1072" s="1" t="str">
        <f ca="1">IFERROR(__xludf.DUMMYFUNCTION("GOOGLETRANSLATE(B1072,""en"",""ja"")"),"デバイスを有効にしてもよろしいですか？")</f>
        <v>デバイスを有効にしてもよろしいですか？</v>
      </c>
      <c r="F1072" s="1" t="str">
        <f ca="1">IFERROR(__xludf.DUMMYFUNCTION("GOOGLETRANSLATE(B1072,""en"",""fr"")"),"Êtes-vous sûr de vouloir activer l'appareil?")</f>
        <v>Êtes-vous sûr de vouloir activer l'appareil?</v>
      </c>
    </row>
    <row r="1073" spans="1:6" ht="15.75" customHeight="1" x14ac:dyDescent="0.25">
      <c r="A1073" s="1" t="s">
        <v>2020</v>
      </c>
      <c r="B1073" s="1" t="s">
        <v>2021</v>
      </c>
      <c r="C1073" s="1" t="str">
        <f ca="1">IFERROR(__xludf.DUMMYFUNCTION("GOOGLETRANSLATE(B1073,""en"",""ar"")"),"حذف الجهاز")</f>
        <v>حذف الجهاز</v>
      </c>
      <c r="D1073" s="1" t="str">
        <f ca="1">IFERROR(__xludf.DUMMYFUNCTION("GOOGLETRANSLATE(B1073,""en"",""zh-CN"")"),"删除设备")</f>
        <v>删除设备</v>
      </c>
      <c r="E1073" s="1" t="str">
        <f ca="1">IFERROR(__xludf.DUMMYFUNCTION("GOOGLETRANSLATE(B1073,""en"",""ja"")"),"デバイスを削除します")</f>
        <v>デバイスを削除します</v>
      </c>
      <c r="F1073" s="1" t="str">
        <f ca="1">IFERROR(__xludf.DUMMYFUNCTION("GOOGLETRANSLATE(B1073,""en"",""fr"")"),"Delete Device")</f>
        <v>Delete Device</v>
      </c>
    </row>
    <row r="1074" spans="1:6" ht="15.75" customHeight="1" x14ac:dyDescent="0.25">
      <c r="A1074" s="1" t="s">
        <v>2022</v>
      </c>
      <c r="B1074" s="1" t="s">
        <v>2023</v>
      </c>
      <c r="C1074" s="1" t="str">
        <f ca="1">IFERROR(__xludf.DUMMYFUNCTION("GOOGLETRANSLATE(B1074,""en"",""ar"")"),"هل أنت متأكد أنك تريد حذف الجهاز؟")</f>
        <v>هل أنت متأكد أنك تريد حذف الجهاز؟</v>
      </c>
      <c r="D1074" s="1" t="str">
        <f ca="1">IFERROR(__xludf.DUMMYFUNCTION("GOOGLETRANSLATE(B1074,""en"",""zh-CN"")"),"您确定要删除设备吗？")</f>
        <v>您确定要删除设备吗？</v>
      </c>
      <c r="E1074" s="1" t="str">
        <f ca="1">IFERROR(__xludf.DUMMYFUNCTION("GOOGLETRANSLATE(B1074,""en"",""ja"")"),"デバイスを削除してもよろしいですか？")</f>
        <v>デバイスを削除してもよろしいですか？</v>
      </c>
      <c r="F1074" s="1" t="str">
        <f ca="1">IFERROR(__xludf.DUMMYFUNCTION("GOOGLETRANSLATE(B1074,""en"",""fr"")"),"Êtes-vous sûr de vouloir supprimer l'appareil?")</f>
        <v>Êtes-vous sûr de vouloir supprimer l'appareil?</v>
      </c>
    </row>
    <row r="1075" spans="1:6" ht="15.75" customHeight="1" x14ac:dyDescent="0.25">
      <c r="A1075" s="1" t="s">
        <v>2024</v>
      </c>
      <c r="B1075" s="1" t="s">
        <v>2025</v>
      </c>
      <c r="C1075" s="1" t="str">
        <f ca="1">IFERROR(__xludf.DUMMYFUNCTION("GOOGLETRANSLATE(B1075,""en"",""ar"")"),"\ uf0f4.")</f>
        <v>\ uf0f4.</v>
      </c>
      <c r="D1075" s="1" t="str">
        <f ca="1">IFERROR(__xludf.DUMMYFUNCTION("GOOGLETRANSLATE(B1075,""en"",""zh-CN"")"),"\ UF0F4")</f>
        <v>\ UF0F4</v>
      </c>
      <c r="E1075" s="1" t="str">
        <f ca="1">IFERROR(__xludf.DUMMYFUNCTION("GOOGLETRANSLATE(B1075,""en"",""ja"")"),"\ uf0f4")</f>
        <v>\ uf0f4</v>
      </c>
      <c r="F1075" s="1" t="str">
        <f ca="1">IFERROR(__xludf.DUMMYFUNCTION("GOOGLETRANSLATE(B1075,""en"",""fr"")"),"\ uf0f4")</f>
        <v>\ uf0f4</v>
      </c>
    </row>
    <row r="1076" spans="1:6" ht="15.75" customHeight="1" x14ac:dyDescent="0.25">
      <c r="A1076" s="1" t="s">
        <v>2026</v>
      </c>
      <c r="B1076" s="1" t="s">
        <v>2027</v>
      </c>
      <c r="C1076" s="1" t="str">
        <f ca="1">IFERROR(__xludf.DUMMYFUNCTION("GOOGLETRANSLATE(B1076,""en"",""ar"")"),"\ uf022.")</f>
        <v>\ uf022.</v>
      </c>
      <c r="D1076" s="1" t="str">
        <f ca="1">IFERROR(__xludf.DUMMYFUNCTION("GOOGLETRANSLATE(B1076,""en"",""zh-CN"")"),"\ UF022")</f>
        <v>\ UF022</v>
      </c>
      <c r="E1076" s="1" t="str">
        <f ca="1">IFERROR(__xludf.DUMMYFUNCTION("GOOGLETRANSLATE(B1076,""en"",""ja"")"),"\ uf022")</f>
        <v>\ uf022</v>
      </c>
      <c r="F1076" s="1" t="str">
        <f ca="1">IFERROR(__xludf.DUMMYFUNCTION("GOOGLETRANSLATE(B1076,""en"",""fr"")"),"\ uf022")</f>
        <v>\ uf022</v>
      </c>
    </row>
    <row r="1077" spans="1:6" ht="15.75" customHeight="1" x14ac:dyDescent="0.25">
      <c r="A1077" s="1" t="s">
        <v>2028</v>
      </c>
      <c r="B1077" s="1" t="s">
        <v>2029</v>
      </c>
      <c r="C1077" s="1" t="str">
        <f ca="1">IFERROR(__xludf.DUMMYFUNCTION("GOOGLETRANSLATE(B1077,""en"",""ar"")"),"\ uf08d.")</f>
        <v>\ uf08d.</v>
      </c>
      <c r="D1077" s="1" t="str">
        <f ca="1">IFERROR(__xludf.DUMMYFUNCTION("GOOGLETRANSLATE(B1077,""en"",""zh-CN"")"),"\ UF08D.")</f>
        <v>\ UF08D.</v>
      </c>
      <c r="E1077" s="1" t="str">
        <f ca="1">IFERROR(__xludf.DUMMYFUNCTION("GOOGLETRANSLATE(B1077,""en"",""ja"")"),"\ UF08D")</f>
        <v>\ UF08D</v>
      </c>
      <c r="F1077" s="1" t="str">
        <f ca="1">IFERROR(__xludf.DUMMYFUNCTION("GOOGLETRANSLATE(B1077,""en"",""fr"")"),"\ uf08d")</f>
        <v>\ uf08d</v>
      </c>
    </row>
    <row r="1078" spans="1:6" ht="15.75" customHeight="1" x14ac:dyDescent="0.25">
      <c r="A1078" s="1" t="s">
        <v>2030</v>
      </c>
      <c r="B1078" s="1" t="s">
        <v>2031</v>
      </c>
      <c r="C1078" s="1" t="str">
        <f ca="1">IFERROR(__xludf.DUMMYFUNCTION("GOOGLETRANSLATE(B1078,""en"",""ar"")"),"\ uf15c.")</f>
        <v>\ uf15c.</v>
      </c>
      <c r="D1078" s="1" t="str">
        <f ca="1">IFERROR(__xludf.DUMMYFUNCTION("GOOGLETRANSLATE(B1078,""en"",""zh-CN"")"),"\ UF15C.")</f>
        <v>\ UF15C.</v>
      </c>
      <c r="E1078" s="1" t="str">
        <f ca="1">IFERROR(__xludf.DUMMYFUNCTION("GOOGLETRANSLATE(B1078,""en"",""ja"")"),"\ uf15c.")</f>
        <v>\ uf15c.</v>
      </c>
      <c r="F1078" s="1" t="str">
        <f ca="1">IFERROR(__xludf.DUMMYFUNCTION("GOOGLETRANSLATE(B1078,""en"",""fr"")"),"\ uf15c")</f>
        <v>\ uf15c</v>
      </c>
    </row>
    <row r="1079" spans="1:6" ht="15.75" customHeight="1" x14ac:dyDescent="0.25">
      <c r="A1079" s="1" t="s">
        <v>2032</v>
      </c>
      <c r="B1079" s="1" t="s">
        <v>2033</v>
      </c>
      <c r="C1079" s="1" t="str">
        <f ca="1">IFERROR(__xludf.DUMMYFUNCTION("GOOGLETRANSLATE(B1079,""en"",""ar"")")," إيصالات")</f>
        <v xml:space="preserve"> إيصالات</v>
      </c>
      <c r="D1079" s="1" t="str">
        <f ca="1">IFERROR(__xludf.DUMMYFUNCTION("GOOGLETRANSLATE(B1079,""en"",""zh-CN"")")," 收据")</f>
        <v xml:space="preserve"> 收据</v>
      </c>
      <c r="E1079" s="1" t="str">
        <f ca="1">IFERROR(__xludf.DUMMYFUNCTION("GOOGLETRANSLATE(B1079,""en"",""ja"")")," 領収書")</f>
        <v xml:space="preserve"> 領収書</v>
      </c>
      <c r="F1079" s="1" t="str">
        <f ca="1">IFERROR(__xludf.DUMMYFUNCTION("GOOGLETRANSLATE(B1079,""en"",""fr"")")," Reçus")</f>
        <v xml:space="preserve"> Reçus</v>
      </c>
    </row>
    <row r="1080" spans="1:6" ht="15.75" customHeight="1" x14ac:dyDescent="0.25">
      <c r="A1080" s="1" t="s">
        <v>2034</v>
      </c>
      <c r="B1080" s="1" t="s">
        <v>2035</v>
      </c>
      <c r="C1080" s="1" t="str">
        <f ca="1">IFERROR(__xludf.DUMMYFUNCTION("GOOGLETRANSLATE(B1080,""en"",""ar"")"),"الطلب #٪ S")</f>
        <v>الطلب #٪ S</v>
      </c>
      <c r="D1080" s="1" t="str">
        <f ca="1">IFERROR(__xludf.DUMMYFUNCTION("GOOGLETRANSLATE(B1080,""en"",""zh-CN"")"),"命令")</f>
        <v>命令</v>
      </c>
      <c r="E1080" s="1" t="str">
        <f ca="1">IFERROR(__xludf.DUMMYFUNCTION("GOOGLETRANSLATE(B1080,""en"",""ja"")"),"命令")</f>
        <v>命令</v>
      </c>
      <c r="F1080" s="1" t="str">
        <f ca="1">IFERROR(__xludf.DUMMYFUNCTION("GOOGLETRANSLATE(B1080,""en"",""fr"")"),"ORDRES")</f>
        <v>ORDRES</v>
      </c>
    </row>
    <row r="1081" spans="1:6" ht="15.75" customHeight="1" x14ac:dyDescent="0.25">
      <c r="A1081" s="1" t="s">
        <v>2036</v>
      </c>
      <c r="B1081" s="1" t="s">
        <v>545</v>
      </c>
      <c r="C1081" s="1" t="str">
        <f ca="1">IFERROR(__xludf.DUMMYFUNCTION("GOOGLETRANSLATE(B1081,""en"",""ar"")"),"كوت")</f>
        <v>كوت</v>
      </c>
      <c r="D1081" s="1" t="str">
        <f ca="1">IFERROR(__xludf.DUMMYFUNCTION("GOOGLETRANSLATE(B1081,""en"",""zh-CN"")"),"kot.")</f>
        <v>kot.</v>
      </c>
      <c r="E1081" s="1" t="str">
        <f ca="1">IFERROR(__xludf.DUMMYFUNCTION("GOOGLETRANSLATE(B1081,""en"",""ja"")"),"kot.")</f>
        <v>kot.</v>
      </c>
      <c r="F1081" s="1" t="str">
        <f ca="1">IFERROR(__xludf.DUMMYFUNCTION("GOOGLETRANSLATE(B1081,""en"",""fr"")"),"Kot")</f>
        <v>Kot</v>
      </c>
    </row>
    <row r="1082" spans="1:6" ht="15.75" customHeight="1" x14ac:dyDescent="0.25">
      <c r="A1082" s="1" t="s">
        <v>2037</v>
      </c>
      <c r="B1082" s="1" t="s">
        <v>2038</v>
      </c>
      <c r="C1082" s="1" t="str">
        <f ca="1">IFERROR(__xludf.DUMMYFUNCTION("GOOGLETRANSLATE(B1082,""en"",""ar"")"),"معلق")</f>
        <v>معلق</v>
      </c>
      <c r="D1082" s="1" t="str">
        <f ca="1">IFERROR(__xludf.DUMMYFUNCTION("GOOGLETRANSLATE(B1082,""en"",""zh-CN"")"),"抓住")</f>
        <v>抓住</v>
      </c>
      <c r="E1082" s="1" t="str">
        <f ca="1">IFERROR(__xludf.DUMMYFUNCTION("GOOGLETRANSLATE(B1082,""en"",""ja"")"),"所有")</f>
        <v>所有</v>
      </c>
      <c r="F1082" s="1" t="str">
        <f ca="1">IFERROR(__xludf.DUMMYFUNCTION("GOOGLETRANSLATE(B1082,""en"",""fr"")"),"TENIR")</f>
        <v>TENIR</v>
      </c>
    </row>
    <row r="1083" spans="1:6" ht="15.75" customHeight="1" x14ac:dyDescent="0.25">
      <c r="A1083" s="1" t="s">
        <v>2039</v>
      </c>
      <c r="B1083" s="1" t="s">
        <v>2040</v>
      </c>
      <c r="C1083" s="1" t="str">
        <f ca="1">IFERROR(__xludf.DUMMYFUNCTION("GOOGLETRANSLATE(B1083,""en"",""ar"")"),"بيل")</f>
        <v>بيل</v>
      </c>
      <c r="D1083" s="1" t="str">
        <f ca="1">IFERROR(__xludf.DUMMYFUNCTION("GOOGLETRANSLATE(B1083,""en"",""zh-CN"")"),"寄票据")</f>
        <v>寄票据</v>
      </c>
      <c r="E1083" s="1" t="str">
        <f ca="1">IFERROR(__xludf.DUMMYFUNCTION("GOOGLETRANSLATE(B1083,""en"",""ja"")"),"プリルビル")</f>
        <v>プリルビル</v>
      </c>
      <c r="F1083" s="1" t="str">
        <f ca="1">IFERROR(__xludf.DUMMYFUNCTION("GOOGLETRANSLATE(B1083,""en"",""fr"")"),"Pré-facture")</f>
        <v>Pré-facture</v>
      </c>
    </row>
    <row r="1084" spans="1:6" ht="15.75" customHeight="1" x14ac:dyDescent="0.25">
      <c r="A1084" s="1" t="s">
        <v>2041</v>
      </c>
      <c r="B1084" s="1" t="s">
        <v>2042</v>
      </c>
      <c r="C1084" s="1" t="str">
        <f ca="1">IFERROR(__xludf.DUMMYFUNCTION("GOOGLETRANSLATE(B1084,""en"",""ar"")"),"يتقدم")</f>
        <v>يتقدم</v>
      </c>
      <c r="D1084" s="1" t="str">
        <f ca="1">IFERROR(__xludf.DUMMYFUNCTION("GOOGLETRANSLATE(B1084,""en"",""zh-CN"")"),"进步")</f>
        <v>进步</v>
      </c>
      <c r="E1084" s="1" t="str">
        <f ca="1">IFERROR(__xludf.DUMMYFUNCTION("GOOGLETRANSLATE(B1084,""en"",""ja"")"),"前進")</f>
        <v>前進</v>
      </c>
      <c r="F1084" s="1" t="str">
        <f ca="1">IFERROR(__xludf.DUMMYFUNCTION("GOOGLETRANSLATE(B1084,""en"",""fr"")"),"AVANCE")</f>
        <v>AVANCE</v>
      </c>
    </row>
    <row r="1085" spans="1:6" ht="15.75" customHeight="1" x14ac:dyDescent="0.25">
      <c r="A1085" s="1" t="s">
        <v>2043</v>
      </c>
      <c r="B1085" s="1" t="s">
        <v>2044</v>
      </c>
      <c r="C1085" s="1" t="str">
        <f ca="1">IFERROR(__xludf.DUMMYFUNCTION("GOOGLETRANSLATE(B1085,""en"",""ar"")"),"حجز")</f>
        <v>حجز</v>
      </c>
      <c r="D1085" s="1" t="str">
        <f ca="1">IFERROR(__xludf.DUMMYFUNCTION("GOOGLETRANSLATE(B1085,""en"",""zh-CN"")"),"预订")</f>
        <v>预订</v>
      </c>
      <c r="E1085" s="1" t="str">
        <f ca="1">IFERROR(__xludf.DUMMYFUNCTION("GOOGLETRANSLATE(B1085,""en"",""ja"")"),"予約")</f>
        <v>予約</v>
      </c>
      <c r="F1085" s="1" t="str">
        <f ca="1">IFERROR(__xludf.DUMMYFUNCTION("GOOGLETRANSLATE(B1085,""en"",""fr"")"),"RÉSERVATION")</f>
        <v>RÉSERVATION</v>
      </c>
    </row>
    <row r="1086" spans="1:6" ht="15.75" customHeight="1" x14ac:dyDescent="0.25">
      <c r="A1086" s="1" t="s">
        <v>2045</v>
      </c>
      <c r="B1086" s="1" t="s">
        <v>2046</v>
      </c>
      <c r="C1086" s="1" t="str">
        <f ca="1">IFERROR(__xludf.DUMMYFUNCTION("GOOGLETRANSLATE(B1086,""en"",""ar"")"),"تعيينات")</f>
        <v>تعيينات</v>
      </c>
      <c r="D1086" s="1" t="str">
        <f ca="1">IFERROR(__xludf.DUMMYFUNCTION("GOOGLETRANSLATE(B1086,""en"",""zh-CN"")"),"约")</f>
        <v>约</v>
      </c>
      <c r="E1086" s="1" t="str">
        <f ca="1">IFERROR(__xludf.DUMMYFUNCTION("GOOGLETRANSLATE(B1086,""en"",""ja"")"),"予約")</f>
        <v>予約</v>
      </c>
      <c r="F1086" s="1" t="str">
        <f ca="1">IFERROR(__xludf.DUMMYFUNCTION("GOOGLETRANSLATE(B1086,""en"",""fr"")"),"Rendez-vous")</f>
        <v>Rendez-vous</v>
      </c>
    </row>
    <row r="1087" spans="1:6" ht="15.75" customHeight="1" x14ac:dyDescent="0.25">
      <c r="A1087" s="1" t="s">
        <v>2047</v>
      </c>
      <c r="B1087" s="1" t="s">
        <v>2048</v>
      </c>
      <c r="C1087" s="1" t="str">
        <f ca="1">IFERROR(__xludf.DUMMYFUNCTION("GOOGLETRANSLATE(B1087,""en"",""ar"")"),"موعد الكتاب")</f>
        <v>موعد الكتاب</v>
      </c>
      <c r="D1087" s="1" t="str">
        <f ca="1">IFERROR(__xludf.DUMMYFUNCTION("GOOGLETRANSLATE(B1087,""en"",""zh-CN"")"),"预约")</f>
        <v>预约</v>
      </c>
      <c r="E1087" s="1" t="str">
        <f ca="1">IFERROR(__xludf.DUMMYFUNCTION("GOOGLETRANSLATE(B1087,""en"",""ja"")"),"予約予約")</f>
        <v>予約予約</v>
      </c>
      <c r="F1087" s="1" t="str">
        <f ca="1">IFERROR(__xludf.DUMMYFUNCTION("GOOGLETRANSLATE(B1087,""en"",""fr"")"),"Rendez-vous du livre")</f>
        <v>Rendez-vous du livre</v>
      </c>
    </row>
    <row r="1088" spans="1:6" ht="15.75" customHeight="1" x14ac:dyDescent="0.25">
      <c r="A1088" s="1" t="s">
        <v>2049</v>
      </c>
      <c r="B1088" s="1" t="s">
        <v>2050</v>
      </c>
      <c r="C1088" s="1" t="str">
        <f ca="1">IFERROR(__xludf.DUMMYFUNCTION("GOOGLETRANSLATE(B1088,""en"",""ar"")"),"عرض المواعيد")</f>
        <v>عرض المواعيد</v>
      </c>
      <c r="D1088" s="1" t="str">
        <f ca="1">IFERROR(__xludf.DUMMYFUNCTION("GOOGLETRANSLATE(B1088,""en"",""zh-CN"")"),"查看约会")</f>
        <v>查看约会</v>
      </c>
      <c r="E1088" s="1" t="str">
        <f ca="1">IFERROR(__xludf.DUMMYFUNCTION("GOOGLETRANSLATE(B1088,""en"",""ja"")"),"予約を見る")</f>
        <v>予約を見る</v>
      </c>
      <c r="F1088" s="1" t="str">
        <f ca="1">IFERROR(__xludf.DUMMYFUNCTION("GOOGLETRANSLATE(B1088,""en"",""fr"")"),"Voir rendez-vous")</f>
        <v>Voir rendez-vous</v>
      </c>
    </row>
    <row r="1089" spans="1:6" ht="15.75" customHeight="1" x14ac:dyDescent="0.25">
      <c r="A1089" s="1" t="s">
        <v>2051</v>
      </c>
      <c r="B1089" s="1" t="s">
        <v>2052</v>
      </c>
      <c r="C1089" s="1" t="str">
        <f ca="1">IFERROR(__xludf.DUMMYFUNCTION("GOOGLETRANSLATE(B1089,""en"",""ar"")"),"تحديث موعد")</f>
        <v>تحديث موعد</v>
      </c>
      <c r="D1089" s="1" t="str">
        <f ca="1">IFERROR(__xludf.DUMMYFUNCTION("GOOGLETRANSLATE(B1089,""en"",""zh-CN"")"),"更新任命")</f>
        <v>更新任命</v>
      </c>
      <c r="E1089" s="1" t="str">
        <f ca="1">IFERROR(__xludf.DUMMYFUNCTION("GOOGLETRANSLATE(B1089,""en"",""ja"")"),"予約を更新します")</f>
        <v>予約を更新します</v>
      </c>
      <c r="F1089" s="1" t="str">
        <f ca="1">IFERROR(__xludf.DUMMYFUNCTION("GOOGLETRANSLATE(B1089,""en"",""fr"")"),"Mettre à jour le rendez-vous")</f>
        <v>Mettre à jour le rendez-vous</v>
      </c>
    </row>
    <row r="1090" spans="1:6" ht="15.75" customHeight="1" x14ac:dyDescent="0.25">
      <c r="A1090" s="1" t="s">
        <v>2053</v>
      </c>
      <c r="B1090" s="1" t="s">
        <v>2054</v>
      </c>
      <c r="C1090" s="1" t="str">
        <f ca="1">IFERROR(__xludf.DUMMYFUNCTION("GOOGLETRANSLATE(B1090,""en"",""ar"")"),"طلب عدد")</f>
        <v>طلب عدد</v>
      </c>
      <c r="D1090" s="1" t="str">
        <f ca="1">IFERROR(__xludf.DUMMYFUNCTION("GOOGLETRANSLATE(B1090,""en"",""zh-CN"")"),"订单数量")</f>
        <v>订单数量</v>
      </c>
      <c r="E1090" s="1" t="str">
        <f ca="1">IFERROR(__xludf.DUMMYFUNCTION("GOOGLETRANSLATE(B1090,""en"",""ja"")"),"注文カウント")</f>
        <v>注文カウント</v>
      </c>
      <c r="F1090" s="1" t="str">
        <f ca="1">IFERROR(__xludf.DUMMYFUNCTION("GOOGLETRANSLATE(B1090,""en"",""fr"")"),"Décompte de commande")</f>
        <v>Décompte de commande</v>
      </c>
    </row>
    <row r="1091" spans="1:6" ht="15.75" customHeight="1" x14ac:dyDescent="0.25">
      <c r="A1091" s="1" t="s">
        <v>2055</v>
      </c>
      <c r="B1091" s="1" t="s">
        <v>2056</v>
      </c>
      <c r="C1091" s="1" t="str">
        <f ca="1">IFERROR(__xludf.DUMMYFUNCTION("GOOGLETRANSLATE(B1091,""en"",""ar"")"),"التعيين عدد")</f>
        <v>التعيين عدد</v>
      </c>
      <c r="D1091" s="1" t="str">
        <f ca="1">IFERROR(__xludf.DUMMYFUNCTION("GOOGLETRANSLATE(B1091,""en"",""zh-CN"")"),"约会")</f>
        <v>约会</v>
      </c>
      <c r="E1091" s="1" t="str">
        <f ca="1">IFERROR(__xludf.DUMMYFUNCTION("GOOGLETRANSLATE(B1091,""en"",""ja"")"),"予約カウント")</f>
        <v>予約カウント</v>
      </c>
      <c r="F1091" s="1" t="str">
        <f ca="1">IFERROR(__xludf.DUMMYFUNCTION("GOOGLETRANSLATE(B1091,""en"",""fr"")"),"Nombre de rendez-vous")</f>
        <v>Nombre de rendez-vous</v>
      </c>
    </row>
    <row r="1092" spans="1:6" ht="15.75" customHeight="1" x14ac:dyDescent="0.25">
      <c r="A1092" s="1" t="s">
        <v>2057</v>
      </c>
      <c r="B1092" s="1" t="s">
        <v>2058</v>
      </c>
      <c r="C1092" s="1" t="str">
        <f ca="1">IFERROR(__xludf.DUMMYFUNCTION("GOOGLETRANSLATE(B1092,""en"",""ar"")"),"في هذا اليوم")</f>
        <v>في هذا اليوم</v>
      </c>
      <c r="D1092" s="1" t="str">
        <f ca="1">IFERROR(__xludf.DUMMYFUNCTION("GOOGLETRANSLATE(B1092,""en"",""zh-CN"")"),"在这一天")</f>
        <v>在这一天</v>
      </c>
      <c r="E1092" s="1" t="str">
        <f ca="1">IFERROR(__xludf.DUMMYFUNCTION("GOOGLETRANSLATE(B1092,""en"",""ja"")"),"この日に")</f>
        <v>この日に</v>
      </c>
      <c r="F1092" s="1" t="str">
        <f ca="1">IFERROR(__xludf.DUMMYFUNCTION("GOOGLETRANSLATE(B1092,""en"",""fr"")"),"Ce jour-là")</f>
        <v>Ce jour-là</v>
      </c>
    </row>
    <row r="1093" spans="1:6" ht="15.75" customHeight="1" x14ac:dyDescent="0.25">
      <c r="A1093" s="1" t="s">
        <v>2059</v>
      </c>
      <c r="B1093" s="1" t="s">
        <v>2060</v>
      </c>
      <c r="C1093" s="1" t="str">
        <f ca="1">IFERROR(__xludf.DUMMYFUNCTION("GOOGLETRANSLATE(B1093,""en"",""ar"")"),"موعد العملاء")</f>
        <v>موعد العملاء</v>
      </c>
      <c r="D1093" s="1" t="str">
        <f ca="1">IFERROR(__xludf.DUMMYFUNCTION("GOOGLETRANSLATE(B1093,""en"",""zh-CN"")"),"客户约会")</f>
        <v>客户约会</v>
      </c>
      <c r="E1093" s="1" t="str">
        <f ca="1">IFERROR(__xludf.DUMMYFUNCTION("GOOGLETRANSLATE(B1093,""en"",""ja"")"),"顧客の予約")</f>
        <v>顧客の予約</v>
      </c>
      <c r="F1093" s="1" t="str">
        <f ca="1">IFERROR(__xludf.DUMMYFUNCTION("GOOGLETRANSLATE(B1093,""en"",""fr"")"),"Nomination du client")</f>
        <v>Nomination du client</v>
      </c>
    </row>
    <row r="1094" spans="1:6" ht="15.75" customHeight="1" x14ac:dyDescent="0.25">
      <c r="A1094" s="1" t="s">
        <v>2061</v>
      </c>
      <c r="B1094" s="1" t="s">
        <v>2062</v>
      </c>
      <c r="C1094" s="1" t="str">
        <f ca="1">IFERROR(__xludf.DUMMYFUNCTION("GOOGLETRANSLATE(B1094,""en"",""ar"")"),"إيصالات مسبقة")</f>
        <v>إيصالات مسبقة</v>
      </c>
      <c r="D1094" s="1" t="str">
        <f ca="1">IFERROR(__xludf.DUMMYFUNCTION("GOOGLETRANSLATE(B1094,""en"",""zh-CN"")"),"提前收据")</f>
        <v>提前收据</v>
      </c>
      <c r="E1094" s="1" t="str">
        <f ca="1">IFERROR(__xludf.DUMMYFUNCTION("GOOGLETRANSLATE(B1094,""en"",""ja"")"),"事前領収書")</f>
        <v>事前領収書</v>
      </c>
      <c r="F1094" s="1" t="str">
        <f ca="1">IFERROR(__xludf.DUMMYFUNCTION("GOOGLETRANSLATE(B1094,""en"",""fr"")"),"Recettes anticipées")</f>
        <v>Recettes anticipées</v>
      </c>
    </row>
    <row r="1095" spans="1:6" ht="15.75" customHeight="1" x14ac:dyDescent="0.25">
      <c r="A1095" s="1" t="s">
        <v>2063</v>
      </c>
      <c r="B1095" s="1" t="s">
        <v>2064</v>
      </c>
      <c r="C1095" s="1" t="str">
        <f ca="1">IFERROR(__xludf.DUMMYFUNCTION("GOOGLETRANSLATE(B1095,""en"",""ar"")"),"عقد الإيصالات")</f>
        <v>عقد الإيصالات</v>
      </c>
      <c r="D1095" s="1" t="str">
        <f ca="1">IFERROR(__xludf.DUMMYFUNCTION("GOOGLETRANSLATE(B1095,""en"",""zh-CN"")"),"收据")</f>
        <v>收据</v>
      </c>
      <c r="E1095" s="1" t="str">
        <f ca="1">IFERROR(__xludf.DUMMYFUNCTION("GOOGLETRANSLATE(B1095,""en"",""ja"")"),"領収書を保持します")</f>
        <v>領収書を保持します</v>
      </c>
      <c r="F1095" s="1" t="str">
        <f ca="1">IFERROR(__xludf.DUMMYFUNCTION("GOOGLETRANSLATE(B1095,""en"",""fr"")"),"Tenir les reçus")</f>
        <v>Tenir les reçus</v>
      </c>
    </row>
    <row r="1096" spans="1:6" ht="15.75" customHeight="1" x14ac:dyDescent="0.25">
      <c r="A1096" s="1" t="s">
        <v>2065</v>
      </c>
      <c r="B1096" s="1" t="s">
        <v>2066</v>
      </c>
      <c r="C1096" s="1" t="str">
        <f ca="1">IFERROR(__xludf.DUMMYFUNCTION("GOOGLETRANSLATE(B1096,""en"",""ar"")"),"كوت إيصالات")</f>
        <v>كوت إيصالات</v>
      </c>
      <c r="D1096" s="1" t="str">
        <f ca="1">IFERROR(__xludf.DUMMYFUNCTION("GOOGLETRANSLATE(B1096,""en"",""zh-CN"")"),"KOT收据")</f>
        <v>KOT收据</v>
      </c>
      <c r="E1096" s="1" t="str">
        <f ca="1">IFERROR(__xludf.DUMMYFUNCTION("GOOGLETRANSLATE(B1096,""en"",""ja"")"),"コット領収書")</f>
        <v>コット領収書</v>
      </c>
      <c r="F1096" s="1" t="str">
        <f ca="1">IFERROR(__xludf.DUMMYFUNCTION("GOOGLETRANSLATE(B1096,""en"",""fr"")"),"Recettes de kot")</f>
        <v>Recettes de kot</v>
      </c>
    </row>
    <row r="1097" spans="1:6" ht="15.75" customHeight="1" x14ac:dyDescent="0.25">
      <c r="A1097" s="1" t="s">
        <v>2067</v>
      </c>
      <c r="B1097" s="1" t="s">
        <v>2068</v>
      </c>
      <c r="C1097" s="1" t="str">
        <f ca="1">IFERROR(__xludf.DUMMYFUNCTION("GOOGLETRANSLATE(B1097,""en"",""ar"")"),"ميعاد #:")</f>
        <v>ميعاد #:</v>
      </c>
      <c r="D1097" s="1" t="str">
        <f ca="1">IFERROR(__xludf.DUMMYFUNCTION("GOOGLETRANSLATE(B1097,""en"",""zh-CN"")"),"约定 ＃：")</f>
        <v>约定 ＃：</v>
      </c>
      <c r="E1097" s="1" t="str">
        <f ca="1">IFERROR(__xludf.DUMMYFUNCTION("GOOGLETRANSLATE(B1097,""en"",""ja"")"),"予定 ＃：")</f>
        <v>予定 ＃：</v>
      </c>
      <c r="F1097" s="1" t="str">
        <f ca="1">IFERROR(__xludf.DUMMYFUNCTION("GOOGLETRANSLATE(B1097,""en"",""fr"")"),"Rendez-vous #:")</f>
        <v>Rendez-vous #:</v>
      </c>
    </row>
    <row r="1098" spans="1:6" ht="15.75" customHeight="1" x14ac:dyDescent="0.25">
      <c r="A1098" s="1" t="s">
        <v>2069</v>
      </c>
      <c r="B1098" s="1" t="s">
        <v>2070</v>
      </c>
      <c r="C1098" s="1" t="str">
        <f ca="1">IFERROR(__xludf.DUMMYFUNCTION("GOOGLETRANSLATE(B1098,""en"",""ar"")"),"طلب #:")</f>
        <v>طلب #:</v>
      </c>
      <c r="D1098" s="1" t="str">
        <f ca="1">IFERROR(__xludf.DUMMYFUNCTION("GOOGLETRANSLATE(B1098,""en"",""zh-CN"")"),"命令 ＃：")</f>
        <v>命令 ＃：</v>
      </c>
      <c r="E1098" s="1" t="str">
        <f ca="1">IFERROR(__xludf.DUMMYFUNCTION("GOOGLETRANSLATE(B1098,""en"",""ja"")"),"注文 ＃：")</f>
        <v>注文 ＃：</v>
      </c>
      <c r="F1098" s="1" t="str">
        <f ca="1">IFERROR(__xludf.DUMMYFUNCTION("GOOGLETRANSLATE(B1098,""en"",""fr"")"),"Commander #:")</f>
        <v>Commander #:</v>
      </c>
    </row>
    <row r="1099" spans="1:6" ht="15.75" customHeight="1" x14ac:dyDescent="0.25">
      <c r="A1099" s="1" t="s">
        <v>2071</v>
      </c>
      <c r="B1099" s="1" t="s">
        <v>2072</v>
      </c>
      <c r="C1099" s="1" t="str">
        <f ca="1">IFERROR(__xludf.DUMMYFUNCTION("GOOGLETRANSLATE(B1099,""en"",""ar"")"),"موعد لا")</f>
        <v>موعد لا</v>
      </c>
      <c r="D1099" s="1" t="str">
        <f ca="1">IFERROR(__xludf.DUMMYFUNCTION("GOOGLETRANSLATE(B1099,""en"",""zh-CN"")"),"任命没有")</f>
        <v>任命没有</v>
      </c>
      <c r="E1099" s="1" t="str">
        <f ca="1">IFERROR(__xludf.DUMMYFUNCTION("GOOGLETRANSLATE(B1099,""en"",""ja"")"),"任命ノー")</f>
        <v>任命ノー</v>
      </c>
      <c r="F1099" s="1" t="str">
        <f ca="1">IFERROR(__xludf.DUMMYFUNCTION("GOOGLETRANSLATE(B1099,""en"",""fr"")"),"Nomination non")</f>
        <v>Nomination non</v>
      </c>
    </row>
    <row r="1100" spans="1:6" ht="15.75" customHeight="1" x14ac:dyDescent="0.25">
      <c r="A1100" s="1" t="s">
        <v>2073</v>
      </c>
      <c r="B1100" s="1" t="s">
        <v>2074</v>
      </c>
      <c r="C1100" s="1" t="str">
        <f ca="1">IFERROR(__xludf.DUMMYFUNCTION("GOOGLETRANSLATE(B1100,""en"",""ar"")"),"لا توجد مواعيد")</f>
        <v>لا توجد مواعيد</v>
      </c>
      <c r="D1100" s="1" t="str">
        <f ca="1">IFERROR(__xludf.DUMMYFUNCTION("GOOGLETRANSLATE(B1100,""en"",""zh-CN"")"),"没有约会")</f>
        <v>没有约会</v>
      </c>
      <c r="E1100" s="1" t="str">
        <f ca="1">IFERROR(__xludf.DUMMYFUNCTION("GOOGLETRANSLATE(B1100,""en"",""ja"")"),"予約なし")</f>
        <v>予約なし</v>
      </c>
      <c r="F1100" s="1" t="str">
        <f ca="1">IFERROR(__xludf.DUMMYFUNCTION("GOOGLETRANSLATE(B1100,""en"",""fr"")"),"Pas de rendez-vous")</f>
        <v>Pas de rendez-vous</v>
      </c>
    </row>
    <row r="1101" spans="1:6" ht="15.75" customHeight="1" x14ac:dyDescent="0.25">
      <c r="A1101" s="1" t="s">
        <v>2075</v>
      </c>
      <c r="B1101" s="1" t="s">
        <v>2076</v>
      </c>
      <c r="C1101" s="1" t="str">
        <f ca="1">IFERROR(__xludf.DUMMYFUNCTION("GOOGLETRANSLATE(B1101,""en"",""ar"")"),"لم يتم العثور على أوامر معلقة!")</f>
        <v>لم يتم العثور على أوامر معلقة!</v>
      </c>
      <c r="D1101" s="1" t="str">
        <f ca="1">IFERROR(__xludf.DUMMYFUNCTION("GOOGLETRANSLATE(B1101,""en"",""zh-CN"")"),"没有找到待定订单！")</f>
        <v>没有找到待定订单！</v>
      </c>
      <c r="E1101" s="1" t="str">
        <f ca="1">IFERROR(__xludf.DUMMYFUNCTION("GOOGLETRANSLATE(B1101,""en"",""ja"")"),"保留中の注文は見つかりませんでした。")</f>
        <v>保留中の注文は見つかりませんでした。</v>
      </c>
      <c r="F1101" s="1" t="str">
        <f ca="1">IFERROR(__xludf.DUMMYFUNCTION("GOOGLETRANSLATE(B1101,""en"",""fr"")"),"Pas de commandes en attente trouvées!")</f>
        <v>Pas de commandes en attente trouvées!</v>
      </c>
    </row>
    <row r="1102" spans="1:6" ht="15.75" customHeight="1" x14ac:dyDescent="0.25">
      <c r="A1102" s="1" t="s">
        <v>2077</v>
      </c>
      <c r="B1102" s="1" t="s">
        <v>2078</v>
      </c>
      <c r="C1102" s="1" t="str">
        <f ca="1">IFERROR(__xludf.DUMMYFUNCTION("GOOGLETRANSLATE(B1102,""en"",""ar"")"),"يرجى استخدام بوابة الويب لإنشاء شاشة العملاء")</f>
        <v>يرجى استخدام بوابة الويب لإنشاء شاشة العملاء</v>
      </c>
      <c r="D1102" s="1" t="str">
        <f ca="1">IFERROR(__xludf.DUMMYFUNCTION("GOOGLETRANSLATE(B1102,""en"",""zh-CN"")"),"请使用Web Portal创建客户显示")</f>
        <v>请使用Web Portal创建客户显示</v>
      </c>
      <c r="E1102" s="1" t="str">
        <f ca="1">IFERROR(__xludf.DUMMYFUNCTION("GOOGLETRANSLATE(B1102,""en"",""ja"")"),"Web Portalを使用してカスタマーディスプレイを作成してください")</f>
        <v>Web Portalを使用してカスタマーディスプレイを作成してください</v>
      </c>
      <c r="F1102" s="1" t="str">
        <f ca="1">IFERROR(__xludf.DUMMYFUNCTION("GOOGLETRANSLATE(B1102,""en"",""fr"")"),"Veuillez utiliser le portail Web pour créer un affichage client.")</f>
        <v>Veuillez utiliser le portail Web pour créer un affichage client.</v>
      </c>
    </row>
    <row r="1103" spans="1:6" ht="15.75" customHeight="1" x14ac:dyDescent="0.25">
      <c r="A1103" s="1" t="s">
        <v>2079</v>
      </c>
      <c r="B1103" s="1" t="s">
        <v>2080</v>
      </c>
      <c r="C1103" s="1" t="str">
        <f ca="1">IFERROR(__xludf.DUMMYFUNCTION("GOOGLETRANSLATE(B1103,""en"",""ar"")"),"الموظف المخصص:")</f>
        <v>الموظف المخصص:</v>
      </c>
      <c r="D1103" s="1" t="str">
        <f ca="1">IFERROR(__xludf.DUMMYFUNCTION("GOOGLETRANSLATE(B1103,""en"",""zh-CN"")"),"分配员工：")</f>
        <v>分配员工：</v>
      </c>
      <c r="E1103" s="1" t="str">
        <f ca="1">IFERROR(__xludf.DUMMYFUNCTION("GOOGLETRANSLATE(B1103,""en"",""ja"")"),"割り当てられた従業員：")</f>
        <v>割り当てられた従業員：</v>
      </c>
      <c r="F1103" s="1" t="str">
        <f ca="1">IFERROR(__xludf.DUMMYFUNCTION("GOOGLETRANSLATE(B1103,""en"",""fr"")"),"Employé assigné:")</f>
        <v>Employé assigné:</v>
      </c>
    </row>
    <row r="1104" spans="1:6" ht="15.75" customHeight="1" x14ac:dyDescent="0.25">
      <c r="A1104" s="1" t="s">
        <v>2081</v>
      </c>
      <c r="B1104" s="1" t="s">
        <v>2082</v>
      </c>
      <c r="C1104" s="1" t="str">
        <f ca="1">IFERROR(__xludf.DUMMYFUNCTION("GOOGLETRANSLATE(B1104,""en"",""ar"")"),"حدد وقت البدء")</f>
        <v>حدد وقت البدء</v>
      </c>
      <c r="D1104" s="1" t="str">
        <f ca="1">IFERROR(__xludf.DUMMYFUNCTION("GOOGLETRANSLATE(B1104,""en"",""zh-CN"")"),"选择开始时间")</f>
        <v>选择开始时间</v>
      </c>
      <c r="E1104" s="1" t="str">
        <f ca="1">IFERROR(__xludf.DUMMYFUNCTION("GOOGLETRANSLATE(B1104,""en"",""ja"")"),"開始時刻を選択してください")</f>
        <v>開始時刻を選択してください</v>
      </c>
      <c r="F1104" s="1" t="str">
        <f ca="1">IFERROR(__xludf.DUMMYFUNCTION("GOOGLETRANSLATE(B1104,""en"",""fr"")"),"Sélectionner l'heure de début")</f>
        <v>Sélectionner l'heure de début</v>
      </c>
    </row>
    <row r="1105" spans="1:6" ht="15.75" customHeight="1" x14ac:dyDescent="0.25">
      <c r="A1105" s="1" t="s">
        <v>2083</v>
      </c>
      <c r="B1105" s="1" t="s">
        <v>2084</v>
      </c>
      <c r="C1105" s="1" t="str">
        <f ca="1">IFERROR(__xludf.DUMMYFUNCTION("GOOGLETRANSLATE(B1105,""en"",""ar"")"),"حدد مدة (DD: HH)")</f>
        <v>حدد مدة (DD: HH)</v>
      </c>
      <c r="D1105" s="1" t="str">
        <f ca="1">IFERROR(__xludf.DUMMYFUNCTION("GOOGLETRANSLATE(B1105,""en"",""zh-CN"")"),"选择持续时间（DD：HH）")</f>
        <v>选择持续时间（DD：HH）</v>
      </c>
      <c r="E1105" s="1" t="str">
        <f ca="1">IFERROR(__xludf.DUMMYFUNCTION("GOOGLETRANSLATE(B1105,""en"",""ja"")"),"期間を選択してください（DD：HH）")</f>
        <v>期間を選択してください（DD：HH）</v>
      </c>
      <c r="F1105" s="1" t="str">
        <f ca="1">IFERROR(__xludf.DUMMYFUNCTION("GOOGLETRANSLATE(B1105,""en"",""fr"")"),"Sélectionner la durée (DD: HH)")</f>
        <v>Sélectionner la durée (DD: HH)</v>
      </c>
    </row>
    <row r="1106" spans="1:6" ht="15.75" customHeight="1" x14ac:dyDescent="0.25">
      <c r="A1106" s="1" t="s">
        <v>2085</v>
      </c>
      <c r="B1106" s="1" t="s">
        <v>2086</v>
      </c>
      <c r="C1106" s="1" t="str">
        <f ca="1">IFERROR(__xludf.DUMMYFUNCTION("GOOGLETRANSLATE(B1106,""en"",""ar"")"),"هل ترغب في إنشاء هذا الموعد؟")</f>
        <v>هل ترغب في إنشاء هذا الموعد؟</v>
      </c>
      <c r="D1106" s="1" t="str">
        <f ca="1">IFERROR(__xludf.DUMMYFUNCTION("GOOGLETRANSLATE(B1106,""en"",""zh-CN"")"),"你想创造这个约会吗？")</f>
        <v>你想创造这个约会吗？</v>
      </c>
      <c r="E1106" s="1" t="str">
        <f ca="1">IFERROR(__xludf.DUMMYFUNCTION("GOOGLETRANSLATE(B1106,""en"",""ja"")"),"この予定を作成しますか？")</f>
        <v>この予定を作成しますか？</v>
      </c>
      <c r="F1106" s="1" t="str">
        <f ca="1">IFERROR(__xludf.DUMMYFUNCTION("GOOGLETRANSLATE(B1106,""en"",""fr"")"),"Voulez-vous créer ce rendez-vous?")</f>
        <v>Voulez-vous créer ce rendez-vous?</v>
      </c>
    </row>
    <row r="1107" spans="1:6" ht="15.75" customHeight="1" x14ac:dyDescent="0.25">
      <c r="A1107" s="1" t="s">
        <v>2087</v>
      </c>
      <c r="B1107" s="1" t="s">
        <v>2088</v>
      </c>
      <c r="C1107" s="1" t="str">
        <f ca="1">IFERROR(__xludf.DUMMYFUNCTION("GOOGLETRANSLATE(B1107,""en"",""ar"")"),"هل أنت متأكد من أنك تريد إنشاء هذا الحجز؟")</f>
        <v>هل أنت متأكد من أنك تريد إنشاء هذا الحجز؟</v>
      </c>
      <c r="D1107" s="1" t="str">
        <f ca="1">IFERROR(__xludf.DUMMYFUNCTION("GOOGLETRANSLATE(B1107,""en"",""zh-CN"")"),"你肯定想创建这个预约吗？")</f>
        <v>你肯定想创建这个预约吗？</v>
      </c>
      <c r="E1107" s="1" t="str">
        <f ca="1">IFERROR(__xludf.DUMMYFUNCTION("GOOGLETRANSLATE(B1107,""en"",""ja"")"),"あなたは確かにこの予約を作成したいですか？")</f>
        <v>あなたは確かにこの予約を作成したいですか？</v>
      </c>
      <c r="F1107" s="1" t="str">
        <f ca="1">IFERROR(__xludf.DUMMYFUNCTION("GOOGLETRANSLATE(B1107,""en"",""fr"")"),"Êtes-vous sûr que vous voulez créer cette réservation?")</f>
        <v>Êtes-vous sûr que vous voulez créer cette réservation?</v>
      </c>
    </row>
    <row r="1108" spans="1:6" ht="15.75" customHeight="1" x14ac:dyDescent="0.25">
      <c r="A1108" s="1" t="s">
        <v>2089</v>
      </c>
      <c r="B1108" s="1" t="s">
        <v>2090</v>
      </c>
      <c r="C1108" s="1" t="str">
        <f ca="1">IFERROR(__xludf.DUMMYFUNCTION("GOOGLETRANSLATE(B1108,""en"",""ar"")"),"يضيف")</f>
        <v>يضيف</v>
      </c>
      <c r="D1108" s="1" t="str">
        <f ca="1">IFERROR(__xludf.DUMMYFUNCTION("GOOGLETRANSLATE(B1108,""en"",""zh-CN"")"),"添加")</f>
        <v>添加</v>
      </c>
      <c r="E1108" s="1" t="str">
        <f ca="1">IFERROR(__xludf.DUMMYFUNCTION("GOOGLETRANSLATE(B1108,""en"",""ja"")"),"追加")</f>
        <v>追加</v>
      </c>
      <c r="F1108" s="1" t="str">
        <f ca="1">IFERROR(__xludf.DUMMYFUNCTION("GOOGLETRANSLATE(B1108,""en"",""fr"")"),"AJOUTER")</f>
        <v>AJOUTER</v>
      </c>
    </row>
    <row r="1109" spans="1:6" ht="15.75" customHeight="1" x14ac:dyDescent="0.25">
      <c r="A1109" s="1" t="s">
        <v>2091</v>
      </c>
      <c r="B1109" s="1" t="s">
        <v>2092</v>
      </c>
      <c r="C1109" s="1" t="str">
        <f ca="1">IFERROR(__xludf.DUMMYFUNCTION("GOOGLETRANSLATE(B1109,""en"",""ar"")"),"مبلغ مستحق")</f>
        <v>مبلغ مستحق</v>
      </c>
      <c r="D1109" s="1" t="str">
        <f ca="1">IFERROR(__xludf.DUMMYFUNCTION("GOOGLETRANSLATE(B1109,""en"",""zh-CN"")"),"到期金额")</f>
        <v>到期金额</v>
      </c>
      <c r="E1109" s="1" t="str">
        <f ca="1">IFERROR(__xludf.DUMMYFUNCTION("GOOGLETRANSLATE(B1109,""en"",""ja"")"),"期限")</f>
        <v>期限</v>
      </c>
      <c r="F1109" s="1" t="str">
        <f ca="1">IFERROR(__xludf.DUMMYFUNCTION("GOOGLETRANSLATE(B1109,""en"",""fr"")"),"Montant dû")</f>
        <v>Montant dû</v>
      </c>
    </row>
    <row r="1110" spans="1:6" ht="15.75" customHeight="1" x14ac:dyDescent="0.25">
      <c r="A1110" s="1" t="s">
        <v>2093</v>
      </c>
      <c r="B1110" s="1" t="s">
        <v>2094</v>
      </c>
      <c r="C1110" s="1" t="str">
        <f ca="1">IFERROR(__xludf.DUMMYFUNCTION("GOOGLETRANSLATE(B1110,""en"",""ar"")"),"الرصيد الافتتاحي")</f>
        <v>الرصيد الافتتاحي</v>
      </c>
      <c r="D1110" s="1" t="str">
        <f ca="1">IFERROR(__xludf.DUMMYFUNCTION("GOOGLETRANSLATE(B1110,""en"",""zh-CN"")"),"期初余额")</f>
        <v>期初余额</v>
      </c>
      <c r="E1110" s="1" t="str">
        <f ca="1">IFERROR(__xludf.DUMMYFUNCTION("GOOGLETRANSLATE(B1110,""en"",""ja"")"),"オープンバランス")</f>
        <v>オープンバランス</v>
      </c>
      <c r="F1110" s="1" t="str">
        <f ca="1">IFERROR(__xludf.DUMMYFUNCTION("GOOGLETRANSLATE(B1110,""en"",""fr"")"),"Solde d'ouverture")</f>
        <v>Solde d'ouverture</v>
      </c>
    </row>
    <row r="1111" spans="1:6" ht="15.75" customHeight="1" x14ac:dyDescent="0.25">
      <c r="A1111" s="1" t="s">
        <v>2095</v>
      </c>
      <c r="B1111" s="1" t="s">
        <v>2096</v>
      </c>
      <c r="C1111" s="1" t="str">
        <f ca="1">IFERROR(__xludf.DUMMYFUNCTION("GOOGLETRANSLATE(B1111,""en"",""ar"")"),"التحول المفتوح")</f>
        <v>التحول المفتوح</v>
      </c>
      <c r="D1111" s="1" t="str">
        <f ca="1">IFERROR(__xludf.DUMMYFUNCTION("GOOGLETRANSLATE(B1111,""en"",""zh-CN"")"),"开放班")</f>
        <v>开放班</v>
      </c>
      <c r="E1111" s="1" t="str">
        <f ca="1">IFERROR(__xludf.DUMMYFUNCTION("GOOGLETRANSLATE(B1111,""en"",""ja"")"),"オープンシフト")</f>
        <v>オープンシフト</v>
      </c>
      <c r="F1111" s="1" t="str">
        <f ca="1">IFERROR(__xludf.DUMMYFUNCTION("GOOGLETRANSLATE(B1111,""en"",""fr"")"),"Décalage ouvert")</f>
        <v>Décalage ouvert</v>
      </c>
    </row>
    <row r="1112" spans="1:6" ht="15.75" customHeight="1" x14ac:dyDescent="0.25">
      <c r="A1112" s="1" t="s">
        <v>2097</v>
      </c>
      <c r="B1112" s="1" t="s">
        <v>2098</v>
      </c>
      <c r="C1112" s="1" t="str">
        <f ca="1">IFERROR(__xludf.DUMMYFUNCTION("GOOGLETRANSLATE(B1112,""en"",""ar"")"),"الرجاء إدخال رصيد الافتتاح هنا")</f>
        <v>الرجاء إدخال رصيد الافتتاح هنا</v>
      </c>
      <c r="D1112" s="1" t="str">
        <f ca="1">IFERROR(__xludf.DUMMYFUNCTION("GOOGLETRANSLATE(B1112,""en"",""zh-CN"")"),"请在此处输入开放余额")</f>
        <v>请在此处输入开放余额</v>
      </c>
      <c r="E1112" s="1" t="str">
        <f ca="1">IFERROR(__xludf.DUMMYFUNCTION("GOOGLETRANSLATE(B1112,""en"",""ja"")"),"ここに開封残高を入力してください")</f>
        <v>ここに開封残高を入力してください</v>
      </c>
      <c r="F1112" s="1" t="str">
        <f ca="1">IFERROR(__xludf.DUMMYFUNCTION("GOOGLETRANSLATE(B1112,""en"",""fr"")"),"S'il vous plaît entrer le solde d'ouverture ici")</f>
        <v>S'il vous plaît entrer le solde d'ouverture ici</v>
      </c>
    </row>
    <row r="1113" spans="1:6" ht="15.75" customHeight="1" x14ac:dyDescent="0.25">
      <c r="A1113" s="1" t="s">
        <v>2099</v>
      </c>
      <c r="B1113" s="1" t="s">
        <v>2100</v>
      </c>
      <c r="C1113" s="1" t="str">
        <f ca="1">IFERROR(__xludf.DUMMYFUNCTION("GOOGLETRANSLATE(B1113,""en"",""ar"")"),"أدخل مفتاح فتح المبلغ")</f>
        <v>أدخل مفتاح فتح المبلغ</v>
      </c>
      <c r="D1113" s="1" t="str">
        <f ca="1">IFERROR(__xludf.DUMMYFUNCTION("GOOGLETRANSLATE(B1113,""en"",""zh-CN"")"),"输入移位开放金额")</f>
        <v>输入移位开放金额</v>
      </c>
      <c r="E1113" s="1" t="str">
        <f ca="1">IFERROR(__xludf.DUMMYFUNCTION("GOOGLETRANSLATE(B1113,""en"",""ja"")"),"シフト開始量を入力してください")</f>
        <v>シフト開始量を入力してください</v>
      </c>
      <c r="F1113" s="1" t="str">
        <f ca="1">IFERROR(__xludf.DUMMYFUNCTION("GOOGLETRANSLATE(B1113,""en"",""fr"")"),"Entrez le montant de l'ouverture de décalage")</f>
        <v>Entrez le montant de l'ouverture de décalage</v>
      </c>
    </row>
    <row r="1114" spans="1:6" ht="15.75" customHeight="1" x14ac:dyDescent="0.25">
      <c r="A1114" s="1" t="s">
        <v>2101</v>
      </c>
      <c r="B1114" s="1" t="s">
        <v>236</v>
      </c>
      <c r="C1114" s="1" t="str">
        <f ca="1">IFERROR(__xludf.DUMMYFUNCTION("GOOGLETRANSLATE(B1114,""en"",""ar"")"),"مقدار")</f>
        <v>مقدار</v>
      </c>
      <c r="D1114" s="1" t="str">
        <f ca="1">IFERROR(__xludf.DUMMYFUNCTION("GOOGLETRANSLATE(B1114,""en"",""zh-CN"")"),"数量")</f>
        <v>数量</v>
      </c>
      <c r="E1114" s="1" t="str">
        <f ca="1">IFERROR(__xludf.DUMMYFUNCTION("GOOGLETRANSLATE(B1114,""en"",""ja"")"),"額")</f>
        <v>額</v>
      </c>
      <c r="F1114" s="1" t="str">
        <f ca="1">IFERROR(__xludf.DUMMYFUNCTION("GOOGLETRANSLATE(B1114,""en"",""fr"")"),"Quantité")</f>
        <v>Quantité</v>
      </c>
    </row>
    <row r="1115" spans="1:6" ht="15.75" customHeight="1" x14ac:dyDescent="0.25">
      <c r="A1115" s="1" t="s">
        <v>2102</v>
      </c>
      <c r="B1115" s="1" t="s">
        <v>2103</v>
      </c>
      <c r="C1115" s="1" t="str">
        <f ca="1">IFERROR(__xludf.DUMMYFUNCTION("GOOGLETRANSLATE(B1115,""en"",""ar"")"),"التحول المفتوح")</f>
        <v>التحول المفتوح</v>
      </c>
      <c r="D1115" s="1" t="str">
        <f ca="1">IFERROR(__xludf.DUMMYFUNCTION("GOOGLETRANSLATE(B1115,""en"",""zh-CN"")"),"开放班")</f>
        <v>开放班</v>
      </c>
      <c r="E1115" s="1" t="str">
        <f ca="1">IFERROR(__xludf.DUMMYFUNCTION("GOOGLETRANSLATE(B1115,""en"",""ja"")"),"オープンシフト")</f>
        <v>オープンシフト</v>
      </c>
      <c r="F1115" s="1" t="str">
        <f ca="1">IFERROR(__xludf.DUMMYFUNCTION("GOOGLETRANSLATE(B1115,""en"",""fr"")"),"Décalage ouvert")</f>
        <v>Décalage ouvert</v>
      </c>
    </row>
    <row r="1116" spans="1:6" ht="15.75" customHeight="1" x14ac:dyDescent="0.25">
      <c r="A1116" s="1" t="s">
        <v>2104</v>
      </c>
      <c r="B1116" s="1" t="s">
        <v>2105</v>
      </c>
      <c r="C1116" s="1" t="str">
        <f ca="1">IFERROR(__xludf.DUMMYFUNCTION("GOOGLETRANSLATE(B1116,""en"",""ar"")"),"المعدل")</f>
        <v>المعدل</v>
      </c>
      <c r="D1116" s="1" t="str">
        <f ca="1">IFERROR(__xludf.DUMMYFUNCTION("GOOGLETRANSLATE(B1116,""en"",""zh-CN"")"),"改性剂")</f>
        <v>改性剂</v>
      </c>
      <c r="E1116" s="1" t="str">
        <f ca="1">IFERROR(__xludf.DUMMYFUNCTION("GOOGLETRANSLATE(B1116,""en"",""ja"")"),"修飾子")</f>
        <v>修飾子</v>
      </c>
      <c r="F1116" s="1" t="str">
        <f ca="1">IFERROR(__xludf.DUMMYFUNCTION("GOOGLETRANSLATE(B1116,""en"",""fr"")"),"Modificateur")</f>
        <v>Modificateur</v>
      </c>
    </row>
    <row r="1117" spans="1:6" ht="15.75" customHeight="1" x14ac:dyDescent="0.25">
      <c r="A1117" s="1" t="s">
        <v>2106</v>
      </c>
      <c r="B1117" s="1" t="s">
        <v>2107</v>
      </c>
      <c r="C1117" s="1" t="str">
        <f ca="1">IFERROR(__xludf.DUMMYFUNCTION("GOOGLETRANSLATE(B1117,""en"",""ar"")"),"أدخل كمية المعدل")</f>
        <v>أدخل كمية المعدل</v>
      </c>
      <c r="D1117" s="1" t="str">
        <f ca="1">IFERROR(__xludf.DUMMYFUNCTION("GOOGLETRANSLATE(B1117,""en"",""zh-CN"")"),"输入修改器数量")</f>
        <v>输入修改器数量</v>
      </c>
      <c r="E1117" s="1" t="str">
        <f ca="1">IFERROR(__xludf.DUMMYFUNCTION("GOOGLETRANSLATE(B1117,""en"",""ja"")"),"修飾数を入力してください")</f>
        <v>修飾数を入力してください</v>
      </c>
      <c r="F1117" s="1" t="str">
        <f ca="1">IFERROR(__xludf.DUMMYFUNCTION("GOOGLETRANSLATE(B1117,""en"",""fr"")"),"Entrer la quantité de modificateur")</f>
        <v>Entrer la quantité de modificateur</v>
      </c>
    </row>
    <row r="1118" spans="1:6" ht="15.75" customHeight="1" x14ac:dyDescent="0.25">
      <c r="A1118" s="1" t="s">
        <v>2108</v>
      </c>
      <c r="B1118" s="1" t="s">
        <v>2109</v>
      </c>
      <c r="C1118" s="1" t="str">
        <f ca="1">IFERROR(__xludf.DUMMYFUNCTION("GOOGLETRANSLATE(B1118,""en"",""ar"")"),"الضريبة والرسوم")</f>
        <v>الضريبة والرسوم</v>
      </c>
      <c r="D1118" s="1" t="str">
        <f ca="1">IFERROR(__xludf.DUMMYFUNCTION("GOOGLETRANSLATE(B1118,""en"",""zh-CN"")"),"税收和收费")</f>
        <v>税收和收费</v>
      </c>
      <c r="E1118" s="1" t="str">
        <f ca="1">IFERROR(__xludf.DUMMYFUNCTION("GOOGLETRANSLATE(B1118,""en"",""ja"")"),"税金と費用")</f>
        <v>税金と費用</v>
      </c>
      <c r="F1118" s="1" t="str">
        <f ca="1">IFERROR(__xludf.DUMMYFUNCTION("GOOGLETRANSLATE(B1118,""en"",""fr"")"),"Taxe et charges")</f>
        <v>Taxe et charges</v>
      </c>
    </row>
    <row r="1119" spans="1:6" ht="15.75" customHeight="1" x14ac:dyDescent="0.25">
      <c r="A1119" s="1" t="s">
        <v>2110</v>
      </c>
      <c r="B1119" s="1" t="s">
        <v>2111</v>
      </c>
      <c r="C1119" s="1" t="str">
        <f ca="1">IFERROR(__xludf.DUMMYFUNCTION("GOOGLETRANSLATE(B1119,""en"",""ar"")"),"حقل فارغ")</f>
        <v>حقل فارغ</v>
      </c>
      <c r="D1119" s="1" t="str">
        <f ca="1">IFERROR(__xludf.DUMMYFUNCTION("GOOGLETRANSLATE(B1119,""en"",""zh-CN"")"),"空的领域")</f>
        <v>空的领域</v>
      </c>
      <c r="E1119" s="1" t="str">
        <f ca="1">IFERROR(__xludf.DUMMYFUNCTION("GOOGLETRANSLATE(B1119,""en"",""ja"")"),"空のフィールド")</f>
        <v>空のフィールド</v>
      </c>
      <c r="F1119" s="1" t="str">
        <f ca="1">IFERROR(__xludf.DUMMYFUNCTION("GOOGLETRANSLATE(B1119,""en"",""fr"")"),"Champ vide")</f>
        <v>Champ vide</v>
      </c>
    </row>
    <row r="1120" spans="1:6" ht="15.75" customHeight="1" x14ac:dyDescent="0.25">
      <c r="A1120" s="1" t="s">
        <v>2112</v>
      </c>
      <c r="B1120" s="1" t="s">
        <v>2113</v>
      </c>
      <c r="C1120" s="1" t="str">
        <f ca="1">IFERROR(__xludf.DUMMYFUNCTION("GOOGLETRANSLATE(B1120,""en"",""ar"")"),"إضافة شخص الالتقاط")</f>
        <v>إضافة شخص الالتقاط</v>
      </c>
      <c r="D1120" s="1" t="str">
        <f ca="1">IFERROR(__xludf.DUMMYFUNCTION("GOOGLETRANSLATE(B1120,""en"",""zh-CN"")"),"添加皮卡人")</f>
        <v>添加皮卡人</v>
      </c>
      <c r="E1120" s="1" t="str">
        <f ca="1">IFERROR(__xludf.DUMMYFUNCTION("GOOGLETRANSLATE(B1120,""en"",""ja"")"),"ピックアップ人を追加する")</f>
        <v>ピックアップ人を追加する</v>
      </c>
      <c r="F1120" s="1" t="str">
        <f ca="1">IFERROR(__xludf.DUMMYFUNCTION("GOOGLETRANSLATE(B1120,""en"",""fr"")"),"Ajouter une personne de ramassage")</f>
        <v>Ajouter une personne de ramassage</v>
      </c>
    </row>
    <row r="1121" spans="1:6" ht="15.75" customHeight="1" x14ac:dyDescent="0.25">
      <c r="A1121" s="1" t="s">
        <v>2114</v>
      </c>
      <c r="B1121" s="1" t="s">
        <v>2115</v>
      </c>
      <c r="C1121" s="1" t="str">
        <f ca="1">IFERROR(__xludf.DUMMYFUNCTION("GOOGLETRANSLATE(B1121,""en"",""ar"")"),"NIC Number.")</f>
        <v>NIC Number.</v>
      </c>
      <c r="D1121" s="1" t="str">
        <f ca="1">IFERROR(__xludf.DUMMYFUNCTION("GOOGLETRANSLATE(B1121,""en"",""zh-CN"")"),"NIC号码")</f>
        <v>NIC号码</v>
      </c>
      <c r="E1121" s="1" t="str">
        <f ca="1">IFERROR(__xludf.DUMMYFUNCTION("GOOGLETRANSLATE(B1121,""en"",""ja"")"),"NIC番号")</f>
        <v>NIC番号</v>
      </c>
      <c r="F1121" s="1" t="str">
        <f ca="1">IFERROR(__xludf.DUMMYFUNCTION("GOOGLETRANSLATE(B1121,""en"",""fr"")"),"Numéro de Nic")</f>
        <v>Numéro de Nic</v>
      </c>
    </row>
    <row r="1122" spans="1:6" ht="15.75" customHeight="1" x14ac:dyDescent="0.25">
      <c r="A1122" s="1" t="s">
        <v>2116</v>
      </c>
      <c r="B1122" s="1" t="s">
        <v>2117</v>
      </c>
      <c r="C1122" s="1" t="str">
        <f ca="1">IFERROR(__xludf.DUMMYFUNCTION("GOOGLETRANSLATE(B1122,""en"",""ar"")"),"إضافة تفاصيل الالتقاط")</f>
        <v>إضافة تفاصيل الالتقاط</v>
      </c>
      <c r="D1122" s="1" t="str">
        <f ca="1">IFERROR(__xludf.DUMMYFUNCTION("GOOGLETRANSLATE(B1122,""en"",""zh-CN"")"),"添加提货详细信息")</f>
        <v>添加提货详细信息</v>
      </c>
      <c r="E1122" s="1" t="str">
        <f ca="1">IFERROR(__xludf.DUMMYFUNCTION("GOOGLETRANSLATE(B1122,""en"",""ja"")"),"ピックアップの詳細を追加してください")</f>
        <v>ピックアップの詳細を追加してください</v>
      </c>
      <c r="F1122" s="1" t="str">
        <f ca="1">IFERROR(__xludf.DUMMYFUNCTION("GOOGLETRANSLATE(B1122,""en"",""fr"")"),"Ajouter des détails de ramassage")</f>
        <v>Ajouter des détails de ramassage</v>
      </c>
    </row>
    <row r="1123" spans="1:6" ht="15.75" customHeight="1" x14ac:dyDescent="0.25">
      <c r="A1123" s="1" t="s">
        <v>2118</v>
      </c>
      <c r="B1123" s="1" t="s">
        <v>2119</v>
      </c>
      <c r="C1123" s="1" t="str">
        <f ca="1">IFERROR(__xludf.DUMMYFUNCTION("GOOGLETRANSLATE(B1123,""en"",""ar"")"),"دفعات مقدمة")</f>
        <v>دفعات مقدمة</v>
      </c>
      <c r="D1123" s="1" t="str">
        <f ca="1">IFERROR(__xludf.DUMMYFUNCTION("GOOGLETRANSLATE(B1123,""en"",""zh-CN"")"),"预付款")</f>
        <v>预付款</v>
      </c>
      <c r="E1123" s="1" t="str">
        <f ca="1">IFERROR(__xludf.DUMMYFUNCTION("GOOGLETRANSLATE(B1123,""en"",""ja"")"),"前払い")</f>
        <v>前払い</v>
      </c>
      <c r="F1123" s="1" t="str">
        <f ca="1">IFERROR(__xludf.DUMMYFUNCTION("GOOGLETRANSLATE(B1123,""en"",""fr"")"),"Paiements avancés")</f>
        <v>Paiements avancés</v>
      </c>
    </row>
    <row r="1124" spans="1:6" ht="15.75" customHeight="1" x14ac:dyDescent="0.25">
      <c r="A1124" s="1" t="s">
        <v>2120</v>
      </c>
      <c r="B1124" s="1" t="s">
        <v>2121</v>
      </c>
      <c r="C1124" s="1" t="str">
        <f ca="1">IFERROR(__xludf.DUMMYFUNCTION("GOOGLETRANSLATE(B1124,""en"",""ar"")"),"يتقدم")</f>
        <v>يتقدم</v>
      </c>
      <c r="D1124" s="1" t="str">
        <f ca="1">IFERROR(__xludf.DUMMYFUNCTION("GOOGLETRANSLATE(B1124,""en"",""zh-CN"")"),"进步")</f>
        <v>进步</v>
      </c>
      <c r="E1124" s="1" t="str">
        <f ca="1">IFERROR(__xludf.DUMMYFUNCTION("GOOGLETRANSLATE(B1124,""en"",""ja"")"),"前進")</f>
        <v>前進</v>
      </c>
      <c r="F1124" s="1" t="str">
        <f ca="1">IFERROR(__xludf.DUMMYFUNCTION("GOOGLETRANSLATE(B1124,""en"",""fr"")"),"Avance")</f>
        <v>Avance</v>
      </c>
    </row>
    <row r="1125" spans="1:6" ht="15.75" customHeight="1" x14ac:dyDescent="0.25">
      <c r="A1125" s="1" t="s">
        <v>2122</v>
      </c>
      <c r="B1125" s="1" t="s">
        <v>386</v>
      </c>
      <c r="C1125" s="1" t="str">
        <f ca="1">IFERROR(__xludf.DUMMYFUNCTION("GOOGLETRANSLATE(B1125,""en"",""ar"")"),"تقرير الدائنين")</f>
        <v>تقرير الدائنين</v>
      </c>
      <c r="D1125" s="1" t="str">
        <f ca="1">IFERROR(__xludf.DUMMYFUNCTION("GOOGLETRANSLATE(B1125,""en"",""zh-CN"")"),"债权人报告")</f>
        <v>债权人报告</v>
      </c>
      <c r="E1125" s="1" t="str">
        <f ca="1">IFERROR(__xludf.DUMMYFUNCTION("GOOGLETRANSLATE(B1125,""en"",""ja"")"),"債権者報告")</f>
        <v>債権者報告</v>
      </c>
      <c r="F1125" s="1" t="str">
        <f ca="1">IFERROR(__xludf.DUMMYFUNCTION("GOOGLETRANSLATE(B1125,""en"",""fr"")"),"Rapport des créanciers")</f>
        <v>Rapport des créanciers</v>
      </c>
    </row>
    <row r="1126" spans="1:6" ht="15.75" customHeight="1" x14ac:dyDescent="0.25">
      <c r="A1126" s="1" t="s">
        <v>2123</v>
      </c>
      <c r="B1126" s="1" t="s">
        <v>2124</v>
      </c>
      <c r="C1126" s="1" t="str">
        <f ca="1">IFERROR(__xludf.DUMMYFUNCTION("GOOGLETRANSLATE(B1126,""en"",""ar"")"),"أمتياز :")</f>
        <v>أمتياز :</v>
      </c>
      <c r="D1126" s="1" t="str">
        <f ca="1">IFERROR(__xludf.DUMMYFUNCTION("GOOGLETRANSLATE(B1126,""en"",""zh-CN"")"),"杰出的 ：")</f>
        <v>杰出的 ：</v>
      </c>
      <c r="E1126" s="1" t="str">
        <f ca="1">IFERROR(__xludf.DUMMYFUNCTION("GOOGLETRANSLATE(B1126,""en"",""ja"")"),"未解決の ：")</f>
        <v>未解決の ：</v>
      </c>
      <c r="F1126" s="1" t="str">
        <f ca="1">IFERROR(__xludf.DUMMYFUNCTION("GOOGLETRANSLATE(B1126,""en"",""fr"")"),"Remarquable :")</f>
        <v>Remarquable :</v>
      </c>
    </row>
    <row r="1127" spans="1:6" ht="15.75" customHeight="1" x14ac:dyDescent="0.25">
      <c r="A1127" s="1" t="s">
        <v>2125</v>
      </c>
      <c r="B1127" s="1" t="s">
        <v>2126</v>
      </c>
      <c r="C1127" s="1" t="str">
        <f ca="1">IFERROR(__xludf.DUMMYFUNCTION("GOOGLETRANSLATE(B1127,""en"",""ar"")"),"استلام مذكرة")</f>
        <v>استلام مذكرة</v>
      </c>
      <c r="D1127" s="1" t="str">
        <f ca="1">IFERROR(__xludf.DUMMYFUNCTION("GOOGLETRANSLATE(B1127,""en"",""zh-CN"")"),"收据注释")</f>
        <v>收据注释</v>
      </c>
      <c r="E1127" s="1" t="str">
        <f ca="1">IFERROR(__xludf.DUMMYFUNCTION("GOOGLETRANSLATE(B1127,""en"",""ja"")"),"レシートノート")</f>
        <v>レシートノート</v>
      </c>
      <c r="F1127" s="1" t="str">
        <f ca="1">IFERROR(__xludf.DUMMYFUNCTION("GOOGLETRANSLATE(B1127,""en"",""fr"")"),"Note de réception")</f>
        <v>Note de réception</v>
      </c>
    </row>
    <row r="1128" spans="1:6" ht="15.75" customHeight="1" x14ac:dyDescent="0.25">
      <c r="A1128" s="1" t="s">
        <v>2127</v>
      </c>
      <c r="B1128" s="1" t="s">
        <v>2128</v>
      </c>
      <c r="C1128" s="1" t="str">
        <f ca="1">IFERROR(__xludf.DUMMYFUNCTION("GOOGLETRANSLATE(B1128,""en"",""ar"")"),"الرجاء إدخال مذكرة الاستلام")</f>
        <v>الرجاء إدخال مذكرة الاستلام</v>
      </c>
      <c r="D1128" s="1" t="str">
        <f ca="1">IFERROR(__xludf.DUMMYFUNCTION("GOOGLETRANSLATE(B1128,""en"",""zh-CN"")"),"请输入收据说明")</f>
        <v>请输入收据说明</v>
      </c>
      <c r="E1128" s="1" t="str">
        <f ca="1">IFERROR(__xludf.DUMMYFUNCTION("GOOGLETRANSLATE(B1128,""en"",""ja"")"),"レシートノートを入力してください")</f>
        <v>レシートノートを入力してください</v>
      </c>
      <c r="F1128" s="1" t="str">
        <f ca="1">IFERROR(__xludf.DUMMYFUNCTION("GOOGLETRANSLATE(B1128,""en"",""fr"")"),"S'il vous plaît entrer la note de réception")</f>
        <v>S'il vous plaît entrer la note de réception</v>
      </c>
    </row>
    <row r="1129" spans="1:6" ht="15.75" customHeight="1" x14ac:dyDescent="0.25">
      <c r="A1129" s="1" t="s">
        <v>2129</v>
      </c>
      <c r="B1129" s="1" t="s">
        <v>2130</v>
      </c>
      <c r="C1129" s="1" t="str">
        <f ca="1">IFERROR(__xludf.DUMMYFUNCTION("GOOGLETRANSLATE(B1129,""en"",""ar"")"),"استلام مذكرة")</f>
        <v>استلام مذكرة</v>
      </c>
      <c r="D1129" s="1" t="str">
        <f ca="1">IFERROR(__xludf.DUMMYFUNCTION("GOOGLETRANSLATE(B1129,""en"",""zh-CN"")"),"收据注释")</f>
        <v>收据注释</v>
      </c>
      <c r="E1129" s="1" t="str">
        <f ca="1">IFERROR(__xludf.DUMMYFUNCTION("GOOGLETRANSLATE(B1129,""en"",""ja"")"),"レシートノート")</f>
        <v>レシートノート</v>
      </c>
      <c r="F1129" s="1" t="str">
        <f ca="1">IFERROR(__xludf.DUMMYFUNCTION("GOOGLETRANSLATE(B1129,""en"",""fr"")"),"Note de réception")</f>
        <v>Note de réception</v>
      </c>
    </row>
    <row r="1130" spans="1:6" ht="15.75" customHeight="1" x14ac:dyDescent="0.25">
      <c r="A1130" s="1" t="s">
        <v>2131</v>
      </c>
      <c r="B1130" s="1" t="s">
        <v>2132</v>
      </c>
      <c r="C1130" s="1" t="str">
        <f ca="1">IFERROR(__xludf.DUMMYFUNCTION("GOOGLETRANSLATE(B1130,""en"",""ar"")"),"يتخطى")</f>
        <v>يتخطى</v>
      </c>
      <c r="D1130" s="1" t="str">
        <f ca="1">IFERROR(__xludf.DUMMYFUNCTION("GOOGLETRANSLATE(B1130,""en"",""zh-CN"")"),"跳过")</f>
        <v>跳过</v>
      </c>
      <c r="E1130" s="1" t="str">
        <f ca="1">IFERROR(__xludf.DUMMYFUNCTION("GOOGLETRANSLATE(B1130,""en"",""ja"")"),"スキップ")</f>
        <v>スキップ</v>
      </c>
      <c r="F1130" s="1" t="str">
        <f ca="1">IFERROR(__xludf.DUMMYFUNCTION("GOOGLETRANSLATE(B1130,""en"",""fr"")"),"Sauter")</f>
        <v>Sauter</v>
      </c>
    </row>
    <row r="1131" spans="1:6" ht="15.75" customHeight="1" x14ac:dyDescent="0.25">
      <c r="A1131" s="1" t="s">
        <v>2133</v>
      </c>
      <c r="B1131" s="1" t="s">
        <v>2134</v>
      </c>
      <c r="C1131" s="1" t="str">
        <f ca="1">IFERROR(__xludf.DUMMYFUNCTION("GOOGLETRANSLATE(B1131,""en"",""ar"")"),"طلب")</f>
        <v>طلب</v>
      </c>
      <c r="D1131" s="1" t="str">
        <f ca="1">IFERROR(__xludf.DUMMYFUNCTION("GOOGLETRANSLATE(B1131,""en"",""zh-CN"")"),"命令")</f>
        <v>命令</v>
      </c>
      <c r="E1131" s="1" t="str">
        <f ca="1">IFERROR(__xludf.DUMMYFUNCTION("GOOGLETRANSLATE(B1131,""en"",""ja"")"),"注文")</f>
        <v>注文</v>
      </c>
      <c r="F1131" s="1" t="str">
        <f ca="1">IFERROR(__xludf.DUMMYFUNCTION("GOOGLETRANSLATE(B1131,""en"",""fr"")"),"Commander")</f>
        <v>Commander</v>
      </c>
    </row>
    <row r="1132" spans="1:6" ht="15.75" customHeight="1" x14ac:dyDescent="0.25">
      <c r="A1132" s="1" t="s">
        <v>2135</v>
      </c>
      <c r="B1132" s="1" t="s">
        <v>2136</v>
      </c>
      <c r="C1132" s="1" t="str">
        <f ca="1">IFERROR(__xludf.DUMMYFUNCTION("GOOGLETRANSLATE(B1132,""en"",""ar"")"),"هل تريد استعداد هذا الطلب؟")</f>
        <v>هل تريد استعداد هذا الطلب؟</v>
      </c>
      <c r="D1132" s="1" t="str">
        <f ca="1">IFERROR(__xludf.DUMMYFUNCTION("GOOGLETRANSLATE(B1132,""en"",""zh-CN"")"),"你想准备这个订单吗？")</f>
        <v>你想准备这个订单吗？</v>
      </c>
      <c r="E1132" s="1" t="str">
        <f ca="1">IFERROR(__xludf.DUMMYFUNCTION("GOOGLETRANSLATE(B1132,""en"",""ja"")"),"この注文を準備したいですか？")</f>
        <v>この注文を準備したいですか？</v>
      </c>
      <c r="F1132" s="1" t="str">
        <f ca="1">IFERROR(__xludf.DUMMYFUNCTION("GOOGLETRANSLATE(B1132,""en"",""fr"")"),"Voulez-vous prêt à préparer cette commande?")</f>
        <v>Voulez-vous prêt à préparer cette commande?</v>
      </c>
    </row>
    <row r="1133" spans="1:6" ht="15.75" customHeight="1" x14ac:dyDescent="0.25">
      <c r="A1133" s="1" t="s">
        <v>2137</v>
      </c>
      <c r="B1133" s="1" t="s">
        <v>2138</v>
      </c>
      <c r="C1133" s="1" t="str">
        <f ca="1">IFERROR(__xludf.DUMMYFUNCTION("GOOGLETRANSLATE(B1133,""en"",""ar"")"),"تم التسديد")</f>
        <v>تم التسديد</v>
      </c>
      <c r="D1133" s="1" t="str">
        <f ca="1">IFERROR(__xludf.DUMMYFUNCTION("GOOGLETRANSLATE(B1133,""en"",""zh-CN"")"),"付款完成")</f>
        <v>付款完成</v>
      </c>
      <c r="E1133" s="1" t="str">
        <f ca="1">IFERROR(__xludf.DUMMYFUNCTION("GOOGLETRANSLATE(B1133,""en"",""ja"")"),"支払い完了")</f>
        <v>支払い完了</v>
      </c>
      <c r="F1133" s="1" t="str">
        <f ca="1">IFERROR(__xludf.DUMMYFUNCTION("GOOGLETRANSLATE(B1133,""en"",""fr"")"),"Paiement terminé")</f>
        <v>Paiement terminé</v>
      </c>
    </row>
    <row r="1134" spans="1:6" ht="15.75" customHeight="1" x14ac:dyDescent="0.25">
      <c r="A1134" s="1" t="s">
        <v>2139</v>
      </c>
      <c r="B1134" s="1" t="s">
        <v>2140</v>
      </c>
      <c r="C1134" s="1" t="str">
        <f ca="1">IFERROR(__xludf.DUMMYFUNCTION("GOOGLETRANSLATE(B1134,""en"",""ar"")"),"يرجى الضغط على \ 'done \' لإنهاء الاستلام")</f>
        <v>يرجى الضغط على \ 'done \' لإنهاء الاستلام</v>
      </c>
      <c r="D1134" s="1" t="str">
        <f ca="1">IFERROR(__xludf.DUMMYFUNCTION("GOOGLETRANSLATE(B1134,""en"",""zh-CN"")"),"请按\'完成\'完成收据")</f>
        <v>请按\'完成\'完成收据</v>
      </c>
      <c r="E1134" s="1" t="str">
        <f ca="1">IFERROR(__xludf.DUMMYFUNCTION("GOOGLETRANSLATE(B1134,""en"",""ja"")"),"領収書を完成させるには、\ 'DONE \'を押してください")</f>
        <v>領収書を完成させるには、\ 'DONE \'を押してください</v>
      </c>
      <c r="F1134" s="1" t="str">
        <f ca="1">IFERROR(__xludf.DUMMYFUNCTION("GOOGLETRANSLATE(B1134,""en"",""fr"")"),"S'il vous plaît appuyez sur \ 'DONE \' pour terminer la réception")</f>
        <v>S'il vous plaît appuyez sur \ 'DONE \' pour terminer la réception</v>
      </c>
    </row>
    <row r="1135" spans="1:6" ht="15.75" customHeight="1" x14ac:dyDescent="0.25">
      <c r="A1135" s="1" t="s">
        <v>2141</v>
      </c>
      <c r="B1135" s="1" t="s">
        <v>2142</v>
      </c>
      <c r="C1135" s="1" t="str">
        <f ca="1">IFERROR(__xludf.DUMMYFUNCTION("GOOGLETRANSLATE(B1135,""en"",""ar"")"),"هل تريد إكمال هذا الطلب؟")</f>
        <v>هل تريد إكمال هذا الطلب؟</v>
      </c>
      <c r="D1135" s="1" t="str">
        <f ca="1">IFERROR(__xludf.DUMMYFUNCTION("GOOGLETRANSLATE(B1135,""en"",""zh-CN"")"),"你想完成这个订单吗？")</f>
        <v>你想完成这个订单吗？</v>
      </c>
      <c r="E1135" s="1" t="str">
        <f ca="1">IFERROR(__xludf.DUMMYFUNCTION("GOOGLETRANSLATE(B1135,""en"",""ja"")"),"あなたはこの注文を完了しますか？")</f>
        <v>あなたはこの注文を完了しますか？</v>
      </c>
      <c r="F1135" s="1" t="str">
        <f ca="1">IFERROR(__xludf.DUMMYFUNCTION("GOOGLETRANSLATE(B1135,""en"",""fr"")"),"Voulez-vous compléter cette commande?")</f>
        <v>Voulez-vous compléter cette commande?</v>
      </c>
    </row>
    <row r="1136" spans="1:6" ht="15.75" customHeight="1" x14ac:dyDescent="0.25">
      <c r="A1136" s="1" t="s">
        <v>2143</v>
      </c>
      <c r="B1136" s="1" t="s">
        <v>2144</v>
      </c>
      <c r="C1136" s="1" t="str">
        <f ca="1">IFERROR(__xludf.DUMMYFUNCTION("GOOGLETRANSLATE(B1136,""en"",""ar"")"),"الرجاء التواصل")</f>
        <v>الرجاء التواصل</v>
      </c>
      <c r="D1136" s="1" t="str">
        <f ca="1">IFERROR(__xludf.DUMMYFUNCTION("GOOGLETRANSLATE(B1136,""en"",""zh-CN"")"),"请联系")</f>
        <v>请联系</v>
      </c>
      <c r="E1136" s="1" t="str">
        <f ca="1">IFERROR(__xludf.DUMMYFUNCTION("GOOGLETRANSLATE(B1136,""en"",""ja"")"),"お問い合わせください")</f>
        <v>お問い合わせください</v>
      </c>
      <c r="F1136" s="1" t="str">
        <f ca="1">IFERROR(__xludf.DUMMYFUNCTION("GOOGLETRANSLATE(B1136,""en"",""fr"")"),"S'il vous plaît contactez")</f>
        <v>S'il vous plaît contactez</v>
      </c>
    </row>
    <row r="1137" spans="1:6" ht="15.75" customHeight="1" x14ac:dyDescent="0.25">
      <c r="A1137" s="1" t="s">
        <v>2145</v>
      </c>
      <c r="B1137" s="1" t="s">
        <v>2146</v>
      </c>
      <c r="C1137" s="1" t="str">
        <f ca="1">IFERROR(__xludf.DUMMYFUNCTION("GOOGLETRANSLATE(B1137,""en"",""ar"")"),"لديك بالفعل مفتاح ترخيص")</f>
        <v>لديك بالفعل مفتاح ترخيص</v>
      </c>
      <c r="D1137" s="1" t="str">
        <f ca="1">IFERROR(__xludf.DUMMYFUNCTION("GOOGLETRANSLATE(B1137,""en"",""zh-CN"")"),"已经有许可证密钥")</f>
        <v>已经有许可证密钥</v>
      </c>
      <c r="E1137" s="1" t="str">
        <f ca="1">IFERROR(__xludf.DUMMYFUNCTION("GOOGLETRANSLATE(B1137,""en"",""ja"")"),"既にライセンスキーを持っています")</f>
        <v>既にライセンスキーを持っています</v>
      </c>
      <c r="F1137" s="1" t="str">
        <f ca="1">IFERROR(__xludf.DUMMYFUNCTION("GOOGLETRANSLATE(B1137,""en"",""fr"")"),"Vous avez déjà une clé de licence")</f>
        <v>Vous avez déjà une clé de licence</v>
      </c>
    </row>
    <row r="1138" spans="1:6" ht="15.75" customHeight="1" x14ac:dyDescent="0.25">
      <c r="A1138" s="1" t="s">
        <v>2147</v>
      </c>
      <c r="B1138" s="1" t="s">
        <v>2148</v>
      </c>
      <c r="C1138" s="1" t="str">
        <f ca="1">IFERROR(__xludf.DUMMYFUNCTION("GOOGLETRANSLATE(B1138,""en"",""ar"")"),"الجميع")</f>
        <v>الجميع</v>
      </c>
      <c r="D1138" s="1" t="str">
        <f ca="1">IFERROR(__xludf.DUMMYFUNCTION("GOOGLETRANSLATE(B1138,""en"",""zh-CN"")"),"全部")</f>
        <v>全部</v>
      </c>
      <c r="E1138" s="1" t="str">
        <f ca="1">IFERROR(__xludf.DUMMYFUNCTION("GOOGLETRANSLATE(B1138,""en"",""ja"")"),"全て")</f>
        <v>全て</v>
      </c>
      <c r="F1138" s="1" t="str">
        <f ca="1">IFERROR(__xludf.DUMMYFUNCTION("GOOGLETRANSLATE(B1138,""en"",""fr"")"),"Tout")</f>
        <v>Tout</v>
      </c>
    </row>
    <row r="1139" spans="1:6" ht="15.75" customHeight="1" x14ac:dyDescent="0.25">
      <c r="A1139" s="1" t="s">
        <v>2149</v>
      </c>
      <c r="B1139" s="1" t="s">
        <v>2150</v>
      </c>
      <c r="C1139" s="1" t="str">
        <f ca="1">IFERROR(__xludf.DUMMYFUNCTION("GOOGLETRANSLATE(B1139,""en"",""ar"")"),"محجوز")</f>
        <v>محجوز</v>
      </c>
      <c r="D1139" s="1" t="str">
        <f ca="1">IFERROR(__xludf.DUMMYFUNCTION("GOOGLETRANSLATE(B1139,""en"",""zh-CN"")"),"预订的")</f>
        <v>预订的</v>
      </c>
      <c r="E1139" s="1" t="str">
        <f ca="1">IFERROR(__xludf.DUMMYFUNCTION("GOOGLETRANSLATE(B1139,""en"",""ja"")"),"予約済み")</f>
        <v>予約済み</v>
      </c>
      <c r="F1139" s="1" t="str">
        <f ca="1">IFERROR(__xludf.DUMMYFUNCTION("GOOGLETRANSLATE(B1139,""en"",""fr"")"),"Réservé")</f>
        <v>Réservé</v>
      </c>
    </row>
    <row r="1140" spans="1:6" ht="15.75" customHeight="1" x14ac:dyDescent="0.25">
      <c r="A1140" s="1" t="s">
        <v>2151</v>
      </c>
      <c r="B1140" s="1" t="s">
        <v>2152</v>
      </c>
      <c r="C1140" s="1" t="str">
        <f ca="1">IFERROR(__xludf.DUMMYFUNCTION("GOOGLETRANSLATE(B1140,""en"",""ar"")")," المبلغ النقدي المتاح:")</f>
        <v xml:space="preserve"> المبلغ النقدي المتاح:</v>
      </c>
      <c r="D1140" s="1" t="str">
        <f ca="1">IFERROR(__xludf.DUMMYFUNCTION("GOOGLETRANSLATE(B1140,""en"",""zh-CN"")")," 可用现金金额：")</f>
        <v xml:space="preserve"> 可用现金金额：</v>
      </c>
      <c r="E1140" s="1" t="str">
        <f ca="1">IFERROR(__xludf.DUMMYFUNCTION("GOOGLETRANSLATE(B1140,""en"",""ja"")")," 利用可能な現金金額：")</f>
        <v xml:space="preserve"> 利用可能な現金金額：</v>
      </c>
      <c r="F1140" s="1" t="str">
        <f ca="1">IFERROR(__xludf.DUMMYFUNCTION("GOOGLETRANSLATE(B1140,""en"",""fr"")")," Montant en espèces disponible:")</f>
        <v xml:space="preserve"> Montant en espèces disponible:</v>
      </c>
    </row>
    <row r="1141" spans="1:6" ht="15.75" customHeight="1" x14ac:dyDescent="0.25">
      <c r="A1141" s="1" t="s">
        <v>2153</v>
      </c>
      <c r="B1141" s="1" t="s">
        <v>2154</v>
      </c>
      <c r="C1141" s="1" t="str">
        <f ca="1">IFERROR(__xludf.DUMMYFUNCTION("GOOGLETRANSLATE(B1141,""en"",""ar"")")," حدد تاريخ")</f>
        <v xml:space="preserve"> حدد تاريخ</v>
      </c>
      <c r="D1141" s="1" t="str">
        <f ca="1">IFERROR(__xludf.DUMMYFUNCTION("GOOGLETRANSLATE(B1141,""en"",""zh-CN"")")," 选择日期")</f>
        <v xml:space="preserve"> 选择日期</v>
      </c>
      <c r="E1141" s="1" t="str">
        <f ca="1">IFERROR(__xludf.DUMMYFUNCTION("GOOGLETRANSLATE(B1141,""en"",""ja"")")," 日付を選択してください")</f>
        <v xml:space="preserve"> 日付を選択してください</v>
      </c>
      <c r="F1141" s="1" t="str">
        <f ca="1">IFERROR(__xludf.DUMMYFUNCTION("GOOGLETRANSLATE(B1141,""en"",""fr"")")," Sélectionner une date")</f>
        <v xml:space="preserve"> Sélectionner une date</v>
      </c>
    </row>
    <row r="1142" spans="1:6" ht="15.75" customHeight="1" x14ac:dyDescent="0.25">
      <c r="A1142" s="1" t="s">
        <v>2155</v>
      </c>
      <c r="B1142" s="1" t="s">
        <v>2156</v>
      </c>
      <c r="C1142" s="1" t="str">
        <f ca="1">IFERROR(__xludf.DUMMYFUNCTION("GOOGLETRANSLATE(B1142,""en"",""ar"")")," المبيعات اليومية")</f>
        <v xml:space="preserve"> المبيعات اليومية</v>
      </c>
      <c r="D1142" s="1" t="str">
        <f ca="1">IFERROR(__xludf.DUMMYFUNCTION("GOOGLETRANSLATE(B1142,""en"",""zh-CN"")")," 每日销售")</f>
        <v xml:space="preserve"> 每日销售</v>
      </c>
      <c r="E1142" s="1" t="str">
        <f ca="1">IFERROR(__xludf.DUMMYFUNCTION("GOOGLETRANSLATE(B1142,""en"",""ja"")")," 毎日の売上高")</f>
        <v xml:space="preserve"> 毎日の売上高</v>
      </c>
      <c r="F1142" s="1" t="str">
        <f ca="1">IFERROR(__xludf.DUMMYFUNCTION("GOOGLETRANSLATE(B1142,""en"",""fr"")")," Ventes quotidiennes")</f>
        <v xml:space="preserve"> Ventes quotidiennes</v>
      </c>
    </row>
    <row r="1143" spans="1:6" ht="15.75" customHeight="1" x14ac:dyDescent="0.25">
      <c r="A1143" s="1" t="s">
        <v>2157</v>
      </c>
      <c r="B1143" s="1" t="s">
        <v>2158</v>
      </c>
      <c r="C1143" s="1" t="str">
        <f ca="1">IFERROR(__xludf.DUMMYFUNCTION("GOOGLETRANSLATE(B1143,""en"",""ar"")"),"هل تريد تأكيد هذا الطلب؟")</f>
        <v>هل تريد تأكيد هذا الطلب؟</v>
      </c>
      <c r="D1143" s="1" t="str">
        <f ca="1">IFERROR(__xludf.DUMMYFUNCTION("GOOGLETRANSLATE(B1143,""en"",""zh-CN"")"),"你想确认这个订单吗？")</f>
        <v>你想确认这个订单吗？</v>
      </c>
      <c r="E1143" s="1" t="str">
        <f ca="1">IFERROR(__xludf.DUMMYFUNCTION("GOOGLETRANSLATE(B1143,""en"",""ja"")"),"この注文を確認しますか？")</f>
        <v>この注文を確認しますか？</v>
      </c>
      <c r="F1143" s="1" t="str">
        <f ca="1">IFERROR(__xludf.DUMMYFUNCTION("GOOGLETRANSLATE(B1143,""en"",""fr"")"),"Voulez-vous confirmer cette commande?")</f>
        <v>Voulez-vous confirmer cette commande?</v>
      </c>
    </row>
    <row r="1144" spans="1:6" ht="15.75" customHeight="1" x14ac:dyDescent="0.25">
      <c r="A1144" s="1" t="s">
        <v>2159</v>
      </c>
      <c r="B1144" s="1" t="s">
        <v>2160</v>
      </c>
      <c r="C1144" s="1" t="str">
        <f ca="1">IFERROR(__xludf.DUMMYFUNCTION("GOOGLETRANSLATE(B1144,""en"",""ar"")"),"لا يمكنك تحرير عنصر KOT هذا. هل تريد حذفها؟")</f>
        <v>لا يمكنك تحرير عنصر KOT هذا. هل تريد حذفها؟</v>
      </c>
      <c r="D1144" s="1" t="str">
        <f ca="1">IFERROR(__xludf.DUMMYFUNCTION("GOOGLETRANSLATE(B1144,""en"",""zh-CN"")"),"您无法编辑此kot项目。你想删除它吗？")</f>
        <v>您无法编辑此kot项目。你想删除它吗？</v>
      </c>
      <c r="E1144" s="1" t="str">
        <f ca="1">IFERROR(__xludf.DUMMYFUNCTION("GOOGLETRANSLATE(B1144,""en"",""ja"")"),"このkot項目を編集することはできません。削除しますか？")</f>
        <v>このkot項目を編集することはできません。削除しますか？</v>
      </c>
      <c r="F1144" s="1" t="str">
        <f ca="1">IFERROR(__xludf.DUMMYFUNCTION("GOOGLETRANSLATE(B1144,""en"",""fr"")"),"Vous ne pouvez pas modifier cet élément Kot. Voulez-vous le supprimer?")</f>
        <v>Vous ne pouvez pas modifier cet élément Kot. Voulez-vous le supprimer?</v>
      </c>
    </row>
    <row r="1145" spans="1:6" ht="15.75" customHeight="1" x14ac:dyDescent="0.25">
      <c r="A1145" s="1" t="s">
        <v>2161</v>
      </c>
      <c r="B1145" s="1" t="s">
        <v>2162</v>
      </c>
      <c r="C1145" s="1" t="str">
        <f ca="1">IFERROR(__xludf.DUMMYFUNCTION("GOOGLETRANSLATE(B1145,""en"",""ar"")"),"لا يمكنك تحرير هذا البند المعلقة. هل تريد حذفها؟")</f>
        <v>لا يمكنك تحرير هذا البند المعلقة. هل تريد حذفها؟</v>
      </c>
      <c r="D1145" s="1" t="str">
        <f ca="1">IFERROR(__xludf.DUMMYFUNCTION("GOOGLETRANSLATE(B1145,""en"",""zh-CN"")"),"您无法编辑此保留项目。你想删除它吗？")</f>
        <v>您无法编辑此保留项目。你想删除它吗？</v>
      </c>
      <c r="E1145" s="1" t="str">
        <f ca="1">IFERROR(__xludf.DUMMYFUNCTION("GOOGLETRANSLATE(B1145,""en"",""ja"")"),"この保留項目を編集することはできません。削除しますか？")</f>
        <v>この保留項目を編集することはできません。削除しますか？</v>
      </c>
      <c r="F1145" s="1" t="str">
        <f ca="1">IFERROR(__xludf.DUMMYFUNCTION("GOOGLETRANSLATE(B1145,""en"",""fr"")"),"Vous ne pouvez pas modifier cet élément Hold. Voulez-vous le supprimer?")</f>
        <v>Vous ne pouvez pas modifier cet élément Hold. Voulez-vous le supprimer?</v>
      </c>
    </row>
    <row r="1146" spans="1:6" ht="15.75" customHeight="1" x14ac:dyDescent="0.25">
      <c r="A1146" s="1" t="s">
        <v>2163</v>
      </c>
      <c r="B1146" s="1" t="s">
        <v>2164</v>
      </c>
      <c r="C1146" s="1" t="str">
        <f ca="1">IFERROR(__xludf.DUMMYFUNCTION("GOOGLETRANSLATE(B1146,""en"",""ar"")"),"يمكنك تحرير هذا المنتج،")</f>
        <v>يمكنك تحرير هذا المنتج،</v>
      </c>
      <c r="D1146" s="1" t="str">
        <f ca="1">IFERROR(__xludf.DUMMYFUNCTION("GOOGLETRANSLATE(B1146,""en"",""zh-CN"")"),"你可以编辑这个产品，")</f>
        <v>你可以编辑这个产品，</v>
      </c>
      <c r="E1146" s="1" t="str">
        <f ca="1">IFERROR(__xludf.DUMMYFUNCTION("GOOGLETRANSLATE(B1146,""en"",""ja"")"),"あなたはこの製品を編集することができます、")</f>
        <v>あなたはこの製品を編集することができます、</v>
      </c>
      <c r="F1146" s="1" t="str">
        <f ca="1">IFERROR(__xludf.DUMMYFUNCTION("GOOGLETRANSLATE(B1146,""en"",""fr"")"),"Vous pouvez \ 't éditer ce produit,")</f>
        <v>Vous pouvez \ 't éditer ce produit,</v>
      </c>
    </row>
    <row r="1147" spans="1:6" ht="15.75" customHeight="1" x14ac:dyDescent="0.25">
      <c r="A1147" s="1" t="s">
        <v>2165</v>
      </c>
      <c r="B1147" s="1" t="s">
        <v>2166</v>
      </c>
      <c r="C1147" s="1" t="str">
        <f ca="1">IFERROR(__xludf.DUMMYFUNCTION("GOOGLETRANSLATE(B1147,""en"",""ar"")"),"هل تريد بالتأكيد حذف هذا المنتج من إيصال؟")</f>
        <v>هل تريد بالتأكيد حذف هذا المنتج من إيصال؟</v>
      </c>
      <c r="D1147" s="1" t="str">
        <f ca="1">IFERROR(__xludf.DUMMYFUNCTION("GOOGLETRANSLATE(B1147,""en"",""zh-CN"")"),"您是否确定要从收据中删除此产品？")</f>
        <v>您是否确定要从收据中删除此产品？</v>
      </c>
      <c r="E1147" s="1" t="str">
        <f ca="1">IFERROR(__xludf.DUMMYFUNCTION("GOOGLETRANSLATE(B1147,""en"",""ja"")"),"あなたは確かにこの製品を領収書から削除したいですか？")</f>
        <v>あなたは確かにこの製品を領収書から削除したいですか？</v>
      </c>
      <c r="F1147" s="1" t="str">
        <f ca="1">IFERROR(__xludf.DUMMYFUNCTION("GOOGLETRANSLATE(B1147,""en"",""fr"")"),"Êtes-vous sûr que vous voulez supprimer ce produit de la réception?")</f>
        <v>Êtes-vous sûr que vous voulez supprimer ce produit de la réception?</v>
      </c>
    </row>
    <row r="1148" spans="1:6" ht="15.75" customHeight="1" x14ac:dyDescent="0.25">
      <c r="A1148" s="1" t="s">
        <v>2167</v>
      </c>
      <c r="B1148" s="1" t="s">
        <v>2168</v>
      </c>
      <c r="C1148" s="1" t="str">
        <f ca="1">IFERROR(__xludf.DUMMYFUNCTION("GOOGLETRANSLATE(B1148,""en"",""ar"")"),"إدارة البيانات المحلية")</f>
        <v>إدارة البيانات المحلية</v>
      </c>
      <c r="D1148" s="1" t="str">
        <f ca="1">IFERROR(__xludf.DUMMYFUNCTION("GOOGLETRANSLATE(B1148,""en"",""zh-CN"")"),"管理本地数据")</f>
        <v>管理本地数据</v>
      </c>
      <c r="E1148" s="1" t="str">
        <f ca="1">IFERROR(__xludf.DUMMYFUNCTION("GOOGLETRANSLATE(B1148,""en"",""ja"")"),"ローカルデータを管理します")</f>
        <v>ローカルデータを管理します</v>
      </c>
      <c r="F1148" s="1" t="str">
        <f ca="1">IFERROR(__xludf.DUMMYFUNCTION("GOOGLETRANSLATE(B1148,""en"",""fr"")"),"Gérer les données locales")</f>
        <v>Gérer les données locales</v>
      </c>
    </row>
    <row r="1149" spans="1:6" ht="15.75" customHeight="1" x14ac:dyDescent="0.25">
      <c r="A1149" s="1" t="s">
        <v>2169</v>
      </c>
      <c r="B1149" s="1" t="s">
        <v>2170</v>
      </c>
      <c r="C1149" s="1" t="str">
        <f ca="1">IFERROR(__xludf.DUMMYFUNCTION("GOOGLETRANSLATE(B1149,""en"",""ar"")"),"متجرك فارغ")</f>
        <v>متجرك فارغ</v>
      </c>
      <c r="D1149" s="1" t="str">
        <f ca="1">IFERROR(__xludf.DUMMYFUNCTION("GOOGLETRANSLATE(B1149,""en"",""zh-CN"")"),"你的商店是空的")</f>
        <v>你的商店是空的</v>
      </c>
      <c r="E1149" s="1" t="str">
        <f ca="1">IFERROR(__xludf.DUMMYFUNCTION("GOOGLETRANSLATE(B1149,""en"",""ja"")"),"あなたの店は空です")</f>
        <v>あなたの店は空です</v>
      </c>
      <c r="F1149" s="1" t="str">
        <f ca="1">IFERROR(__xludf.DUMMYFUNCTION("GOOGLETRANSLATE(B1149,""en"",""fr"")"),"Votre magasin est vide")</f>
        <v>Votre magasin est vide</v>
      </c>
    </row>
    <row r="1150" spans="1:6" ht="15.75" customHeight="1" x14ac:dyDescent="0.25">
      <c r="A1150" s="1" t="s">
        <v>2171</v>
      </c>
      <c r="B1150" s="1" t="s">
        <v>2172</v>
      </c>
      <c r="C1150" s="1" t="str">
        <f ca="1">IFERROR(__xludf.DUMMYFUNCTION("GOOGLETRANSLATE(B1150,""en"",""ar"")"),"الفواتير المفتوحة")</f>
        <v>الفواتير المفتوحة</v>
      </c>
      <c r="D1150" s="1" t="str">
        <f ca="1">IFERROR(__xludf.DUMMYFUNCTION("GOOGLETRANSLATE(B1150,""en"",""zh-CN"")"),"公开账单")</f>
        <v>公开账单</v>
      </c>
      <c r="E1150" s="1" t="str">
        <f ca="1">IFERROR(__xludf.DUMMYFUNCTION("GOOGLETRANSLATE(B1150,""en"",""ja"")"),"請求書を開く")</f>
        <v>請求書を開く</v>
      </c>
      <c r="F1150" s="1" t="str">
        <f ca="1">IFERROR(__xludf.DUMMYFUNCTION("GOOGLETRANSLATE(B1150,""en"",""fr"")"),"Factures ouvertes")</f>
        <v>Factures ouvertes</v>
      </c>
    </row>
    <row r="1151" spans="1:6" ht="15.75" customHeight="1" x14ac:dyDescent="0.25">
      <c r="A1151" s="1" t="s">
        <v>2173</v>
      </c>
      <c r="B1151" s="1" t="s">
        <v>2174</v>
      </c>
      <c r="C1151" s="1" t="str">
        <f ca="1">IFERROR(__xludf.DUMMYFUNCTION("GOOGLETRANSLATE(B1151,""en"",""ar"")"),"مسح الباركود المنتج الخاص بك")</f>
        <v>مسح الباركود المنتج الخاص بك</v>
      </c>
      <c r="D1151" s="1" t="str">
        <f ca="1">IFERROR(__xludf.DUMMYFUNCTION("GOOGLETRANSLATE(B1151,""en"",""zh-CN"")"),"扫描您的产品条形码")</f>
        <v>扫描您的产品条形码</v>
      </c>
      <c r="E1151" s="1" t="str">
        <f ca="1">IFERROR(__xludf.DUMMYFUNCTION("GOOGLETRANSLATE(B1151,""en"",""ja"")"),"製品のバーコードをスキャンします")</f>
        <v>製品のバーコードをスキャンします</v>
      </c>
      <c r="F1151" s="1" t="str">
        <f ca="1">IFERROR(__xludf.DUMMYFUNCTION("GOOGLETRANSLATE(B1151,""en"",""fr"")"),"Scannez votre code à barres de produit")</f>
        <v>Scannez votre code à barres de produit</v>
      </c>
    </row>
    <row r="1152" spans="1:6" ht="15.75" customHeight="1" x14ac:dyDescent="0.25">
      <c r="A1152" s="1" t="s">
        <v>2175</v>
      </c>
      <c r="B1152" s="1" t="s">
        <v>2176</v>
      </c>
      <c r="C1152" s="1" t="str">
        <f ca="1">IFERROR(__xludf.DUMMYFUNCTION("GOOGLETRANSLATE(B1152,""en"",""ar"")"),"احتياطي")</f>
        <v>احتياطي</v>
      </c>
      <c r="D1152" s="1" t="str">
        <f ca="1">IFERROR(__xludf.DUMMYFUNCTION("GOOGLETRANSLATE(B1152,""en"",""zh-CN"")"),"预订")</f>
        <v>预订</v>
      </c>
      <c r="E1152" s="1" t="str">
        <f ca="1">IFERROR(__xludf.DUMMYFUNCTION("GOOGLETRANSLATE(B1152,""en"",""ja"")"),"予約")</f>
        <v>予約</v>
      </c>
      <c r="F1152" s="1" t="str">
        <f ca="1">IFERROR(__xludf.DUMMYFUNCTION("GOOGLETRANSLATE(B1152,""en"",""fr"")"),"réserve")</f>
        <v>réserve</v>
      </c>
    </row>
    <row r="1153" spans="1:6" ht="15.75" customHeight="1" x14ac:dyDescent="0.25">
      <c r="A1153" s="1" t="s">
        <v>2177</v>
      </c>
      <c r="B1153" s="1" t="s">
        <v>2178</v>
      </c>
      <c r="C1153" s="1" t="str">
        <f ca="1">IFERROR(__xludf.DUMMYFUNCTION("GOOGLETRANSLATE(B1153,""en"",""ar"")"),"اختيار العناصر")</f>
        <v>اختيار العناصر</v>
      </c>
      <c r="D1153" s="1" t="str">
        <f ca="1">IFERROR(__xludf.DUMMYFUNCTION("GOOGLETRANSLATE(B1153,""en"",""zh-CN"")"),"选择项目")</f>
        <v>选择项目</v>
      </c>
      <c r="E1153" s="1" t="str">
        <f ca="1">IFERROR(__xludf.DUMMYFUNCTION("GOOGLETRANSLATE(B1153,""en"",""ja"")"),"アイテムを選択してください")</f>
        <v>アイテムを選択してください</v>
      </c>
      <c r="F1153" s="1" t="str">
        <f ca="1">IFERROR(__xludf.DUMMYFUNCTION("GOOGLETRANSLATE(B1153,""en"",""fr"")"),"Sélectionner des éléments")</f>
        <v>Sélectionner des éléments</v>
      </c>
    </row>
    <row r="1154" spans="1:6" ht="15.75" customHeight="1" x14ac:dyDescent="0.25">
      <c r="A1154" s="1" t="s">
        <v>2179</v>
      </c>
      <c r="B1154" s="1" t="s">
        <v>2180</v>
      </c>
      <c r="C1154" s="1" t="str">
        <f ca="1">IFERROR(__xludf.DUMMYFUNCTION("GOOGLETRANSLATE(B1154,""en"",""ar"")"),"الماضي المبالغ المستردة النقدية / مذكرة الائتمان")</f>
        <v>الماضي المبالغ المستردة النقدية / مذكرة الائتمان</v>
      </c>
      <c r="D1154" s="1" t="str">
        <f ca="1">IFERROR(__xludf.DUMMYFUNCTION("GOOGLETRANSLATE(B1154,""en"",""zh-CN"")"),"过去现金退款/信用额")</f>
        <v>过去现金退款/信用额</v>
      </c>
      <c r="E1154" s="1" t="str">
        <f ca="1">IFERROR(__xludf.DUMMYFUNCTION("GOOGLETRANSLATE(B1154,""en"",""ja"")"),"過去の現金払い戻し/クレジットノート")</f>
        <v>過去の現金払い戻し/クレジットノート</v>
      </c>
      <c r="F1154" s="1" t="str">
        <f ca="1">IFERROR(__xludf.DUMMYFUNCTION("GOOGLETRANSLATE(B1154,""en"",""fr"")"),"Remboursements en espèces passées / Note de crédit")</f>
        <v>Remboursements en espèces passées / Note de crédit</v>
      </c>
    </row>
    <row r="1155" spans="1:6" ht="15.75" customHeight="1" x14ac:dyDescent="0.25">
      <c r="A1155" s="1" t="s">
        <v>2181</v>
      </c>
      <c r="B1155" s="1" t="s">
        <v>1934</v>
      </c>
      <c r="C1155" s="1" t="str">
        <f ca="1">IFERROR(__xludf.DUMMYFUNCTION("GOOGLETRANSLATE(B1155,""en"",""ar"")"),"الإيصالات الماضية")</f>
        <v>الإيصالات الماضية</v>
      </c>
      <c r="D1155" s="1" t="str">
        <f ca="1">IFERROR(__xludf.DUMMYFUNCTION("GOOGLETRANSLATE(B1155,""en"",""zh-CN"")"),"过去收据")</f>
        <v>过去收据</v>
      </c>
      <c r="E1155" s="1" t="str">
        <f ca="1">IFERROR(__xludf.DUMMYFUNCTION("GOOGLETRANSLATE(B1155,""en"",""ja"")"),"過去の領収書")</f>
        <v>過去の領収書</v>
      </c>
      <c r="F1155" s="1" t="str">
        <f ca="1">IFERROR(__xludf.DUMMYFUNCTION("GOOGLETRANSLATE(B1155,""en"",""fr"")"),"Recettes passées")</f>
        <v>Recettes passées</v>
      </c>
    </row>
    <row r="1156" spans="1:6" ht="15.75" customHeight="1" x14ac:dyDescent="0.25">
      <c r="A1156" s="1" t="s">
        <v>2182</v>
      </c>
      <c r="B1156" s="1" t="s">
        <v>2183</v>
      </c>
      <c r="C1156" s="1" t="str">
        <f ca="1">IFERROR(__xludf.DUMMYFUNCTION("GOOGLETRANSLATE(B1156,""en"",""ar"")"),"البحث في الإيصالات الماضية")</f>
        <v>البحث في الإيصالات الماضية</v>
      </c>
      <c r="D1156" s="1" t="str">
        <f ca="1">IFERROR(__xludf.DUMMYFUNCTION("GOOGLETRANSLATE(B1156,""en"",""zh-CN"")"),"搜索过去的收据")</f>
        <v>搜索过去的收据</v>
      </c>
      <c r="E1156" s="1" t="str">
        <f ca="1">IFERROR(__xludf.DUMMYFUNCTION("GOOGLETRANSLATE(B1156,""en"",""ja"")"),"過去の領収書を検索します")</f>
        <v>過去の領収書を検索します</v>
      </c>
      <c r="F1156" s="1" t="str">
        <f ca="1">IFERROR(__xludf.DUMMYFUNCTION("GOOGLETRANSLATE(B1156,""en"",""fr"")"),"Rechercher des recettes passées")</f>
        <v>Rechercher des recettes passées</v>
      </c>
    </row>
    <row r="1157" spans="1:6" ht="15.75" customHeight="1" x14ac:dyDescent="0.25">
      <c r="A1157" s="1" t="s">
        <v>2184</v>
      </c>
      <c r="B1157" s="1" t="s">
        <v>2185</v>
      </c>
      <c r="C1157" s="1" t="str">
        <f ca="1">IFERROR(__xludf.DUMMYFUNCTION("GOOGLETRANSLATE(B1157,""en"",""ar"")"),"تجاوز الحد")</f>
        <v>تجاوز الحد</v>
      </c>
      <c r="D1157" s="1" t="str">
        <f ca="1">IFERROR(__xludf.DUMMYFUNCTION("GOOGLETRANSLATE(B1157,""en"",""zh-CN"")"),"超过极限")</f>
        <v>超过极限</v>
      </c>
      <c r="E1157" s="1" t="str">
        <f ca="1">IFERROR(__xludf.DUMMYFUNCTION("GOOGLETRANSLATE(B1157,""en"",""ja"")"),"限界を超える")</f>
        <v>限界を超える</v>
      </c>
      <c r="F1157" s="1" t="str">
        <f ca="1">IFERROR(__xludf.DUMMYFUNCTION("GOOGLETRANSLATE(B1157,""en"",""fr"")"),"Dépasser la limite")</f>
        <v>Dépasser la limite</v>
      </c>
    </row>
    <row r="1158" spans="1:6" ht="15.75" customHeight="1" x14ac:dyDescent="0.25">
      <c r="A1158" s="1" t="s">
        <v>2186</v>
      </c>
      <c r="B1158" s="1" t="s">
        <v>2187</v>
      </c>
      <c r="C1158" s="1" t="str">
        <f ca="1">IFERROR(__xludf.DUMMYFUNCTION("GOOGLETRANSLATE(B1158,""en"",""ar"")"),"أوامر التجارة الإلكترونية")</f>
        <v>أوامر التجارة الإلكترونية</v>
      </c>
      <c r="D1158" s="1" t="str">
        <f ca="1">IFERROR(__xludf.DUMMYFUNCTION("GOOGLETRANSLATE(B1158,""en"",""zh-CN"")"),"电子商务订单")</f>
        <v>电子商务订单</v>
      </c>
      <c r="E1158" s="1" t="str">
        <f ca="1">IFERROR(__xludf.DUMMYFUNCTION("GOOGLETRANSLATE(B1158,""en"",""ja"")"),"電子商取引命令")</f>
        <v>電子商取引命令</v>
      </c>
      <c r="F1158" s="1" t="str">
        <f ca="1">IFERROR(__xludf.DUMMYFUNCTION("GOOGLETRANSLATE(B1158,""en"",""fr"")"),"Commandes de commerce électronique")</f>
        <v>Commandes de commerce électronique</v>
      </c>
    </row>
    <row r="1159" spans="1:6" ht="15.75" customHeight="1" x14ac:dyDescent="0.25">
      <c r="A1159" s="1" t="s">
        <v>2188</v>
      </c>
      <c r="B1159" s="1" t="s">
        <v>2189</v>
      </c>
      <c r="C1159" s="1" t="str">
        <f ca="1">IFERROR(__xludf.DUMMYFUNCTION("GOOGLETRANSLATE(B1159,""en"",""ar"")"),"أوامر الكمبيوتر اللوحي")</f>
        <v>أوامر الكمبيوتر اللوحي</v>
      </c>
      <c r="D1159" s="1" t="str">
        <f ca="1">IFERROR(__xludf.DUMMYFUNCTION("GOOGLETRANSLATE(B1159,""en"",""zh-CN"")"),"平板电脑订单")</f>
        <v>平板电脑订单</v>
      </c>
      <c r="E1159" s="1" t="str">
        <f ca="1">IFERROR(__xludf.DUMMYFUNCTION("GOOGLETRANSLATE(B1159,""en"",""ja"")"),"タブレット命令")</f>
        <v>タブレット命令</v>
      </c>
      <c r="F1159" s="1" t="str">
        <f ca="1">IFERROR(__xludf.DUMMYFUNCTION("GOOGLETRANSLATE(B1159,""en"",""fr"")"),"Tablette Commandes")</f>
        <v>Tablette Commandes</v>
      </c>
    </row>
    <row r="1160" spans="1:6" ht="15.75" customHeight="1" x14ac:dyDescent="0.25">
      <c r="A1160" s="1" t="s">
        <v>2190</v>
      </c>
      <c r="B1160" s="1" t="s">
        <v>2191</v>
      </c>
      <c r="C1160" s="1" t="str">
        <f ca="1">IFERROR(__xludf.DUMMYFUNCTION("GOOGLETRANSLATE(B1160,""en"",""ar"")"),"حدد تاريخ الجدول")</f>
        <v>حدد تاريخ الجدول</v>
      </c>
      <c r="D1160" s="1" t="str">
        <f ca="1">IFERROR(__xludf.DUMMYFUNCTION("GOOGLETRANSLATE(B1160,""en"",""zh-CN"")"),"选择计划日期")</f>
        <v>选择计划日期</v>
      </c>
      <c r="E1160" s="1" t="str">
        <f ca="1">IFERROR(__xludf.DUMMYFUNCTION("GOOGLETRANSLATE(B1160,""en"",""ja"")"),"スケジュール日付を選択してください")</f>
        <v>スケジュール日付を選択してください</v>
      </c>
      <c r="F1160" s="1" t="str">
        <f ca="1">IFERROR(__xludf.DUMMYFUNCTION("GOOGLETRANSLATE(B1160,""en"",""fr"")"),"Sélectionnez la date de planification")</f>
        <v>Sélectionnez la date de planification</v>
      </c>
    </row>
    <row r="1161" spans="1:6" ht="15.75" customHeight="1" x14ac:dyDescent="0.25">
      <c r="A1161" s="1" t="s">
        <v>2192</v>
      </c>
      <c r="B1161" s="1" t="s">
        <v>2193</v>
      </c>
      <c r="C1161" s="1" t="str">
        <f ca="1">IFERROR(__xludf.DUMMYFUNCTION("GOOGLETRANSLATE(B1161,""en"",""ar"")"),"انتظار الانتظار")</f>
        <v>انتظار الانتظار</v>
      </c>
      <c r="D1161" s="1" t="str">
        <f ca="1">IFERROR(__xludf.DUMMYFUNCTION("GOOGLETRANSLATE(B1161,""en"",""zh-CN"")"),"待队队列")</f>
        <v>待队队列</v>
      </c>
      <c r="E1161" s="1" t="str">
        <f ca="1">IFERROR(__xludf.DUMMYFUNCTION("GOOGLETRANSLATE(B1161,""en"",""ja"")"),"保留中のキュー")</f>
        <v>保留中のキュー</v>
      </c>
      <c r="F1161" s="1" t="str">
        <f ca="1">IFERROR(__xludf.DUMMYFUNCTION("GOOGLETRANSLATE(B1161,""en"",""fr"")"),"Attente en attente")</f>
        <v>Attente en attente</v>
      </c>
    </row>
    <row r="1162" spans="1:6" ht="15.75" customHeight="1" x14ac:dyDescent="0.25">
      <c r="A1162" s="1" t="s">
        <v>2194</v>
      </c>
      <c r="B1162" s="1" t="s">
        <v>2195</v>
      </c>
      <c r="C1162" s="1" t="str">
        <f ca="1">IFERROR(__xludf.DUMMYFUNCTION("GOOGLETRANSLATE(B1162,""en"",""ar"")"),"معلق أوامر العملاء")</f>
        <v>معلق أوامر العملاء</v>
      </c>
      <c r="D1162" s="1" t="str">
        <f ca="1">IFERROR(__xludf.DUMMYFUNCTION("GOOGLETRANSLATE(B1162,""en"",""zh-CN"")"),"待定客户订单")</f>
        <v>待定客户订单</v>
      </c>
      <c r="E1162" s="1" t="str">
        <f ca="1">IFERROR(__xludf.DUMMYFUNCTION("GOOGLETRANSLATE(B1162,""en"",""ja"")"),"保留中の顧客命令")</f>
        <v>保留中の顧客命令</v>
      </c>
      <c r="F1162" s="1" t="str">
        <f ca="1">IFERROR(__xludf.DUMMYFUNCTION("GOOGLETRANSLATE(B1162,""en"",""fr"")"),"En attente de commandes client")</f>
        <v>En attente de commandes client</v>
      </c>
    </row>
    <row r="1163" spans="1:6" ht="15.75" customHeight="1" x14ac:dyDescent="0.25">
      <c r="A1163" s="1" t="s">
        <v>2196</v>
      </c>
      <c r="B1163" s="1" t="s">
        <v>2197</v>
      </c>
      <c r="C1163" s="1" t="str">
        <f ca="1">IFERROR(__xludf.DUMMYFUNCTION("GOOGLETRANSLATE(B1163,""en"",""ar"")"),"معلق أوامر الكمبيوتر اللوحي")</f>
        <v>معلق أوامر الكمبيوتر اللوحي</v>
      </c>
      <c r="D1163" s="1" t="str">
        <f ca="1">IFERROR(__xludf.DUMMYFUNCTION("GOOGLETRANSLATE(B1163,""en"",""zh-CN"")"),"待完成平板订单")</f>
        <v>待完成平板订单</v>
      </c>
      <c r="E1163" s="1" t="str">
        <f ca="1">IFERROR(__xludf.DUMMYFUNCTION("GOOGLETRANSLATE(B1163,""en"",""ja"")"),"ペンディングタブレット命令")</f>
        <v>ペンディングタブレット命令</v>
      </c>
      <c r="F1163" s="1" t="str">
        <f ca="1">IFERROR(__xludf.DUMMYFUNCTION("GOOGLETRANSLATE(B1163,""en"",""fr"")"),"Commandes en attente de tablette")</f>
        <v>Commandes en attente de tablette</v>
      </c>
    </row>
    <row r="1164" spans="1:6" ht="15.75" customHeight="1" x14ac:dyDescent="0.25">
      <c r="A1164" s="1" t="s">
        <v>2198</v>
      </c>
      <c r="B1164" s="1" t="s">
        <v>2199</v>
      </c>
      <c r="C1164" s="1" t="str">
        <f ca="1">IFERROR(__xludf.DUMMYFUNCTION("GOOGLETRANSLATE(B1164,""en"",""ar"")"),"في انتظار أوامر التجارة الإلكترونية")</f>
        <v>في انتظار أوامر التجارة الإلكترونية</v>
      </c>
      <c r="D1164" s="1" t="str">
        <f ca="1">IFERROR(__xludf.DUMMYFUNCTION("GOOGLETRANSLATE(B1164,""en"",""zh-CN"")"),"待定电子商务订单")</f>
        <v>待定电子商务订单</v>
      </c>
      <c r="E1164" s="1" t="str">
        <f ca="1">IFERROR(__xludf.DUMMYFUNCTION("GOOGLETRANSLATE(B1164,""en"",""ja"")"),"Eコマースの注文を保留しています")</f>
        <v>Eコマースの注文を保留しています</v>
      </c>
      <c r="F1164" s="1" t="str">
        <f ca="1">IFERROR(__xludf.DUMMYFUNCTION("GOOGLETRANSLATE(B1164,""en"",""fr"")"),"En attente de commandes de commerce électronique")</f>
        <v>En attente de commandes de commerce électronique</v>
      </c>
    </row>
    <row r="1165" spans="1:6" ht="15.75" customHeight="1" x14ac:dyDescent="0.25">
      <c r="A1165" s="1" t="s">
        <v>2200</v>
      </c>
      <c r="B1165" s="1" t="s">
        <v>2201</v>
      </c>
      <c r="C1165" s="1" t="str">
        <f ca="1">IFERROR(__xludf.DUMMYFUNCTION("GOOGLETRANSLATE(B1165,""en"",""ar"")"),"لم يتم العثور على إيصالات مفتوحة!")</f>
        <v>لم يتم العثور على إيصالات مفتوحة!</v>
      </c>
      <c r="D1165" s="1" t="str">
        <f ca="1">IFERROR(__xludf.DUMMYFUNCTION("GOOGLETRANSLATE(B1165,""en"",""zh-CN"")"),"没有找到打开的收据！")</f>
        <v>没有找到打开的收据！</v>
      </c>
      <c r="E1165" s="1" t="str">
        <f ca="1">IFERROR(__xludf.DUMMYFUNCTION("GOOGLETRANSLATE(B1165,""en"",""ja"")"),"オープンレシートが見つかりませんでした。")</f>
        <v>オープンレシートが見つかりませんでした。</v>
      </c>
      <c r="F1165" s="1" t="str">
        <f ca="1">IFERROR(__xludf.DUMMYFUNCTION("GOOGLETRANSLATE(B1165,""en"",""fr"")"),"Aucun reçu ouvert trouvé!")</f>
        <v>Aucun reçu ouvert trouvé!</v>
      </c>
    </row>
    <row r="1166" spans="1:6" ht="15.75" customHeight="1" x14ac:dyDescent="0.25">
      <c r="A1166" s="1" t="s">
        <v>2202</v>
      </c>
      <c r="B1166" s="1" t="s">
        <v>2203</v>
      </c>
      <c r="C1166" s="1" t="str">
        <f ca="1">IFERROR(__xludf.DUMMYFUNCTION("GOOGLETRANSLATE(B1166,""en"",""ar"")"),"إضافة محطة جديدة")</f>
        <v>إضافة محطة جديدة</v>
      </c>
      <c r="D1166" s="1" t="str">
        <f ca="1">IFERROR(__xludf.DUMMYFUNCTION("GOOGLETRANSLATE(B1166,""en"",""zh-CN"")"),"添加新终端")</f>
        <v>添加新终端</v>
      </c>
      <c r="E1166" s="1" t="str">
        <f ca="1">IFERROR(__xludf.DUMMYFUNCTION("GOOGLETRANSLATE(B1166,""en"",""ja"")"),"新しい端末を追加します")</f>
        <v>新しい端末を追加します</v>
      </c>
      <c r="F1166" s="1" t="str">
        <f ca="1">IFERROR(__xludf.DUMMYFUNCTION("GOOGLETRANSLATE(B1166,""en"",""fr"")"),"Ajouter un nouveau terminal")</f>
        <v>Ajouter un nouveau terminal</v>
      </c>
    </row>
    <row r="1167" spans="1:6" ht="15.75" customHeight="1" x14ac:dyDescent="0.25">
      <c r="A1167" s="1" t="s">
        <v>2204</v>
      </c>
      <c r="B1167" s="1" t="s">
        <v>2205</v>
      </c>
      <c r="C1167" s="1" t="str">
        <f ca="1">IFERROR(__xludf.DUMMYFUNCTION("GOOGLETRANSLATE(B1167,""en"",""ar"")"),"استبدال المحطة")</f>
        <v>استبدال المحطة</v>
      </c>
      <c r="D1167" s="1" t="str">
        <f ca="1">IFERROR(__xludf.DUMMYFUNCTION("GOOGLETRANSLATE(B1167,""en"",""zh-CN"")"),"替换终端")</f>
        <v>替换终端</v>
      </c>
      <c r="E1167" s="1" t="str">
        <f ca="1">IFERROR(__xludf.DUMMYFUNCTION("GOOGLETRANSLATE(B1167,""en"",""ja"")"),"端末を交換します")</f>
        <v>端末を交換します</v>
      </c>
      <c r="F1167" s="1" t="str">
        <f ca="1">IFERROR(__xludf.DUMMYFUNCTION("GOOGLETRANSLATE(B1167,""en"",""fr"")"),"Remplacer le terminal")</f>
        <v>Remplacer le terminal</v>
      </c>
    </row>
    <row r="1168" spans="1:6" ht="15.75" customHeight="1" x14ac:dyDescent="0.25">
      <c r="A1168" s="1" t="s">
        <v>2206</v>
      </c>
      <c r="B1168" s="1" t="s">
        <v>2207</v>
      </c>
      <c r="C1168" s="1" t="str">
        <f ca="1">IFERROR(__xludf.DUMMYFUNCTION("GOOGLETRANSLATE(B1168,""en"",""ar"")"),"بدء النقد")</f>
        <v>بدء النقد</v>
      </c>
      <c r="D1168" s="1" t="str">
        <f ca="1">IFERROR(__xludf.DUMMYFUNCTION("GOOGLETRANSLATE(B1168,""en"",""zh-CN"")"),"从现金开始")</f>
        <v>从现金开始</v>
      </c>
      <c r="E1168" s="1" t="str">
        <f ca="1">IFERROR(__xludf.DUMMYFUNCTION("GOOGLETRANSLATE(B1168,""en"",""ja"")"),"現金を始める")</f>
        <v>現金を始める</v>
      </c>
      <c r="F1168" s="1" t="str">
        <f ca="1">IFERROR(__xludf.DUMMYFUNCTION("GOOGLETRANSLATE(B1168,""en"",""fr"")"),"Trésorerie de départ")</f>
        <v>Trésorerie de départ</v>
      </c>
    </row>
    <row r="1169" spans="1:6" ht="15.75" customHeight="1" x14ac:dyDescent="0.25">
      <c r="A1169" s="1" t="s">
        <v>2208</v>
      </c>
      <c r="B1169" s="1" t="s">
        <v>2209</v>
      </c>
      <c r="C1169" s="1" t="str">
        <f ca="1">IFERROR(__xludf.DUMMYFUNCTION("GOOGLETRANSLATE(B1169,""en"",""ar"")"),"دفعت في")</f>
        <v>دفعت في</v>
      </c>
      <c r="D1169" s="1" t="str">
        <f ca="1">IFERROR(__xludf.DUMMYFUNCTION("GOOGLETRANSLATE(B1169,""en"",""zh-CN"")"),"花费")</f>
        <v>花费</v>
      </c>
      <c r="E1169" s="1" t="str">
        <f ca="1">IFERROR(__xludf.DUMMYFUNCTION("GOOGLETRANSLATE(B1169,""en"",""ja"")"),"paid")</f>
        <v>paid</v>
      </c>
      <c r="F1169" s="1" t="str">
        <f ca="1">IFERROR(__xludf.DUMMYFUNCTION("GOOGLETRANSLATE(B1169,""en"",""fr"")"),"Payé en")</f>
        <v>Payé en</v>
      </c>
    </row>
    <row r="1170" spans="1:6" ht="15.75" customHeight="1" x14ac:dyDescent="0.25">
      <c r="A1170" s="1" t="s">
        <v>2210</v>
      </c>
      <c r="B1170" s="1" t="s">
        <v>2211</v>
      </c>
      <c r="C1170" s="1" t="str">
        <f ca="1">IFERROR(__xludf.DUMMYFUNCTION("GOOGLETRANSLATE(B1170,""en"",""ar"")"),"دفع")</f>
        <v>دفع</v>
      </c>
      <c r="D1170" s="1" t="str">
        <f ca="1">IFERROR(__xludf.DUMMYFUNCTION("GOOGLETRANSLATE(B1170,""en"",""zh-CN"")"),"支付")</f>
        <v>支付</v>
      </c>
      <c r="E1170" s="1" t="str">
        <f ca="1">IFERROR(__xludf.DUMMYFUNCTION("GOOGLETRANSLATE(B1170,""en"",""ja"")"),"支払われる")</f>
        <v>支払われる</v>
      </c>
      <c r="F1170" s="1" t="str">
        <f ca="1">IFERROR(__xludf.DUMMYFUNCTION("GOOGLETRANSLATE(B1170,""en"",""fr"")"),"Payé")</f>
        <v>Payé</v>
      </c>
    </row>
    <row r="1171" spans="1:6" ht="15.75" customHeight="1" x14ac:dyDescent="0.25">
      <c r="A1171" s="1" t="s">
        <v>2212</v>
      </c>
      <c r="B1171" s="1" t="s">
        <v>2213</v>
      </c>
      <c r="C1171" s="1" t="str">
        <f ca="1">IFERROR(__xludf.DUMMYFUNCTION("GOOGLETRANSLATE(B1171,""en"",""ar"")"),"المبلغ النقدي المتوقع")</f>
        <v>المبلغ النقدي المتوقع</v>
      </c>
      <c r="D1171" s="1" t="str">
        <f ca="1">IFERROR(__xludf.DUMMYFUNCTION("GOOGLETRANSLATE(B1171,""en"",""zh-CN"")"),"预期现金金额")</f>
        <v>预期现金金额</v>
      </c>
      <c r="E1171" s="1" t="str">
        <f ca="1">IFERROR(__xludf.DUMMYFUNCTION("GOOGLETRANSLATE(B1171,""en"",""ja"")"),"予想現金額")</f>
        <v>予想現金額</v>
      </c>
      <c r="F1171" s="1" t="str">
        <f ca="1">IFERROR(__xludf.DUMMYFUNCTION("GOOGLETRANSLATE(B1171,""en"",""fr"")"),"Montant en espèces attendu")</f>
        <v>Montant en espèces attendu</v>
      </c>
    </row>
    <row r="1172" spans="1:6" ht="15.75" customHeight="1" x14ac:dyDescent="0.25">
      <c r="A1172" s="1" t="s">
        <v>2214</v>
      </c>
      <c r="B1172" s="1" t="s">
        <v>2215</v>
      </c>
      <c r="C1172" s="1" t="str">
        <f ca="1">IFERROR(__xludf.DUMMYFUNCTION("GOOGLETRANSLATE(B1172,""en"",""ar"")"),"الضرائب")</f>
        <v>الضرائب</v>
      </c>
      <c r="D1172" s="1" t="str">
        <f ca="1">IFERROR(__xludf.DUMMYFUNCTION("GOOGLETRANSLATE(B1172,""en"",""zh-CN"")"),"税收")</f>
        <v>税收</v>
      </c>
      <c r="E1172" s="1" t="str">
        <f ca="1">IFERROR(__xludf.DUMMYFUNCTION("GOOGLETRANSLATE(B1172,""en"",""ja"")"),"税金")</f>
        <v>税金</v>
      </c>
      <c r="F1172" s="1" t="str">
        <f ca="1">IFERROR(__xludf.DUMMYFUNCTION("GOOGLETRANSLATE(B1172,""en"",""fr"")"),"Taxes")</f>
        <v>Taxes</v>
      </c>
    </row>
    <row r="1173" spans="1:6" ht="15.75" customHeight="1" x14ac:dyDescent="0.25">
      <c r="A1173" s="1" t="s">
        <v>2216</v>
      </c>
      <c r="B1173" s="1" t="s">
        <v>1036</v>
      </c>
      <c r="C1173" s="1" t="str">
        <f ca="1">IFERROR(__xludf.DUMMYFUNCTION("GOOGLETRANSLATE(B1173,""en"",""ar"")"),"شحنة")</f>
        <v>شحنة</v>
      </c>
      <c r="D1173" s="1" t="str">
        <f ca="1">IFERROR(__xludf.DUMMYFUNCTION("GOOGLETRANSLATE(B1173,""en"",""zh-CN"")"),"收费")</f>
        <v>收费</v>
      </c>
      <c r="E1173" s="1" t="str">
        <f ca="1">IFERROR(__xludf.DUMMYFUNCTION("GOOGLETRANSLATE(B1173,""en"",""ja"")"),"充電")</f>
        <v>充電</v>
      </c>
      <c r="F1173" s="1" t="str">
        <f ca="1">IFERROR(__xludf.DUMMYFUNCTION("GOOGLETRANSLATE(B1173,""en"",""fr"")"),"Des charges")</f>
        <v>Des charges</v>
      </c>
    </row>
    <row r="1174" spans="1:6" ht="15.75" customHeight="1" x14ac:dyDescent="0.25">
      <c r="A1174" s="1" t="s">
        <v>2217</v>
      </c>
      <c r="B1174" s="1" t="s">
        <v>2218</v>
      </c>
      <c r="C1174" s="1" t="str">
        <f ca="1">IFERROR(__xludf.DUMMYFUNCTION("GOOGLETRANSLATE(B1174,""en"",""ar"")"),"إدارة النقود")</f>
        <v>إدارة النقود</v>
      </c>
      <c r="D1174" s="1" t="str">
        <f ca="1">IFERROR(__xludf.DUMMYFUNCTION("GOOGLETRANSLATE(B1174,""en"",""zh-CN"")"),"现金管理")</f>
        <v>现金管理</v>
      </c>
      <c r="E1174" s="1" t="str">
        <f ca="1">IFERROR(__xludf.DUMMYFUNCTION("GOOGLETRANSLATE(B1174,""en"",""ja"")"),"現金管理")</f>
        <v>現金管理</v>
      </c>
      <c r="F1174" s="1" t="str">
        <f ca="1">IFERROR(__xludf.DUMMYFUNCTION("GOOGLETRANSLATE(B1174,""en"",""fr"")"),"Gestion de la trésorerie")</f>
        <v>Gestion de la trésorerie</v>
      </c>
    </row>
    <row r="1175" spans="1:6" ht="15.75" customHeight="1" x14ac:dyDescent="0.25">
      <c r="A1175" s="1" t="s">
        <v>2219</v>
      </c>
      <c r="B1175" s="1" t="s">
        <v>2220</v>
      </c>
      <c r="C1175" s="1" t="str">
        <f ca="1">IFERROR(__xludf.DUMMYFUNCTION("GOOGLETRANSLATE(B1175,""en"",""ar"")"),"إجمالي المبيعات")</f>
        <v>إجمالي المبيعات</v>
      </c>
      <c r="D1175" s="1" t="str">
        <f ca="1">IFERROR(__xludf.DUMMYFUNCTION("GOOGLETRANSLATE(B1175,""en"",""zh-CN"")"),"总销售额")</f>
        <v>总销售额</v>
      </c>
      <c r="E1175" s="1" t="str">
        <f ca="1">IFERROR(__xludf.DUMMYFUNCTION("GOOGLETRANSLATE(B1175,""en"",""ja"")"),"総売上高")</f>
        <v>総売上高</v>
      </c>
      <c r="F1175" s="1" t="str">
        <f ca="1">IFERROR(__xludf.DUMMYFUNCTION("GOOGLETRANSLATE(B1175,""en"",""fr"")"),"Ventes brutes")</f>
        <v>Ventes brutes</v>
      </c>
    </row>
    <row r="1176" spans="1:6" ht="15.75" customHeight="1" x14ac:dyDescent="0.25">
      <c r="A1176" s="1" t="s">
        <v>2221</v>
      </c>
      <c r="B1176" s="1" t="s">
        <v>2222</v>
      </c>
      <c r="C1176" s="1" t="str">
        <f ca="1">IFERROR(__xludf.DUMMYFUNCTION("GOOGLETRANSLATE(B1176,""en"",""ar"")"),"صافي المبيعات")</f>
        <v>صافي المبيعات</v>
      </c>
      <c r="D1176" s="1" t="str">
        <f ca="1">IFERROR(__xludf.DUMMYFUNCTION("GOOGLETRANSLATE(B1176,""en"",""zh-CN"")"),"净销售额")</f>
        <v>净销售额</v>
      </c>
      <c r="E1176" s="1" t="str">
        <f ca="1">IFERROR(__xludf.DUMMYFUNCTION("GOOGLETRANSLATE(B1176,""en"",""ja"")"),"純売上高")</f>
        <v>純売上高</v>
      </c>
      <c r="F1176" s="1" t="str">
        <f ca="1">IFERROR(__xludf.DUMMYFUNCTION("GOOGLETRANSLATE(B1176,""en"",""fr"")"),"Ventes nettes")</f>
        <v>Ventes nettes</v>
      </c>
    </row>
    <row r="1177" spans="1:6" ht="15.75" customHeight="1" x14ac:dyDescent="0.25">
      <c r="A1177" s="1" t="s">
        <v>2223</v>
      </c>
      <c r="B1177" s="1" t="s">
        <v>2224</v>
      </c>
      <c r="C1177" s="1" t="str">
        <f ca="1">IFERROR(__xludf.DUMMYFUNCTION("GOOGLETRANSLATE(B1177,""en"",""ar"")"),"سيصرف")</f>
        <v>سيصرف</v>
      </c>
      <c r="D1177" s="1" t="str">
        <f ca="1">IFERROR(__xludf.DUMMYFUNCTION("GOOGLETRANSLATE(B1177,""en"",""zh-CN"")"),"付出")</f>
        <v>付出</v>
      </c>
      <c r="E1177" s="1" t="str">
        <f ca="1">IFERROR(__xludf.DUMMYFUNCTION("GOOGLETRANSLATE(B1177,""en"",""ja"")"),"pay")</f>
        <v>pay</v>
      </c>
      <c r="F1177" s="1" t="str">
        <f ca="1">IFERROR(__xludf.DUMMYFUNCTION("GOOGLETRANSLATE(B1177,""en"",""fr"")"),"Payer")</f>
        <v>Payer</v>
      </c>
    </row>
    <row r="1178" spans="1:6" ht="15.75" customHeight="1" x14ac:dyDescent="0.25">
      <c r="A1178" s="1" t="s">
        <v>2225</v>
      </c>
      <c r="B1178" s="1" t="s">
        <v>2226</v>
      </c>
      <c r="C1178" s="1" t="str">
        <f ca="1">IFERROR(__xludf.DUMMYFUNCTION("GOOGLETRANSLATE(B1178,""en"",""ar"")"),"دفع في")</f>
        <v>دفع في</v>
      </c>
      <c r="D1178" s="1" t="str">
        <f ca="1">IFERROR(__xludf.DUMMYFUNCTION("GOOGLETRANSLATE(B1178,""en"",""zh-CN"")"),"支付")</f>
        <v>支付</v>
      </c>
      <c r="E1178" s="1" t="str">
        <f ca="1">IFERROR(__xludf.DUMMYFUNCTION("GOOGLETRANSLATE(B1178,""en"",""ja"")"),"払う")</f>
        <v>払う</v>
      </c>
      <c r="F1178" s="1" t="str">
        <f ca="1">IFERROR(__xludf.DUMMYFUNCTION("GOOGLETRANSLATE(B1178,""en"",""fr"")"),"Payer en")</f>
        <v>Payer en</v>
      </c>
    </row>
    <row r="1179" spans="1:6" ht="15.75" customHeight="1" x14ac:dyDescent="0.25">
      <c r="A1179" s="1" t="s">
        <v>2227</v>
      </c>
      <c r="B1179" s="1" t="s">
        <v>2228</v>
      </c>
      <c r="C1179" s="1" t="str">
        <f ca="1">IFERROR(__xludf.DUMMYFUNCTION("GOOGLETRANSLATE(B1179,""en"",""ar"")"),"المبلغ النقدية الفعلية")</f>
        <v>المبلغ النقدية الفعلية</v>
      </c>
      <c r="D1179" s="1" t="str">
        <f ca="1">IFERROR(__xludf.DUMMYFUNCTION("GOOGLETRANSLATE(B1179,""en"",""zh-CN"")"),"实际现金金额")</f>
        <v>实际现金金额</v>
      </c>
      <c r="E1179" s="1" t="str">
        <f ca="1">IFERROR(__xludf.DUMMYFUNCTION("GOOGLETRANSLATE(B1179,""en"",""ja"")"),"実際の現金額")</f>
        <v>実際の現金額</v>
      </c>
      <c r="F1179" s="1" t="str">
        <f ca="1">IFERROR(__xludf.DUMMYFUNCTION("GOOGLETRANSLATE(B1179,""en"",""fr"")"),"Montant en espèces réel")</f>
        <v>Montant en espèces réel</v>
      </c>
    </row>
    <row r="1180" spans="1:6" ht="15.75" customHeight="1" x14ac:dyDescent="0.25">
      <c r="A1180" s="1" t="s">
        <v>2229</v>
      </c>
      <c r="B1180" s="1" t="s">
        <v>2230</v>
      </c>
      <c r="C1180" s="1" t="str">
        <f ca="1">IFERROR(__xludf.DUMMYFUNCTION("GOOGLETRANSLATE(B1180,""en"",""ar"")"),"اختلاف")</f>
        <v>اختلاف</v>
      </c>
      <c r="D1180" s="1" t="str">
        <f ca="1">IFERROR(__xludf.DUMMYFUNCTION("GOOGLETRANSLATE(B1180,""en"",""zh-CN"")"),"不同之处")</f>
        <v>不同之处</v>
      </c>
      <c r="E1180" s="1" t="str">
        <f ca="1">IFERROR(__xludf.DUMMYFUNCTION("GOOGLETRANSLATE(B1180,""en"",""ja"")"),"違い")</f>
        <v>違い</v>
      </c>
      <c r="F1180" s="1" t="str">
        <f ca="1">IFERROR(__xludf.DUMMYFUNCTION("GOOGLETRANSLATE(B1180,""en"",""fr"")"),"Différence")</f>
        <v>Différence</v>
      </c>
    </row>
    <row r="1181" spans="1:6" ht="15.75" customHeight="1" x14ac:dyDescent="0.25">
      <c r="A1181" s="1" t="s">
        <v>2231</v>
      </c>
      <c r="B1181" s="1" t="s">
        <v>2232</v>
      </c>
      <c r="C1181" s="1" t="str">
        <f ca="1">IFERROR(__xludf.DUMMYFUNCTION("GOOGLETRANSLATE(B1181,""en"",""ar"")"),"اطبع تقرير")</f>
        <v>اطبع تقرير</v>
      </c>
      <c r="D1181" s="1" t="str">
        <f ca="1">IFERROR(__xludf.DUMMYFUNCTION("GOOGLETRANSLATE(B1181,""en"",""zh-CN"")"),"打印报告")</f>
        <v>打印报告</v>
      </c>
      <c r="E1181" s="1" t="str">
        <f ca="1">IFERROR(__xludf.DUMMYFUNCTION("GOOGLETRANSLATE(B1181,""en"",""ja"")"),"印刷レポート")</f>
        <v>印刷レポート</v>
      </c>
      <c r="F1181" s="1" t="str">
        <f ca="1">IFERROR(__xludf.DUMMYFUNCTION("GOOGLETRANSLATE(B1181,""en"",""fr"")"),"Rapport d'impression")</f>
        <v>Rapport d'impression</v>
      </c>
    </row>
    <row r="1182" spans="1:6" ht="15.75" customHeight="1" x14ac:dyDescent="0.25">
      <c r="A1182" s="1" t="s">
        <v>2233</v>
      </c>
      <c r="B1182" s="1" t="s">
        <v>2234</v>
      </c>
      <c r="C1182" s="1" t="str">
        <f ca="1">IFERROR(__xludf.DUMMYFUNCTION("GOOGLETRANSLATE(B1182,""en"",""ar"")"),"أدخل في اليوم التالي بدء المبلغ النقدي")</f>
        <v>أدخل في اليوم التالي بدء المبلغ النقدي</v>
      </c>
      <c r="D1182" s="1" t="str">
        <f ca="1">IFERROR(__xludf.DUMMYFUNCTION("GOOGLETRANSLATE(B1182,""en"",""zh-CN"")"),"输入第二天开始现金金额")</f>
        <v>输入第二天开始现金金额</v>
      </c>
      <c r="E1182" s="1" t="str">
        <f ca="1">IFERROR(__xludf.DUMMYFUNCTION("GOOGLETRANSLATE(B1182,""en"",""ja"")"),"翌日の現金額を始めてください")</f>
        <v>翌日の現金額を始めてください</v>
      </c>
      <c r="F1182" s="1" t="str">
        <f ca="1">IFERROR(__xludf.DUMMYFUNCTION("GOOGLETRANSLATE(B1182,""en"",""fr"")"),"Entrez le montant de l'argent de départ suivant")</f>
        <v>Entrez le montant de l'argent de départ suivant</v>
      </c>
    </row>
    <row r="1183" spans="1:6" ht="15.75" customHeight="1" x14ac:dyDescent="0.25">
      <c r="A1183" s="1" t="s">
        <v>2235</v>
      </c>
      <c r="B1183" s="1" t="s">
        <v>2213</v>
      </c>
      <c r="C1183" s="1" t="str">
        <f ca="1">IFERROR(__xludf.DUMMYFUNCTION("GOOGLETRANSLATE(B1183,""en"",""ar"")"),"المبلغ النقدي المتوقع")</f>
        <v>المبلغ النقدي المتوقع</v>
      </c>
      <c r="D1183" s="1" t="str">
        <f ca="1">IFERROR(__xludf.DUMMYFUNCTION("GOOGLETRANSLATE(B1183,""en"",""zh-CN"")"),"预期现金金额")</f>
        <v>预期现金金额</v>
      </c>
      <c r="E1183" s="1" t="str">
        <f ca="1">IFERROR(__xludf.DUMMYFUNCTION("GOOGLETRANSLATE(B1183,""en"",""ja"")"),"予想現金額")</f>
        <v>予想現金額</v>
      </c>
      <c r="F1183" s="1" t="str">
        <f ca="1">IFERROR(__xludf.DUMMYFUNCTION("GOOGLETRANSLATE(B1183,""en"",""fr"")"),"Montant en espèces attendu")</f>
        <v>Montant en espèces attendu</v>
      </c>
    </row>
    <row r="1184" spans="1:6" ht="15.75" customHeight="1" x14ac:dyDescent="0.25">
      <c r="A1184" s="1" t="s">
        <v>2236</v>
      </c>
      <c r="B1184" s="1" t="s">
        <v>2237</v>
      </c>
      <c r="C1184" s="1" t="str">
        <f ca="1">IFERROR(__xludf.DUMMYFUNCTION("GOOGLETRANSLATE(B1184,""en"",""ar"")"),"درج النقود")</f>
        <v>درج النقود</v>
      </c>
      <c r="D1184" s="1" t="str">
        <f ca="1">IFERROR(__xludf.DUMMYFUNCTION("GOOGLETRANSLATE(B1184,""en"",""zh-CN"")"),"现金抽屉")</f>
        <v>现金抽屉</v>
      </c>
      <c r="E1184" s="1" t="str">
        <f ca="1">IFERROR(__xludf.DUMMYFUNCTION("GOOGLETRANSLATE(B1184,""en"",""ja"")"),"キャッシュドロワー")</f>
        <v>キャッシュドロワー</v>
      </c>
      <c r="F1184" s="1" t="str">
        <f ca="1">IFERROR(__xludf.DUMMYFUNCTION("GOOGLETRANSLATE(B1184,""en"",""fr"")"),"Tiroir-caisse")</f>
        <v>Tiroir-caisse</v>
      </c>
    </row>
    <row r="1185" spans="1:6" ht="15.75" customHeight="1" x14ac:dyDescent="0.25">
      <c r="A1185" s="1" t="s">
        <v>2238</v>
      </c>
      <c r="B1185" s="1" t="s">
        <v>2239</v>
      </c>
      <c r="C1185" s="1" t="str">
        <f ca="1">IFERROR(__xludf.DUMMYFUNCTION("GOOGLETRANSLATE(B1185,""en"",""ar"")"),"المبالغ المستردة")</f>
        <v>المبالغ المستردة</v>
      </c>
      <c r="D1185" s="1" t="str">
        <f ca="1">IFERROR(__xludf.DUMMYFUNCTION("GOOGLETRANSLATE(B1185,""en"",""zh-CN"")"),"退款")</f>
        <v>退款</v>
      </c>
      <c r="E1185" s="1" t="str">
        <f ca="1">IFERROR(__xludf.DUMMYFUNCTION("GOOGLETRANSLATE(B1185,""en"",""ja"")"),"払い戻し")</f>
        <v>払い戻し</v>
      </c>
      <c r="F1185" s="1" t="str">
        <f ca="1">IFERROR(__xludf.DUMMYFUNCTION("GOOGLETRANSLATE(B1185,""en"",""fr"")"),"Remboursement")</f>
        <v>Remboursement</v>
      </c>
    </row>
    <row r="1186" spans="1:6" ht="15.75" customHeight="1" x14ac:dyDescent="0.25">
      <c r="A1186" s="1" t="s">
        <v>2240</v>
      </c>
      <c r="B1186" s="1" t="s">
        <v>2241</v>
      </c>
      <c r="C1186" s="1" t="str">
        <f ca="1">IFERROR(__xludf.DUMMYFUNCTION("GOOGLETRANSLATE(B1186,""en"",""ar"")"),"استرداد")</f>
        <v>استرداد</v>
      </c>
      <c r="D1186" s="1" t="str">
        <f ca="1">IFERROR(__xludf.DUMMYFUNCTION("GOOGLETRANSLATE(B1186,""en"",""zh-CN"")"),"退款")</f>
        <v>退款</v>
      </c>
      <c r="E1186" s="1" t="str">
        <f ca="1">IFERROR(__xludf.DUMMYFUNCTION("GOOGLETRANSLATE(B1186,""en"",""ja"")"),"返金")</f>
        <v>返金</v>
      </c>
      <c r="F1186" s="1" t="str">
        <f ca="1">IFERROR(__xludf.DUMMYFUNCTION("GOOGLETRANSLATE(B1186,""en"",""fr"")"),"Rembourser")</f>
        <v>Rembourser</v>
      </c>
    </row>
    <row r="1187" spans="1:6" ht="15.75" customHeight="1" x14ac:dyDescent="0.25">
      <c r="A1187" s="1" t="s">
        <v>2242</v>
      </c>
      <c r="B1187" s="1" t="s">
        <v>2243</v>
      </c>
      <c r="C1187" s="1" t="str">
        <f ca="1">IFERROR(__xludf.DUMMYFUNCTION("GOOGLETRANSLATE(B1187,""en"",""ar"")"),"خصومات")</f>
        <v>خصومات</v>
      </c>
      <c r="D1187" s="1" t="str">
        <f ca="1">IFERROR(__xludf.DUMMYFUNCTION("GOOGLETRANSLATE(B1187,""en"",""zh-CN"")"),"折扣")</f>
        <v>折扣</v>
      </c>
      <c r="E1187" s="1" t="str">
        <f ca="1">IFERROR(__xludf.DUMMYFUNCTION("GOOGLETRANSLATE(B1187,""en"",""ja"")"),"割引")</f>
        <v>割引</v>
      </c>
      <c r="F1187" s="1" t="str">
        <f ca="1">IFERROR(__xludf.DUMMYFUNCTION("GOOGLETRANSLATE(B1187,""en"",""fr"")"),"Rabais")</f>
        <v>Rabais</v>
      </c>
    </row>
    <row r="1188" spans="1:6" ht="15.75" customHeight="1" x14ac:dyDescent="0.25">
      <c r="A1188" s="1" t="s">
        <v>2244</v>
      </c>
      <c r="B1188" s="1" t="s">
        <v>2245</v>
      </c>
      <c r="C1188" s="1" t="str">
        <f ca="1">IFERROR(__xludf.DUMMYFUNCTION("GOOGLETRANSLATE(B1188,""en"",""ar"")"),"التحول مغلق")</f>
        <v>التحول مغلق</v>
      </c>
      <c r="D1188" s="1" t="str">
        <f ca="1">IFERROR(__xludf.DUMMYFUNCTION("GOOGLETRANSLATE(B1188,""en"",""zh-CN"")"),"转变关闭")</f>
        <v>转变关闭</v>
      </c>
      <c r="E1188" s="1" t="str">
        <f ca="1">IFERROR(__xludf.DUMMYFUNCTION("GOOGLETRANSLATE(B1188,""en"",""ja"")"),"シフトが終了します")</f>
        <v>シフトが終了します</v>
      </c>
      <c r="F1188" s="1" t="str">
        <f ca="1">IFERROR(__xludf.DUMMYFUNCTION("GOOGLETRANSLATE(B1188,""en"",""fr"")"),"Le changement est fermé")</f>
        <v>Le changement est fermé</v>
      </c>
    </row>
    <row r="1189" spans="1:6" ht="15.75" customHeight="1" x14ac:dyDescent="0.25">
      <c r="A1189" s="1" t="s">
        <v>2246</v>
      </c>
      <c r="B1189" s="1" t="s">
        <v>2247</v>
      </c>
      <c r="C1189" s="1" t="str">
        <f ca="1">IFERROR(__xludf.DUMMYFUNCTION("GOOGLETRANSLATE(B1189,""en"",""ar"")"),"التحول المفتوح للمتابعة")</f>
        <v>التحول المفتوح للمتابعة</v>
      </c>
      <c r="D1189" s="1" t="str">
        <f ca="1">IFERROR(__xludf.DUMMYFUNCTION("GOOGLETRANSLATE(B1189,""en"",""zh-CN"")"),"开放转移继续")</f>
        <v>开放转移继续</v>
      </c>
      <c r="E1189" s="1" t="str">
        <f ca="1">IFERROR(__xludf.DUMMYFUNCTION("GOOGLETRANSLATE(B1189,""en"",""ja"")"),"続行するにはオープンシフト")</f>
        <v>続行するにはオープンシフト</v>
      </c>
      <c r="F1189" s="1" t="str">
        <f ca="1">IFERROR(__xludf.DUMMYFUNCTION("GOOGLETRANSLATE(B1189,""en"",""fr"")"),"Décalage ouvert pour continuer")</f>
        <v>Décalage ouvert pour continuer</v>
      </c>
    </row>
    <row r="1190" spans="1:6" ht="15.75" customHeight="1" x14ac:dyDescent="0.25">
      <c r="A1190" s="1" t="s">
        <v>2248</v>
      </c>
      <c r="B1190" s="1" t="s">
        <v>2249</v>
      </c>
      <c r="C1190" s="1" t="str">
        <f ca="1">IFERROR(__xludf.DUMMYFUNCTION("GOOGLETRANSLATE(B1190,""en"",""ar"")"),"بدء التحول للمتابعة")</f>
        <v>بدء التحول للمتابعة</v>
      </c>
      <c r="D1190" s="1" t="str">
        <f ca="1">IFERROR(__xludf.DUMMYFUNCTION("GOOGLETRANSLATE(B1190,""en"",""zh-CN"")"),"开始转移继续")</f>
        <v>开始转移继续</v>
      </c>
      <c r="E1190" s="1" t="str">
        <f ca="1">IFERROR(__xludf.DUMMYFUNCTION("GOOGLETRANSLATE(B1190,""en"",""ja"")"),"続行を開始します")</f>
        <v>続行を開始します</v>
      </c>
      <c r="F1190" s="1" t="str">
        <f ca="1">IFERROR(__xludf.DUMMYFUNCTION("GOOGLETRANSLATE(B1190,""en"",""fr"")"),"Commencer à passer pour continuer")</f>
        <v>Commencer à passer pour continuer</v>
      </c>
    </row>
    <row r="1191" spans="1:6" ht="15.75" customHeight="1" x14ac:dyDescent="0.25">
      <c r="A1191" s="1" t="s">
        <v>2250</v>
      </c>
      <c r="B1191" s="1" t="s">
        <v>2251</v>
      </c>
      <c r="C1191" s="1" t="str">
        <f ca="1">IFERROR(__xludf.DUMMYFUNCTION("GOOGLETRANSLATE(B1191,""en"",""ar"")"),"استكشاف المزيد من الميزات في BackOffice")</f>
        <v>استكشاف المزيد من الميزات في BackOffice</v>
      </c>
      <c r="D1191" s="1" t="str">
        <f ca="1">IFERROR(__xludf.DUMMYFUNCTION("GOOGLETRANSLATE(B1191,""en"",""zh-CN"")"),"探索BackOffice的更多功能")</f>
        <v>探索BackOffice的更多功能</v>
      </c>
      <c r="E1191" s="1" t="str">
        <f ca="1">IFERROR(__xludf.DUMMYFUNCTION("GOOGLETRANSLATE(B1191,""en"",""ja"")"),"Backofficeの詳細情報を見る")</f>
        <v>Backofficeの詳細情報を見る</v>
      </c>
      <c r="F1191" s="1" t="str">
        <f ca="1">IFERROR(__xludf.DUMMYFUNCTION("GOOGLETRANSLATE(B1191,""en"",""fr"")"),"Explorez plus de fonctionnalités dans BackOffice")</f>
        <v>Explorez plus de fonctionnalités dans BackOffice</v>
      </c>
    </row>
    <row r="1192" spans="1:6" ht="15.75" customHeight="1" x14ac:dyDescent="0.25">
      <c r="A1192" s="1" t="s">
        <v>2252</v>
      </c>
      <c r="B1192" s="1" t="s">
        <v>2253</v>
      </c>
      <c r="C1192" s="1" t="str">
        <f ca="1">IFERROR(__xludf.DUMMYFUNCTION("GOOGLETRANSLATE(B1192,""en"",""ar"")"),"بدء المبلغ النقدي")</f>
        <v>بدء المبلغ النقدي</v>
      </c>
      <c r="D1192" s="1" t="str">
        <f ca="1">IFERROR(__xludf.DUMMYFUNCTION("GOOGLETRANSLATE(B1192,""en"",""zh-CN"")"),"开始现金金额")</f>
        <v>开始现金金额</v>
      </c>
      <c r="E1192" s="1" t="str">
        <f ca="1">IFERROR(__xludf.DUMMYFUNCTION("GOOGLETRANSLATE(B1192,""en"",""ja"")"),"現金額の開始")</f>
        <v>現金額の開始</v>
      </c>
      <c r="F1192" s="1" t="str">
        <f ca="1">IFERROR(__xludf.DUMMYFUNCTION("GOOGLETRANSLATE(B1192,""en"",""fr"")"),"Montant en espèces de départ")</f>
        <v>Montant en espèces de départ</v>
      </c>
    </row>
    <row r="1193" spans="1:6" ht="15.75" customHeight="1" x14ac:dyDescent="0.25">
      <c r="A1193" s="1" t="s">
        <v>2254</v>
      </c>
      <c r="B1193" s="1" t="s">
        <v>2255</v>
      </c>
      <c r="C1193" s="1" t="str">
        <f ca="1">IFERROR(__xludf.DUMMYFUNCTION("GOOGLETRANSLATE(B1193,""en"",""ar"")"),"دفع في / الدفع")</f>
        <v>دفع في / الدفع</v>
      </c>
      <c r="D1193" s="1" t="str">
        <f ca="1">IFERROR(__xludf.DUMMYFUNCTION("GOOGLETRANSLATE(B1193,""en"",""zh-CN"")"),"支付/支付")</f>
        <v>支付/支付</v>
      </c>
      <c r="E1193" s="1" t="str">
        <f ca="1">IFERROR(__xludf.DUMMYFUNCTION("GOOGLETRANSLATE(B1193,""en"",""ja"")"),"給料を支払う/支払う")</f>
        <v>給料を支払う/支払う</v>
      </c>
      <c r="F1193" s="1" t="str">
        <f ca="1">IFERROR(__xludf.DUMMYFUNCTION("GOOGLETRANSLATE(B1193,""en"",""fr"")"),"Payer / payer")</f>
        <v>Payer / payer</v>
      </c>
    </row>
    <row r="1194" spans="1:6" ht="15.75" customHeight="1" x14ac:dyDescent="0.25">
      <c r="A1194" s="1" t="s">
        <v>2256</v>
      </c>
      <c r="B1194" s="1" t="s">
        <v>2257</v>
      </c>
      <c r="C1194" s="1" t="str">
        <f ca="1">IFERROR(__xludf.DUMMYFUNCTION("GOOGLETRANSLATE(B1194,""en"",""ar"")")," يرجى تحديث محطة الخاص بك في أحدث إصدار")</f>
        <v xml:space="preserve"> يرجى تحديث محطة الخاص بك في أحدث إصدار</v>
      </c>
      <c r="D1194" s="1" t="str">
        <f ca="1">IFERROR(__xludf.DUMMYFUNCTION("GOOGLETRANSLATE(B1194,""en"",""zh-CN"")")," 请将您的终端更新为最新版本")</f>
        <v xml:space="preserve"> 请将您的终端更新为最新版本</v>
      </c>
      <c r="E1194" s="1" t="str">
        <f ca="1">IFERROR(__xludf.DUMMYFUNCTION("GOOGLETRANSLATE(B1194,""en"",""ja"")")," ターミナルを最新バージョンに更新してください")</f>
        <v xml:space="preserve"> ターミナルを最新バージョンに更新してください</v>
      </c>
      <c r="F1194" s="1" t="str">
        <f ca="1">IFERROR(__xludf.DUMMYFUNCTION("GOOGLETRANSLATE(B1194,""en"",""fr"")")," Veuillez mettre à jour votre terminal dans la dernière version")</f>
        <v xml:space="preserve"> Veuillez mettre à jour votre terminal dans la dernière version</v>
      </c>
    </row>
    <row r="1195" spans="1:6" ht="15.75" customHeight="1" x14ac:dyDescent="0.25">
      <c r="A1195" s="1" t="s">
        <v>2258</v>
      </c>
      <c r="B1195" s="1" t="s">
        <v>2259</v>
      </c>
      <c r="C1195" s="1" t="str">
        <f ca="1">IFERROR(__xludf.DUMMYFUNCTION("GOOGLETRANSLATE(B1195,""en"",""ar"")"),"نوع الدفع Wise Sale")</f>
        <v>نوع الدفع Wise Sale</v>
      </c>
      <c r="D1195" s="1" t="str">
        <f ca="1">IFERROR(__xludf.DUMMYFUNCTION("GOOGLETRANSLATE(B1195,""en"",""zh-CN"")"),"付款类型明智销售")</f>
        <v>付款类型明智销售</v>
      </c>
      <c r="E1195" s="1" t="str">
        <f ca="1">IFERROR(__xludf.DUMMYFUNCTION("GOOGLETRANSLATE(B1195,""en"",""ja"")"),"支払いタイプ賢明な売却")</f>
        <v>支払いタイプ賢明な売却</v>
      </c>
      <c r="F1195" s="1" t="str">
        <f ca="1">IFERROR(__xludf.DUMMYFUNCTION("GOOGLETRANSLATE(B1195,""en"",""fr"")"),"Type de paiement Site sage")</f>
        <v>Type de paiement Site sage</v>
      </c>
    </row>
    <row r="1196" spans="1:6" ht="15.75" customHeight="1" x14ac:dyDescent="0.25">
      <c r="A1196" s="1" t="s">
        <v>2260</v>
      </c>
      <c r="B1196" s="1" t="s">
        <v>2261</v>
      </c>
      <c r="C1196" s="1" t="str">
        <f ca="1">IFERROR(__xludf.DUMMYFUNCTION("GOOGLETRANSLATE(B1196,""en"",""ar"")"),"مجموع العطاء")</f>
        <v>مجموع العطاء</v>
      </c>
      <c r="D1196" s="1" t="str">
        <f ca="1">IFERROR(__xludf.DUMMYFUNCTION("GOOGLETRANSLATE(B1196,""en"",""zh-CN"")"),"招标总数")</f>
        <v>招标总数</v>
      </c>
      <c r="E1196" s="1" t="str">
        <f ca="1">IFERROR(__xludf.DUMMYFUNCTION("GOOGLETRANSLATE(B1196,""en"",""ja"")"),"合計入札")</f>
        <v>合計入札</v>
      </c>
      <c r="F1196" s="1" t="str">
        <f ca="1">IFERROR(__xludf.DUMMYFUNCTION("GOOGLETRANSLATE(B1196,""en"",""fr"")"),"Total offert")</f>
        <v>Total offert</v>
      </c>
    </row>
    <row r="1197" spans="1:6" ht="15.75" customHeight="1" x14ac:dyDescent="0.25">
      <c r="A1197" s="1" t="s">
        <v>2262</v>
      </c>
      <c r="B1197" s="1" t="s">
        <v>1486</v>
      </c>
      <c r="C1197" s="1" t="str">
        <f ca="1">IFERROR(__xludf.DUMMYFUNCTION("GOOGLETRANSLATE(B1197,""en"",""ar"")"),"دفعه مقدمه")</f>
        <v>دفعه مقدمه</v>
      </c>
      <c r="D1197" s="1" t="str">
        <f ca="1">IFERROR(__xludf.DUMMYFUNCTION("GOOGLETRANSLATE(B1197,""en"",""zh-CN"")"),"预付款")</f>
        <v>预付款</v>
      </c>
      <c r="E1197" s="1" t="str">
        <f ca="1">IFERROR(__xludf.DUMMYFUNCTION("GOOGLETRANSLATE(B1197,""en"",""ja"")"),"前払い")</f>
        <v>前払い</v>
      </c>
      <c r="F1197" s="1" t="str">
        <f ca="1">IFERROR(__xludf.DUMMYFUNCTION("GOOGLETRANSLATE(B1197,""en"",""fr"")"),"Acompte")</f>
        <v>Acompte</v>
      </c>
    </row>
    <row r="1198" spans="1:6" ht="15.75" customHeight="1" x14ac:dyDescent="0.25">
      <c r="A1198" s="1" t="s">
        <v>2263</v>
      </c>
      <c r="B1198" s="1" t="s">
        <v>2264</v>
      </c>
      <c r="C1198" s="1" t="str">
        <f ca="1">IFERROR(__xludf.DUMMYFUNCTION("GOOGLETRANSLATE(B1198,""en"",""ar"")"),"تم نقل البيانات الطرفية إلى الجهاز الجديد. تحقق من جهازك الجديد لمعرفة كيف هو.")</f>
        <v>تم نقل البيانات الطرفية إلى الجهاز الجديد. تحقق من جهازك الجديد لمعرفة كيف هو.</v>
      </c>
      <c r="D1198" s="1" t="str">
        <f ca="1">IFERROR(__xludf.DUMMYFUNCTION("GOOGLETRANSLATE(B1198,""en"",""zh-CN"")"),"终端数据已被移动到新设备。检查您的新设备以查看它是如何。")</f>
        <v>终端数据已被移动到新设备。检查您的新设备以查看它是如何。</v>
      </c>
      <c r="E1198" s="1" t="str">
        <f ca="1">IFERROR(__xludf.DUMMYFUNCTION("GOOGLETRANSLATE(B1198,""en"",""ja"")"),"端末データは新しいデバイスに移動されました。新しいデバイスをチェックして、その方法を確認してください。")</f>
        <v>端末データは新しいデバイスに移動されました。新しいデバイスをチェックして、その方法を確認してください。</v>
      </c>
      <c r="F1198" s="1" t="str">
        <f ca="1">IFERROR(__xludf.DUMMYFUNCTION("GOOGLETRANSLATE(B1198,""en"",""fr"")"),"Les données de terminal ont été déplacées vers le nouvel appareil. Vérifiez votre nouvel appareil pour voir comment c'est.")</f>
        <v>Les données de terminal ont été déplacées vers le nouvel appareil. Vérifiez votre nouvel appareil pour voir comment c'est.</v>
      </c>
    </row>
    <row r="1199" spans="1:6" ht="15.75" customHeight="1" x14ac:dyDescent="0.25">
      <c r="A1199" s="1" t="s">
        <v>2265</v>
      </c>
      <c r="B1199" s="1" t="s">
        <v>2266</v>
      </c>
      <c r="C1199" s="1" t="str">
        <f ca="1">IFERROR(__xludf.DUMMYFUNCTION("GOOGLETRANSLATE(B1199,""en"",""ar"")"),"مستوطنات الائتمان النقدية")</f>
        <v>مستوطنات الائتمان النقدية</v>
      </c>
      <c r="D1199" s="1" t="str">
        <f ca="1">IFERROR(__xludf.DUMMYFUNCTION("GOOGLETRANSLATE(B1199,""en"",""zh-CN"")"),"现金信贷结算")</f>
        <v>现金信贷结算</v>
      </c>
      <c r="E1199" s="1" t="str">
        <f ca="1">IFERROR(__xludf.DUMMYFUNCTION("GOOGLETRANSLATE(B1199,""en"",""ja"")"),"現金クレジット集落")</f>
        <v>現金クレジット集落</v>
      </c>
      <c r="F1199" s="1" t="str">
        <f ca="1">IFERROR(__xludf.DUMMYFUNCTION("GOOGLETRANSLATE(B1199,""en"",""fr"")"),"Règlements de crédit de caisse")</f>
        <v>Règlements de crédit de caisse</v>
      </c>
    </row>
    <row r="1200" spans="1:6" ht="15.75" customHeight="1" x14ac:dyDescent="0.25">
      <c r="A1200" s="1" t="s">
        <v>2267</v>
      </c>
      <c r="B1200" s="1" t="s">
        <v>2268</v>
      </c>
      <c r="C1200" s="1" t="str">
        <f ca="1">IFERROR(__xludf.DUMMYFUNCTION("GOOGLETRANSLATE(B1200,""en"",""ar"")"),"تقرير حالة التحول")</f>
        <v>تقرير حالة التحول</v>
      </c>
      <c r="D1200" s="1" t="str">
        <f ca="1">IFERROR(__xludf.DUMMYFUNCTION("GOOGLETRANSLATE(B1200,""en"",""zh-CN"")"),"转移状态报告")</f>
        <v>转移状态报告</v>
      </c>
      <c r="E1200" s="1" t="str">
        <f ca="1">IFERROR(__xludf.DUMMYFUNCTION("GOOGLETRANSLATE(B1200,""en"",""ja"")"),"Shift Status Report.")</f>
        <v>Shift Status Report.</v>
      </c>
      <c r="F1200" s="1" t="str">
        <f ca="1">IFERROR(__xludf.DUMMYFUNCTION("GOOGLETRANSLATE(B1200,""en"",""fr"")"),"Rapport d'état de décalage")</f>
        <v>Rapport d'état de décalage</v>
      </c>
    </row>
    <row r="1201" spans="1:6" ht="15.75" customHeight="1" x14ac:dyDescent="0.25">
      <c r="A1201" s="1" t="s">
        <v>2269</v>
      </c>
      <c r="B1201" s="1" t="s">
        <v>2270</v>
      </c>
      <c r="C1201" s="1" t="str">
        <f ca="1">IFERROR(__xludf.DUMMYFUNCTION("GOOGLETRANSLATE(B1201,""en"",""ar"")"),"تحول مفتوح من قبل:")</f>
        <v>تحول مفتوح من قبل:</v>
      </c>
      <c r="D1201" s="1" t="str">
        <f ca="1">IFERROR(__xludf.DUMMYFUNCTION("GOOGLETRANSLATE(B1201,""en"",""zh-CN"")"),"班次打开：")</f>
        <v>班次打开：</v>
      </c>
      <c r="E1201" s="1" t="str">
        <f ca="1">IFERROR(__xludf.DUMMYFUNCTION("GOOGLETRANSLATE(B1201,""en"",""ja"")"),"によって開かれたシフト：")</f>
        <v>によって開かれたシフト：</v>
      </c>
      <c r="F1201" s="1" t="str">
        <f ca="1">IFERROR(__xludf.DUMMYFUNCTION("GOOGLETRANSLATE(B1201,""en"",""fr"")"),"Décalage ouvert par:")</f>
        <v>Décalage ouvert par:</v>
      </c>
    </row>
    <row r="1202" spans="1:6" ht="15.75" customHeight="1" x14ac:dyDescent="0.25">
      <c r="A1202" s="1" t="s">
        <v>2271</v>
      </c>
      <c r="B1202" s="1" t="s">
        <v>2272</v>
      </c>
      <c r="C1202" s="1" t="str">
        <f ca="1">IFERROR(__xludf.DUMMYFUNCTION("GOOGLETRANSLATE(B1202,""en"",""ar"")"),"تحول مغلق من قبل:")</f>
        <v>تحول مغلق من قبل:</v>
      </c>
      <c r="D1202" s="1" t="str">
        <f ca="1">IFERROR(__xludf.DUMMYFUNCTION("GOOGLETRANSLATE(B1202,""en"",""zh-CN"")"),"班次关闭：")</f>
        <v>班次关闭：</v>
      </c>
      <c r="E1202" s="1" t="str">
        <f ca="1">IFERROR(__xludf.DUMMYFUNCTION("GOOGLETRANSLATE(B1202,""en"",""ja"")"),"閉じたシフト：")</f>
        <v>閉じたシフト：</v>
      </c>
      <c r="F1202" s="1" t="str">
        <f ca="1">IFERROR(__xludf.DUMMYFUNCTION("GOOGLETRANSLATE(B1202,""en"",""fr"")"),"Changer fermé par:")</f>
        <v>Changer fermé par:</v>
      </c>
    </row>
    <row r="1203" spans="1:6" ht="15.75" customHeight="1" x14ac:dyDescent="0.25">
      <c r="A1203" s="1" t="s">
        <v>2273</v>
      </c>
      <c r="B1203" s="1" t="s">
        <v>2274</v>
      </c>
      <c r="C1203" s="1" t="str">
        <f ca="1">IFERROR(__xludf.DUMMYFUNCTION("GOOGLETRANSLATE(B1203,""en"",""ar"")"),"الحصول على مبيعات نقاط البيع جاهزة")</f>
        <v>الحصول على مبيعات نقاط البيع جاهزة</v>
      </c>
      <c r="D1203" s="1" t="str">
        <f ca="1">IFERROR(__xludf.DUMMYFUNCTION("GOOGLETRANSLATE(B1203,""en"",""zh-CN"")"),"让销售POS准备好了")</f>
        <v>让销售POS准备好了</v>
      </c>
      <c r="E1203" s="1" t="str">
        <f ca="1">IFERROR(__xludf.DUMMYFUNCTION("GOOGLETRANSLATE(B1203,""en"",""ja"")"),"Salesplay POSの準備ができて")</f>
        <v>Salesplay POSの準備ができて</v>
      </c>
      <c r="F1203" s="1" t="str">
        <f ca="1">IFERROR(__xludf.DUMMYFUNCTION("GOOGLETRANSLATE(B1203,""en"",""fr"")"),"Obtenir des ventes de vente POS prête")</f>
        <v>Obtenir des ventes de vente POS prête</v>
      </c>
    </row>
    <row r="1204" spans="1:6" ht="15.75" customHeight="1" x14ac:dyDescent="0.25">
      <c r="A1204" s="1" t="s">
        <v>2275</v>
      </c>
      <c r="B1204" s="1" t="s">
        <v>2276</v>
      </c>
      <c r="C1204" s="1" t="str">
        <f ca="1">IFERROR(__xludf.DUMMYFUNCTION("GOOGLETRANSLATE(B1204,""en"",""ar"")"),"لا أطفئ جهازك")</f>
        <v>لا أطفئ جهازك</v>
      </c>
      <c r="D1204" s="1" t="str">
        <f ca="1">IFERROR(__xludf.DUMMYFUNCTION("GOOGLETRANSLATE(B1204,""en"",""zh-CN"")"),"不要关闭你的设备")</f>
        <v>不要关闭你的设备</v>
      </c>
      <c r="E1204" s="1" t="str">
        <f ca="1">IFERROR(__xludf.DUMMYFUNCTION("GOOGLETRANSLATE(B1204,""en"",""ja"")"),"デバイスの電源を切ってください")</f>
        <v>デバイスの電源を切ってください</v>
      </c>
      <c r="F1204" s="1" t="str">
        <f ca="1">IFERROR(__xludf.DUMMYFUNCTION("GOOGLETRANSLATE(B1204,""en"",""fr"")"),"Don \ 't éteindre votre appareil")</f>
        <v>Don \ 't éteindre votre appareil</v>
      </c>
    </row>
    <row r="1205" spans="1:6" ht="15.75" customHeight="1" x14ac:dyDescent="0.25">
      <c r="A1205" s="1" t="s">
        <v>2277</v>
      </c>
      <c r="B1205" s="1" t="s">
        <v>1363</v>
      </c>
      <c r="C1205" s="1" t="str">
        <f ca="1">IFERROR(__xludf.DUMMYFUNCTION("GOOGLETRANSLATE(B1205,""en"",""ar"")"),"إكمال")</f>
        <v>إكمال</v>
      </c>
      <c r="D1205" s="1" t="str">
        <f ca="1">IFERROR(__xludf.DUMMYFUNCTION("GOOGLETRANSLATE(B1205,""en"",""zh-CN"")"),"完全的")</f>
        <v>完全的</v>
      </c>
      <c r="E1205" s="1" t="str">
        <f ca="1">IFERROR(__xludf.DUMMYFUNCTION("GOOGLETRANSLATE(B1205,""en"",""ja"")"),"完了")</f>
        <v>完了</v>
      </c>
      <c r="F1205" s="1" t="str">
        <f ca="1">IFERROR(__xludf.DUMMYFUNCTION("GOOGLETRANSLATE(B1205,""en"",""fr"")"),"Compléter")</f>
        <v>Compléter</v>
      </c>
    </row>
    <row r="1206" spans="1:6" ht="15.75" customHeight="1" x14ac:dyDescent="0.25">
      <c r="A1206" s="1" t="s">
        <v>2278</v>
      </c>
      <c r="B1206" s="1" t="s">
        <v>2279</v>
      </c>
      <c r="C1206" s="1" t="str">
        <f ca="1">IFERROR(__xludf.DUMMYFUNCTION("GOOGLETRANSLATE(B1206,""en"",""ar"")"),"تاريخ التسوية")</f>
        <v>تاريخ التسوية</v>
      </c>
      <c r="D1206" s="1" t="str">
        <f ca="1">IFERROR(__xludf.DUMMYFUNCTION("GOOGLETRANSLATE(B1206,""en"",""zh-CN"")"),"结算史")</f>
        <v>结算史</v>
      </c>
      <c r="E1206" s="1" t="str">
        <f ca="1">IFERROR(__xludf.DUMMYFUNCTION("GOOGLETRANSLATE(B1206,""en"",""ja"")"),"決済履歴")</f>
        <v>決済履歴</v>
      </c>
      <c r="F1206" s="1" t="str">
        <f ca="1">IFERROR(__xludf.DUMMYFUNCTION("GOOGLETRANSLATE(B1206,""en"",""fr"")"),"Historique de la colonie")</f>
        <v>Historique de la colonie</v>
      </c>
    </row>
    <row r="1207" spans="1:6" ht="15.75" customHeight="1" x14ac:dyDescent="0.25">
      <c r="A1207" s="1" t="s">
        <v>2280</v>
      </c>
      <c r="B1207" s="1" t="s">
        <v>2281</v>
      </c>
      <c r="C1207" s="1" t="str">
        <f ca="1">IFERROR(__xludf.DUMMYFUNCTION("GOOGLETRANSLATE(B1207,""en"",""ar"")"),"إعادة استخدام المحطة")</f>
        <v>إعادة استخدام المحطة</v>
      </c>
      <c r="D1207" s="1" t="str">
        <f ca="1">IFERROR(__xludf.DUMMYFUNCTION("GOOGLETRANSLATE(B1207,""en"",""zh-CN"")"),"重用终端")</f>
        <v>重用终端</v>
      </c>
      <c r="E1207" s="1" t="str">
        <f ca="1">IFERROR(__xludf.DUMMYFUNCTION("GOOGLETRANSLATE(B1207,""en"",""ja"")"),"再利用ターミナル")</f>
        <v>再利用ターミナル</v>
      </c>
      <c r="F1207" s="1" t="str">
        <f ca="1">IFERROR(__xludf.DUMMYFUNCTION("GOOGLETRANSLATE(B1207,""en"",""fr"")"),"Terminal de réutilisation")</f>
        <v>Terminal de réutilisation</v>
      </c>
    </row>
    <row r="1208" spans="1:6" ht="15.75" customHeight="1" x14ac:dyDescent="0.25">
      <c r="A1208" s="1" t="s">
        <v>2282</v>
      </c>
      <c r="B1208" s="1" t="s">
        <v>2283</v>
      </c>
      <c r="C1208" s="1" t="str">
        <f ca="1">IFERROR(__xludf.DUMMYFUNCTION("GOOGLETRANSLATE(B1208,""en"",""ar"")"),"تاريخ تسوية الائتمان العميل")</f>
        <v>تاريخ تسوية الائتمان العميل</v>
      </c>
      <c r="D1208" s="1" t="str">
        <f ca="1">IFERROR(__xludf.DUMMYFUNCTION("GOOGLETRANSLATE(B1208,""en"",""zh-CN"")"),"客户信用结算历史")</f>
        <v>客户信用结算历史</v>
      </c>
      <c r="E1208" s="1" t="str">
        <f ca="1">IFERROR(__xludf.DUMMYFUNCTION("GOOGLETRANSLATE(B1208,""en"",""ja"")"),"カスタマークレジット決済履歴")</f>
        <v>カスタマークレジット決済履歴</v>
      </c>
      <c r="F1208" s="1" t="str">
        <f ca="1">IFERROR(__xludf.DUMMYFUNCTION("GOOGLETRANSLATE(B1208,""en"",""fr"")"),"Historique des établissements de crédit client")</f>
        <v>Historique des établissements de crédit client</v>
      </c>
    </row>
    <row r="1209" spans="1:6" ht="15.75" customHeight="1" x14ac:dyDescent="0.25">
      <c r="A1209" s="1" t="s">
        <v>2284</v>
      </c>
      <c r="B1209" s="1" t="s">
        <v>2285</v>
      </c>
      <c r="C1209" s="1" t="str">
        <f ca="1">IFERROR(__xludf.DUMMYFUNCTION("GOOGLETRANSLATE(B1209,""en"",""ar"")"),"معرف الإيصال")</f>
        <v>معرف الإيصال</v>
      </c>
      <c r="D1209" s="1" t="str">
        <f ca="1">IFERROR(__xludf.DUMMYFUNCTION("GOOGLETRANSLATE(B1209,""en"",""zh-CN"")"),"收据ID.")</f>
        <v>收据ID.</v>
      </c>
      <c r="E1209" s="1" t="str">
        <f ca="1">IFERROR(__xludf.DUMMYFUNCTION("GOOGLETRANSLATE(B1209,""en"",""ja"")"),"領収書ID")</f>
        <v>領収書ID</v>
      </c>
      <c r="F1209" s="1" t="str">
        <f ca="1">IFERROR(__xludf.DUMMYFUNCTION("GOOGLETRANSLATE(B1209,""en"",""fr"")"),"ID de réception")</f>
        <v>ID de réception</v>
      </c>
    </row>
    <row r="1210" spans="1:6" ht="15.75" customHeight="1" x14ac:dyDescent="0.25">
      <c r="A1210" s="1" t="s">
        <v>2286</v>
      </c>
      <c r="B1210" s="1" t="s">
        <v>2287</v>
      </c>
      <c r="C1210" s="1" t="str">
        <f ca="1">IFERROR(__xludf.DUMMYFUNCTION("GOOGLETRANSLATE(B1210,""en"",""ar"")"),"طباعة من قبل")</f>
        <v>طباعة من قبل</v>
      </c>
      <c r="D1210" s="1" t="str">
        <f ca="1">IFERROR(__xludf.DUMMYFUNCTION("GOOGLETRANSLATE(B1210,""en"",""zh-CN"")"),"印刷")</f>
        <v>印刷</v>
      </c>
      <c r="E1210" s="1" t="str">
        <f ca="1">IFERROR(__xludf.DUMMYFUNCTION("GOOGLETRANSLATE(B1210,""en"",""ja"")"),"印字")</f>
        <v>印字</v>
      </c>
      <c r="F1210" s="1" t="str">
        <f ca="1">IFERROR(__xludf.DUMMYFUNCTION("GOOGLETRANSLATE(B1210,""en"",""fr"")"),"Imprimé par")</f>
        <v>Imprimé par</v>
      </c>
    </row>
    <row r="1211" spans="1:6" ht="15.75" customHeight="1" x14ac:dyDescent="0.25">
      <c r="A1211" s="1" t="s">
        <v>2288</v>
      </c>
      <c r="B1211" s="1" t="s">
        <v>2289</v>
      </c>
      <c r="C1211" s="1" t="str">
        <f ca="1">IFERROR(__xludf.DUMMYFUNCTION("GOOGLETRANSLATE(B1211,""en"",""ar"")"),"معلومات الطرفية")</f>
        <v>معلومات الطرفية</v>
      </c>
      <c r="D1211" s="1" t="str">
        <f ca="1">IFERROR(__xludf.DUMMYFUNCTION("GOOGLETRANSLATE(B1211,""en"",""zh-CN"")"),"终端信息")</f>
        <v>终端信息</v>
      </c>
      <c r="E1211" s="1" t="str">
        <f ca="1">IFERROR(__xludf.DUMMYFUNCTION("GOOGLETRANSLATE(B1211,""en"",""ja"")"),"端末情報")</f>
        <v>端末情報</v>
      </c>
      <c r="F1211" s="1" t="str">
        <f ca="1">IFERROR(__xludf.DUMMYFUNCTION("GOOGLETRANSLATE(B1211,""en"",""fr"")"),"Informations sur le terminal")</f>
        <v>Informations sur le terminal</v>
      </c>
    </row>
    <row r="1212" spans="1:6" ht="15.75" customHeight="1" x14ac:dyDescent="0.25">
      <c r="A1212" s="1" t="s">
        <v>2290</v>
      </c>
      <c r="B1212" s="1" t="s">
        <v>2291</v>
      </c>
      <c r="C1212" s="1" t="str">
        <f ca="1">IFERROR(__xludf.DUMMYFUNCTION("GOOGLETRANSLATE(B1212,""en"",""ar"")"),"خلق جديد إبداع جديد")</f>
        <v>خلق جديد إبداع جديد</v>
      </c>
      <c r="D1212" s="1" t="str">
        <f ca="1">IFERROR(__xludf.DUMMYFUNCTION("GOOGLETRANSLATE(B1212,""en"",""zh-CN"")"),"创建新的")</f>
        <v>创建新的</v>
      </c>
      <c r="E1212" s="1" t="str">
        <f ca="1">IFERROR(__xludf.DUMMYFUNCTION("GOOGLETRANSLATE(B1212,""en"",""ja"")"),"新しく作る")</f>
        <v>新しく作る</v>
      </c>
      <c r="F1212" s="1" t="str">
        <f ca="1">IFERROR(__xludf.DUMMYFUNCTION("GOOGLETRANSLATE(B1212,""en"",""fr"")"),"Créer un nouveau")</f>
        <v>Créer un nouveau</v>
      </c>
    </row>
    <row r="1213" spans="1:6" ht="15.75" customHeight="1" x14ac:dyDescent="0.25">
      <c r="A1213" s="1" t="s">
        <v>2292</v>
      </c>
      <c r="B1213" s="1" t="s">
        <v>2176</v>
      </c>
      <c r="C1213" s="1" t="str">
        <f ca="1">IFERROR(__xludf.DUMMYFUNCTION("GOOGLETRANSLATE(B1213,""en"",""ar"")"),"احتياطي")</f>
        <v>احتياطي</v>
      </c>
      <c r="D1213" s="1" t="str">
        <f ca="1">IFERROR(__xludf.DUMMYFUNCTION("GOOGLETRANSLATE(B1213,""en"",""zh-CN"")"),"预订")</f>
        <v>预订</v>
      </c>
      <c r="E1213" s="1" t="str">
        <f ca="1">IFERROR(__xludf.DUMMYFUNCTION("GOOGLETRANSLATE(B1213,""en"",""ja"")"),"予約")</f>
        <v>予約</v>
      </c>
      <c r="F1213" s="1" t="str">
        <f ca="1">IFERROR(__xludf.DUMMYFUNCTION("GOOGLETRANSLATE(B1213,""en"",""fr"")"),"réserve")</f>
        <v>réserve</v>
      </c>
    </row>
    <row r="1214" spans="1:6" ht="15.75" customHeight="1" x14ac:dyDescent="0.25">
      <c r="A1214" s="1" t="s">
        <v>2293</v>
      </c>
      <c r="B1214" s="1" t="s">
        <v>2294</v>
      </c>
      <c r="C1214" s="1" t="str">
        <f ca="1">IFERROR(__xludf.DUMMYFUNCTION("GOOGLETRANSLATE(B1214,""en"",""ar"")"),"الجدول / الغرفة")</f>
        <v>الجدول / الغرفة</v>
      </c>
      <c r="D1214" s="1" t="str">
        <f ca="1">IFERROR(__xludf.DUMMYFUNCTION("GOOGLETRANSLATE(B1214,""en"",""zh-CN"")"),"表/房间")</f>
        <v>表/房间</v>
      </c>
      <c r="E1214" s="1" t="str">
        <f ca="1">IFERROR(__xludf.DUMMYFUNCTION("GOOGLETRANSLATE(B1214,""en"",""ja"")"),"テーブル/部屋")</f>
        <v>テーブル/部屋</v>
      </c>
      <c r="F1214" s="1" t="str">
        <f ca="1">IFERROR(__xludf.DUMMYFUNCTION("GOOGLETRANSLATE(B1214,""en"",""fr"")"),"Table / salle")</f>
        <v>Table / salle</v>
      </c>
    </row>
    <row r="1215" spans="1:6" ht="15.75" customHeight="1" x14ac:dyDescent="0.25">
      <c r="A1215" s="1" t="s">
        <v>2295</v>
      </c>
      <c r="B1215" s="1" t="s">
        <v>2296</v>
      </c>
      <c r="C1215" s="1" t="str">
        <f ca="1">IFERROR(__xludf.DUMMYFUNCTION("GOOGLETRANSLATE(B1215,""en"",""ar"")"),"استخدم هذا الخيار لاستبدال بيانات نقاط البيع الحالية في هذه المحطة.")</f>
        <v>استخدم هذا الخيار لاستبدال بيانات نقاط البيع الحالية في هذه المحطة.</v>
      </c>
      <c r="D1215" s="1" t="str">
        <f ca="1">IFERROR(__xludf.DUMMYFUNCTION("GOOGLETRANSLATE(B1215,""en"",""zh-CN"")"),"使用此选项将现有的POS数据替换为此终端。")</f>
        <v>使用此选项将现有的POS数据替换为此终端。</v>
      </c>
      <c r="E1215" s="1" t="str">
        <f ca="1">IFERROR(__xludf.DUMMYFUNCTION("GOOGLETRANSLATE(B1215,""en"",""ja"")"),"このオプションを使用して、既存のPOSデータをこの端末に置き換えます。")</f>
        <v>このオプションを使用して、既存のPOSデータをこの端末に置き換えます。</v>
      </c>
      <c r="F1215" s="1" t="str">
        <f ca="1">IFERROR(__xludf.DUMMYFUNCTION("GOOGLETRANSLATE(B1215,""en"",""fr"")"),"Utilisez cette option pour remplacer vos données de point de vente existantes dans ce terminal.")</f>
        <v>Utilisez cette option pour remplacer vos données de point de vente existantes dans ce terminal.</v>
      </c>
    </row>
    <row r="1216" spans="1:6" ht="15.75" customHeight="1" x14ac:dyDescent="0.25">
      <c r="A1216" s="1" t="s">
        <v>2297</v>
      </c>
      <c r="B1216" s="1" t="s">
        <v>2298</v>
      </c>
      <c r="C1216" s="1" t="str">
        <f ca="1">IFERROR(__xludf.DUMMYFUNCTION("GOOGLETRANSLATE(B1216,""en"",""ar"")"),"استخدم هذا الخيار لإضافة محطة POS جديدة إلى متجرك.")</f>
        <v>استخدم هذا الخيار لإضافة محطة POS جديدة إلى متجرك.</v>
      </c>
      <c r="D1216" s="1" t="str">
        <f ca="1">IFERROR(__xludf.DUMMYFUNCTION("GOOGLETRANSLATE(B1216,""en"",""zh-CN"")"),"使用此选项将新的POS终端添加到您的商店中。")</f>
        <v>使用此选项将新的POS终端添加到您的商店中。</v>
      </c>
      <c r="E1216" s="1" t="str">
        <f ca="1">IFERROR(__xludf.DUMMYFUNCTION("GOOGLETRANSLATE(B1216,""en"",""ja"")"),"このオプションを使用して、新しいPOS端末を店に追加します。")</f>
        <v>このオプションを使用して、新しいPOS端末を店に追加します。</v>
      </c>
      <c r="F1216" s="1" t="str">
        <f ca="1">IFERROR(__xludf.DUMMYFUNCTION("GOOGLETRANSLATE(B1216,""en"",""fr"")"),"Utilisez cette option pour ajouter un nouveau terminal de point de vente dans votre boutique.")</f>
        <v>Utilisez cette option pour ajouter un nouveau terminal de point de vente dans votre boutique.</v>
      </c>
    </row>
    <row r="1217" spans="1:6" ht="15.75" customHeight="1" x14ac:dyDescent="0.25">
      <c r="A1217" s="1" t="s">
        <v>2299</v>
      </c>
      <c r="B1217" s="1" t="s">
        <v>2300</v>
      </c>
      <c r="C1217" s="1" t="str">
        <f ca="1">IFERROR(__xludf.DUMMYFUNCTION("GOOGLETRANSLATE(B1217,""en"",""ar"")"),"هناك طلب مستمر مع٪ s. هل تريد إكمالها؟")</f>
        <v>هناك طلب مستمر مع٪ s. هل تريد إكمالها؟</v>
      </c>
      <c r="D1217" s="1" t="str">
        <f ca="1">IFERROR(__xludf.DUMMYFUNCTION("GOOGLETRANSLATE(B1217,""en"",""zh-CN"")"),"％s的持续订单。你想完成它吗？")</f>
        <v>％s的持续订单。你想完成它吗？</v>
      </c>
      <c r="E1217" s="1" t="str">
        <f ca="1">IFERROR(__xludf.DUMMYFUNCTION("GOOGLETRANSLATE(B1217,""en"",""ja"")"),"％sで継続的な順序があります。あなたはそれを完成させたいですか？")</f>
        <v>％sで継続的な順序があります。あなたはそれを完成させたいですか？</v>
      </c>
      <c r="F1217" s="1" t="str">
        <f ca="1">IFERROR(__xludf.DUMMYFUNCTION("GOOGLETRANSLATE(B1217,""en"",""fr"")"),"Il y a une commande continue avec% s. Voulez-vous le compléter?")</f>
        <v>Il y a une commande continue avec% s. Voulez-vous le compléter?</v>
      </c>
    </row>
    <row r="1218" spans="1:6" ht="15.75" customHeight="1" x14ac:dyDescent="0.25">
      <c r="A1218" s="1" t="s">
        <v>2301</v>
      </c>
      <c r="B1218" s="1" t="s">
        <v>2302</v>
      </c>
      <c r="C1218" s="1" t="str">
        <f ca="1">IFERROR(__xludf.DUMMYFUNCTION("GOOGLETRANSLATE(B1218,""en"",""ar"")"),"هناك طلب مستمر مع٪ s. هل تريد تحديثه؟")</f>
        <v>هناك طلب مستمر مع٪ s. هل تريد تحديثه؟</v>
      </c>
      <c r="D1218" s="1" t="str">
        <f ca="1">IFERROR(__xludf.DUMMYFUNCTION("GOOGLETRANSLATE(B1218,""en"",""zh-CN"")"),"％s的持续订单。你想更新它吗？")</f>
        <v>％s的持续订单。你想更新它吗？</v>
      </c>
      <c r="E1218" s="1" t="str">
        <f ca="1">IFERROR(__xludf.DUMMYFUNCTION("GOOGLETRANSLATE(B1218,""en"",""ja"")"),"％sで継続的な順序があります。更新しますか？")</f>
        <v>％sで継続的な順序があります。更新しますか？</v>
      </c>
      <c r="F1218" s="1" t="str">
        <f ca="1">IFERROR(__xludf.DUMMYFUNCTION("GOOGLETRANSLATE(B1218,""en"",""fr"")"),"Il y a une commande continue avec% s. Voulez-vous le mettre à jour?")</f>
        <v>Il y a une commande continue avec% s. Voulez-vous le mettre à jour?</v>
      </c>
    </row>
    <row r="1219" spans="1:6" ht="15.75" customHeight="1" x14ac:dyDescent="0.25">
      <c r="A1219" s="1" t="s">
        <v>2303</v>
      </c>
      <c r="B1219" s="1" t="s">
        <v>2304</v>
      </c>
      <c r="C1219" s="1" t="str">
        <f ca="1">IFERROR(__xludf.DUMMYFUNCTION("GOOGLETRANSLATE(B1219,""en"",""ar"")"),"شكرا لتسجيلك!")</f>
        <v>شكرا لتسجيلك!</v>
      </c>
      <c r="D1219" s="1" t="str">
        <f ca="1">IFERROR(__xludf.DUMMYFUNCTION("GOOGLETRANSLATE(B1219,""en"",""zh-CN"")"),"感谢您注册！")</f>
        <v>感谢您注册！</v>
      </c>
      <c r="E1219" s="1" t="str">
        <f ca="1">IFERROR(__xludf.DUMMYFUNCTION("GOOGLETRANSLATE(B1219,""en"",""ja"")"),"登録していただきありがとうございます！")</f>
        <v>登録していただきありがとうございます！</v>
      </c>
      <c r="F1219" s="1" t="str">
        <f ca="1">IFERROR(__xludf.DUMMYFUNCTION("GOOGLETRANSLATE(B1219,""en"",""fr"")"),"Merci de votre inscription!")</f>
        <v>Merci de votre inscription!</v>
      </c>
    </row>
    <row r="1220" spans="1:6" ht="15.75" customHeight="1" x14ac:dyDescent="0.25">
      <c r="A1220" s="1" t="s">
        <v>2305</v>
      </c>
      <c r="B1220" s="1" t="s">
        <v>2306</v>
      </c>
      <c r="C1220" s="1" t="str">
        <f ca="1">IFERROR(__xludf.DUMMYFUNCTION("GOOGLETRANSLATE(B1220,""en"",""ar"")"),"تم إرسال بريد إلكتروني التأكيد إلى")</f>
        <v>تم إرسال بريد إلكتروني التأكيد إلى</v>
      </c>
      <c r="D1220" s="1" t="str">
        <f ca="1">IFERROR(__xludf.DUMMYFUNCTION("GOOGLETRANSLATE(B1220,""en"",""zh-CN"")"),"确认电子邮件已发送至")</f>
        <v>确认电子邮件已发送至</v>
      </c>
      <c r="E1220" s="1" t="str">
        <f ca="1">IFERROR(__xludf.DUMMYFUNCTION("GOOGLETRANSLATE(B1220,""en"",""ja"")"),"確認メールが送信されました")</f>
        <v>確認メールが送信されました</v>
      </c>
      <c r="F1220" s="1" t="str">
        <f ca="1">IFERROR(__xludf.DUMMYFUNCTION("GOOGLETRANSLATE(B1220,""en"",""fr"")"),"L'email de confirmation a été envoyé à")</f>
        <v>L'email de confirmation a été envoyé à</v>
      </c>
    </row>
    <row r="1221" spans="1:6" ht="15.75" customHeight="1" x14ac:dyDescent="0.25">
      <c r="A1221" s="1" t="s">
        <v>2307</v>
      </c>
      <c r="B1221" s="1" t="s">
        <v>2308</v>
      </c>
      <c r="C1221" s="1" t="str">
        <f ca="1">IFERROR(__xludf.DUMMYFUNCTION("GOOGLETRANSLATE(B1221,""en"",""ar"")"),"إذا كنت لا ترى البريد الإلكتروني، تحقق في \")</f>
        <v>إذا كنت لا ترى البريد الإلكتروني، تحقق في \</v>
      </c>
      <c r="D1221" s="1" t="str">
        <f ca="1">IFERROR(__xludf.DUMMYFUNCTION("GOOGLETRANSLATE(B1221,""en"",""zh-CN"")"),"如果你没有看到电子邮件，请检查\")</f>
        <v>如果你没有看到电子邮件，请检查\</v>
      </c>
      <c r="E1221" s="1" t="str">
        <f ca="1">IFERROR(__xludf.DUMMYFUNCTION("GOOGLETRANSLATE(B1221,""en"",""ja"")"),"電子メールを見ないでください。")</f>
        <v>電子メールを見ないでください。</v>
      </c>
      <c r="F1221" s="1" t="str">
        <f ca="1">IFERROR(__xludf.DUMMYFUNCTION("GOOGLETRANSLATE(B1221,""en"",""fr"")"),"Si vous ne voyez pas l'email, vérifiez \")</f>
        <v>Si vous ne voyez pas l'email, vérifiez \</v>
      </c>
    </row>
    <row r="1222" spans="1:6" ht="15.75" customHeight="1" x14ac:dyDescent="0.25">
      <c r="A1222" s="1" t="s">
        <v>2309</v>
      </c>
      <c r="B1222" s="1" t="s">
        <v>2310</v>
      </c>
      <c r="C1222" s="1" t="str">
        <f ca="1">IFERROR(__xludf.DUMMYFUNCTION("GOOGLETRANSLATE(B1222,""en"",""ar"")"),"لا يمكن أن تبدأ كلمة المرور أو تنتهي بمساحة فارغة")</f>
        <v>لا يمكن أن تبدأ كلمة المرور أو تنتهي بمساحة فارغة</v>
      </c>
      <c r="D1222" s="1" t="str">
        <f ca="1">IFERROR(__xludf.DUMMYFUNCTION("GOOGLETRANSLATE(B1222,""en"",""zh-CN"")"),"密码无法启动或以空白空间结尾")</f>
        <v>密码无法启动或以空白空间结尾</v>
      </c>
      <c r="E1222" s="1" t="str">
        <f ca="1">IFERROR(__xludf.DUMMYFUNCTION("GOOGLETRANSLATE(B1222,""en"",""ja"")"),"パスワードは空白の空間で開始または終了できません")</f>
        <v>パスワードは空白の空間で開始または終了できません</v>
      </c>
      <c r="F1222" s="1" t="str">
        <f ca="1">IFERROR(__xludf.DUMMYFUNCTION("GOOGLETRANSLATE(B1222,""en"",""fr"")"),"Le mot de passe ne peut pas démarrer ou se terminer par un espace vide")</f>
        <v>Le mot de passe ne peut pas démarrer ou se terminer par un espace vide</v>
      </c>
    </row>
    <row r="1223" spans="1:6" ht="15.75" customHeight="1" x14ac:dyDescent="0.25">
      <c r="A1223" s="1" t="s">
        <v>2311</v>
      </c>
      <c r="B1223" s="1" t="s">
        <v>2312</v>
      </c>
      <c r="C1223" s="1" t="str">
        <f ca="1">IFERROR(__xludf.DUMMYFUNCTION("GOOGLETRANSLATE(B1223,""en"",""ar"")"),"تاريخ الانتهاء")</f>
        <v>تاريخ الانتهاء</v>
      </c>
      <c r="D1223" s="1" t="str">
        <f ca="1">IFERROR(__xludf.DUMMYFUNCTION("GOOGLETRANSLATE(B1223,""en"",""zh-CN"")"),"到期日")</f>
        <v>到期日</v>
      </c>
      <c r="E1223" s="1" t="str">
        <f ca="1">IFERROR(__xludf.DUMMYFUNCTION("GOOGLETRANSLATE(B1223,""en"",""ja"")"),"有効期限")</f>
        <v>有効期限</v>
      </c>
      <c r="F1223" s="1" t="str">
        <f ca="1">IFERROR(__xludf.DUMMYFUNCTION("GOOGLETRANSLATE(B1223,""en"",""fr"")"),"Date d'expiration")</f>
        <v>Date d'expiration</v>
      </c>
    </row>
    <row r="1224" spans="1:6" ht="15.75" customHeight="1" x14ac:dyDescent="0.25">
      <c r="A1224" s="1" t="s">
        <v>2313</v>
      </c>
      <c r="B1224" s="1" t="s">
        <v>2314</v>
      </c>
      <c r="C1224" s="1" t="str">
        <f ca="1">IFERROR(__xludf.DUMMYFUNCTION("GOOGLETRANSLATE(B1224,""en"",""ar"")"),"تم توصيل محطة POS هذه بالفعل بجهاز")</f>
        <v>تم توصيل محطة POS هذه بالفعل بجهاز</v>
      </c>
      <c r="D1224" s="1" t="str">
        <f ca="1">IFERROR(__xludf.DUMMYFUNCTION("GOOGLETRANSLATE(B1224,""en"",""zh-CN"")"),"该POS终端已与设备连接")</f>
        <v>该POS终端已与设备连接</v>
      </c>
      <c r="E1224" s="1" t="str">
        <f ca="1">IFERROR(__xludf.DUMMYFUNCTION("GOOGLETRANSLATE(B1224,""en"",""ja"")"),"このPOS端末はすでにデバイスに接続されています")</f>
        <v>このPOS端末はすでにデバイスに接続されています</v>
      </c>
      <c r="F1224" s="1" t="str">
        <f ca="1">IFERROR(__xludf.DUMMYFUNCTION("GOOGLETRANSLATE(B1224,""en"",""fr"")"),"Ce terminal de point de vente a déjà été connecté avec un appareil")</f>
        <v>Ce terminal de point de vente a déjà été connecté avec un appareil</v>
      </c>
    </row>
    <row r="1225" spans="1:6" ht="15.75" customHeight="1" x14ac:dyDescent="0.25">
      <c r="A1225" s="1" t="s">
        <v>2315</v>
      </c>
      <c r="B1225" s="1" t="s">
        <v>2316</v>
      </c>
      <c r="C1225" s="1" t="str">
        <f ca="1">IFERROR(__xludf.DUMMYFUNCTION("GOOGLETRANSLATE(B1225,""en"",""ar"")"),"هل تريد بالتأكيد تسجيل الدخول إلى هذه المحطة؟")</f>
        <v>هل تريد بالتأكيد تسجيل الدخول إلى هذه المحطة؟</v>
      </c>
      <c r="D1225" s="1" t="str">
        <f ca="1">IFERROR(__xludf.DUMMYFUNCTION("GOOGLETRANSLATE(B1225,""en"",""zh-CN"")"),"你肯定想登录这个终端吗？")</f>
        <v>你肯定想登录这个终端吗？</v>
      </c>
      <c r="E1225" s="1" t="str">
        <f ca="1">IFERROR(__xludf.DUMMYFUNCTION("GOOGLETRANSLATE(B1225,""en"",""ja"")"),"あなたは確かにこの端末にログインしたいですか？")</f>
        <v>あなたは確かにこの端末にログインしたいですか？</v>
      </c>
      <c r="F1225" s="1" t="str">
        <f ca="1">IFERROR(__xludf.DUMMYFUNCTION("GOOGLETRANSLATE(B1225,""en"",""fr"")"),"Voulez-vous sûr de vous connecter à ce terminal?")</f>
        <v>Voulez-vous sûr de vous connecter à ce terminal?</v>
      </c>
    </row>
    <row r="1226" spans="1:6" ht="15.75" customHeight="1" x14ac:dyDescent="0.25">
      <c r="A1226" s="1" t="s">
        <v>2317</v>
      </c>
      <c r="B1226" s="1" t="s">
        <v>2318</v>
      </c>
      <c r="C1226" s="1" t="str">
        <f ca="1">IFERROR(__xludf.DUMMYFUNCTION("GOOGLETRANSLATE(B1226,""en"",""ar"")"),"سيتم حظر هذا الإجراء الوصول إلى جهاز \ Nold")</f>
        <v>سيتم حظر هذا الإجراء الوصول إلى جهاز \ Nold</v>
      </c>
      <c r="D1226" s="1" t="str">
        <f ca="1">IFERROR(__xludf.DUMMYFUNCTION("GOOGLETRANSLATE(B1226,""en"",""zh-CN"")"),"此操作将被阻止访问您的\ nold设备")</f>
        <v>此操作将被阻止访问您的\ nold设备</v>
      </c>
      <c r="E1226" s="1" t="str">
        <f ca="1">IFERROR(__xludf.DUMMYFUNCTION("GOOGLETRANSLATE(B1226,""en"",""ja"")"),"このアクションは\ Noldデバイスへのアクセスがブロックされます")</f>
        <v>このアクションは\ Noldデバイスへのアクセスがブロックされます</v>
      </c>
      <c r="F1226" s="1" t="str">
        <f ca="1">IFERROR(__xludf.DUMMYFUNCTION("GOOGLETRANSLATE(B1226,""en"",""fr"")"),"Cette action sera bloquée l'accès à votre appareil \ Nold")</f>
        <v>Cette action sera bloquée l'accès à votre appareil \ Nold</v>
      </c>
    </row>
    <row r="1227" spans="1:6" ht="15.75" customHeight="1" x14ac:dyDescent="0.25">
      <c r="A1227" s="1" t="s">
        <v>2319</v>
      </c>
      <c r="B1227" s="1" t="s">
        <v>2320</v>
      </c>
      <c r="C1227" s="1" t="str">
        <f ca="1">IFERROR(__xludf.DUMMYFUNCTION("GOOGLETRANSLATE(B1227,""en"",""ar"")"),"تسجيل الدخول")</f>
        <v>تسجيل الدخول</v>
      </c>
      <c r="D1227" s="1" t="str">
        <f ca="1">IFERROR(__xludf.DUMMYFUNCTION("GOOGLETRANSLATE(B1227,""en"",""zh-CN"")"),"登录")</f>
        <v>登录</v>
      </c>
      <c r="E1227" s="1" t="str">
        <f ca="1">IFERROR(__xludf.DUMMYFUNCTION("GOOGLETRANSLATE(B1227,""en"",""ja"")"),"ログインする")</f>
        <v>ログインする</v>
      </c>
      <c r="F1227" s="1" t="str">
        <f ca="1">IFERROR(__xludf.DUMMYFUNCTION("GOOGLETRANSLATE(B1227,""en"",""fr"")"),"CONNEXION")</f>
        <v>CONNEXION</v>
      </c>
    </row>
    <row r="1228" spans="1:6" ht="15.75" customHeight="1" x14ac:dyDescent="0.25">
      <c r="A1228" s="1" t="s">
        <v>2321</v>
      </c>
      <c r="B1228" s="1" t="s">
        <v>182</v>
      </c>
      <c r="C1228" s="1" t="str">
        <f ca="1">IFERROR(__xludf.DUMMYFUNCTION("GOOGLETRANSLATE(B1228,""en"",""ar"")"),"كلفة")</f>
        <v>كلفة</v>
      </c>
      <c r="D1228" s="1" t="str">
        <f ca="1">IFERROR(__xludf.DUMMYFUNCTION("GOOGLETRANSLATE(B1228,""en"",""zh-CN"")"),"成本")</f>
        <v>成本</v>
      </c>
      <c r="E1228" s="1" t="str">
        <f ca="1">IFERROR(__xludf.DUMMYFUNCTION("GOOGLETRANSLATE(B1228,""en"",""ja"")"),"料金")</f>
        <v>料金</v>
      </c>
      <c r="F1228" s="1" t="str">
        <f ca="1">IFERROR(__xludf.DUMMYFUNCTION("GOOGLETRANSLATE(B1228,""en"",""fr"")"),"Coût")</f>
        <v>Coût</v>
      </c>
    </row>
    <row r="1229" spans="1:6" ht="15.75" customHeight="1" x14ac:dyDescent="0.25">
      <c r="A1229" s="1" t="s">
        <v>2322</v>
      </c>
      <c r="B1229" s="1" t="s">
        <v>178</v>
      </c>
      <c r="C1229" s="1" t="str">
        <f ca="1">IFERROR(__xludf.DUMMYFUNCTION("GOOGLETRANSLATE(B1229,""en"",""ar"")"),"تاريخ")</f>
        <v>تاريخ</v>
      </c>
      <c r="D1229" s="1" t="str">
        <f ca="1">IFERROR(__xludf.DUMMYFUNCTION("GOOGLETRANSLATE(B1229,""en"",""zh-CN"")"),"日期")</f>
        <v>日期</v>
      </c>
      <c r="E1229" s="1" t="str">
        <f ca="1">IFERROR(__xludf.DUMMYFUNCTION("GOOGLETRANSLATE(B1229,""en"",""ja"")"),"日にち")</f>
        <v>日にち</v>
      </c>
      <c r="F1229" s="1" t="str">
        <f ca="1">IFERROR(__xludf.DUMMYFUNCTION("GOOGLETRANSLATE(B1229,""en"",""fr"")"),"Date")</f>
        <v>Date</v>
      </c>
    </row>
    <row r="1230" spans="1:6" ht="15.75" customHeight="1" x14ac:dyDescent="0.25">
      <c r="A1230" s="1" t="s">
        <v>2323</v>
      </c>
      <c r="B1230" s="1" t="s">
        <v>2324</v>
      </c>
      <c r="C1230" s="1" t="str">
        <f ca="1">IFERROR(__xludf.DUMMYFUNCTION("GOOGLETRANSLATE(B1230,""en"",""ar"")"),"المورد")</f>
        <v>المورد</v>
      </c>
      <c r="D1230" s="1" t="str">
        <f ca="1">IFERROR(__xludf.DUMMYFUNCTION("GOOGLETRANSLATE(B1230,""en"",""zh-CN"")"),"供应商")</f>
        <v>供应商</v>
      </c>
      <c r="E1230" s="1" t="str">
        <f ca="1">IFERROR(__xludf.DUMMYFUNCTION("GOOGLETRANSLATE(B1230,""en"",""ja"")"),"サプライヤー")</f>
        <v>サプライヤー</v>
      </c>
      <c r="F1230" s="1" t="str">
        <f ca="1">IFERROR(__xludf.DUMMYFUNCTION("GOOGLETRANSLATE(B1230,""en"",""fr"")"),"Fournisseur")</f>
        <v>Fournisseur</v>
      </c>
    </row>
    <row r="1231" spans="1:6" ht="15.75" customHeight="1" x14ac:dyDescent="0.25">
      <c r="A1231" s="1" t="s">
        <v>2325</v>
      </c>
      <c r="B1231" s="1" t="s">
        <v>2326</v>
      </c>
      <c r="C1231" s="1" t="str">
        <f ca="1">IFERROR(__xludf.DUMMYFUNCTION("GOOGLETRANSLATE(B1231,""en"",""ar"")"),"حدد المزود")</f>
        <v>حدد المزود</v>
      </c>
      <c r="D1231" s="1" t="str">
        <f ca="1">IFERROR(__xludf.DUMMYFUNCTION("GOOGLETRANSLATE(B1231,""en"",""zh-CN"")"),"选择供应商")</f>
        <v>选择供应商</v>
      </c>
      <c r="E1231" s="1" t="str">
        <f ca="1">IFERROR(__xludf.DUMMYFUNCTION("GOOGLETRANSLATE(B1231,""en"",""ja"")"),"サプライヤーを選択してください")</f>
        <v>サプライヤーを選択してください</v>
      </c>
      <c r="F1231" s="1" t="str">
        <f ca="1">IFERROR(__xludf.DUMMYFUNCTION("GOOGLETRANSLATE(B1231,""en"",""fr"")"),"Sélectionner le fournisseur")</f>
        <v>Sélectionner le fournisseur</v>
      </c>
    </row>
    <row r="1232" spans="1:6" ht="15.75" customHeight="1" x14ac:dyDescent="0.25">
      <c r="A1232" s="1" t="s">
        <v>2327</v>
      </c>
      <c r="B1232" s="1" t="s">
        <v>2328</v>
      </c>
      <c r="C1232" s="1" t="str">
        <f ca="1">IFERROR(__xludf.DUMMYFUNCTION("GOOGLETRANSLATE(B1232,""en"",""ar"")"),"إنشاء النظام")</f>
        <v>إنشاء النظام</v>
      </c>
      <c r="D1232" s="1" t="str">
        <f ca="1">IFERROR(__xludf.DUMMYFUNCTION("GOOGLETRANSLATE(B1232,""en"",""zh-CN"")"),"创建订单")</f>
        <v>创建订单</v>
      </c>
      <c r="E1232" s="1" t="str">
        <f ca="1">IFERROR(__xludf.DUMMYFUNCTION("GOOGLETRANSLATE(B1232,""en"",""ja"")"),"命令を作成します")</f>
        <v>命令を作成します</v>
      </c>
      <c r="F1232" s="1" t="str">
        <f ca="1">IFERROR(__xludf.DUMMYFUNCTION("GOOGLETRANSLATE(B1232,""en"",""fr"")"),"Commander")</f>
        <v>Commander</v>
      </c>
    </row>
    <row r="1233" spans="1:6" ht="15.75" customHeight="1" x14ac:dyDescent="0.25">
      <c r="A1233" s="1" t="s">
        <v>2329</v>
      </c>
      <c r="B1233" s="1" t="s">
        <v>95</v>
      </c>
      <c r="C1233" s="1" t="str">
        <f ca="1">IFERROR(__xludf.DUMMYFUNCTION("GOOGLETRANSLATE(B1233,""en"",""ar"")"),"إنشاء حجز")</f>
        <v>إنشاء حجز</v>
      </c>
      <c r="D1233" s="1" t="str">
        <f ca="1">IFERROR(__xludf.DUMMYFUNCTION("GOOGLETRANSLATE(B1233,""en"",""zh-CN"")"),"创建预订")</f>
        <v>创建预订</v>
      </c>
      <c r="E1233" s="1" t="str">
        <f ca="1">IFERROR(__xludf.DUMMYFUNCTION("GOOGLETRANSLATE(B1233,""en"",""ja"")"),"予約を作成します")</f>
        <v>予約を作成します</v>
      </c>
      <c r="F1233" s="1" t="str">
        <f ca="1">IFERROR(__xludf.DUMMYFUNCTION("GOOGLETRANSLATE(B1233,""en"",""fr"")"),"Créer une réservation")</f>
        <v>Créer une réservation</v>
      </c>
    </row>
    <row r="1234" spans="1:6" ht="15.75" customHeight="1" x14ac:dyDescent="0.25">
      <c r="A1234" s="1" t="s">
        <v>2330</v>
      </c>
      <c r="B1234" s="1" t="s">
        <v>2331</v>
      </c>
      <c r="C1234" s="1" t="str">
        <f ca="1">IFERROR(__xludf.DUMMYFUNCTION("GOOGLETRANSLATE(B1234,""en"",""ar"")"),"حفظ الاستلام")</f>
        <v>حفظ الاستلام</v>
      </c>
      <c r="D1234" s="1" t="str">
        <f ca="1">IFERROR(__xludf.DUMMYFUNCTION("GOOGLETRANSLATE(B1234,""en"",""zh-CN"")"),"保存收据")</f>
        <v>保存收据</v>
      </c>
      <c r="E1234" s="1" t="str">
        <f ca="1">IFERROR(__xludf.DUMMYFUNCTION("GOOGLETRANSLATE(B1234,""en"",""ja"")"),"領収書を保存")</f>
        <v>領収書を保存</v>
      </c>
      <c r="F1234" s="1" t="str">
        <f ca="1">IFERROR(__xludf.DUMMYFUNCTION("GOOGLETRANSLATE(B1234,""en"",""fr"")"),"Enregistrer la réception")</f>
        <v>Enregistrer la réception</v>
      </c>
    </row>
    <row r="1235" spans="1:6" ht="15.75" customHeight="1" x14ac:dyDescent="0.25">
      <c r="A1235" s="1" t="s">
        <v>2332</v>
      </c>
      <c r="B1235" s="1" t="s">
        <v>2331</v>
      </c>
      <c r="C1235" s="1" t="str">
        <f ca="1">IFERROR(__xludf.DUMMYFUNCTION("GOOGLETRANSLATE(B1235,""en"",""ar"")"),"حفظ الاستلام")</f>
        <v>حفظ الاستلام</v>
      </c>
      <c r="D1235" s="1" t="str">
        <f ca="1">IFERROR(__xludf.DUMMYFUNCTION("GOOGLETRANSLATE(B1235,""en"",""zh-CN"")"),"保存收据")</f>
        <v>保存收据</v>
      </c>
      <c r="E1235" s="1" t="str">
        <f ca="1">IFERROR(__xludf.DUMMYFUNCTION("GOOGLETRANSLATE(B1235,""en"",""ja"")"),"領収書を保存")</f>
        <v>領収書を保存</v>
      </c>
      <c r="F1235" s="1" t="str">
        <f ca="1">IFERROR(__xludf.DUMMYFUNCTION("GOOGLETRANSLATE(B1235,""en"",""fr"")"),"Enregistrer la réception")</f>
        <v>Enregistrer la réception</v>
      </c>
    </row>
    <row r="1236" spans="1:6" ht="15.75" customHeight="1" x14ac:dyDescent="0.25">
      <c r="A1236" s="1" t="s">
        <v>2333</v>
      </c>
      <c r="B1236" s="1" t="s">
        <v>2334</v>
      </c>
      <c r="C1236" s="1" t="str">
        <f ca="1">IFERROR(__xludf.DUMMYFUNCTION("GOOGLETRANSLATE(B1236,""en"",""ar"")"),"هل تريد حفظ هذا الاستلام؟")</f>
        <v>هل تريد حفظ هذا الاستلام؟</v>
      </c>
      <c r="D1236" s="1" t="str">
        <f ca="1">IFERROR(__xludf.DUMMYFUNCTION("GOOGLETRANSLATE(B1236,""en"",""zh-CN"")"),"你想保存这个收据吗？")</f>
        <v>你想保存这个收据吗？</v>
      </c>
      <c r="E1236" s="1" t="str">
        <f ca="1">IFERROR(__xludf.DUMMYFUNCTION("GOOGLETRANSLATE(B1236,""en"",""ja"")"),"この領収書を保存しますか？")</f>
        <v>この領収書を保存しますか？</v>
      </c>
      <c r="F1236" s="1" t="str">
        <f ca="1">IFERROR(__xludf.DUMMYFUNCTION("GOOGLETRANSLATE(B1236,""en"",""fr"")"),"Voulez-vous enregistrer ce reçu?")</f>
        <v>Voulez-vous enregistrer ce reçu?</v>
      </c>
    </row>
    <row r="1237" spans="1:6" ht="15.75" customHeight="1" x14ac:dyDescent="0.25">
      <c r="A1237" s="1" t="s">
        <v>2335</v>
      </c>
      <c r="B1237" s="1" t="s">
        <v>2336</v>
      </c>
      <c r="C1237" s="1" t="str">
        <f ca="1">IFERROR(__xludf.DUMMYFUNCTION("GOOGLETRANSLATE(B1237,""en"",""ar"")"),"هل أنت متأكد من أنك تريد حفظ هذا الاستلام؟")</f>
        <v>هل أنت متأكد من أنك تريد حفظ هذا الاستلام؟</v>
      </c>
      <c r="D1237" s="1" t="str">
        <f ca="1">IFERROR(__xludf.DUMMYFUNCTION("GOOGLETRANSLATE(B1237,""en"",""zh-CN"")"),"你肯定想要保存此收据吗？")</f>
        <v>你肯定想要保存此收据吗？</v>
      </c>
      <c r="E1237" s="1" t="str">
        <f ca="1">IFERROR(__xludf.DUMMYFUNCTION("GOOGLETRANSLATE(B1237,""en"",""ja"")"),"あなたは確かにこの領収書を保存したいですか？")</f>
        <v>あなたは確かにこの領収書を保存したいですか？</v>
      </c>
      <c r="F1237" s="1" t="str">
        <f ca="1">IFERROR(__xludf.DUMMYFUNCTION("GOOGLETRANSLATE(B1237,""en"",""fr"")"),"Voulez-vous sûr de sauvegarder ce reçu?")</f>
        <v>Voulez-vous sûr de sauvegarder ce reçu?</v>
      </c>
    </row>
    <row r="1238" spans="1:6" ht="15.75" customHeight="1" x14ac:dyDescent="0.25">
      <c r="A1238" s="1" t="s">
        <v>2337</v>
      </c>
      <c r="B1238" s="1" t="s">
        <v>2338</v>
      </c>
      <c r="C1238" s="1" t="str">
        <f ca="1">IFERROR(__xludf.DUMMYFUNCTION("GOOGLETRANSLATE(B1238,""en"",""ar"")"),"وقت النهاية")</f>
        <v>وقت النهاية</v>
      </c>
      <c r="D1238" s="1" t="str">
        <f ca="1">IFERROR(__xludf.DUMMYFUNCTION("GOOGLETRANSLATE(B1238,""en"",""zh-CN"")"),"时间结束")</f>
        <v>时间结束</v>
      </c>
      <c r="E1238" s="1" t="str">
        <f ca="1">IFERROR(__xludf.DUMMYFUNCTION("GOOGLETRANSLATE(B1238,""en"",""ja"")"),"終了時間")</f>
        <v>終了時間</v>
      </c>
      <c r="F1238" s="1" t="str">
        <f ca="1">IFERROR(__xludf.DUMMYFUNCTION("GOOGLETRANSLATE(B1238,""en"",""fr"")"),"Heure de fin")</f>
        <v>Heure de fin</v>
      </c>
    </row>
    <row r="1239" spans="1:6" ht="15.75" customHeight="1" x14ac:dyDescent="0.25">
      <c r="A1239" s="1" t="s">
        <v>2339</v>
      </c>
      <c r="B1239" s="1" t="s">
        <v>2340</v>
      </c>
      <c r="C1239" s="1" t="str">
        <f ca="1">IFERROR(__xludf.DUMMYFUNCTION("GOOGLETRANSLATE(B1239,""en"",""ar"")"),"حجز")</f>
        <v>حجز</v>
      </c>
      <c r="D1239" s="1" t="str">
        <f ca="1">IFERROR(__xludf.DUMMYFUNCTION("GOOGLETRANSLATE(B1239,""en"",""zh-CN"")"),"预订")</f>
        <v>预订</v>
      </c>
      <c r="E1239" s="1" t="str">
        <f ca="1">IFERROR(__xludf.DUMMYFUNCTION("GOOGLETRANSLATE(B1239,""en"",""ja"")"),"予約")</f>
        <v>予約</v>
      </c>
      <c r="F1239" s="1" t="str">
        <f ca="1">IFERROR(__xludf.DUMMYFUNCTION("GOOGLETRANSLATE(B1239,""en"",""fr"")"),"Réservation")</f>
        <v>Réservation</v>
      </c>
    </row>
    <row r="1240" spans="1:6" ht="15.75" customHeight="1" x14ac:dyDescent="0.25">
      <c r="A1240" s="1" t="s">
        <v>2341</v>
      </c>
      <c r="B1240" s="1" t="s">
        <v>2342</v>
      </c>
      <c r="C1240" s="1" t="str">
        <f ca="1">IFERROR(__xludf.DUMMYFUNCTION("GOOGLETRANSLATE(B1240,""en"",""ar"")"),"تحقق في")</f>
        <v>تحقق في</v>
      </c>
      <c r="D1240" s="1" t="str">
        <f ca="1">IFERROR(__xludf.DUMMYFUNCTION("GOOGLETRANSLATE(B1240,""en"",""zh-CN"")"),"报到")</f>
        <v>报到</v>
      </c>
      <c r="E1240" s="1" t="str">
        <f ca="1">IFERROR(__xludf.DUMMYFUNCTION("GOOGLETRANSLATE(B1240,""en"",""ja"")"),"チェックイン")</f>
        <v>チェックイン</v>
      </c>
      <c r="F1240" s="1" t="str">
        <f ca="1">IFERROR(__xludf.DUMMYFUNCTION("GOOGLETRANSLATE(B1240,""en"",""fr"")"),"Enregistrement")</f>
        <v>Enregistrement</v>
      </c>
    </row>
    <row r="1241" spans="1:6" ht="15.75" customHeight="1" x14ac:dyDescent="0.25">
      <c r="A1241" s="1" t="s">
        <v>2343</v>
      </c>
      <c r="B1241" s="1" t="s">
        <v>2344</v>
      </c>
      <c r="C1241" s="1" t="str">
        <f ca="1">IFERROR(__xludf.DUMMYFUNCTION("GOOGLETRANSLATE(B1241,""en"",""ar"")"),"الدفع")</f>
        <v>الدفع</v>
      </c>
      <c r="D1241" s="1" t="str">
        <f ca="1">IFERROR(__xludf.DUMMYFUNCTION("GOOGLETRANSLATE(B1241,""en"",""zh-CN"")"),"查看")</f>
        <v>查看</v>
      </c>
      <c r="E1241" s="1" t="str">
        <f ca="1">IFERROR(__xludf.DUMMYFUNCTION("GOOGLETRANSLATE(B1241,""en"",""ja"")"),"チェックアウト")</f>
        <v>チェックアウト</v>
      </c>
      <c r="F1241" s="1" t="str">
        <f ca="1">IFERROR(__xludf.DUMMYFUNCTION("GOOGLETRANSLATE(B1241,""en"",""fr"")"),"Vérifier")</f>
        <v>Vérifier</v>
      </c>
    </row>
    <row r="1242" spans="1:6" ht="15.75" customHeight="1" x14ac:dyDescent="0.25">
      <c r="A1242" s="1" t="s">
        <v>2345</v>
      </c>
      <c r="B1242" s="1" t="s">
        <v>2346</v>
      </c>
      <c r="C1242" s="1" t="str">
        <f ca="1">IFERROR(__xludf.DUMMYFUNCTION("GOOGLETRANSLATE(B1242,""en"",""ar"")"),"طوال اليوم")</f>
        <v>طوال اليوم</v>
      </c>
      <c r="D1242" s="1" t="str">
        <f ca="1">IFERROR(__xludf.DUMMYFUNCTION("GOOGLETRANSLATE(B1242,""en"",""zh-CN"")"),"一整天")</f>
        <v>一整天</v>
      </c>
      <c r="E1242" s="1" t="str">
        <f ca="1">IFERROR(__xludf.DUMMYFUNCTION("GOOGLETRANSLATE(B1242,""en"",""ja"")"),"一日中")</f>
        <v>一日中</v>
      </c>
      <c r="F1242" s="1" t="str">
        <f ca="1">IFERROR(__xludf.DUMMYFUNCTION("GOOGLETRANSLATE(B1242,""en"",""fr"")"),"Toute la journée")</f>
        <v>Toute la journée</v>
      </c>
    </row>
    <row r="1243" spans="1:6" ht="15.75" customHeight="1" x14ac:dyDescent="0.25">
      <c r="A1243" s="1" t="s">
        <v>2347</v>
      </c>
      <c r="B1243" s="1" t="s">
        <v>2348</v>
      </c>
      <c r="C1243" s="1" t="str">
        <f ca="1">IFERROR(__xludf.DUMMYFUNCTION("GOOGLETRANSLATE(B1243,""en"",""ar"")"),"لا تحدد")</f>
        <v>لا تحدد</v>
      </c>
      <c r="D1243" s="1" t="str">
        <f ca="1">IFERROR(__xludf.DUMMYFUNCTION("GOOGLETRANSLATE(B1243,""en"",""zh-CN"")"),"没有定义")</f>
        <v>没有定义</v>
      </c>
      <c r="E1243" s="1" t="str">
        <f ca="1">IFERROR(__xludf.DUMMYFUNCTION("GOOGLETRANSLATE(B1243,""en"",""ja"")"),"定義されていません")</f>
        <v>定義されていません</v>
      </c>
      <c r="F1243" s="1" t="str">
        <f ca="1">IFERROR(__xludf.DUMMYFUNCTION("GOOGLETRANSLATE(B1243,""en"",""fr"")"),"Ne pas définir")</f>
        <v>Ne pas définir</v>
      </c>
    </row>
    <row r="1244" spans="1:6" ht="15.75" customHeight="1" x14ac:dyDescent="0.25">
      <c r="A1244" s="1" t="s">
        <v>2349</v>
      </c>
      <c r="B1244" s="1" t="s">
        <v>2350</v>
      </c>
      <c r="C1244" s="1" t="str">
        <f ca="1">IFERROR(__xludf.DUMMYFUNCTION("GOOGLETRANSLATE(B1244,""en"",""ar"")"),"حدد تاريخ")</f>
        <v>حدد تاريخ</v>
      </c>
      <c r="D1244" s="1" t="str">
        <f ca="1">IFERROR(__xludf.DUMMYFUNCTION("GOOGLETRANSLATE(B1244,""en"",""zh-CN"")"),"选择日期")</f>
        <v>选择日期</v>
      </c>
      <c r="E1244" s="1" t="str">
        <f ca="1">IFERROR(__xludf.DUMMYFUNCTION("GOOGLETRANSLATE(B1244,""en"",""ja"")"),"日付を選択してください")</f>
        <v>日付を選択してください</v>
      </c>
      <c r="F1244" s="1" t="str">
        <f ca="1">IFERROR(__xludf.DUMMYFUNCTION("GOOGLETRANSLATE(B1244,""en"",""fr"")"),"Sélectionner une date")</f>
        <v>Sélectionner une date</v>
      </c>
    </row>
    <row r="1245" spans="1:6" ht="15.75" customHeight="1" x14ac:dyDescent="0.25">
      <c r="A1245" s="1" t="s">
        <v>2351</v>
      </c>
      <c r="B1245" s="1" t="s">
        <v>2352</v>
      </c>
      <c r="C1245" s="1" t="str">
        <f ca="1">IFERROR(__xludf.DUMMYFUNCTION("GOOGLETRANSLATE(B1245,""en"",""ar"")"),"زمن")</f>
        <v>زمن</v>
      </c>
      <c r="D1245" s="1" t="str">
        <f ca="1">IFERROR(__xludf.DUMMYFUNCTION("GOOGLETRANSLATE(B1245,""en"",""zh-CN"")"),"时间")</f>
        <v>时间</v>
      </c>
      <c r="E1245" s="1" t="str">
        <f ca="1">IFERROR(__xludf.DUMMYFUNCTION("GOOGLETRANSLATE(B1245,""en"",""ja"")"),"時間")</f>
        <v>時間</v>
      </c>
      <c r="F1245" s="1" t="str">
        <f ca="1">IFERROR(__xludf.DUMMYFUNCTION("GOOGLETRANSLATE(B1245,""en"",""fr"")"),"temps")</f>
        <v>temps</v>
      </c>
    </row>
    <row r="1246" spans="1:6" ht="15.75" customHeight="1" x14ac:dyDescent="0.25">
      <c r="A1246" s="1" t="s">
        <v>2353</v>
      </c>
      <c r="B1246" s="1" t="s">
        <v>2354</v>
      </c>
      <c r="C1246" s="1" t="str">
        <f ca="1">IFERROR(__xludf.DUMMYFUNCTION("GOOGLETRANSLATE(B1246,""en"",""ar"")"),"هل ترغب في طباعة إيصال لهذه التسوية؟")</f>
        <v>هل ترغب في طباعة إيصال لهذه التسوية؟</v>
      </c>
      <c r="D1246" s="1" t="str">
        <f ca="1">IFERROR(__xludf.DUMMYFUNCTION("GOOGLETRANSLATE(B1246,""en"",""zh-CN"")"),"您想打印此结算的收据吗？")</f>
        <v>您想打印此结算的收据吗？</v>
      </c>
      <c r="E1246" s="1" t="str">
        <f ca="1">IFERROR(__xludf.DUMMYFUNCTION("GOOGLETRANSLATE(B1246,""en"",""ja"")"),"この決済の領収書を印刷しますか？")</f>
        <v>この決済の領収書を印刷しますか？</v>
      </c>
      <c r="F1246" s="1" t="str">
        <f ca="1">IFERROR(__xludf.DUMMYFUNCTION("GOOGLETRANSLATE(B1246,""en"",""fr"")"),"Voulez-vous imprimer un reçu pour ce règlement?")</f>
        <v>Voulez-vous imprimer un reçu pour ce règlement?</v>
      </c>
    </row>
    <row r="1247" spans="1:6" ht="15.75" customHeight="1" x14ac:dyDescent="0.25">
      <c r="A1247" s="1" t="s">
        <v>2355</v>
      </c>
      <c r="B1247" s="1" t="s">
        <v>2356</v>
      </c>
      <c r="C1247" s="1" t="str">
        <f ca="1">IFERROR(__xludf.DUMMYFUNCTION("GOOGLETRANSLATE(B1247,""en"",""ar"")"),"عرض القائمة")</f>
        <v>عرض القائمة</v>
      </c>
      <c r="D1247" s="1" t="str">
        <f ca="1">IFERROR(__xludf.DUMMYFUNCTION("GOOGLETRANSLATE(B1247,""en"",""zh-CN"")"),"查看列表")</f>
        <v>查看列表</v>
      </c>
      <c r="E1247" s="1" t="str">
        <f ca="1">IFERROR(__xludf.DUMMYFUNCTION("GOOGLETRANSLATE(B1247,""en"",""ja"")"),"リストを表示")</f>
        <v>リストを表示</v>
      </c>
      <c r="F1247" s="1" t="str">
        <f ca="1">IFERROR(__xludf.DUMMYFUNCTION("GOOGLETRANSLATE(B1247,""en"",""fr"")"),"AFFICHER LA LISTE")</f>
        <v>AFFICHER LA LISTE</v>
      </c>
    </row>
    <row r="1248" spans="1:6" ht="15.75" customHeight="1" x14ac:dyDescent="0.25">
      <c r="A1248" s="1" t="s">
        <v>2357</v>
      </c>
      <c r="B1248" s="1" t="s">
        <v>2358</v>
      </c>
      <c r="C1248" s="1" t="str">
        <f ca="1">IFERROR(__xludf.DUMMYFUNCTION("GOOGLETRANSLATE(B1248,""en"",""ar"")"),"أضف إلى القائمة")</f>
        <v>أضف إلى القائمة</v>
      </c>
      <c r="D1248" s="1" t="str">
        <f ca="1">IFERROR(__xludf.DUMMYFUNCTION("GOOGLETRANSLATE(B1248,""en"",""zh-CN"")"),"添加到列表中")</f>
        <v>添加到列表中</v>
      </c>
      <c r="E1248" s="1" t="str">
        <f ca="1">IFERROR(__xludf.DUMMYFUNCTION("GOOGLETRANSLATE(B1248,""en"",""ja"")"),"リストに追加する")</f>
        <v>リストに追加する</v>
      </c>
      <c r="F1248" s="1" t="str">
        <f ca="1">IFERROR(__xludf.DUMMYFUNCTION("GOOGLETRANSLATE(B1248,""en"",""fr"")"),"AJOUTER À LA LISTE")</f>
        <v>AJOUTER À LA LISTE</v>
      </c>
    </row>
    <row r="1249" spans="1:6" ht="15.75" customHeight="1" x14ac:dyDescent="0.25">
      <c r="A1249" s="1" t="s">
        <v>2359</v>
      </c>
      <c r="B1249" s="1" t="s">
        <v>2360</v>
      </c>
      <c r="C1249" s="1" t="str">
        <f ca="1">IFERROR(__xludf.DUMMYFUNCTION("GOOGLETRANSLATE(B1249,""en"",""ar"")"),"قائمة التحديث")</f>
        <v>قائمة التحديث</v>
      </c>
      <c r="D1249" s="1" t="str">
        <f ca="1">IFERROR(__xludf.DUMMYFUNCTION("GOOGLETRANSLATE(B1249,""en"",""zh-CN"")"),"更新列表")</f>
        <v>更新列表</v>
      </c>
      <c r="E1249" s="1" t="str">
        <f ca="1">IFERROR(__xludf.DUMMYFUNCTION("GOOGLETRANSLATE(B1249,""en"",""ja"")"),"更新リスト")</f>
        <v>更新リスト</v>
      </c>
      <c r="F1249" s="1" t="str">
        <f ca="1">IFERROR(__xludf.DUMMYFUNCTION("GOOGLETRANSLATE(B1249,""en"",""fr"")"),"Liste de mise à jour")</f>
        <v>Liste de mise à jour</v>
      </c>
    </row>
    <row r="1250" spans="1:6" ht="15.75" customHeight="1" x14ac:dyDescent="0.25">
      <c r="A1250" s="1" t="s">
        <v>2361</v>
      </c>
      <c r="B1250" s="1" t="s">
        <v>744</v>
      </c>
      <c r="C1250" s="1" t="str">
        <f ca="1">IFERROR(__xludf.DUMMYFUNCTION("GOOGLETRANSLATE(B1250,""en"",""ar"")"),"كمية")</f>
        <v>كمية</v>
      </c>
      <c r="D1250" s="1" t="str">
        <f ca="1">IFERROR(__xludf.DUMMYFUNCTION("GOOGLETRANSLATE(B1250,""en"",""zh-CN"")"),"数量")</f>
        <v>数量</v>
      </c>
      <c r="E1250" s="1" t="str">
        <f ca="1">IFERROR(__xludf.DUMMYFUNCTION("GOOGLETRANSLATE(B1250,""en"",""ja"")"),"量")</f>
        <v>量</v>
      </c>
      <c r="F1250" s="1" t="str">
        <f ca="1">IFERROR(__xludf.DUMMYFUNCTION("GOOGLETRANSLATE(B1250,""en"",""fr"")"),"Quantité")</f>
        <v>Quantité</v>
      </c>
    </row>
    <row r="1251" spans="1:6" ht="15.75" customHeight="1" x14ac:dyDescent="0.25">
      <c r="A1251" s="1" t="s">
        <v>2362</v>
      </c>
      <c r="B1251" s="1" t="s">
        <v>2363</v>
      </c>
      <c r="C1251" s="1" t="str">
        <f ca="1">IFERROR(__xludf.DUMMYFUNCTION("GOOGLETRANSLATE(B1251,""en"",""ar"")"),"كمية لضبط")</f>
        <v>كمية لضبط</v>
      </c>
      <c r="D1251" s="1" t="str">
        <f ca="1">IFERROR(__xludf.DUMMYFUNCTION("GOOGLETRANSLATE(B1251,""en"",""zh-CN"")"),"调整的数量")</f>
        <v>调整的数量</v>
      </c>
      <c r="E1251" s="1" t="str">
        <f ca="1">IFERROR(__xludf.DUMMYFUNCTION("GOOGLETRANSLATE(B1251,""en"",""ja"")"),"調整する量")</f>
        <v>調整する量</v>
      </c>
      <c r="F1251" s="1" t="str">
        <f ca="1">IFERROR(__xludf.DUMMYFUNCTION("GOOGLETRANSLATE(B1251,""en"",""fr"")"),"Quantité à ajuster")</f>
        <v>Quantité à ajuster</v>
      </c>
    </row>
    <row r="1252" spans="1:6" ht="15.75" customHeight="1" x14ac:dyDescent="0.25">
      <c r="A1252" s="1" t="s">
        <v>2364</v>
      </c>
      <c r="B1252" s="1" t="s">
        <v>236</v>
      </c>
      <c r="C1252" s="1" t="str">
        <f ca="1">IFERROR(__xludf.DUMMYFUNCTION("GOOGLETRANSLATE(B1252,""en"",""ar"")"),"مقدار")</f>
        <v>مقدار</v>
      </c>
      <c r="D1252" s="1" t="str">
        <f ca="1">IFERROR(__xludf.DUMMYFUNCTION("GOOGLETRANSLATE(B1252,""en"",""zh-CN"")"),"数量")</f>
        <v>数量</v>
      </c>
      <c r="E1252" s="1" t="str">
        <f ca="1">IFERROR(__xludf.DUMMYFUNCTION("GOOGLETRANSLATE(B1252,""en"",""ja"")"),"額")</f>
        <v>額</v>
      </c>
      <c r="F1252" s="1" t="str">
        <f ca="1">IFERROR(__xludf.DUMMYFUNCTION("GOOGLETRANSLATE(B1252,""en"",""fr"")"),"Quantité")</f>
        <v>Quantité</v>
      </c>
    </row>
    <row r="1253" spans="1:6" ht="15.75" customHeight="1" x14ac:dyDescent="0.25">
      <c r="A1253" s="1" t="s">
        <v>2365</v>
      </c>
      <c r="B1253" s="1" t="s">
        <v>2366</v>
      </c>
      <c r="C1253" s="1" t="str">
        <f ca="1">IFERROR(__xludf.DUMMYFUNCTION("GOOGLETRANSLATE(B1253,""en"",""ar"")"),"انشأ من قبل")</f>
        <v>انشأ من قبل</v>
      </c>
      <c r="D1253" s="1" t="str">
        <f ca="1">IFERROR(__xludf.DUMMYFUNCTION("GOOGLETRANSLATE(B1253,""en"",""zh-CN"")"),"由...制作")</f>
        <v>由...制作</v>
      </c>
      <c r="E1253" s="1" t="str">
        <f ca="1">IFERROR(__xludf.DUMMYFUNCTION("GOOGLETRANSLATE(B1253,""en"",""ja"")"),"によって作成された")</f>
        <v>によって作成された</v>
      </c>
      <c r="F1253" s="1" t="str">
        <f ca="1">IFERROR(__xludf.DUMMYFUNCTION("GOOGLETRANSLATE(B1253,""en"",""fr"")"),"Créé par")</f>
        <v>Créé par</v>
      </c>
    </row>
    <row r="1254" spans="1:6" ht="15.75" customHeight="1" x14ac:dyDescent="0.25">
      <c r="A1254" s="1" t="s">
        <v>2367</v>
      </c>
      <c r="B1254" s="1" t="s">
        <v>2368</v>
      </c>
      <c r="C1254" s="1" t="str">
        <f ca="1">IFERROR(__xludf.DUMMYFUNCTION("GOOGLETRANSLATE(B1254,""en"",""ar"")"),"sa view.")</f>
        <v>sa view.</v>
      </c>
      <c r="D1254" s="1" t="str">
        <f ca="1">IFERROR(__xludf.DUMMYFUNCTION("GOOGLETRANSLATE(B1254,""en"",""zh-CN"")"),"SA视图")</f>
        <v>SA视图</v>
      </c>
      <c r="E1254" s="1" t="str">
        <f ca="1">IFERROR(__xludf.DUMMYFUNCTION("GOOGLETRANSLATE(B1254,""en"",""ja"")"),"SAビュー")</f>
        <v>SAビュー</v>
      </c>
      <c r="F1254" s="1" t="str">
        <f ca="1">IFERROR(__xludf.DUMMYFUNCTION("GOOGLETRANSLATE(B1254,""en"",""fr"")"),"Sa vue")</f>
        <v>Sa vue</v>
      </c>
    </row>
    <row r="1255" spans="1:6" ht="15.75" customHeight="1" x14ac:dyDescent="0.25">
      <c r="A1255" s="1" t="s">
        <v>2369</v>
      </c>
      <c r="B1255" s="1" t="s">
        <v>2370</v>
      </c>
      <c r="C1255" s="1" t="str">
        <f ca="1">IFERROR(__xludf.DUMMYFUNCTION("GOOGLETRANSLATE(B1255,""en"",""ar"")"),"الأسهم الحالية")</f>
        <v>الأسهم الحالية</v>
      </c>
      <c r="D1255" s="1" t="str">
        <f ca="1">IFERROR(__xludf.DUMMYFUNCTION("GOOGLETRANSLATE(B1255,""en"",""zh-CN"")"),"目前的股票")</f>
        <v>目前的股票</v>
      </c>
      <c r="E1255" s="1" t="str">
        <f ca="1">IFERROR(__xludf.DUMMYFUNCTION("GOOGLETRANSLATE(B1255,""en"",""ja"")"),"現在のストック")</f>
        <v>現在のストック</v>
      </c>
      <c r="F1255" s="1" t="str">
        <f ca="1">IFERROR(__xludf.DUMMYFUNCTION("GOOGLETRANSLATE(B1255,""en"",""fr"")"),"Stock actuel")</f>
        <v>Stock actuel</v>
      </c>
    </row>
    <row r="1256" spans="1:6" ht="15.75" customHeight="1" x14ac:dyDescent="0.25">
      <c r="A1256" s="1" t="s">
        <v>2371</v>
      </c>
      <c r="B1256" s="1" t="s">
        <v>2372</v>
      </c>
      <c r="C1256" s="1" t="str">
        <f ca="1">IFERROR(__xludf.DUMMYFUNCTION("GOOGLETRANSLATE(B1256,""en"",""ar"")"),"الأسهم الجديدة")</f>
        <v>الأسهم الجديدة</v>
      </c>
      <c r="D1256" s="1" t="str">
        <f ca="1">IFERROR(__xludf.DUMMYFUNCTION("GOOGLETRANSLATE(B1256,""en"",""zh-CN"")"),"新股票")</f>
        <v>新股票</v>
      </c>
      <c r="E1256" s="1" t="str">
        <f ca="1">IFERROR(__xludf.DUMMYFUNCTION("GOOGLETRANSLATE(B1256,""en"",""ja"")"),"在庫")</f>
        <v>在庫</v>
      </c>
      <c r="F1256" s="1" t="str">
        <f ca="1">IFERROR(__xludf.DUMMYFUNCTION("GOOGLETRANSLATE(B1256,""en"",""fr"")"),"Nouveau stock")</f>
        <v>Nouveau stock</v>
      </c>
    </row>
    <row r="1257" spans="1:6" ht="15.75" customHeight="1" x14ac:dyDescent="0.25">
      <c r="A1257" s="1" t="s">
        <v>2373</v>
      </c>
      <c r="B1257" s="1" t="s">
        <v>2374</v>
      </c>
      <c r="C1257" s="1" t="str">
        <f ca="1">IFERROR(__xludf.DUMMYFUNCTION("GOOGLETRANSLATE(B1257,""en"",""ar"")"),"إلى المتجر")</f>
        <v>إلى المتجر</v>
      </c>
      <c r="D1257" s="1" t="str">
        <f ca="1">IFERROR(__xludf.DUMMYFUNCTION("GOOGLETRANSLATE(B1257,""en"",""zh-CN"")"),"购物")</f>
        <v>购物</v>
      </c>
      <c r="E1257" s="1" t="str">
        <f ca="1">IFERROR(__xludf.DUMMYFUNCTION("GOOGLETRANSLATE(B1257,""en"",""ja"")"),"を買いに行く")</f>
        <v>を買いに行く</v>
      </c>
      <c r="F1257" s="1" t="str">
        <f ca="1">IFERROR(__xludf.DUMMYFUNCTION("GOOGLETRANSLATE(B1257,""en"",""fr"")"),"Faire des courses")</f>
        <v>Faire des courses</v>
      </c>
    </row>
    <row r="1258" spans="1:6" ht="15.75" customHeight="1" x14ac:dyDescent="0.25">
      <c r="A1258" s="1" t="s">
        <v>2375</v>
      </c>
      <c r="B1258" s="1" t="s">
        <v>2376</v>
      </c>
      <c r="C1258" s="1" t="str">
        <f ca="1">IFERROR(__xludf.DUMMYFUNCTION("GOOGLETRANSLATE(B1258,""en"",""ar"")"),"من متجر")</f>
        <v>من متجر</v>
      </c>
      <c r="D1258" s="1" t="str">
        <f ca="1">IFERROR(__xludf.DUMMYFUNCTION("GOOGLETRANSLATE(B1258,""en"",""zh-CN"")"),"从商店")</f>
        <v>从商店</v>
      </c>
      <c r="E1258" s="1" t="str">
        <f ca="1">IFERROR(__xludf.DUMMYFUNCTION("GOOGLETRANSLATE(B1258,""en"",""ja"")"),"お店から")</f>
        <v>お店から</v>
      </c>
      <c r="F1258" s="1" t="str">
        <f ca="1">IFERROR(__xludf.DUMMYFUNCTION("GOOGLETRANSLATE(B1258,""en"",""fr"")"),"De magasin")</f>
        <v>De magasin</v>
      </c>
    </row>
    <row r="1259" spans="1:6" ht="15.75" customHeight="1" x14ac:dyDescent="0.25">
      <c r="A1259" s="1" t="s">
        <v>2377</v>
      </c>
      <c r="B1259" s="1" t="s">
        <v>2374</v>
      </c>
      <c r="C1259" s="1" t="str">
        <f ca="1">IFERROR(__xludf.DUMMYFUNCTION("GOOGLETRANSLATE(B1259,""en"",""ar"")"),"إلى المتجر")</f>
        <v>إلى المتجر</v>
      </c>
      <c r="D1259" s="1" t="str">
        <f ca="1">IFERROR(__xludf.DUMMYFUNCTION("GOOGLETRANSLATE(B1259,""en"",""zh-CN"")"),"购物")</f>
        <v>购物</v>
      </c>
      <c r="E1259" s="1" t="str">
        <f ca="1">IFERROR(__xludf.DUMMYFUNCTION("GOOGLETRANSLATE(B1259,""en"",""ja"")"),"を買いに行く")</f>
        <v>を買いに行く</v>
      </c>
      <c r="F1259" s="1" t="str">
        <f ca="1">IFERROR(__xludf.DUMMYFUNCTION("GOOGLETRANSLATE(B1259,""en"",""fr"")"),"Faire des courses")</f>
        <v>Faire des courses</v>
      </c>
    </row>
    <row r="1260" spans="1:6" ht="15.75" customHeight="1" x14ac:dyDescent="0.25">
      <c r="A1260" s="1" t="s">
        <v>2378</v>
      </c>
      <c r="B1260" s="1" t="s">
        <v>238</v>
      </c>
      <c r="C1260" s="1" t="str">
        <f ca="1">IFERROR(__xludf.DUMMYFUNCTION("GOOGLETRANSLATE(B1260,""en"",""ar"")"),"نوع")</f>
        <v>نوع</v>
      </c>
      <c r="D1260" s="1" t="str">
        <f ca="1">IFERROR(__xludf.DUMMYFUNCTION("GOOGLETRANSLATE(B1260,""en"",""zh-CN"")"),"类型")</f>
        <v>类型</v>
      </c>
      <c r="E1260" s="1" t="str">
        <f ca="1">IFERROR(__xludf.DUMMYFUNCTION("GOOGLETRANSLATE(B1260,""en"",""ja"")"),"タイプ")</f>
        <v>タイプ</v>
      </c>
      <c r="F1260" s="1" t="str">
        <f ca="1">IFERROR(__xludf.DUMMYFUNCTION("GOOGLETRANSLATE(B1260,""en"",""fr"")"),"Taper")</f>
        <v>Taper</v>
      </c>
    </row>
    <row r="1261" spans="1:6" ht="15.75" customHeight="1" x14ac:dyDescent="0.25">
      <c r="A1261" s="1" t="s">
        <v>2379</v>
      </c>
      <c r="B1261" s="1" t="s">
        <v>2380</v>
      </c>
      <c r="C1261" s="1" t="str">
        <f ca="1">IFERROR(__xludf.DUMMYFUNCTION("GOOGLETRANSLATE(B1261,""en"",""ar"")"),"نقل البضائع")</f>
        <v>نقل البضائع</v>
      </c>
      <c r="D1261" s="1" t="str">
        <f ca="1">IFERROR(__xludf.DUMMYFUNCTION("GOOGLETRANSLATE(B1261,""en"",""zh-CN"")"),"货物转移")</f>
        <v>货物转移</v>
      </c>
      <c r="E1261" s="1" t="str">
        <f ca="1">IFERROR(__xludf.DUMMYFUNCTION("GOOGLETRANSLATE(B1261,""en"",""ja"")"),"商品の転送")</f>
        <v>商品の転送</v>
      </c>
      <c r="F1261" s="1" t="str">
        <f ca="1">IFERROR(__xludf.DUMMYFUNCTION("GOOGLETRANSLATE(B1261,""en"",""fr"")"),"Transfert de marchandises")</f>
        <v>Transfert de marchandises</v>
      </c>
    </row>
    <row r="1262" spans="1:6" ht="15.75" customHeight="1" x14ac:dyDescent="0.25">
      <c r="A1262" s="1" t="s">
        <v>2381</v>
      </c>
      <c r="B1262" s="1" t="s">
        <v>2382</v>
      </c>
      <c r="C1262" s="1" t="str">
        <f ca="1">IFERROR(__xludf.DUMMYFUNCTION("GOOGLETRANSLATE(B1262,""en"",""ar"")"),"تاريخ الجدول الزمني")</f>
        <v>تاريخ الجدول الزمني</v>
      </c>
      <c r="D1262" s="1" t="str">
        <f ca="1">IFERROR(__xludf.DUMMYFUNCTION("GOOGLETRANSLATE(B1262,""en"",""zh-CN"")"),"安排日期")</f>
        <v>安排日期</v>
      </c>
      <c r="E1262" s="1" t="str">
        <f ca="1">IFERROR(__xludf.DUMMYFUNCTION("GOOGLETRANSLATE(B1262,""en"",""ja"")"),"スケジュール日付")</f>
        <v>スケジュール日付</v>
      </c>
      <c r="F1262" s="1" t="str">
        <f ca="1">IFERROR(__xludf.DUMMYFUNCTION("GOOGLETRANSLATE(B1262,""en"",""fr"")"),"Date d'horaire")</f>
        <v>Date d'horaire</v>
      </c>
    </row>
    <row r="1263" spans="1:6" ht="15.75" customHeight="1" x14ac:dyDescent="0.25">
      <c r="A1263" s="1" t="s">
        <v>2383</v>
      </c>
      <c r="B1263" s="1" t="s">
        <v>258</v>
      </c>
      <c r="C1263" s="1" t="str">
        <f ca="1">IFERROR(__xludf.DUMMYFUNCTION("GOOGLETRANSLATE(B1263,""en"",""ar"")"),"حفظ")</f>
        <v>حفظ</v>
      </c>
      <c r="D1263" s="1" t="str">
        <f ca="1">IFERROR(__xludf.DUMMYFUNCTION("GOOGLETRANSLATE(B1263,""en"",""zh-CN"")"),"保存")</f>
        <v>保存</v>
      </c>
      <c r="E1263" s="1" t="str">
        <f ca="1">IFERROR(__xludf.DUMMYFUNCTION("GOOGLETRANSLATE(B1263,""en"",""ja"")"),"保存する")</f>
        <v>保存する</v>
      </c>
      <c r="F1263" s="1" t="str">
        <f ca="1">IFERROR(__xludf.DUMMYFUNCTION("GOOGLETRANSLATE(B1263,""en"",""fr"")"),"SAUVER")</f>
        <v>SAUVER</v>
      </c>
    </row>
    <row r="1264" spans="1:6" ht="15.75" customHeight="1" x14ac:dyDescent="0.25">
      <c r="A1264" s="1" t="s">
        <v>2384</v>
      </c>
      <c r="B1264" s="1" t="s">
        <v>2385</v>
      </c>
      <c r="C1264" s="1" t="str">
        <f ca="1">IFERROR(__xludf.DUMMYFUNCTION("GOOGLETRANSLATE(B1264,""en"",""ar"")"),"لا يتم تعريف التكلفة")</f>
        <v>لا يتم تعريف التكلفة</v>
      </c>
      <c r="D1264" s="1" t="str">
        <f ca="1">IFERROR(__xludf.DUMMYFUNCTION("GOOGLETRANSLATE(B1264,""en"",""zh-CN"")"),"成本未定义")</f>
        <v>成本未定义</v>
      </c>
      <c r="E1264" s="1" t="str">
        <f ca="1">IFERROR(__xludf.DUMMYFUNCTION("GOOGLETRANSLATE(B1264,""en"",""ja"")"),"コストは定義されていません")</f>
        <v>コストは定義されていません</v>
      </c>
      <c r="F1264" s="1" t="str">
        <f ca="1">IFERROR(__xludf.DUMMYFUNCTION("GOOGLETRANSLATE(B1264,""en"",""fr"")"),"Le coût n'est pas défini")</f>
        <v>Le coût n'est pas défini</v>
      </c>
    </row>
    <row r="1265" spans="1:6" ht="15.75" customHeight="1" x14ac:dyDescent="0.25">
      <c r="A1265" s="1" t="s">
        <v>2386</v>
      </c>
      <c r="B1265" s="1" t="s">
        <v>2387</v>
      </c>
      <c r="C1265" s="1" t="str">
        <f ca="1">IFERROR(__xludf.DUMMYFUNCTION("GOOGLETRANSLATE(B1265,""en"",""ar"")"),"لا يتم تعريف الكمية")</f>
        <v>لا يتم تعريف الكمية</v>
      </c>
      <c r="D1265" s="1" t="str">
        <f ca="1">IFERROR(__xludf.DUMMYFUNCTION("GOOGLETRANSLATE(B1265,""en"",""zh-CN"")"),"数量未定义")</f>
        <v>数量未定义</v>
      </c>
      <c r="E1265" s="1" t="str">
        <f ca="1">IFERROR(__xludf.DUMMYFUNCTION("GOOGLETRANSLATE(B1265,""en"",""ja"")"),"数量は定義されていません")</f>
        <v>数量は定義されていません</v>
      </c>
      <c r="F1265" s="1" t="str">
        <f ca="1">IFERROR(__xludf.DUMMYFUNCTION("GOOGLETRANSLATE(B1265,""en"",""fr"")"),"La quantité n'est pas définie")</f>
        <v>La quantité n'est pas définie</v>
      </c>
    </row>
    <row r="1266" spans="1:6" ht="15.75" customHeight="1" x14ac:dyDescent="0.25">
      <c r="A1266" s="1" t="s">
        <v>2388</v>
      </c>
      <c r="B1266" s="1" t="s">
        <v>2389</v>
      </c>
      <c r="C1266" s="1" t="str">
        <f ca="1">IFERROR(__xludf.DUMMYFUNCTION("GOOGLETRANSLATE(B1266,""en"",""ar"")"),"لم يتم تحديد المنتج")</f>
        <v>لم يتم تحديد المنتج</v>
      </c>
      <c r="D1266" s="1" t="str">
        <f ca="1">IFERROR(__xludf.DUMMYFUNCTION("GOOGLETRANSLATE(B1266,""en"",""zh-CN"")"),"产品未被选中")</f>
        <v>产品未被选中</v>
      </c>
      <c r="E1266" s="1" t="str">
        <f ca="1">IFERROR(__xludf.DUMMYFUNCTION("GOOGLETRANSLATE(B1266,""en"",""ja"")"),"商品は選択されていません")</f>
        <v>商品は選択されていません</v>
      </c>
      <c r="F1266" s="1" t="str">
        <f ca="1">IFERROR(__xludf.DUMMYFUNCTION("GOOGLETRANSLATE(B1266,""en"",""fr"")"),"Le produit n'est pas sélectionné")</f>
        <v>Le produit n'est pas sélectionné</v>
      </c>
    </row>
    <row r="1267" spans="1:6" ht="15.75" customHeight="1" x14ac:dyDescent="0.25">
      <c r="A1267" s="1" t="s">
        <v>2390</v>
      </c>
      <c r="B1267" s="1" t="s">
        <v>2391</v>
      </c>
      <c r="C1267" s="1" t="str">
        <f ca="1">IFERROR(__xludf.DUMMYFUNCTION("GOOGLETRANSLATE(B1267,""en"",""ar"")"),"لم يتم تحديد الموقع")</f>
        <v>لم يتم تحديد الموقع</v>
      </c>
      <c r="D1267" s="1" t="str">
        <f ca="1">IFERROR(__xludf.DUMMYFUNCTION("GOOGLETRANSLATE(B1267,""en"",""zh-CN"")"),"没有选择位置")</f>
        <v>没有选择位置</v>
      </c>
      <c r="E1267" s="1" t="str">
        <f ca="1">IFERROR(__xludf.DUMMYFUNCTION("GOOGLETRANSLATE(B1267,""en"",""ja"")"),"場所は選択されていません")</f>
        <v>場所は選択されていません</v>
      </c>
      <c r="F1267" s="1" t="str">
        <f ca="1">IFERROR(__xludf.DUMMYFUNCTION("GOOGLETRANSLATE(B1267,""en"",""fr"")"),"L'emplacement n'est pas sélectionné")</f>
        <v>L'emplacement n'est pas sélectionné</v>
      </c>
    </row>
    <row r="1268" spans="1:6" ht="15.75" customHeight="1" x14ac:dyDescent="0.25">
      <c r="A1268" s="1" t="s">
        <v>2392</v>
      </c>
      <c r="B1268" s="1" t="s">
        <v>2393</v>
      </c>
      <c r="C1268" s="1" t="str">
        <f ca="1">IFERROR(__xludf.DUMMYFUNCTION("GOOGLETRANSLATE(B1268,""en"",""ar"")"),"لم يتم تحديد المورد")</f>
        <v>لم يتم تحديد المورد</v>
      </c>
      <c r="D1268" s="1" t="str">
        <f ca="1">IFERROR(__xludf.DUMMYFUNCTION("GOOGLETRANSLATE(B1268,""en"",""zh-CN"")"),"供应商未被选中")</f>
        <v>供应商未被选中</v>
      </c>
      <c r="E1268" s="1" t="str">
        <f ca="1">IFERROR(__xludf.DUMMYFUNCTION("GOOGLETRANSLATE(B1268,""en"",""ja"")"),"サプライヤーは選択されていません")</f>
        <v>サプライヤーは選択されていません</v>
      </c>
      <c r="F1268" s="1" t="str">
        <f ca="1">IFERROR(__xludf.DUMMYFUNCTION("GOOGLETRANSLATE(B1268,""en"",""fr"")"),"Le fournisseur n'est pas sélectionné")</f>
        <v>Le fournisseur n'est pas sélectionné</v>
      </c>
    </row>
    <row r="1269" spans="1:6" ht="15.75" customHeight="1" x14ac:dyDescent="0.25">
      <c r="A1269" s="1" t="s">
        <v>2394</v>
      </c>
      <c r="B1269" s="1" t="s">
        <v>2395</v>
      </c>
      <c r="C1269" s="1" t="str">
        <f ca="1">IFERROR(__xludf.DUMMYFUNCTION("GOOGLETRANSLATE(B1269,""en"",""ar"")"),"لم يتم تحديد التاريخ")</f>
        <v>لم يتم تحديد التاريخ</v>
      </c>
      <c r="D1269" s="1" t="str">
        <f ca="1">IFERROR(__xludf.DUMMYFUNCTION("GOOGLETRANSLATE(B1269,""en"",""zh-CN"")"),"未选择日期")</f>
        <v>未选择日期</v>
      </c>
      <c r="E1269" s="1" t="str">
        <f ca="1">IFERROR(__xludf.DUMMYFUNCTION("GOOGLETRANSLATE(B1269,""en"",""ja"")"),"日付は選択されていません")</f>
        <v>日付は選択されていません</v>
      </c>
      <c r="F1269" s="1" t="str">
        <f ca="1">IFERROR(__xludf.DUMMYFUNCTION("GOOGLETRANSLATE(B1269,""en"",""fr"")"),"La date n'est pas sélectionnée")</f>
        <v>La date n'est pas sélectionnée</v>
      </c>
    </row>
    <row r="1270" spans="1:6" ht="15.75" customHeight="1" x14ac:dyDescent="0.25">
      <c r="A1270" s="1" t="s">
        <v>2396</v>
      </c>
      <c r="B1270" s="1" t="s">
        <v>2397</v>
      </c>
      <c r="C1270" s="1" t="str">
        <f ca="1">IFERROR(__xludf.DUMMYFUNCTION("GOOGLETRANSLATE(B1270,""en"",""ar"")"),"لم يتم تحديد تاريخ انتهاء الصلاحية")</f>
        <v>لم يتم تحديد تاريخ انتهاء الصلاحية</v>
      </c>
      <c r="D1270" s="1" t="str">
        <f ca="1">IFERROR(__xludf.DUMMYFUNCTION("GOOGLETRANSLATE(B1270,""en"",""zh-CN"")"),"未选中到期日期")</f>
        <v>未选中到期日期</v>
      </c>
      <c r="E1270" s="1" t="str">
        <f ca="1">IFERROR(__xludf.DUMMYFUNCTION("GOOGLETRANSLATE(B1270,""en"",""ja"")"),"有効期限は選択されていません")</f>
        <v>有効期限は選択されていません</v>
      </c>
      <c r="F1270" s="1" t="str">
        <f ca="1">IFERROR(__xludf.DUMMYFUNCTION("GOOGLETRANSLATE(B1270,""en"",""fr"")"),"La date d'expiration n'est pas sélectionnée")</f>
        <v>La date d'expiration n'est pas sélectionnée</v>
      </c>
    </row>
    <row r="1271" spans="1:6" ht="15.75" customHeight="1" x14ac:dyDescent="0.25">
      <c r="A1271" s="1" t="s">
        <v>2398</v>
      </c>
      <c r="B1271" s="1" t="s">
        <v>2399</v>
      </c>
      <c r="C1271" s="1" t="str">
        <f ca="1">IFERROR(__xludf.DUMMYFUNCTION("GOOGLETRANSLATE(B1271,""en"",""ar"")"),"لا يتم تحديد نوع الدفع")</f>
        <v>لا يتم تحديد نوع الدفع</v>
      </c>
      <c r="D1271" s="1" t="str">
        <f ca="1">IFERROR(__xludf.DUMMYFUNCTION("GOOGLETRANSLATE(B1271,""en"",""zh-CN"")"),"未选中付款类型")</f>
        <v>未选中付款类型</v>
      </c>
      <c r="E1271" s="1" t="str">
        <f ca="1">IFERROR(__xludf.DUMMYFUNCTION("GOOGLETRANSLATE(B1271,""en"",""ja"")"),"支払いタイプは選択されていません")</f>
        <v>支払いタイプは選択されていません</v>
      </c>
      <c r="F1271" s="1" t="str">
        <f ca="1">IFERROR(__xludf.DUMMYFUNCTION("GOOGLETRANSLATE(B1271,""en"",""fr"")"),"Type de paiement n'est pas sélectionné")</f>
        <v>Type de paiement n'est pas sélectionné</v>
      </c>
    </row>
    <row r="1272" spans="1:6" ht="15.75" customHeight="1" x14ac:dyDescent="0.25">
      <c r="A1272" s="1" t="s">
        <v>2400</v>
      </c>
      <c r="B1272" s="1" t="s">
        <v>2401</v>
      </c>
      <c r="C1272" s="1" t="str">
        <f ca="1">IFERROR(__xludf.DUMMYFUNCTION("GOOGLETRANSLATE(B1272,""en"",""ar"")"),"يرجى اختيار محطة")</f>
        <v>يرجى اختيار محطة</v>
      </c>
      <c r="D1272" s="1" t="str">
        <f ca="1">IFERROR(__xludf.DUMMYFUNCTION("GOOGLETRANSLATE(B1272,""en"",""zh-CN"")"),"请选择终端")</f>
        <v>请选择终端</v>
      </c>
      <c r="E1272" s="1" t="str">
        <f ca="1">IFERROR(__xludf.DUMMYFUNCTION("GOOGLETRANSLATE(B1272,""en"",""ja"")"),"端末を選択してください")</f>
        <v>端末を選択してください</v>
      </c>
      <c r="F1272" s="1" t="str">
        <f ca="1">IFERROR(__xludf.DUMMYFUNCTION("GOOGLETRANSLATE(B1272,""en"",""fr"")"),"Veuillez sélectionner un terminal")</f>
        <v>Veuillez sélectionner un terminal</v>
      </c>
    </row>
    <row r="1273" spans="1:6" ht="15.75" customHeight="1" x14ac:dyDescent="0.25">
      <c r="A1273" s="1" t="s">
        <v>2402</v>
      </c>
      <c r="B1273" s="1" t="s">
        <v>2403</v>
      </c>
      <c r="C1273" s="1" t="str">
        <f ca="1">IFERROR(__xludf.DUMMYFUNCTION("GOOGLETRANSLATE(B1273,""en"",""ar"")"),"يرجى اختيار متجر")</f>
        <v>يرجى اختيار متجر</v>
      </c>
      <c r="D1273" s="1" t="str">
        <f ca="1">IFERROR(__xludf.DUMMYFUNCTION("GOOGLETRANSLATE(B1273,""en"",""zh-CN"")"),"请选择一个商店")</f>
        <v>请选择一个商店</v>
      </c>
      <c r="E1273" s="1" t="str">
        <f ca="1">IFERROR(__xludf.DUMMYFUNCTION("GOOGLETRANSLATE(B1273,""en"",""ja"")"),"店を選択してください")</f>
        <v>店を選択してください</v>
      </c>
      <c r="F1273" s="1" t="str">
        <f ca="1">IFERROR(__xludf.DUMMYFUNCTION("GOOGLETRANSLATE(B1273,""en"",""fr"")"),"Veuillez sélectionner un magasin")</f>
        <v>Veuillez sélectionner un magasin</v>
      </c>
    </row>
    <row r="1274" spans="1:6" ht="15.75" customHeight="1" x14ac:dyDescent="0.25">
      <c r="A1274" s="1" t="s">
        <v>2404</v>
      </c>
      <c r="B1274" s="1" t="s">
        <v>2405</v>
      </c>
      <c r="C1274" s="1" t="str">
        <f ca="1">IFERROR(__xludf.DUMMYFUNCTION("GOOGLETRANSLATE(B1274,""en"",""ar"")"),"يرجى تمكين متجرك لإضافة محطة جديدة")</f>
        <v>يرجى تمكين متجرك لإضافة محطة جديدة</v>
      </c>
      <c r="D1274" s="1" t="str">
        <f ca="1">IFERROR(__xludf.DUMMYFUNCTION("GOOGLETRANSLATE(B1274,""en"",""zh-CN"")"),"请启用您的商店添加新终端")</f>
        <v>请启用您的商店添加新终端</v>
      </c>
      <c r="E1274" s="1" t="str">
        <f ca="1">IFERROR(__xludf.DUMMYFUNCTION("GOOGLETRANSLATE(B1274,""en"",""ja"")"),"あなたの店を有効にして新しいターミナルを追加してください")</f>
        <v>あなたの店を有効にして新しいターミナルを追加してください</v>
      </c>
      <c r="F1274" s="1" t="str">
        <f ca="1">IFERROR(__xludf.DUMMYFUNCTION("GOOGLETRANSLATE(B1274,""en"",""fr"")"),"Veuillez activer votre boutique d'ajouter un nouveau terminal")</f>
        <v>Veuillez activer votre boutique d'ajouter un nouveau terminal</v>
      </c>
    </row>
    <row r="1275" spans="1:6" ht="15.75" customHeight="1" x14ac:dyDescent="0.25">
      <c r="A1275" s="1" t="s">
        <v>2406</v>
      </c>
      <c r="B1275" s="1" t="s">
        <v>2407</v>
      </c>
      <c r="C1275" s="1" t="str">
        <f ca="1">IFERROR(__xludf.DUMMYFUNCTION("GOOGLETRANSLATE(B1275,""en"",""ar"")"),"لم تقم بإضافة أي منتج (منتجات) حتى الآن.")</f>
        <v>لم تقم بإضافة أي منتج (منتجات) حتى الآن.</v>
      </c>
      <c r="D1275" s="1" t="str">
        <f ca="1">IFERROR(__xludf.DUMMYFUNCTION("GOOGLETRANSLATE(B1275,""en"",""zh-CN"")"),"您还没有添加任何产品。")</f>
        <v>您还没有添加任何产品。</v>
      </c>
      <c r="E1275" s="1" t="str">
        <f ca="1">IFERROR(__xludf.DUMMYFUNCTION("GOOGLETRANSLATE(B1275,""en"",""ja"")"),"あなたはまだ製品を追加していません。")</f>
        <v>あなたはまだ製品を追加していません。</v>
      </c>
      <c r="F1275" s="1" t="str">
        <f ca="1">IFERROR(__xludf.DUMMYFUNCTION("GOOGLETRANSLATE(B1275,""en"",""fr"")"),"Vous n'avez pas encore ajouté aucun produit.")</f>
        <v>Vous n'avez pas encore ajouté aucun produit.</v>
      </c>
    </row>
    <row r="1276" spans="1:6" ht="15.75" customHeight="1" x14ac:dyDescent="0.25">
      <c r="A1276" s="1" t="s">
        <v>2408</v>
      </c>
      <c r="B1276" s="1" t="s">
        <v>2409</v>
      </c>
      <c r="C1276" s="1" t="str">
        <f ca="1">IFERROR(__xludf.DUMMYFUNCTION("GOOGLETRANSLATE(B1276,""en"",""ar"")"),"حدد المنتج")</f>
        <v>حدد المنتج</v>
      </c>
      <c r="D1276" s="1" t="str">
        <f ca="1">IFERROR(__xludf.DUMMYFUNCTION("GOOGLETRANSLATE(B1276,""en"",""zh-CN"")"),"选择产品")</f>
        <v>选择产品</v>
      </c>
      <c r="E1276" s="1" t="str">
        <f ca="1">IFERROR(__xludf.DUMMYFUNCTION("GOOGLETRANSLATE(B1276,""en"",""ja"")"),"商品を選択してください")</f>
        <v>商品を選択してください</v>
      </c>
      <c r="F1276" s="1" t="str">
        <f ca="1">IFERROR(__xludf.DUMMYFUNCTION("GOOGLETRANSLATE(B1276,""en"",""fr"")"),"Sélectionner un produit")</f>
        <v>Sélectionner un produit</v>
      </c>
    </row>
    <row r="1277" spans="1:6" ht="15.75" customHeight="1" x14ac:dyDescent="0.25">
      <c r="A1277" s="1" t="s">
        <v>2410</v>
      </c>
      <c r="B1277" s="1" t="s">
        <v>2411</v>
      </c>
      <c r="C1277" s="1" t="str">
        <f ca="1">IFERROR(__xludf.DUMMYFUNCTION("GOOGLETRANSLATE(B1277,""en"",""ar"")"),"تصفية حسب الفئة")</f>
        <v>تصفية حسب الفئة</v>
      </c>
      <c r="D1277" s="1" t="str">
        <f ca="1">IFERROR(__xludf.DUMMYFUNCTION("GOOGLETRANSLATE(B1277,""en"",""zh-CN"")"),"按类别过滤")</f>
        <v>按类别过滤</v>
      </c>
      <c r="E1277" s="1" t="str">
        <f ca="1">IFERROR(__xludf.DUMMYFUNCTION("GOOGLETRANSLATE(B1277,""en"",""ja"")"),"カテゴリー別フィルタ")</f>
        <v>カテゴリー別フィルタ</v>
      </c>
      <c r="F1277" s="1" t="str">
        <f ca="1">IFERROR(__xludf.DUMMYFUNCTION("GOOGLETRANSLATE(B1277,""en"",""fr"")"),"Filtrer par catégorie")</f>
        <v>Filtrer par catégorie</v>
      </c>
    </row>
    <row r="1278" spans="1:6" ht="15.75" customHeight="1" x14ac:dyDescent="0.25">
      <c r="A1278" s="1" t="s">
        <v>2412</v>
      </c>
      <c r="B1278" s="1" t="s">
        <v>2413</v>
      </c>
      <c r="C1278" s="1" t="str">
        <f ca="1">IFERROR(__xludf.DUMMYFUNCTION("GOOGLETRANSLATE(B1278,""en"",""ar"")"),"التغييرات غير المحفوظة")</f>
        <v>التغييرات غير المحفوظة</v>
      </c>
      <c r="D1278" s="1" t="str">
        <f ca="1">IFERROR(__xludf.DUMMYFUNCTION("GOOGLETRANSLATE(B1278,""en"",""zh-CN"")"),"未保存的变化")</f>
        <v>未保存的变化</v>
      </c>
      <c r="E1278" s="1" t="str">
        <f ca="1">IFERROR(__xludf.DUMMYFUNCTION("GOOGLETRANSLATE(B1278,""en"",""ja"")"),"未保存の変更")</f>
        <v>未保存の変更</v>
      </c>
      <c r="F1278" s="1" t="str">
        <f ca="1">IFERROR(__xludf.DUMMYFUNCTION("GOOGLETRANSLATE(B1278,""en"",""fr"")"),"Changements non enregistrés")</f>
        <v>Changements non enregistrés</v>
      </c>
    </row>
    <row r="1279" spans="1:6" ht="15.75" customHeight="1" x14ac:dyDescent="0.25">
      <c r="A1279" s="1" t="s">
        <v>2414</v>
      </c>
      <c r="B1279" s="1" t="s">
        <v>2415</v>
      </c>
      <c r="C1279" s="1" t="str">
        <f ca="1">IFERROR(__xludf.DUMMYFUNCTION("GOOGLETRANSLATE(B1279,""en"",""ar"")"),"شكل واضح")</f>
        <v>شكل واضح</v>
      </c>
      <c r="D1279" s="1" t="str">
        <f ca="1">IFERROR(__xludf.DUMMYFUNCTION("GOOGLETRANSLATE(B1279,""en"",""zh-CN"")"),"清晰的形式")</f>
        <v>清晰的形式</v>
      </c>
      <c r="E1279" s="1" t="str">
        <f ca="1">IFERROR(__xludf.DUMMYFUNCTION("GOOGLETRANSLATE(B1279,""en"",""ja"")"),"明確な形")</f>
        <v>明確な形</v>
      </c>
      <c r="F1279" s="1" t="str">
        <f ca="1">IFERROR(__xludf.DUMMYFUNCTION("GOOGLETRANSLATE(B1279,""en"",""fr"")"),"Forme claire")</f>
        <v>Forme claire</v>
      </c>
    </row>
    <row r="1280" spans="1:6" ht="15.75" customHeight="1" x14ac:dyDescent="0.25">
      <c r="A1280" s="1" t="s">
        <v>2416</v>
      </c>
      <c r="B1280" s="1" t="s">
        <v>2417</v>
      </c>
      <c r="C1280" s="1" t="str">
        <f ca="1">IFERROR(__xludf.DUMMYFUNCTION("GOOGLETRANSLATE(B1280,""en"",""ar"")"),"هل أنت متأكد أنك تريد مسح النموذج؟")</f>
        <v>هل أنت متأكد أنك تريد مسح النموذج؟</v>
      </c>
      <c r="D1280" s="1" t="str">
        <f ca="1">IFERROR(__xludf.DUMMYFUNCTION("GOOGLETRANSLATE(B1280,""en"",""zh-CN"")"),"你确定要清除表格吗？")</f>
        <v>你确定要清除表格吗？</v>
      </c>
      <c r="E1280" s="1" t="str">
        <f ca="1">IFERROR(__xludf.DUMMYFUNCTION("GOOGLETRANSLATE(B1280,""en"",""ja"")"),"フォームをクリアしてよろしいですか？")</f>
        <v>フォームをクリアしてよろしいですか？</v>
      </c>
      <c r="F1280" s="1" t="str">
        <f ca="1">IFERROR(__xludf.DUMMYFUNCTION("GOOGLETRANSLATE(B1280,""en"",""fr"")"),"Êtes-vous sûr de vouloir effacer le formulaire?")</f>
        <v>Êtes-vous sûr de vouloir effacer le formulaire?</v>
      </c>
    </row>
    <row r="1281" spans="1:6" ht="15.75" customHeight="1" x14ac:dyDescent="0.25">
      <c r="A1281" s="1" t="s">
        <v>2418</v>
      </c>
      <c r="B1281" s="1" t="s">
        <v>2419</v>
      </c>
      <c r="C1281" s="1" t="str">
        <f ca="1">IFERROR(__xludf.DUMMYFUNCTION("GOOGLETRANSLATE(B1281,""en"",""ar"")"),"هل أنت متأكد أنك تريد ترك النموذج؟")</f>
        <v>هل أنت متأكد أنك تريد ترك النموذج؟</v>
      </c>
      <c r="D1281" s="1" t="str">
        <f ca="1">IFERROR(__xludf.DUMMYFUNCTION("GOOGLETRANSLATE(B1281,""en"",""zh-CN"")"),"你确定要留下表格吗？")</f>
        <v>你确定要留下表格吗？</v>
      </c>
      <c r="E1281" s="1" t="str">
        <f ca="1">IFERROR(__xludf.DUMMYFUNCTION("GOOGLETRANSLATE(B1281,""en"",""ja"")"),"フォームを残してよろしいですか？")</f>
        <v>フォームを残してよろしいですか？</v>
      </c>
      <c r="F1281" s="1" t="str">
        <f ca="1">IFERROR(__xludf.DUMMYFUNCTION("GOOGLETRANSLATE(B1281,""en"",""fr"")"),"Êtes-vous sûr de vouloir quitter le formulaire?")</f>
        <v>Êtes-vous sûr de vouloir quitter le formulaire?</v>
      </c>
    </row>
    <row r="1282" spans="1:6" ht="15.75" customHeight="1" x14ac:dyDescent="0.25">
      <c r="A1282" s="1" t="s">
        <v>2420</v>
      </c>
      <c r="B1282" s="1" t="s">
        <v>2421</v>
      </c>
      <c r="C1282" s="1" t="str">
        <f ca="1">IFERROR(__xludf.DUMMYFUNCTION("GOOGLETRANSLATE(B1282,""en"",""ar"")"),"هل أنت متأكد أنك تريد الاستمرار دون حفظ التغييرات؟")</f>
        <v>هل أنت متأكد أنك تريد الاستمرار دون حفظ التغييرات؟</v>
      </c>
      <c r="D1282" s="1" t="str">
        <f ca="1">IFERROR(__xludf.DUMMYFUNCTION("GOOGLETRANSLATE(B1282,""en"",""zh-CN"")"),"您确定要继续不保存更改吗？")</f>
        <v>您确定要继续不保存更改吗？</v>
      </c>
      <c r="E1282" s="1" t="str">
        <f ca="1">IFERROR(__xludf.DUMMYFUNCTION("GOOGLETRANSLATE(B1282,""en"",""ja"")"),"変更を保存せずに続行しますか？")</f>
        <v>変更を保存せずに続行しますか？</v>
      </c>
      <c r="F1282" s="1" t="str">
        <f ca="1">IFERROR(__xludf.DUMMYFUNCTION("GOOGLETRANSLATE(B1282,""en"",""fr"")"),"Êtes-vous sûr de vouloir continuer sans enregistrer des changements?")</f>
        <v>Êtes-vous sûr de vouloir continuer sans enregistrer des changements?</v>
      </c>
    </row>
    <row r="1283" spans="1:6" ht="15.75" customHeight="1" x14ac:dyDescent="0.25">
      <c r="A1283" s="1" t="s">
        <v>2422</v>
      </c>
      <c r="B1283" s="1" t="s">
        <v>674</v>
      </c>
      <c r="C1283" s="1" t="str">
        <f ca="1">IFERROR(__xludf.DUMMYFUNCTION("GOOGLETRANSLATE(B1283,""en"",""ar"")"),"فئة")</f>
        <v>فئة</v>
      </c>
      <c r="D1283" s="1" t="str">
        <f ca="1">IFERROR(__xludf.DUMMYFUNCTION("GOOGLETRANSLATE(B1283,""en"",""zh-CN"")"),"类别")</f>
        <v>类别</v>
      </c>
      <c r="E1283" s="1" t="str">
        <f ca="1">IFERROR(__xludf.DUMMYFUNCTION("GOOGLETRANSLATE(B1283,""en"",""ja"")"),"カテゴリー")</f>
        <v>カテゴリー</v>
      </c>
      <c r="F1283" s="1" t="str">
        <f ca="1">IFERROR(__xludf.DUMMYFUNCTION("GOOGLETRANSLATE(B1283,""en"",""fr"")"),"Catégorie")</f>
        <v>Catégorie</v>
      </c>
    </row>
    <row r="1284" spans="1:6" ht="15.75" customHeight="1" x14ac:dyDescent="0.25">
      <c r="A1284" s="1" t="s">
        <v>2423</v>
      </c>
      <c r="B1284" s="1" t="s">
        <v>2424</v>
      </c>
      <c r="C1284" s="1" t="str">
        <f ca="1">IFERROR(__xludf.DUMMYFUNCTION("GOOGLETRANSLATE(B1284,""en"",""ar"")"),"إجمالي الكمية")</f>
        <v>إجمالي الكمية</v>
      </c>
      <c r="D1284" s="1" t="str">
        <f ca="1">IFERROR(__xludf.DUMMYFUNCTION("GOOGLETRANSLATE(B1284,""en"",""zh-CN"")"),"总数量")</f>
        <v>总数量</v>
      </c>
      <c r="E1284" s="1" t="str">
        <f ca="1">IFERROR(__xludf.DUMMYFUNCTION("GOOGLETRANSLATE(B1284,""en"",""ja"")"),"総QTY.")</f>
        <v>総QTY.</v>
      </c>
      <c r="F1284" s="1" t="str">
        <f ca="1">IFERROR(__xludf.DUMMYFUNCTION("GOOGLETRANSLATE(B1284,""en"",""fr"")"),"Quantité totale")</f>
        <v>Quantité totale</v>
      </c>
    </row>
    <row r="1285" spans="1:6" ht="15.75" customHeight="1" x14ac:dyDescent="0.25">
      <c r="A1285" s="1" t="s">
        <v>2425</v>
      </c>
      <c r="B1285" s="1" t="s">
        <v>2426</v>
      </c>
      <c r="C1285" s="1" t="str">
        <f ca="1">IFERROR(__xludf.DUMMYFUNCTION("GOOGLETRANSLATE(B1285,""en"",""ar"")"),"يرجى استخدام محطة٪ S لتنفيذ هذا الإجراء")</f>
        <v>يرجى استخدام محطة٪ S لتنفيذ هذا الإجراء</v>
      </c>
      <c r="D1285" s="1" t="str">
        <f ca="1">IFERROR(__xludf.DUMMYFUNCTION("GOOGLETRANSLATE(B1285,""en"",""zh-CN"")"),"请使用％s终端执行此操作")</f>
        <v>请使用％s终端执行此操作</v>
      </c>
      <c r="E1285" s="1" t="str">
        <f ca="1">IFERROR(__xludf.DUMMYFUNCTION("GOOGLETRANSLATE(B1285,""en"",""ja"")"),"このアクションを実行するには％S端子を使用してください")</f>
        <v>このアクションを実行するには％S端子を使用してください</v>
      </c>
      <c r="F1285" s="1" t="str">
        <f ca="1">IFERROR(__xludf.DUMMYFUNCTION("GOOGLETRANSLATE(B1285,""en"",""fr"")"),"Veuillez utiliser% s terminal pour effectuer cette action")</f>
        <v>Veuillez utiliser% s terminal pour effectuer cette action</v>
      </c>
    </row>
    <row r="1286" spans="1:6" ht="15.75" customHeight="1" x14ac:dyDescent="0.25">
      <c r="A1286" s="1" t="s">
        <v>2427</v>
      </c>
      <c r="B1286" s="1" t="s">
        <v>2428</v>
      </c>
      <c r="C1286" s="1" t="str">
        <f ca="1">IFERROR(__xludf.DUMMYFUNCTION("GOOGLETRANSLATE(B1286,""en"",""ar"")"),"لا نتيجة البحث")</f>
        <v>لا نتيجة البحث</v>
      </c>
      <c r="D1286" s="1" t="str">
        <f ca="1">IFERROR(__xludf.DUMMYFUNCTION("GOOGLETRANSLATE(B1286,""en"",""zh-CN"")"),"没有搜索结果")</f>
        <v>没有搜索结果</v>
      </c>
      <c r="E1286" s="1" t="str">
        <f ca="1">IFERROR(__xludf.DUMMYFUNCTION("GOOGLETRANSLATE(B1286,""en"",""ja"")"),"検索結果なし")</f>
        <v>検索結果なし</v>
      </c>
      <c r="F1286" s="1" t="str">
        <f ca="1">IFERROR(__xludf.DUMMYFUNCTION("GOOGLETRANSLATE(B1286,""en"",""fr"")"),"Aucun résultat de recherche")</f>
        <v>Aucun résultat de recherche</v>
      </c>
    </row>
    <row r="1287" spans="1:6" ht="15.75" customHeight="1" x14ac:dyDescent="0.25">
      <c r="A1287" s="1" t="s">
        <v>2429</v>
      </c>
      <c r="B1287" s="1" t="s">
        <v>2430</v>
      </c>
      <c r="C1287" s="1" t="str">
        <f ca="1">IFERROR(__xludf.DUMMYFUNCTION("GOOGLETRANSLATE(B1287,""en"",""ar"")"),"تنبيه الأسهم السلبية")</f>
        <v>تنبيه الأسهم السلبية</v>
      </c>
      <c r="D1287" s="1" t="str">
        <f ca="1">IFERROR(__xludf.DUMMYFUNCTION("GOOGLETRANSLATE(B1287,""en"",""zh-CN"")"),"负股票提醒")</f>
        <v>负股票提醒</v>
      </c>
      <c r="E1287" s="1" t="str">
        <f ca="1">IFERROR(__xludf.DUMMYFUNCTION("GOOGLETRANSLATE(B1287,""en"",""ja"")"),"マイナスストックアラート")</f>
        <v>マイナスストックアラート</v>
      </c>
      <c r="F1287" s="1" t="str">
        <f ca="1">IFERROR(__xludf.DUMMYFUNCTION("GOOGLETRANSLATE(B1287,""en"",""fr"")"),"Alerte de stock négatif")</f>
        <v>Alerte de stock négatif</v>
      </c>
    </row>
    <row r="1288" spans="1:6" ht="15.75" customHeight="1" x14ac:dyDescent="0.25">
      <c r="A1288" s="1" t="s">
        <v>2431</v>
      </c>
      <c r="B1288" s="1" t="s">
        <v>2432</v>
      </c>
      <c r="C1288" s="1" t="str">
        <f ca="1">IFERROR(__xludf.DUMMYFUNCTION("GOOGLETRANSLATE(B1288,""en"",""ar"")"),"لا تنبيه الأسهم")</f>
        <v>لا تنبيه الأسهم</v>
      </c>
      <c r="D1288" s="1" t="str">
        <f ca="1">IFERROR(__xludf.DUMMYFUNCTION("GOOGLETRANSLATE(B1288,""en"",""zh-CN"")"),"没有股票警觉")</f>
        <v>没有股票警觉</v>
      </c>
      <c r="E1288" s="1" t="str">
        <f ca="1">IFERROR(__xludf.DUMMYFUNCTION("GOOGLETRANSLATE(B1288,""en"",""ja"")"),"在庫警告なし")</f>
        <v>在庫警告なし</v>
      </c>
      <c r="F1288" s="1" t="str">
        <f ca="1">IFERROR(__xludf.DUMMYFUNCTION("GOOGLETRANSLATE(B1288,""en"",""fr"")"),"Pas de stock")</f>
        <v>Pas de stock</v>
      </c>
    </row>
    <row r="1289" spans="1:6" ht="15.75" customHeight="1" x14ac:dyDescent="0.25">
      <c r="A1289" s="1" t="s">
        <v>2433</v>
      </c>
      <c r="B1289" s="1" t="s">
        <v>2434</v>
      </c>
      <c r="C1289" s="1" t="str">
        <f ca="1">IFERROR(__xludf.DUMMYFUNCTION("GOOGLETRANSLATE(B1289,""en"",""ar"")"),"البند٪ s غير متوفر. هل أنت متأكد أنك تريد المتابعة؟")</f>
        <v>البند٪ s غير متوفر. هل أنت متأكد أنك تريد المتابعة؟</v>
      </c>
      <c r="D1289" s="1" t="str">
        <f ca="1">IFERROR(__xludf.DUMMYFUNCTION("GOOGLETRANSLATE(B1289,""en"",""zh-CN"")"),"物品％s缺货。你确定你要继续吗？")</f>
        <v>物品％s缺货。你确定你要继续吗？</v>
      </c>
      <c r="E1289" s="1" t="str">
        <f ca="1">IFERROR(__xludf.DUMMYFUNCTION("GOOGLETRANSLATE(B1289,""en"",""ja"")"),"項目％Sは在庫切れです。続行してもよろしいですか？")</f>
        <v>項目％Sは在庫切れです。続行してもよろしいですか？</v>
      </c>
      <c r="F1289" s="1" t="str">
        <f ca="1">IFERROR(__xludf.DUMMYFUNCTION("GOOGLETRANSLATE(B1289,""en"",""fr"")"),"L'article% s est en rupture de stock. Es-tu sur de vouloir continuer?")</f>
        <v>L'article% s est en rupture de stock. Es-tu sur de vouloir continuer?</v>
      </c>
    </row>
    <row r="1290" spans="1:6" ht="15.75" customHeight="1" x14ac:dyDescent="0.25">
      <c r="A1290" s="1" t="s">
        <v>2435</v>
      </c>
      <c r="B1290" s="1" t="s">
        <v>2436</v>
      </c>
      <c r="C1290" s="1" t="str">
        <f ca="1">IFERROR(__xludf.DUMMYFUNCTION("GOOGLETRANSLATE(B1290,""en"",""ar"")"),"لا يوجد مخزون أولي متاح، للسماح للسهم السلبي! يرجى إضافة الأسهم إلى هذا المنتج.")</f>
        <v>لا يوجد مخزون أولي متاح، للسماح للسهم السلبي! يرجى إضافة الأسهم إلى هذا المنتج.</v>
      </c>
      <c r="D1290" s="1" t="str">
        <f ca="1">IFERROR(__xludf.DUMMYFUNCTION("GOOGLETRANSLATE(B1290,""en"",""zh-CN"")"),"没有初始股票可用，允许负面库存！请为此产品添加库存。")</f>
        <v>没有初始股票可用，允许负面库存！请为此产品添加库存。</v>
      </c>
      <c r="E1290" s="1" t="str">
        <f ca="1">IFERROR(__xludf.DUMMYFUNCTION("GOOGLETRANSLATE(B1290,""en"",""ja"")"),"マイナス株を許可するために、利用可能な初期在庫はありません！この製品に在庫を追加してください。")</f>
        <v>マイナス株を許可するために、利用可能な初期在庫はありません！この製品に在庫を追加してください。</v>
      </c>
      <c r="F1290" s="1" t="str">
        <f ca="1">IFERROR(__xludf.DUMMYFUNCTION("GOOGLETRANSLATE(B1290,""en"",""fr"")"),"Il n'y a pas de stock initial disponible pour permettre un stock négatif! Veuillez ajouter du stock à ce produit.")</f>
        <v>Il n'y a pas de stock initial disponible pour permettre un stock négatif! Veuillez ajouter du stock à ce produit.</v>
      </c>
    </row>
    <row r="1291" spans="1:6" ht="15.75" customHeight="1" x14ac:dyDescent="0.25">
      <c r="A1291" s="1" t="s">
        <v>2437</v>
      </c>
      <c r="B1291" s="1" t="s">
        <v>2438</v>
      </c>
      <c r="C1291" s="1" t="str">
        <f ca="1">IFERROR(__xludf.DUMMYFUNCTION("GOOGLETRANSLATE(B1291,""en"",""ar"")"),"معلومات المنتج")</f>
        <v>معلومات المنتج</v>
      </c>
      <c r="D1291" s="1" t="str">
        <f ca="1">IFERROR(__xludf.DUMMYFUNCTION("GOOGLETRANSLATE(B1291,""en"",""zh-CN"")"),"产品信息")</f>
        <v>产品信息</v>
      </c>
      <c r="E1291" s="1" t="str">
        <f ca="1">IFERROR(__xludf.DUMMYFUNCTION("GOOGLETRANSLATE(B1291,""en"",""ja"")"),"製品情報")</f>
        <v>製品情報</v>
      </c>
      <c r="F1291" s="1" t="str">
        <f ca="1">IFERROR(__xludf.DUMMYFUNCTION("GOOGLETRANSLATE(B1291,""en"",""fr"")"),"Information produit")</f>
        <v>Information produit</v>
      </c>
    </row>
    <row r="1292" spans="1:6" ht="15.75" customHeight="1" x14ac:dyDescent="0.25">
      <c r="A1292" s="1" t="s">
        <v>2439</v>
      </c>
      <c r="B1292" s="1" t="s">
        <v>2440</v>
      </c>
      <c r="C1292" s="1" t="str">
        <f ca="1">IFERROR(__xludf.DUMMYFUNCTION("GOOGLETRANSLATE(B1292,""en"",""ar"")"),"معلومات السعر")</f>
        <v>معلومات السعر</v>
      </c>
      <c r="D1292" s="1" t="str">
        <f ca="1">IFERROR(__xludf.DUMMYFUNCTION("GOOGLETRANSLATE(B1292,""en"",""zh-CN"")"),"价格信息")</f>
        <v>价格信息</v>
      </c>
      <c r="E1292" s="1" t="str">
        <f ca="1">IFERROR(__xludf.DUMMYFUNCTION("GOOGLETRANSLATE(B1292,""en"",""ja"")"),"価格情報")</f>
        <v>価格情報</v>
      </c>
      <c r="F1292" s="1" t="str">
        <f ca="1">IFERROR(__xludf.DUMMYFUNCTION("GOOGLETRANSLATE(B1292,""en"",""fr"")"),"Informations sur les prix")</f>
        <v>Informations sur les prix</v>
      </c>
    </row>
    <row r="1293" spans="1:6" ht="15.75" customHeight="1" x14ac:dyDescent="0.25">
      <c r="A1293" s="1" t="s">
        <v>2441</v>
      </c>
      <c r="B1293" s="1" t="s">
        <v>2442</v>
      </c>
      <c r="C1293" s="1" t="str">
        <f ca="1">IFERROR(__xludf.DUMMYFUNCTION("GOOGLETRANSLATE(B1293,""en"",""ar"")"),"يمكن")</f>
        <v>يمكن</v>
      </c>
      <c r="D1293" s="1" t="str">
        <f ca="1">IFERROR(__xludf.DUMMYFUNCTION("GOOGLETRANSLATE(B1293,""en"",""zh-CN"")"),"使能够")</f>
        <v>使能够</v>
      </c>
      <c r="E1293" s="1" t="str">
        <f ca="1">IFERROR(__xludf.DUMMYFUNCTION("GOOGLETRANSLATE(B1293,""en"",""ja"")"),"有効")</f>
        <v>有効</v>
      </c>
      <c r="F1293" s="1" t="str">
        <f ca="1">IFERROR(__xludf.DUMMYFUNCTION("GOOGLETRANSLATE(B1293,""en"",""fr"")"),"Activer")</f>
        <v>Activer</v>
      </c>
    </row>
    <row r="1294" spans="1:6" ht="15.75" customHeight="1" x14ac:dyDescent="0.25">
      <c r="A1294" s="1" t="s">
        <v>2443</v>
      </c>
      <c r="B1294" s="1" t="s">
        <v>2444</v>
      </c>
      <c r="C1294" s="1" t="str">
        <f ca="1">IFERROR(__xludf.DUMMYFUNCTION("GOOGLETRANSLATE(B1294,""en"",""ar"")"),"إبطال")</f>
        <v>إبطال</v>
      </c>
      <c r="D1294" s="1" t="str">
        <f ca="1">IFERROR(__xludf.DUMMYFUNCTION("GOOGLETRANSLATE(B1294,""en"",""zh-CN"")"),"禁用")</f>
        <v>禁用</v>
      </c>
      <c r="E1294" s="1" t="str">
        <f ca="1">IFERROR(__xludf.DUMMYFUNCTION("GOOGLETRANSLATE(B1294,""en"",""ja"")"),"無効にする")</f>
        <v>無効にする</v>
      </c>
      <c r="F1294" s="1" t="str">
        <f ca="1">IFERROR(__xludf.DUMMYFUNCTION("GOOGLETRANSLATE(B1294,""en"",""fr"")"),"Désactiver")</f>
        <v>Désactiver</v>
      </c>
    </row>
    <row r="1295" spans="1:6" ht="15.75" customHeight="1" x14ac:dyDescent="0.25">
      <c r="A1295" s="1" t="s">
        <v>2445</v>
      </c>
      <c r="B1295" s="1" t="s">
        <v>2446</v>
      </c>
      <c r="C1295" s="1" t="str">
        <f ca="1">IFERROR(__xludf.DUMMYFUNCTION("GOOGLETRANSLATE(B1295,""en"",""ar"")"),"تم بيعها من قبل")</f>
        <v>تم بيعها من قبل</v>
      </c>
      <c r="D1295" s="1" t="str">
        <f ca="1">IFERROR(__xludf.DUMMYFUNCTION("GOOGLETRANSLATE(B1295,""en"",""zh-CN"")"),"所售")</f>
        <v>所售</v>
      </c>
      <c r="E1295" s="1" t="str">
        <f ca="1">IFERROR(__xludf.DUMMYFUNCTION("GOOGLETRANSLATE(B1295,""en"",""ja"")"),"により販売されています")</f>
        <v>により販売されています</v>
      </c>
      <c r="F1295" s="1" t="str">
        <f ca="1">IFERROR(__xludf.DUMMYFUNCTION("GOOGLETRANSLATE(B1295,""en"",""fr"")"),"Vendu par")</f>
        <v>Vendu par</v>
      </c>
    </row>
    <row r="1296" spans="1:6" ht="15.75" customHeight="1" x14ac:dyDescent="0.25">
      <c r="A1296" s="1" t="s">
        <v>2447</v>
      </c>
      <c r="B1296" s="1" t="s">
        <v>2448</v>
      </c>
      <c r="C1296" s="1" t="str">
        <f ca="1">IFERROR(__xludf.DUMMYFUNCTION("GOOGLETRANSLATE(B1296,""en"",""ar"")"),"لا يمكن حذف هذا الاستلام بسبب تسوية الائتمان")</f>
        <v>لا يمكن حذف هذا الاستلام بسبب تسوية الائتمان</v>
      </c>
      <c r="D1296" s="1" t="str">
        <f ca="1">IFERROR(__xludf.DUMMYFUNCTION("GOOGLETRANSLATE(B1296,""en"",""zh-CN"")"),"由于信用结算而无法删除此收据")</f>
        <v>由于信用结算而无法删除此收据</v>
      </c>
      <c r="E1296" s="1" t="str">
        <f ca="1">IFERROR(__xludf.DUMMYFUNCTION("GOOGLETRANSLATE(B1296,""en"",""ja"")"),"クレジット決済によりこの領収書を削除することはできません")</f>
        <v>クレジット決済によりこの領収書を削除することはできません</v>
      </c>
      <c r="F1296" s="1" t="str">
        <f ca="1">IFERROR(__xludf.DUMMYFUNCTION("GOOGLETRANSLATE(B1296,""en"",""fr"")"),"Ne peut pas supprimer ce reçu en raison du règlement de crédit")</f>
        <v>Ne peut pas supprimer ce reçu en raison du règlement de crédit</v>
      </c>
    </row>
    <row r="1297" spans="1:6" ht="15.75" customHeight="1" x14ac:dyDescent="0.25">
      <c r="A1297" s="1" t="s">
        <v>2449</v>
      </c>
      <c r="B1297" s="1" t="s">
        <v>1642</v>
      </c>
      <c r="C1297" s="1" t="str">
        <f ca="1">IFERROR(__xludf.DUMMYFUNCTION("GOOGLETRANSLATE(B1297,""en"",""ar"")"),"حذف")</f>
        <v>حذف</v>
      </c>
      <c r="D1297" s="1" t="str">
        <f ca="1">IFERROR(__xludf.DUMMYFUNCTION("GOOGLETRANSLATE(B1297,""en"",""zh-CN"")"),"删除")</f>
        <v>删除</v>
      </c>
      <c r="E1297" s="1" t="str">
        <f ca="1">IFERROR(__xludf.DUMMYFUNCTION("GOOGLETRANSLATE(B1297,""en"",""ja"")"),"消去")</f>
        <v>消去</v>
      </c>
      <c r="F1297" s="1" t="str">
        <f ca="1">IFERROR(__xludf.DUMMYFUNCTION("GOOGLETRANSLATE(B1297,""en"",""fr"")"),"Supprimer")</f>
        <v>Supprimer</v>
      </c>
    </row>
    <row r="1298" spans="1:6" ht="15.75" customHeight="1" x14ac:dyDescent="0.25">
      <c r="A1298" s="1" t="s">
        <v>2450</v>
      </c>
      <c r="B1298" s="1" t="s">
        <v>476</v>
      </c>
      <c r="C1298" s="1" t="str">
        <f ca="1">IFERROR(__xludf.DUMMYFUNCTION("GOOGLETRANSLATE(B1298,""en"",""ar"")"),"يلغي")</f>
        <v>يلغي</v>
      </c>
      <c r="D1298" s="1" t="str">
        <f ca="1">IFERROR(__xludf.DUMMYFUNCTION("GOOGLETRANSLATE(B1298,""en"",""zh-CN"")"),"取消")</f>
        <v>取消</v>
      </c>
      <c r="E1298" s="1" t="str">
        <f ca="1">IFERROR(__xludf.DUMMYFUNCTION("GOOGLETRANSLATE(B1298,""en"",""ja"")"),"キャンセル")</f>
        <v>キャンセル</v>
      </c>
      <c r="F1298" s="1" t="str">
        <f ca="1">IFERROR(__xludf.DUMMYFUNCTION("GOOGLETRANSLATE(B1298,""en"",""fr"")"),"Annuler")</f>
        <v>Annuler</v>
      </c>
    </row>
    <row r="1299" spans="1:6" ht="15.75" customHeight="1" x14ac:dyDescent="0.25">
      <c r="A1299" s="1" t="s">
        <v>2451</v>
      </c>
      <c r="B1299" s="1" t="s">
        <v>2452</v>
      </c>
      <c r="C1299" s="1" t="str">
        <f ca="1">IFERROR(__xludf.DUMMYFUNCTION("GOOGLETRANSLATE(B1299,""en"",""ar"")"),"تعديل")</f>
        <v>تعديل</v>
      </c>
      <c r="D1299" s="1" t="str">
        <f ca="1">IFERROR(__xludf.DUMMYFUNCTION("GOOGLETRANSLATE(B1299,""en"",""zh-CN"")"),"编辑")</f>
        <v>编辑</v>
      </c>
      <c r="E1299" s="1" t="str">
        <f ca="1">IFERROR(__xludf.DUMMYFUNCTION("GOOGLETRANSLATE(B1299,""en"",""ja"")"),"編集")</f>
        <v>編集</v>
      </c>
      <c r="F1299" s="1" t="str">
        <f ca="1">IFERROR(__xludf.DUMMYFUNCTION("GOOGLETRANSLATE(B1299,""en"",""fr"")"),"Éditer")</f>
        <v>Éditer</v>
      </c>
    </row>
    <row r="1300" spans="1:6" ht="15.75" customHeight="1" x14ac:dyDescent="0.25">
      <c r="A1300" s="1" t="s">
        <v>2453</v>
      </c>
      <c r="B1300" s="1" t="s">
        <v>2096</v>
      </c>
      <c r="C1300" s="1" t="str">
        <f ca="1">IFERROR(__xludf.DUMMYFUNCTION("GOOGLETRANSLATE(B1300,""en"",""ar"")"),"التحول المفتوح")</f>
        <v>التحول المفتوح</v>
      </c>
      <c r="D1300" s="1" t="str">
        <f ca="1">IFERROR(__xludf.DUMMYFUNCTION("GOOGLETRANSLATE(B1300,""en"",""zh-CN"")"),"开放班")</f>
        <v>开放班</v>
      </c>
      <c r="E1300" s="1" t="str">
        <f ca="1">IFERROR(__xludf.DUMMYFUNCTION("GOOGLETRANSLATE(B1300,""en"",""ja"")"),"オープンシフト")</f>
        <v>オープンシフト</v>
      </c>
      <c r="F1300" s="1" t="str">
        <f ca="1">IFERROR(__xludf.DUMMYFUNCTION("GOOGLETRANSLATE(B1300,""en"",""fr"")"),"Décalage ouvert")</f>
        <v>Décalage ouvert</v>
      </c>
    </row>
    <row r="1301" spans="1:6" ht="15.75" customHeight="1" x14ac:dyDescent="0.25">
      <c r="A1301" s="1" t="s">
        <v>2454</v>
      </c>
      <c r="B1301" s="1" t="s">
        <v>2455</v>
      </c>
      <c r="C1301" s="1" t="str">
        <f ca="1">IFERROR(__xludf.DUMMYFUNCTION("GOOGLETRANSLATE(B1301,""en"",""ar"")"),"إنتهى من المخزن. هل أنت متأكد أنك تريد المتابعة؟")</f>
        <v>إنتهى من المخزن. هل أنت متأكد أنك تريد المتابعة؟</v>
      </c>
      <c r="D1301" s="1" t="str">
        <f ca="1">IFERROR(__xludf.DUMMYFUNCTION("GOOGLETRANSLATE(B1301,""en"",""zh-CN"")"),"缺货。你确定你要继续吗？")</f>
        <v>缺货。你确定你要继续吗？</v>
      </c>
      <c r="E1301" s="1" t="str">
        <f ca="1">IFERROR(__xludf.DUMMYFUNCTION("GOOGLETRANSLATE(B1301,""en"",""ja"")"),"在庫切れ。続行してもよろしいですか？")</f>
        <v>在庫切れ。続行してもよろしいですか？</v>
      </c>
      <c r="F1301" s="1" t="str">
        <f ca="1">IFERROR(__xludf.DUMMYFUNCTION("GOOGLETRANSLATE(B1301,""en"",""fr"")"),"Rupture de stock. Es-tu sur de vouloir continuer?")</f>
        <v>Rupture de stock. Es-tu sur de vouloir continuer?</v>
      </c>
    </row>
    <row r="1302" spans="1:6" ht="15.75" customHeight="1" x14ac:dyDescent="0.25">
      <c r="A1302" s="1" t="s">
        <v>2456</v>
      </c>
      <c r="B1302" s="1" t="s">
        <v>2457</v>
      </c>
      <c r="C1302" s="1" t="str">
        <f ca="1">IFERROR(__xludf.DUMMYFUNCTION("GOOGLETRANSLATE(B1302,""en"",""ar"")"),"جهازك لا يحتوي على الكاميرا.")</f>
        <v>جهازك لا يحتوي على الكاميرا.</v>
      </c>
      <c r="D1302" s="1" t="str">
        <f ca="1">IFERROR(__xludf.DUMMYFUNCTION("GOOGLETRANSLATE(B1302,""en"",""zh-CN"")"),"您的设备没有相机。")</f>
        <v>您的设备没有相机。</v>
      </c>
      <c r="E1302" s="1" t="str">
        <f ca="1">IFERROR(__xludf.DUMMYFUNCTION("GOOGLETRANSLATE(B1302,""en"",""ja"")"),"あなたはカメラではありません。")</f>
        <v>あなたはカメラではありません。</v>
      </c>
      <c r="F1302" s="1" t="str">
        <f ca="1">IFERROR(__xludf.DUMMYFUNCTION("GOOGLETRANSLATE(B1302,""en"",""fr"")"),"Votre appareil n'a pas caméra.")</f>
        <v>Votre appareil n'a pas caméra.</v>
      </c>
    </row>
    <row r="1303" spans="1:6" ht="15.75" customHeight="1" x14ac:dyDescent="0.25">
      <c r="A1303" s="1" t="s">
        <v>2458</v>
      </c>
      <c r="B1303" s="1" t="s">
        <v>2459</v>
      </c>
      <c r="C1303" s="1" t="str">
        <f ca="1">IFERROR(__xludf.DUMMYFUNCTION("GOOGLETRANSLATE(B1303,""en"",""ar"")"),"تكلفة الوحدة")</f>
        <v>تكلفة الوحدة</v>
      </c>
      <c r="D1303" s="1" t="str">
        <f ca="1">IFERROR(__xludf.DUMMYFUNCTION("GOOGLETRANSLATE(B1303,""en"",""zh-CN"")"),"单位成本")</f>
        <v>单位成本</v>
      </c>
      <c r="E1303" s="1" t="str">
        <f ca="1">IFERROR(__xludf.DUMMYFUNCTION("GOOGLETRANSLATE(B1303,""en"",""ja"")"),"単価")</f>
        <v>単価</v>
      </c>
      <c r="F1303" s="1" t="str">
        <f ca="1">IFERROR(__xludf.DUMMYFUNCTION("GOOGLETRANSLATE(B1303,""en"",""fr"")"),"Coût unitaire")</f>
        <v>Coût unitaire</v>
      </c>
    </row>
    <row r="1304" spans="1:6" ht="15.75" customHeight="1" x14ac:dyDescent="0.25">
      <c r="A1304" s="1" t="s">
        <v>2460</v>
      </c>
      <c r="B1304" s="1" t="s">
        <v>1011</v>
      </c>
      <c r="C1304" s="1" t="str">
        <f ca="1">IFERROR(__xludf.DUMMYFUNCTION("GOOGLETRANSLATE(B1304,""en"",""ar"")"),"التكلفة الإجمالية")</f>
        <v>التكلفة الإجمالية</v>
      </c>
      <c r="D1304" s="1" t="str">
        <f ca="1">IFERROR(__xludf.DUMMYFUNCTION("GOOGLETRANSLATE(B1304,""en"",""zh-CN"")"),"总花费")</f>
        <v>总花费</v>
      </c>
      <c r="E1304" s="1" t="str">
        <f ca="1">IFERROR(__xludf.DUMMYFUNCTION("GOOGLETRANSLATE(B1304,""en"",""ja"")"),"総費用")</f>
        <v>総費用</v>
      </c>
      <c r="F1304" s="1" t="str">
        <f ca="1">IFERROR(__xludf.DUMMYFUNCTION("GOOGLETRANSLATE(B1304,""en"",""fr"")"),"Coût total")</f>
        <v>Coût total</v>
      </c>
    </row>
    <row r="1305" spans="1:6" ht="15.75" customHeight="1" x14ac:dyDescent="0.25">
      <c r="A1305" s="1" t="s">
        <v>2461</v>
      </c>
      <c r="B1305" s="1" t="s">
        <v>986</v>
      </c>
      <c r="C1305" s="1" t="str">
        <f ca="1">IFERROR(__xludf.DUMMYFUNCTION("GOOGLETRANSLATE(B1305,""en"",""ar"")"),"تكلفة المنتج")</f>
        <v>تكلفة المنتج</v>
      </c>
      <c r="D1305" s="1" t="str">
        <f ca="1">IFERROR(__xludf.DUMMYFUNCTION("GOOGLETRANSLATE(B1305,""en"",""zh-CN"")"),"产品成本")</f>
        <v>产品成本</v>
      </c>
      <c r="E1305" s="1" t="str">
        <f ca="1">IFERROR(__xludf.DUMMYFUNCTION("GOOGLETRANSLATE(B1305,""en"",""ja"")"),"製品コスト")</f>
        <v>製品コスト</v>
      </c>
      <c r="F1305" s="1" t="str">
        <f ca="1">IFERROR(__xludf.DUMMYFUNCTION("GOOGLETRANSLATE(B1305,""en"",""fr"")"),"Coût du produit")</f>
        <v>Coût du produit</v>
      </c>
    </row>
    <row r="1306" spans="1:6" ht="15.75" customHeight="1" x14ac:dyDescent="0.25">
      <c r="A1306" s="1" t="s">
        <v>2462</v>
      </c>
      <c r="B1306" s="1" t="s">
        <v>2463</v>
      </c>
      <c r="C1306" s="1" t="str">
        <f ca="1">IFERROR(__xludf.DUMMYFUNCTION("GOOGLETRANSLATE(B1306,""en"",""ar"")"),"اجمالي الربح")</f>
        <v>اجمالي الربح</v>
      </c>
      <c r="D1306" s="1" t="str">
        <f ca="1">IFERROR(__xludf.DUMMYFUNCTION("GOOGLETRANSLATE(B1306,""en"",""zh-CN"")"),"毛利")</f>
        <v>毛利</v>
      </c>
      <c r="E1306" s="1" t="str">
        <f ca="1">IFERROR(__xludf.DUMMYFUNCTION("GOOGLETRANSLATE(B1306,""en"",""ja"")"),"粗利益")</f>
        <v>粗利益</v>
      </c>
      <c r="F1306" s="1" t="str">
        <f ca="1">IFERROR(__xludf.DUMMYFUNCTION("GOOGLETRANSLATE(B1306,""en"",""fr"")"),"Bénéfice brut")</f>
        <v>Bénéfice brut</v>
      </c>
    </row>
    <row r="1307" spans="1:6" ht="15.75" customHeight="1" x14ac:dyDescent="0.25">
      <c r="A1307" s="1" t="s">
        <v>2464</v>
      </c>
      <c r="B1307" s="1" t="s">
        <v>2465</v>
      </c>
      <c r="C1307" s="1" t="str">
        <f ca="1">IFERROR(__xludf.DUMMYFUNCTION("GOOGLETRANSLATE(B1307,""en"",""ar"")"),"تحديث")</f>
        <v>تحديث</v>
      </c>
      <c r="D1307" s="1" t="str">
        <f ca="1">IFERROR(__xludf.DUMMYFUNCTION("GOOGLETRANSLATE(B1307,""en"",""zh-CN"")"),"更新")</f>
        <v>更新</v>
      </c>
      <c r="E1307" s="1" t="str">
        <f ca="1">IFERROR(__xludf.DUMMYFUNCTION("GOOGLETRANSLATE(B1307,""en"",""ja"")"),"アップデート")</f>
        <v>アップデート</v>
      </c>
      <c r="F1307" s="1" t="str">
        <f ca="1">IFERROR(__xludf.DUMMYFUNCTION("GOOGLETRANSLATE(B1307,""en"",""fr"")"),"Mettre à jour")</f>
        <v>Mettre à jour</v>
      </c>
    </row>
    <row r="1308" spans="1:6" ht="15.75" customHeight="1" x14ac:dyDescent="0.25">
      <c r="A1308" s="1" t="s">
        <v>2466</v>
      </c>
      <c r="B1308" s="1" t="s">
        <v>2467</v>
      </c>
      <c r="C1308" s="1" t="str">
        <f ca="1">IFERROR(__xludf.DUMMYFUNCTION("GOOGLETRANSLATE(B1308,""en"",""ar"")"),"أضفنا الكثير من الميزات الجديدة وإصلاح بعض الأخطاء لجعل تجربتك سلسة قدر الإمكان.")</f>
        <v>أضفنا الكثير من الميزات الجديدة وإصلاح بعض الأخطاء لجعل تجربتك سلسة قدر الإمكان.</v>
      </c>
      <c r="D1308" s="1" t="str">
        <f ca="1">IFERROR(__xludf.DUMMYFUNCTION("GOOGLETRANSLATE(B1308,""en"",""zh-CN"")"),"我们添加了许多新功能，并修复了一些错误，以使您的体验尽可能平稳。")</f>
        <v>我们添加了许多新功能，并修复了一些错误，以使您的体验尽可能平稳。</v>
      </c>
      <c r="E1308" s="1" t="str">
        <f ca="1">IFERROR(__xludf.DUMMYFUNCTION("GOOGLETRANSLATE(B1308,""en"",""ja"")"),"私たちはたくさんの新機能を追加し、あなたの経験をできるだけ滑らかにするためのいくつかのバグを修正しました。")</f>
        <v>私たちはたくさんの新機能を追加し、あなたの経験をできるだけ滑らかにするためのいくつかのバグを修正しました。</v>
      </c>
      <c r="F1308" s="1" t="str">
        <f ca="1">IFERROR(__xludf.DUMMYFUNCTION("GOOGLETRANSLATE(B1308,""en"",""fr"")"),"Nous avons ajouté beaucoup de nouvelles fonctionnalités et corrigons certains bugs pour rendre votre expérience aussi lisse que possible.")</f>
        <v>Nous avons ajouté beaucoup de nouvelles fonctionnalités et corrigons certains bugs pour rendre votre expérience aussi lisse que possible.</v>
      </c>
    </row>
    <row r="1309" spans="1:6" ht="15.75" customHeight="1" x14ac:dyDescent="0.25">
      <c r="A1309" s="1" t="s">
        <v>2468</v>
      </c>
      <c r="B1309" s="1" t="s">
        <v>2469</v>
      </c>
      <c r="C1309" s="1" t="str">
        <f ca="1">IFERROR(__xludf.DUMMYFUNCTION("GOOGLETRANSLATE(B1309,""en"",""ar"")"),"الوقت لتحديث!")</f>
        <v>الوقت لتحديث!</v>
      </c>
      <c r="D1309" s="1" t="str">
        <f ca="1">IFERROR(__xludf.DUMMYFUNCTION("GOOGLETRANSLATE(B1309,""en"",""zh-CN"")"),"是时候更新了！")</f>
        <v>是时候更新了！</v>
      </c>
      <c r="E1309" s="1" t="str">
        <f ca="1">IFERROR(__xludf.DUMMYFUNCTION("GOOGLETRANSLATE(B1309,""en"",""ja"")"),"更新する時間！")</f>
        <v>更新する時間！</v>
      </c>
      <c r="F1309" s="1" t="str">
        <f ca="1">IFERROR(__xludf.DUMMYFUNCTION("GOOGLETRANSLATE(B1309,""en"",""fr"")"),"Il est temps de mettre à jour!")</f>
        <v>Il est temps de mettre à jour!</v>
      </c>
    </row>
    <row r="1310" spans="1:6" ht="15.75" customHeight="1" x14ac:dyDescent="0.25">
      <c r="A1310" s="1" t="s">
        <v>2470</v>
      </c>
      <c r="B1310" s="1" t="s">
        <v>2471</v>
      </c>
      <c r="C1310" s="1" t="str">
        <f ca="1">IFERROR(__xludf.DUMMYFUNCTION("GOOGLETRANSLATE(B1310,""en"",""ar"")"),"إنشاء الفئة")</f>
        <v>إنشاء الفئة</v>
      </c>
      <c r="D1310" s="1" t="str">
        <f ca="1">IFERROR(__xludf.DUMMYFUNCTION("GOOGLETRANSLATE(B1310,""en"",""zh-CN"")"),"创建类别")</f>
        <v>创建类别</v>
      </c>
      <c r="E1310" s="1" t="str">
        <f ca="1">IFERROR(__xludf.DUMMYFUNCTION("GOOGLETRANSLATE(B1310,""en"",""ja"")"),"カテゴリーを作成する")</f>
        <v>カテゴリーを作成する</v>
      </c>
      <c r="F1310" s="1" t="str">
        <f ca="1">IFERROR(__xludf.DUMMYFUNCTION("GOOGLETRANSLATE(B1310,""en"",""fr"")"),"Créer une catégorie")</f>
        <v>Créer une catégorie</v>
      </c>
    </row>
    <row r="1311" spans="1:6" ht="15.75" customHeight="1" x14ac:dyDescent="0.25">
      <c r="A1311" s="1" t="s">
        <v>2472</v>
      </c>
      <c r="B1311" s="1" t="s">
        <v>2473</v>
      </c>
      <c r="C1311" s="1" t="str">
        <f ca="1">IFERROR(__xludf.DUMMYFUNCTION("GOOGLETRANSLATE(B1311,""en"",""ar"")"),"اسم التصنيف")</f>
        <v>اسم التصنيف</v>
      </c>
      <c r="D1311" s="1" t="str">
        <f ca="1">IFERROR(__xludf.DUMMYFUNCTION("GOOGLETRANSLATE(B1311,""en"",""zh-CN"")"),"分类名称")</f>
        <v>分类名称</v>
      </c>
      <c r="E1311" s="1" t="str">
        <f ca="1">IFERROR(__xludf.DUMMYFUNCTION("GOOGLETRANSLATE(B1311,""en"",""ja"")"),"種別名")</f>
        <v>種別名</v>
      </c>
      <c r="F1311" s="1" t="str">
        <f ca="1">IFERROR(__xludf.DUMMYFUNCTION("GOOGLETRANSLATE(B1311,""en"",""fr"")"),"Nom de catégorie")</f>
        <v>Nom de catégorie</v>
      </c>
    </row>
    <row r="1312" spans="1:6" ht="15.75" customHeight="1" x14ac:dyDescent="0.25">
      <c r="A1312" s="1" t="s">
        <v>2474</v>
      </c>
      <c r="B1312" s="1" t="s">
        <v>2475</v>
      </c>
      <c r="C1312" s="1" t="str">
        <f ca="1">IFERROR(__xludf.DUMMYFUNCTION("GOOGLETRANSLATE(B1312,""en"",""ar"")"),"أعدت بواسطة")</f>
        <v>أعدت بواسطة</v>
      </c>
      <c r="D1312" s="1" t="str">
        <f ca="1">IFERROR(__xludf.DUMMYFUNCTION("GOOGLETRANSLATE(B1312,""en"",""zh-CN"")"),"编制")</f>
        <v>编制</v>
      </c>
      <c r="E1312" s="1" t="str">
        <f ca="1">IFERROR(__xludf.DUMMYFUNCTION("GOOGLETRANSLATE(B1312,""en"",""ja"")"),"醸造元")</f>
        <v>醸造元</v>
      </c>
      <c r="F1312" s="1" t="str">
        <f ca="1">IFERROR(__xludf.DUMMYFUNCTION("GOOGLETRANSLATE(B1312,""en"",""fr"")"),"Preparé par")</f>
        <v>Preparé par</v>
      </c>
    </row>
    <row r="1313" spans="1:6" ht="15.75" customHeight="1" x14ac:dyDescent="0.25">
      <c r="A1313" s="1" t="s">
        <v>2476</v>
      </c>
      <c r="B1313" s="1" t="s">
        <v>2477</v>
      </c>
      <c r="C1313" s="1" t="str">
        <f ca="1">IFERROR(__xludf.DUMMYFUNCTION("GOOGLETRANSLATE(B1313,""en"",""ar"")"),"تمت الموافقة عليه من قبل")</f>
        <v>تمت الموافقة عليه من قبل</v>
      </c>
      <c r="D1313" s="1" t="str">
        <f ca="1">IFERROR(__xludf.DUMMYFUNCTION("GOOGLETRANSLATE(B1313,""en"",""zh-CN"")"),"由...批准")</f>
        <v>由...批准</v>
      </c>
      <c r="E1313" s="1" t="str">
        <f ca="1">IFERROR(__xludf.DUMMYFUNCTION("GOOGLETRANSLATE(B1313,""en"",""ja"")"),"によって承認された")</f>
        <v>によって承認された</v>
      </c>
      <c r="F1313" s="1" t="str">
        <f ca="1">IFERROR(__xludf.DUMMYFUNCTION("GOOGLETRANSLATE(B1313,""en"",""fr"")"),"Approuvé par")</f>
        <v>Approuvé par</v>
      </c>
    </row>
    <row r="1314" spans="1:6" ht="15.75" customHeight="1" x14ac:dyDescent="0.25">
      <c r="A1314" s="1" t="s">
        <v>2478</v>
      </c>
      <c r="B1314" s="1" t="s">
        <v>2479</v>
      </c>
      <c r="C1314" s="1" t="str">
        <f ca="1">IFERROR(__xludf.DUMMYFUNCTION("GOOGLETRANSLATE(B1314,""en"",""ar"")"),"استلمت من قبل")</f>
        <v>استلمت من قبل</v>
      </c>
      <c r="D1314" s="1" t="str">
        <f ca="1">IFERROR(__xludf.DUMMYFUNCTION("GOOGLETRANSLATE(B1314,""en"",""zh-CN"")"),"收到")</f>
        <v>收到</v>
      </c>
      <c r="E1314" s="1" t="str">
        <f ca="1">IFERROR(__xludf.DUMMYFUNCTION("GOOGLETRANSLATE(B1314,""en"",""ja"")"),"が受信した")</f>
        <v>が受信した</v>
      </c>
      <c r="F1314" s="1" t="str">
        <f ca="1">IFERROR(__xludf.DUMMYFUNCTION("GOOGLETRANSLATE(B1314,""en"",""fr"")"),"Reçu par")</f>
        <v>Reçu par</v>
      </c>
    </row>
    <row r="1315" spans="1:6" ht="15.75" customHeight="1" x14ac:dyDescent="0.25">
      <c r="A1315" s="1" t="s">
        <v>2480</v>
      </c>
      <c r="B1315" s="1" t="s">
        <v>2481</v>
      </c>
      <c r="C1315" s="1" t="str">
        <f ca="1">IFERROR(__xludf.DUMMYFUNCTION("GOOGLETRANSLATE(B1315,""en"",""ar"")"),"تاريخ الطباعة")</f>
        <v>تاريخ الطباعة</v>
      </c>
      <c r="D1315" s="1" t="str">
        <f ca="1">IFERROR(__xludf.DUMMYFUNCTION("GOOGLETRANSLATE(B1315,""en"",""zh-CN"")"),"打印日期")</f>
        <v>打印日期</v>
      </c>
      <c r="E1315" s="1" t="str">
        <f ca="1">IFERROR(__xludf.DUMMYFUNCTION("GOOGLETRANSLATE(B1315,""en"",""ja"")"),"印刷日付")</f>
        <v>印刷日付</v>
      </c>
      <c r="F1315" s="1" t="str">
        <f ca="1">IFERROR(__xludf.DUMMYFUNCTION("GOOGLETRANSLATE(B1315,""en"",""fr"")"),"Date d'impression")</f>
        <v>Date d'impression</v>
      </c>
    </row>
    <row r="1316" spans="1:6" ht="15.75" customHeight="1" x14ac:dyDescent="0.25">
      <c r="A1316" s="1" t="s">
        <v>2482</v>
      </c>
      <c r="B1316" s="1" t="s">
        <v>2483</v>
      </c>
      <c r="C1316" s="1" t="str">
        <f ca="1">IFERROR(__xludf.DUMMYFUNCTION("GOOGLETRANSLATE(B1316,""en"",""ar"")"),"نوع سا")</f>
        <v>نوع سا</v>
      </c>
      <c r="D1316" s="1" t="str">
        <f ca="1">IFERROR(__xludf.DUMMYFUNCTION("GOOGLETRANSLATE(B1316,""en"",""zh-CN"")"),"SA类型")</f>
        <v>SA类型</v>
      </c>
      <c r="E1316" s="1" t="str">
        <f ca="1">IFERROR(__xludf.DUMMYFUNCTION("GOOGLETRANSLATE(B1316,""en"",""ja"")"),"SAタイプ")</f>
        <v>SAタイプ</v>
      </c>
      <c r="F1316" s="1" t="str">
        <f ca="1">IFERROR(__xludf.DUMMYFUNCTION("GOOGLETRANSLATE(B1316,""en"",""fr"")"),"SA TYPE")</f>
        <v>SA TYPE</v>
      </c>
    </row>
    <row r="1317" spans="1:6" ht="15.75" customHeight="1" x14ac:dyDescent="0.25">
      <c r="A1317" s="1" t="s">
        <v>2484</v>
      </c>
      <c r="B1317" s="1" t="s">
        <v>2485</v>
      </c>
      <c r="C1317" s="1" t="str">
        <f ca="1">IFERROR(__xludf.DUMMYFUNCTION("GOOGLETRANSLATE(B1317,""en"",""ar"")"),"SA العقل")</f>
        <v>SA العقل</v>
      </c>
      <c r="D1317" s="1" t="str">
        <f ca="1">IFERROR(__xludf.DUMMYFUNCTION("GOOGLETRANSLATE(B1317,""en"",""zh-CN"")"),"SA理由")</f>
        <v>SA理由</v>
      </c>
      <c r="E1317" s="1" t="str">
        <f ca="1">IFERROR(__xludf.DUMMYFUNCTION("GOOGLETRANSLATE(B1317,""en"",""ja"")"),"SA理由")</f>
        <v>SA理由</v>
      </c>
      <c r="F1317" s="1" t="str">
        <f ca="1">IFERROR(__xludf.DUMMYFUNCTION("GOOGLETRANSLATE(B1317,""en"",""fr"")"),"Sa raison")</f>
        <v>Sa raison</v>
      </c>
    </row>
    <row r="1318" spans="1:6" ht="15.75" customHeight="1" x14ac:dyDescent="0.25">
      <c r="A1318" s="1" t="s">
        <v>2486</v>
      </c>
      <c r="B1318" s="1" t="s">
        <v>2487</v>
      </c>
      <c r="C1318" s="1" t="str">
        <f ca="1">IFERROR(__xludf.DUMMYFUNCTION("GOOGLETRANSLATE(B1318,""en"",""ar"")"),"adj.")</f>
        <v>adj.</v>
      </c>
      <c r="D1318" s="1" t="str">
        <f ca="1">IFERROR(__xludf.DUMMYFUNCTION("GOOGLETRANSLATE(B1318,""en"",""zh-CN"")"),"adj。")</f>
        <v>adj。</v>
      </c>
      <c r="E1318" s="1" t="str">
        <f ca="1">IFERROR(__xludf.DUMMYFUNCTION("GOOGLETRANSLATE(B1318,""en"",""ja"")"),"adj。")</f>
        <v>adj。</v>
      </c>
      <c r="F1318" s="1" t="str">
        <f ca="1">IFERROR(__xludf.DUMMYFUNCTION("GOOGLETRANSLATE(B1318,""en"",""fr"")"),"Adj.")</f>
        <v>Adj.</v>
      </c>
    </row>
    <row r="1319" spans="1:6" ht="15.75" customHeight="1" x14ac:dyDescent="0.25">
      <c r="A1319" s="1" t="s">
        <v>2488</v>
      </c>
      <c r="B1319" s="1" t="s">
        <v>2489</v>
      </c>
      <c r="C1319" s="1" t="str">
        <f ca="1">IFERROR(__xludf.DUMMYFUNCTION("GOOGLETRANSLATE(B1319,""en"",""ar"")"),"aftr.")</f>
        <v>aftr.</v>
      </c>
      <c r="D1319" s="1" t="str">
        <f ca="1">IFERROR(__xludf.DUMMYFUNCTION("GOOGLETRANSLATE(B1319,""en"",""zh-CN"")"),"astr。")</f>
        <v>astr。</v>
      </c>
      <c r="E1319" s="1" t="str">
        <f ca="1">IFERROR(__xludf.DUMMYFUNCTION("GOOGLETRANSLATE(B1319,""en"",""ja"")"),"aftr。")</f>
        <v>aftr。</v>
      </c>
      <c r="F1319" s="1" t="str">
        <f ca="1">IFERROR(__xludf.DUMMYFUNCTION("GOOGLETRANSLATE(B1319,""en"",""fr"")"),"AFTR.")</f>
        <v>AFTR.</v>
      </c>
    </row>
    <row r="1320" spans="1:6" ht="15.75" customHeight="1" x14ac:dyDescent="0.25">
      <c r="A1320" s="1" t="s">
        <v>2490</v>
      </c>
      <c r="B1320" s="1" t="s">
        <v>716</v>
      </c>
      <c r="C1320" s="1" t="str">
        <f ca="1">IFERROR(__xludf.DUMMYFUNCTION("GOOGLETRANSLATE(B1320,""en"",""ar"")"),"المخزون")</f>
        <v>المخزون</v>
      </c>
      <c r="D1320" s="1" t="str">
        <f ca="1">IFERROR(__xludf.DUMMYFUNCTION("GOOGLETRANSLATE(B1320,""en"",""zh-CN"")"),"库存")</f>
        <v>库存</v>
      </c>
      <c r="E1320" s="1" t="str">
        <f ca="1">IFERROR(__xludf.DUMMYFUNCTION("GOOGLETRANSLATE(B1320,""en"",""ja"")"),"ストック")</f>
        <v>ストック</v>
      </c>
      <c r="F1320" s="1" t="str">
        <f ca="1">IFERROR(__xludf.DUMMYFUNCTION("GOOGLETRANSLATE(B1320,""en"",""fr"")"),"Stocker")</f>
        <v>Stocker</v>
      </c>
    </row>
    <row r="1321" spans="1:6" ht="15.75" customHeight="1" x14ac:dyDescent="0.25">
      <c r="A1321" s="1" t="s">
        <v>2491</v>
      </c>
      <c r="B1321" s="1" t="s">
        <v>2492</v>
      </c>
      <c r="C1321" s="1" t="str">
        <f ca="1">IFERROR(__xludf.DUMMYFUNCTION("GOOGLETRANSLATE(B1321,""en"",""ar"")"),"من الموقع")</f>
        <v>من الموقع</v>
      </c>
      <c r="D1321" s="1" t="str">
        <f ca="1">IFERROR(__xludf.DUMMYFUNCTION("GOOGLETRANSLATE(B1321,""en"",""zh-CN"")"),"来自地点")</f>
        <v>来自地点</v>
      </c>
      <c r="E1321" s="1" t="str">
        <f ca="1">IFERROR(__xludf.DUMMYFUNCTION("GOOGLETRANSLATE(B1321,""en"",""ja"")"),"場所から")</f>
        <v>場所から</v>
      </c>
      <c r="F1321" s="1" t="str">
        <f ca="1">IFERROR(__xludf.DUMMYFUNCTION("GOOGLETRANSLATE(B1321,""en"",""fr"")"),"De l'emplacement")</f>
        <v>De l'emplacement</v>
      </c>
    </row>
    <row r="1322" spans="1:6" ht="15.75" customHeight="1" x14ac:dyDescent="0.25">
      <c r="A1322" s="1" t="s">
        <v>2493</v>
      </c>
      <c r="B1322" s="1" t="s">
        <v>2494</v>
      </c>
      <c r="C1322" s="1" t="str">
        <f ca="1">IFERROR(__xludf.DUMMYFUNCTION("GOOGLETRANSLATE(B1322,""en"",""ar"")"),"إلى الموقع")</f>
        <v>إلى الموقع</v>
      </c>
      <c r="D1322" s="1" t="str">
        <f ca="1">IFERROR(__xludf.DUMMYFUNCTION("GOOGLETRANSLATE(B1322,""en"",""zh-CN"")"),"位置")</f>
        <v>位置</v>
      </c>
      <c r="E1322" s="1" t="str">
        <f ca="1">IFERROR(__xludf.DUMMYFUNCTION("GOOGLETRANSLATE(B1322,""en"",""ja"")"),"場所へ")</f>
        <v>場所へ</v>
      </c>
      <c r="F1322" s="1" t="str">
        <f ca="1">IFERROR(__xludf.DUMMYFUNCTION("GOOGLETRANSLATE(B1322,""en"",""fr"")"),"À l'emplacement")</f>
        <v>À l'emplacement</v>
      </c>
    </row>
    <row r="1323" spans="1:6" ht="15.75" customHeight="1" x14ac:dyDescent="0.25">
      <c r="A1323" s="1" t="s">
        <v>2495</v>
      </c>
      <c r="B1323" s="1" t="s">
        <v>2496</v>
      </c>
      <c r="C1323" s="1" t="str">
        <f ca="1">IFERROR(__xludf.DUMMYFUNCTION("GOOGLETRANSLATE(B1323,""en"",""ar"")"),"نقل")</f>
        <v>نقل</v>
      </c>
      <c r="D1323" s="1" t="str">
        <f ca="1">IFERROR(__xludf.DUMMYFUNCTION("GOOGLETRANSLATE(B1323,""en"",""zh-CN"")"),"转移")</f>
        <v>转移</v>
      </c>
      <c r="E1323" s="1" t="str">
        <f ca="1">IFERROR(__xludf.DUMMYFUNCTION("GOOGLETRANSLATE(B1323,""en"",""ja"")"),"転送された")</f>
        <v>転送された</v>
      </c>
      <c r="F1323" s="1" t="str">
        <f ca="1">IFERROR(__xludf.DUMMYFUNCTION("GOOGLETRANSLATE(B1323,""en"",""fr"")"),"Transféré")</f>
        <v>Transféré</v>
      </c>
    </row>
    <row r="1324" spans="1:6" ht="15.75" customHeight="1" x14ac:dyDescent="0.25">
      <c r="A1324" s="1" t="s">
        <v>2497</v>
      </c>
      <c r="B1324" s="1" t="s">
        <v>2498</v>
      </c>
      <c r="C1324" s="1" t="str">
        <f ca="1">IFERROR(__xludf.DUMMYFUNCTION("GOOGLETRANSLATE(B1324,""en"",""ar"")"),"فى اليد")</f>
        <v>فى اليد</v>
      </c>
      <c r="D1324" s="1" t="str">
        <f ca="1">IFERROR(__xludf.DUMMYFUNCTION("GOOGLETRANSLATE(B1324,""en"",""zh-CN"")"),"在手里")</f>
        <v>在手里</v>
      </c>
      <c r="E1324" s="1" t="str">
        <f ca="1">IFERROR(__xludf.DUMMYFUNCTION("GOOGLETRANSLATE(B1324,""en"",""ja"")"),"統一")</f>
        <v>統一</v>
      </c>
      <c r="F1324" s="1" t="str">
        <f ca="1">IFERROR(__xludf.DUMMYFUNCTION("GOOGLETRANSLATE(B1324,""en"",""fr"")"),"Dans la main")</f>
        <v>Dans la main</v>
      </c>
    </row>
    <row r="1325" spans="1:6" ht="15.75" customHeight="1" x14ac:dyDescent="0.25">
      <c r="A1325" s="1" t="s">
        <v>2499</v>
      </c>
      <c r="B1325" s="1" t="s">
        <v>2500</v>
      </c>
      <c r="C1325" s="1" t="str">
        <f ca="1">IFERROR(__xludf.DUMMYFUNCTION("GOOGLETRANSLATE(B1325,""en"",""ar"")"),"في")</f>
        <v>في</v>
      </c>
      <c r="D1325" s="1" t="str">
        <f ca="1">IFERROR(__xludf.DUMMYFUNCTION("GOOGLETRANSLATE(B1325,""en"",""zh-CN"")"),"在")</f>
        <v>在</v>
      </c>
      <c r="E1325" s="1" t="str">
        <f ca="1">IFERROR(__xludf.DUMMYFUNCTION("GOOGLETRANSLATE(B1325,""en"",""ja"")"),"の")</f>
        <v>の</v>
      </c>
      <c r="F1325" s="1" t="str">
        <f ca="1">IFERROR(__xludf.DUMMYFUNCTION("GOOGLETRANSLATE(B1325,""en"",""fr"")"),"Dans")</f>
        <v>Dans</v>
      </c>
    </row>
    <row r="1326" spans="1:6" ht="15.75" customHeight="1" x14ac:dyDescent="0.25">
      <c r="A1326" s="1" t="s">
        <v>2501</v>
      </c>
      <c r="B1326" s="1" t="s">
        <v>2502</v>
      </c>
      <c r="C1326" s="1" t="str">
        <f ca="1">IFERROR(__xludf.DUMMYFUNCTION("GOOGLETRANSLATE(B1326,""en"",""ar"")"),"خارج")</f>
        <v>خارج</v>
      </c>
      <c r="D1326" s="1" t="str">
        <f ca="1">IFERROR(__xludf.DUMMYFUNCTION("GOOGLETRANSLATE(B1326,""en"",""zh-CN"")"),"出去")</f>
        <v>出去</v>
      </c>
      <c r="E1326" s="1" t="str">
        <f ca="1">IFERROR(__xludf.DUMMYFUNCTION("GOOGLETRANSLATE(B1326,""en"",""ja"")"),"外")</f>
        <v>外</v>
      </c>
      <c r="F1326" s="1" t="str">
        <f ca="1">IFERROR(__xludf.DUMMYFUNCTION("GOOGLETRANSLATE(B1326,""en"",""fr"")"),"En dehors")</f>
        <v>En dehors</v>
      </c>
    </row>
    <row r="1327" spans="1:6" ht="15.75" customHeight="1" x14ac:dyDescent="0.25">
      <c r="A1327" s="1" t="s">
        <v>2503</v>
      </c>
      <c r="B1327" s="1" t="s">
        <v>2504</v>
      </c>
      <c r="C1327" s="1" t="str">
        <f ca="1">IFERROR(__xludf.DUMMYFUNCTION("GOOGLETRANSLATE(B1327,""en"",""ar"")"),"نوع النقل")</f>
        <v>نوع النقل</v>
      </c>
      <c r="D1327" s="1" t="str">
        <f ca="1">IFERROR(__xludf.DUMMYFUNCTION("GOOGLETRANSLATE(B1327,""en"",""zh-CN"")"),"转移类型")</f>
        <v>转移类型</v>
      </c>
      <c r="E1327" s="1" t="str">
        <f ca="1">IFERROR(__xludf.DUMMYFUNCTION("GOOGLETRANSLATE(B1327,""en"",""ja"")"),"転送タイプ")</f>
        <v>転送タイプ</v>
      </c>
      <c r="F1327" s="1" t="str">
        <f ca="1">IFERROR(__xludf.DUMMYFUNCTION("GOOGLETRANSLATE(B1327,""en"",""fr"")"),"Type de transfert")</f>
        <v>Type de transfert</v>
      </c>
    </row>
    <row r="1328" spans="1:6" ht="15.75" customHeight="1" x14ac:dyDescent="0.25">
      <c r="A1328" s="1" t="s">
        <v>2505</v>
      </c>
      <c r="B1328" s="1" t="s">
        <v>2506</v>
      </c>
      <c r="C1328" s="1" t="str">
        <f ca="1">IFERROR(__xludf.DUMMYFUNCTION("GOOGLETRANSLATE(B1328,""en"",""ar"")"),"دبوس الخطأ")</f>
        <v>دبوس الخطأ</v>
      </c>
      <c r="D1328" s="1" t="str">
        <f ca="1">IFERROR(__xludf.DUMMYFUNCTION("GOOGLETRANSLATE(B1328,""en"",""zh-CN"")"),"错误的别针")</f>
        <v>错误的别针</v>
      </c>
      <c r="E1328" s="1" t="str">
        <f ca="1">IFERROR(__xludf.DUMMYFUNCTION("GOOGLETRANSLATE(B1328,""en"",""ja"")"),"間違ったピン")</f>
        <v>間違ったピン</v>
      </c>
      <c r="F1328" s="1" t="str">
        <f ca="1">IFERROR(__xludf.DUMMYFUNCTION("GOOGLETRANSLATE(B1328,""en"",""fr"")"),"Mauvais broche")</f>
        <v>Mauvais broche</v>
      </c>
    </row>
    <row r="1329" spans="1:6" ht="15.75" customHeight="1" x14ac:dyDescent="0.25">
      <c r="A1329" s="1" t="s">
        <v>2507</v>
      </c>
      <c r="B1329" s="1" t="s">
        <v>2508</v>
      </c>
      <c r="C1329" s="1" t="str">
        <f ca="1">IFERROR(__xludf.DUMMYFUNCTION("GOOGLETRANSLATE(B1329,""en"",""ar"")"),"تفاصيل المنتج")</f>
        <v>تفاصيل المنتج</v>
      </c>
      <c r="D1329" s="1" t="str">
        <f ca="1">IFERROR(__xludf.DUMMYFUNCTION("GOOGLETRANSLATE(B1329,""en"",""zh-CN"")"),"产品库存信息")</f>
        <v>产品库存信息</v>
      </c>
      <c r="E1329" s="1" t="str">
        <f ca="1">IFERROR(__xludf.DUMMYFUNCTION("GOOGLETRANSLATE(B1329,""en"",""ja"")"),"商品在庫詳細")</f>
        <v>商品在庫詳細</v>
      </c>
      <c r="F1329" s="1" t="str">
        <f ca="1">IFERROR(__xludf.DUMMYFUNCTION("GOOGLETRANSLATE(B1329,""en"",""fr"")"),"Détails du stock de produit")</f>
        <v>Détails du stock de produit</v>
      </c>
    </row>
    <row r="1330" spans="1:6" ht="15.75" customHeight="1" x14ac:dyDescent="0.25">
      <c r="A1330" s="1" t="s">
        <v>2509</v>
      </c>
      <c r="B1330" s="1" t="s">
        <v>2510</v>
      </c>
      <c r="C1330" s="1" t="str">
        <f ca="1">IFERROR(__xludf.DUMMYFUNCTION("GOOGLETRANSLATE(B1330,""en"",""ar"")"),"متوسط")</f>
        <v>متوسط</v>
      </c>
      <c r="D1330" s="1" t="str">
        <f ca="1">IFERROR(__xludf.DUMMYFUNCTION("GOOGLETRANSLATE(B1330,""en"",""zh-CN"")"),"Avg.")</f>
        <v>Avg.</v>
      </c>
      <c r="E1330" s="1" t="str">
        <f ca="1">IFERROR(__xludf.DUMMYFUNCTION("GOOGLETRANSLATE(B1330,""en"",""ja"")"),"av av")</f>
        <v>av av</v>
      </c>
      <c r="F1330" s="1" t="str">
        <f ca="1">IFERROR(__xludf.DUMMYFUNCTION("GOOGLETRANSLATE(B1330,""en"",""fr"")"),"Aversion")</f>
        <v>Aversion</v>
      </c>
    </row>
    <row r="1331" spans="1:6" ht="15.75" customHeight="1" x14ac:dyDescent="0.25">
      <c r="A1331" s="1" t="s">
        <v>2511</v>
      </c>
      <c r="B1331" s="1" t="s">
        <v>2512</v>
      </c>
      <c r="C1331" s="1" t="str">
        <f ca="1">IFERROR(__xludf.DUMMYFUNCTION("GOOGLETRANSLATE(B1331,""en"",""ar"")"),"أغلفة")</f>
        <v>أغلفة</v>
      </c>
      <c r="D1331" s="1" t="str">
        <f ca="1">IFERROR(__xludf.DUMMYFUNCTION("GOOGLETRANSLATE(B1331,""en"",""zh-CN"")"),"AVL.")</f>
        <v>AVL.</v>
      </c>
      <c r="E1331" s="1" t="str">
        <f ca="1">IFERROR(__xludf.DUMMYFUNCTION("GOOGLETRANSLATE(B1331,""en"",""ja"")"),"AVL.")</f>
        <v>AVL.</v>
      </c>
      <c r="F1331" s="1" t="str">
        <f ca="1">IFERROR(__xludf.DUMMYFUNCTION("GOOGLETRANSLATE(B1331,""en"",""fr"")"),"Avl")</f>
        <v>Avl</v>
      </c>
    </row>
    <row r="1332" spans="1:6" ht="15.75" customHeight="1" x14ac:dyDescent="0.25">
      <c r="A1332" s="1" t="s">
        <v>2513</v>
      </c>
      <c r="B1332" s="1" t="s">
        <v>2514</v>
      </c>
      <c r="C1332" s="1" t="str">
        <f ca="1">IFERROR(__xludf.DUMMYFUNCTION("GOOGLETRANSLATE(B1332,""en"",""ar"")"),"ليس لديك فئات فرعية حتى الآن. \ n لإضافة الفئة الفرعية اضغط على الزر (+).")</f>
        <v>ليس لديك فئات فرعية حتى الآن. \ n لإضافة الفئة الفرعية اضغط على الزر (+).</v>
      </c>
      <c r="D1332" s="1" t="str">
        <f ca="1">IFERROR(__xludf.DUMMYFUNCTION("GOOGLETRANSLATE(B1332,""en"",""zh-CN"")"),"尚未有子类别。\ n添加子类别按（+）按钮。")</f>
        <v>尚未有子类别。\ n添加子类别按（+）按钮。</v>
      </c>
      <c r="E1332" s="1" t="str">
        <f ca="1">IFERROR(__xludf.DUMMYFUNCTION("GOOGLETRANSLATE(B1332,""en"",""ja"")"),"サブカテゴリはまだありません。サブカテゴリを追加するには（+）ボタンを押します。")</f>
        <v>サブカテゴリはまだありません。サブカテゴリを追加するには（+）ボタンを押します。</v>
      </c>
      <c r="F1332" s="1" t="str">
        <f ca="1">IFERROR(__xludf.DUMMYFUNCTION("GOOGLETRANSLATE(B1332,""en"",""fr"")"),"Vous n'avez pas encore de sous-catégories. \ N pour ajouter sous-catégorie Appuyez sur la touche (+).")</f>
        <v>Vous n'avez pas encore de sous-catégories. \ N pour ajouter sous-catégorie Appuyez sur la touche (+).</v>
      </c>
    </row>
    <row r="1333" spans="1:6" ht="15.75" customHeight="1" x14ac:dyDescent="0.25">
      <c r="A1333" s="1" t="s">
        <v>2515</v>
      </c>
      <c r="B1333" s="1" t="s">
        <v>2516</v>
      </c>
      <c r="C1333" s="1" t="str">
        <f ca="1">IFERROR(__xludf.DUMMYFUNCTION("GOOGLETRANSLATE(B1333,""en"",""ar"")"),"المنتج هو بالفعل إضافة أو غير موجود.")</f>
        <v>المنتج هو بالفعل إضافة أو غير موجود.</v>
      </c>
      <c r="D1333" s="1" t="str">
        <f ca="1">IFERROR(__xludf.DUMMYFUNCTION("GOOGLETRANSLATE(B1333,""en"",""zh-CN"")"),"产品已添加或未找到。")</f>
        <v>产品已添加或未找到。</v>
      </c>
      <c r="E1333" s="1" t="str">
        <f ca="1">IFERROR(__xludf.DUMMYFUNCTION("GOOGLETRANSLATE(B1333,""en"",""ja"")"),"製品はすでに追加されているか見つかりません。")</f>
        <v>製品はすでに追加されているか見つかりません。</v>
      </c>
      <c r="F1333" s="1" t="str">
        <f ca="1">IFERROR(__xludf.DUMMYFUNCTION("GOOGLETRANSLATE(B1333,""en"",""fr"")"),"Le produit est déjà ajouté ou non trouvé.")</f>
        <v>Le produit est déjà ajouté ou non trouvé.</v>
      </c>
    </row>
    <row r="1334" spans="1:6" ht="15.75" customHeight="1" x14ac:dyDescent="0.25">
      <c r="A1334" s="1" t="s">
        <v>2517</v>
      </c>
      <c r="B1334" s="1" t="s">
        <v>2518</v>
      </c>
      <c r="C1334" s="1" t="str">
        <f ca="1">IFERROR(__xludf.DUMMYFUNCTION("GOOGLETRANSLATE(B1334,""en"",""ar"")"),"أدخل دبوس")</f>
        <v>أدخل دبوس</v>
      </c>
      <c r="D1334" s="1" t="str">
        <f ca="1">IFERROR(__xludf.DUMMYFUNCTION("GOOGLETRANSLATE(B1334,""en"",""zh-CN"")"),"输入PIN.")</f>
        <v>输入PIN.</v>
      </c>
      <c r="E1334" s="1" t="str">
        <f ca="1">IFERROR(__xludf.DUMMYFUNCTION("GOOGLETRANSLATE(B1334,""en"",""ja"")"),"ピンに入る")</f>
        <v>ピンに入る</v>
      </c>
      <c r="F1334" s="1" t="str">
        <f ca="1">IFERROR(__xludf.DUMMYFUNCTION("GOOGLETRANSLATE(B1334,""en"",""fr"")"),"Entrer PIN")</f>
        <v>Entrer PIN</v>
      </c>
    </row>
    <row r="1335" spans="1:6" ht="15.75" customHeight="1" x14ac:dyDescent="0.25">
      <c r="A1335" s="1" t="s">
        <v>2519</v>
      </c>
      <c r="B1335" s="1" t="s">
        <v>2520</v>
      </c>
      <c r="C1335" s="1" t="str">
        <f ca="1">IFERROR(__xludf.DUMMYFUNCTION("GOOGLETRANSLATE(B1335,""en"",""ar"")"),"جديد")</f>
        <v>جديد</v>
      </c>
      <c r="D1335" s="1" t="str">
        <f ca="1">IFERROR(__xludf.DUMMYFUNCTION("GOOGLETRANSLATE(B1335,""en"",""zh-CN"")"),"新的")</f>
        <v>新的</v>
      </c>
      <c r="E1335" s="1" t="str">
        <f ca="1">IFERROR(__xludf.DUMMYFUNCTION("GOOGLETRANSLATE(B1335,""en"",""ja"")"),"新しい")</f>
        <v>新しい</v>
      </c>
      <c r="F1335" s="1" t="str">
        <f ca="1">IFERROR(__xludf.DUMMYFUNCTION("GOOGLETRANSLATE(B1335,""en"",""fr"")"),"Nouvelle")</f>
        <v>Nouvelle</v>
      </c>
    </row>
    <row r="1336" spans="1:6" ht="15.75" customHeight="1" x14ac:dyDescent="0.25">
      <c r="A1336" s="1" t="s">
        <v>2521</v>
      </c>
      <c r="B1336" s="1" t="s">
        <v>2522</v>
      </c>
      <c r="C1336" s="1" t="str">
        <f ca="1">IFERROR(__xludf.DUMMYFUNCTION("GOOGLETRANSLATE(B1336,""en"",""ar"")"),"مجموع المبالغ المدفوعة")</f>
        <v>مجموع المبالغ المدفوعة</v>
      </c>
      <c r="D1336" s="1" t="str">
        <f ca="1">IFERROR(__xludf.DUMMYFUNCTION("GOOGLETRANSLATE(B1336,""en"",""zh-CN"")"),"总支付")</f>
        <v>总支付</v>
      </c>
      <c r="E1336" s="1" t="str">
        <f ca="1">IFERROR(__xludf.DUMMYFUNCTION("GOOGLETRANSLATE(B1336,""en"",""ja"")"),"支払総額")</f>
        <v>支払総額</v>
      </c>
      <c r="F1336" s="1" t="str">
        <f ca="1">IFERROR(__xludf.DUMMYFUNCTION("GOOGLETRANSLATE(B1336,""en"",""fr"")"),"Total payé")</f>
        <v>Total payé</v>
      </c>
    </row>
    <row r="1337" spans="1:6" ht="15.75" customHeight="1" x14ac:dyDescent="0.25">
      <c r="A1337" s="1" t="s">
        <v>2523</v>
      </c>
      <c r="B1337" s="1" t="s">
        <v>2524</v>
      </c>
      <c r="C1337" s="1" t="str">
        <f ca="1">IFERROR(__xludf.DUMMYFUNCTION("GOOGLETRANSLATE(B1337,""en"",""ar"")"),"إرسال استلام")</f>
        <v>إرسال استلام</v>
      </c>
      <c r="D1337" s="1" t="str">
        <f ca="1">IFERROR(__xludf.DUMMYFUNCTION("GOOGLETRANSLATE(B1337,""en"",""zh-CN"")"),"发送收据")</f>
        <v>发送收据</v>
      </c>
      <c r="E1337" s="1" t="str">
        <f ca="1">IFERROR(__xludf.DUMMYFUNCTION("GOOGLETRANSLATE(B1337,""en"",""ja"")"),"領収書を送る")</f>
        <v>領収書を送る</v>
      </c>
      <c r="F1337" s="1" t="str">
        <f ca="1">IFERROR(__xludf.DUMMYFUNCTION("GOOGLETRANSLATE(B1337,""en"",""fr"")"),"Envoi")</f>
        <v>Envoi</v>
      </c>
    </row>
    <row r="1338" spans="1:6" ht="15.75" customHeight="1" x14ac:dyDescent="0.25">
      <c r="A1338" s="1" t="s">
        <v>2525</v>
      </c>
      <c r="B1338" s="1" t="s">
        <v>2526</v>
      </c>
      <c r="C1338" s="1" t="str">
        <f ca="1">IFERROR(__xludf.DUMMYFUNCTION("GOOGLETRANSLATE(B1338,""en"",""ar"")"),"يتغير")</f>
        <v>يتغير</v>
      </c>
      <c r="D1338" s="1" t="str">
        <f ca="1">IFERROR(__xludf.DUMMYFUNCTION("GOOGLETRANSLATE(B1338,""en"",""zh-CN"")"),"改变")</f>
        <v>改变</v>
      </c>
      <c r="E1338" s="1" t="str">
        <f ca="1">IFERROR(__xludf.DUMMYFUNCTION("GOOGLETRANSLATE(B1338,""en"",""ja"")"),"変化する")</f>
        <v>変化する</v>
      </c>
      <c r="F1338" s="1" t="str">
        <f ca="1">IFERROR(__xludf.DUMMYFUNCTION("GOOGLETRANSLATE(B1338,""en"",""fr"")"),"Changer")</f>
        <v>Changer</v>
      </c>
    </row>
    <row r="1339" spans="1:6" ht="15.75" customHeight="1" x14ac:dyDescent="0.25">
      <c r="A1339" s="1" t="s">
        <v>2527</v>
      </c>
      <c r="B1339" s="1" t="s">
        <v>2528</v>
      </c>
      <c r="C1339" s="1" t="str">
        <f ca="1">IFERROR(__xludf.DUMMYFUNCTION("GOOGLETRANSLATE(B1339,""en"",""ar"")"),"المدفوعات")</f>
        <v>المدفوعات</v>
      </c>
      <c r="D1339" s="1" t="str">
        <f ca="1">IFERROR(__xludf.DUMMYFUNCTION("GOOGLETRANSLATE(B1339,""en"",""zh-CN"")"),"款项")</f>
        <v>款项</v>
      </c>
      <c r="E1339" s="1" t="str">
        <f ca="1">IFERROR(__xludf.DUMMYFUNCTION("GOOGLETRANSLATE(B1339,""en"",""ja"")"),"支払い")</f>
        <v>支払い</v>
      </c>
      <c r="F1339" s="1" t="str">
        <f ca="1">IFERROR(__xludf.DUMMYFUNCTION("GOOGLETRANSLATE(B1339,""en"",""fr"")"),"Paiements")</f>
        <v>Paiements</v>
      </c>
    </row>
    <row r="1340" spans="1:6" ht="15.75" customHeight="1" x14ac:dyDescent="0.25">
      <c r="A1340" s="1" t="s">
        <v>2529</v>
      </c>
      <c r="B1340" s="1" t="s">
        <v>2530</v>
      </c>
      <c r="C1340" s="1" t="str">
        <f ca="1">IFERROR(__xludf.DUMMYFUNCTION("GOOGLETRANSLATE(B1340,""en"",""ar"")"),"قم بتوصيل طابعة WiFi")</f>
        <v>قم بتوصيل طابعة WiFi</v>
      </c>
      <c r="D1340" s="1" t="str">
        <f ca="1">IFERROR(__xludf.DUMMYFUNCTION("GOOGLETRANSLATE(B1340,""en"",""zh-CN"")"),"连接WiFi-printer")</f>
        <v>连接WiFi-printer</v>
      </c>
      <c r="E1340" s="1" t="str">
        <f ca="1">IFERROR(__xludf.DUMMYFUNCTION("GOOGLETRANSLATE(B1340,""en"",""ja"")"),"WiFiプリンタを接続してください")</f>
        <v>WiFiプリンタを接続してください</v>
      </c>
      <c r="F1340" s="1" t="str">
        <f ca="1">IFERROR(__xludf.DUMMYFUNCTION("GOOGLETRANSLATE(B1340,""en"",""fr"")"),"Connectez la wifi-imprimante")</f>
        <v>Connectez la wifi-imprimante</v>
      </c>
    </row>
    <row r="1341" spans="1:6" ht="15.75" customHeight="1" x14ac:dyDescent="0.25">
      <c r="A1341" s="1" t="s">
        <v>2531</v>
      </c>
      <c r="B1341" s="1" t="s">
        <v>2532</v>
      </c>
      <c r="C1341" s="1" t="str">
        <f ca="1">IFERROR(__xludf.DUMMYFUNCTION("GOOGLETRANSLATE(B1341,""en"",""ar"")"),"هذا الجهاز لا يدعم Bluetooth")</f>
        <v>هذا الجهاز لا يدعم Bluetooth</v>
      </c>
      <c r="D1341" s="1" t="str">
        <f ca="1">IFERROR(__xludf.DUMMYFUNCTION("GOOGLETRANSLATE(B1341,""en"",""zh-CN"")"),"该设备不支持蓝牙")</f>
        <v>该设备不支持蓝牙</v>
      </c>
      <c r="E1341" s="1" t="str">
        <f ca="1">IFERROR(__xludf.DUMMYFUNCTION("GOOGLETRANSLATE(B1341,""en"",""ja"")"),"このデバイスはBluetoothをサポートしません")</f>
        <v>このデバイスはBluetoothをサポートしません</v>
      </c>
      <c r="F1341" s="1" t="str">
        <f ca="1">IFERROR(__xludf.DUMMYFUNCTION("GOOGLETRANSLATE(B1341,""en"",""fr"")"),"Cet appareil ne prend pas en charge Bluetooth")</f>
        <v>Cet appareil ne prend pas en charge Bluetooth</v>
      </c>
    </row>
    <row r="1342" spans="1:6" ht="15.75" customHeight="1" x14ac:dyDescent="0.25">
      <c r="A1342" s="1" t="s">
        <v>2533</v>
      </c>
      <c r="B1342" s="1" t="s">
        <v>2534</v>
      </c>
      <c r="C1342" s="1" t="str">
        <f ca="1">IFERROR(__xludf.DUMMYFUNCTION("GOOGLETRANSLATE(B1342,""en"",""ar"")"),"طريقة الدفع هذه موجودة بالفعل.")</f>
        <v>طريقة الدفع هذه موجودة بالفعل.</v>
      </c>
      <c r="D1342" s="1" t="str">
        <f ca="1">IFERROR(__xludf.DUMMYFUNCTION("GOOGLETRANSLATE(B1342,""en"",""zh-CN"")"),"此付款方式已存在。")</f>
        <v>此付款方式已存在。</v>
      </c>
      <c r="E1342" s="1" t="str">
        <f ca="1">IFERROR(__xludf.DUMMYFUNCTION("GOOGLETRANSLATE(B1342,""en"",""ja"")"),"この支払い方法はすでに存在します。")</f>
        <v>この支払い方法はすでに存在します。</v>
      </c>
      <c r="F1342" s="1" t="str">
        <f ca="1">IFERROR(__xludf.DUMMYFUNCTION("GOOGLETRANSLATE(B1342,""en"",""fr"")"),"Ce mode de paiement existe déjà.")</f>
        <v>Ce mode de paiement existe déjà.</v>
      </c>
    </row>
    <row r="1343" spans="1:6" ht="15.75" customHeight="1" x14ac:dyDescent="0.25">
      <c r="A1343" s="1" t="s">
        <v>2535</v>
      </c>
      <c r="B1343" s="1" t="s">
        <v>2536</v>
      </c>
      <c r="C1343" s="1" t="str">
        <f ca="1">IFERROR(__xludf.DUMMYFUNCTION("GOOGLETRANSLATE(B1343,""en"",""ar"")"),"دفع الائتمان لا يسمح بالدفع المتعدد.")</f>
        <v>دفع الائتمان لا يسمح بالدفع المتعدد.</v>
      </c>
      <c r="D1343" s="1" t="str">
        <f ca="1">IFERROR(__xludf.DUMMYFUNCTION("GOOGLETRANSLATE(B1343,""en"",""zh-CN"")"),"信用付款不允许多付款。")</f>
        <v>信用付款不允许多付款。</v>
      </c>
      <c r="E1343" s="1" t="str">
        <f ca="1">IFERROR(__xludf.DUMMYFUNCTION("GOOGLETRANSLATE(B1343,""en"",""ja"")"),"クレジット支払いはマルチ支払いには許可されていません。")</f>
        <v>クレジット支払いはマルチ支払いには許可されていません。</v>
      </c>
      <c r="F1343" s="1" t="str">
        <f ca="1">IFERROR(__xludf.DUMMYFUNCTION("GOOGLETRANSLATE(B1343,""en"",""fr"")"),"Le paiement de crédit n'est pas autorisé pour Multi Payment.")</f>
        <v>Le paiement de crédit n'est pas autorisé pour Multi Payment.</v>
      </c>
    </row>
    <row r="1344" spans="1:6" ht="15.75" customHeight="1" x14ac:dyDescent="0.25">
      <c r="A1344" s="1" t="s">
        <v>2537</v>
      </c>
      <c r="B1344" s="1" t="s">
        <v>2538</v>
      </c>
      <c r="C1344" s="1" t="str">
        <f ca="1">IFERROR(__xludf.DUMMYFUNCTION("GOOGLETRANSLATE(B1344,""en"",""ar"")"),"ميزات المخزون المتقدمة")</f>
        <v>ميزات المخزون المتقدمة</v>
      </c>
      <c r="D1344" s="1" t="str">
        <f ca="1">IFERROR(__xludf.DUMMYFUNCTION("GOOGLETRANSLATE(B1344,""en"",""zh-CN"")"),"高级库存功能")</f>
        <v>高级库存功能</v>
      </c>
      <c r="E1344" s="1" t="str">
        <f ca="1">IFERROR(__xludf.DUMMYFUNCTION("GOOGLETRANSLATE(B1344,""en"",""ja"")"),"高度な在庫機能")</f>
        <v>高度な在庫機能</v>
      </c>
      <c r="F1344" s="1" t="str">
        <f ca="1">IFERROR(__xludf.DUMMYFUNCTION("GOOGLETRANSLATE(B1344,""en"",""fr"")"),"Caractéristiques avancées d'inventaire")</f>
        <v>Caractéristiques avancées d'inventaire</v>
      </c>
    </row>
    <row r="1345" spans="1:6" ht="15.75" customHeight="1" x14ac:dyDescent="0.25">
      <c r="A1345" s="1" t="s">
        <v>2539</v>
      </c>
      <c r="B1345" s="1" t="s">
        <v>2540</v>
      </c>
      <c r="C1345" s="1" t="str">
        <f ca="1">IFERROR(__xludf.DUMMYFUNCTION("GOOGLETRANSLATE(B1345,""en"",""ar"")"),"يشترك")</f>
        <v>يشترك</v>
      </c>
      <c r="D1345" s="1" t="str">
        <f ca="1">IFERROR(__xludf.DUMMYFUNCTION("GOOGLETRANSLATE(B1345,""en"",""zh-CN"")"),"订阅")</f>
        <v>订阅</v>
      </c>
      <c r="E1345" s="1" t="str">
        <f ca="1">IFERROR(__xludf.DUMMYFUNCTION("GOOGLETRANSLATE(B1345,""en"",""ja"")"),"購読")</f>
        <v>購読</v>
      </c>
      <c r="F1345" s="1" t="str">
        <f ca="1">IFERROR(__xludf.DUMMYFUNCTION("GOOGLETRANSLATE(B1345,""en"",""fr"")"),"S'abonner")</f>
        <v>S'abonner</v>
      </c>
    </row>
    <row r="1346" spans="1:6" ht="15.75" customHeight="1" x14ac:dyDescent="0.25">
      <c r="A1346" s="1" t="s">
        <v>2541</v>
      </c>
      <c r="B1346" s="1" t="s">
        <v>2542</v>
      </c>
      <c r="C1346" s="1" t="str">
        <f ca="1">IFERROR(__xludf.DUMMYFUNCTION("GOOGLETRANSLATE(B1346,""en"",""ar"")"),"انتهت فترة الاشتراك.")</f>
        <v>انتهت فترة الاشتراك.</v>
      </c>
      <c r="D1346" s="1" t="str">
        <f ca="1">IFERROR(__xludf.DUMMYFUNCTION("GOOGLETRANSLATE(B1346,""en"",""zh-CN"")"),"订阅期已过期。")</f>
        <v>订阅期已过期。</v>
      </c>
      <c r="E1346" s="1" t="str">
        <f ca="1">IFERROR(__xludf.DUMMYFUNCTION("GOOGLETRANSLATE(B1346,""en"",""ja"")"),"購読期間が期限切れになっています。")</f>
        <v>購読期間が期限切れになっています。</v>
      </c>
      <c r="F1346" s="1" t="str">
        <f ca="1">IFERROR(__xludf.DUMMYFUNCTION("GOOGLETRANSLATE(B1346,""en"",""fr"")"),"La période d'abonnement a été expirée.")</f>
        <v>La période d'abonnement a été expirée.</v>
      </c>
    </row>
    <row r="1347" spans="1:6" ht="15.75" customHeight="1" x14ac:dyDescent="0.25">
      <c r="A1347" s="1" t="s">
        <v>2543</v>
      </c>
      <c r="B1347" s="1" t="s">
        <v>2544</v>
      </c>
      <c r="C1347" s="1" t="str">
        <f ca="1">IFERROR(__xludf.DUMMYFUNCTION("GOOGLETRANSLATE(B1347,""en"",""ar"")"),"حالة :")</f>
        <v>حالة :</v>
      </c>
      <c r="D1347" s="1" t="str">
        <f ca="1">IFERROR(__xludf.DUMMYFUNCTION("GOOGLETRANSLATE(B1347,""en"",""zh-CN"")"),"地位 ：")</f>
        <v>地位 ：</v>
      </c>
      <c r="E1347" s="1" t="str">
        <f ca="1">IFERROR(__xludf.DUMMYFUNCTION("GOOGLETRANSLATE(B1347,""en"",""ja"")"),"状態 ：")</f>
        <v>状態 ：</v>
      </c>
      <c r="F1347" s="1" t="str">
        <f ca="1">IFERROR(__xludf.DUMMYFUNCTION("GOOGLETRANSLATE(B1347,""en"",""fr"")"),"Statut :")</f>
        <v>Statut :</v>
      </c>
    </row>
    <row r="1348" spans="1:6" ht="15.75" customHeight="1" x14ac:dyDescent="0.25">
      <c r="A1348" s="1" t="s">
        <v>2545</v>
      </c>
      <c r="B1348" s="1" t="s">
        <v>2546</v>
      </c>
      <c r="C1348" s="1" t="str">
        <f ca="1">IFERROR(__xludf.DUMMYFUNCTION("GOOGLETRANSLATE(B1348,""en"",""ar"")"),"المناظر الطبيعيه")</f>
        <v>المناظر الطبيعيه</v>
      </c>
      <c r="D1348" s="1" t="str">
        <f ca="1">IFERROR(__xludf.DUMMYFUNCTION("GOOGLETRANSLATE(B1348,""en"",""zh-CN"")"),"景观")</f>
        <v>景观</v>
      </c>
      <c r="E1348" s="1" t="str">
        <f ca="1">IFERROR(__xludf.DUMMYFUNCTION("GOOGLETRANSLATE(B1348,""en"",""ja"")"),"風景")</f>
        <v>風景</v>
      </c>
      <c r="F1348" s="1" t="str">
        <f ca="1">IFERROR(__xludf.DUMMYFUNCTION("GOOGLETRANSLATE(B1348,""en"",""fr"")"),"Paysage")</f>
        <v>Paysage</v>
      </c>
    </row>
    <row r="1349" spans="1:6" ht="15.75" customHeight="1" x14ac:dyDescent="0.25">
      <c r="A1349" s="1" t="s">
        <v>2547</v>
      </c>
      <c r="B1349" s="1" t="s">
        <v>2548</v>
      </c>
      <c r="C1349" s="1" t="str">
        <f ca="1">IFERROR(__xludf.DUMMYFUNCTION("GOOGLETRANSLATE(B1349,""en"",""ar"")"),"لوحة")</f>
        <v>لوحة</v>
      </c>
      <c r="D1349" s="1" t="str">
        <f ca="1">IFERROR(__xludf.DUMMYFUNCTION("GOOGLETRANSLATE(B1349,""en"",""zh-CN"")"),"肖像")</f>
        <v>肖像</v>
      </c>
      <c r="E1349" s="1" t="str">
        <f ca="1">IFERROR(__xludf.DUMMYFUNCTION("GOOGLETRANSLATE(B1349,""en"",""ja"")"),"ポートレート")</f>
        <v>ポートレート</v>
      </c>
      <c r="F1349" s="1" t="str">
        <f ca="1">IFERROR(__xludf.DUMMYFUNCTION("GOOGLETRANSLATE(B1349,""en"",""fr"")"),"Portrait")</f>
        <v>Portrait</v>
      </c>
    </row>
    <row r="1350" spans="1:6" ht="15.75" customHeight="1" x14ac:dyDescent="0.25">
      <c r="A1350" s="1" t="s">
        <v>2549</v>
      </c>
      <c r="B1350" s="1" t="s">
        <v>2550</v>
      </c>
      <c r="C1350" s="1" t="str">
        <f ca="1">IFERROR(__xludf.DUMMYFUNCTION("GOOGLETRANSLATE(B1350,""en"",""ar"")"),"ليس لديك طابعات حتى الآن. \ Nto إضافة طابعة اضغط على الزر (+).")</f>
        <v>ليس لديك طابعات حتى الآن. \ Nto إضافة طابعة اضغط على الزر (+).</v>
      </c>
      <c r="D1350" s="1" t="str">
        <f ca="1">IFERROR(__xludf.DUMMYFUNCTION("GOOGLETRANSLATE(B1350,""en"",""zh-CN"")"),"您还没有打印机。\ nto添加打印机按（+）按钮。")</f>
        <v>您还没有打印机。\ nto添加打印机按（+）按钮。</v>
      </c>
      <c r="E1350" s="1" t="str">
        <f ca="1">IFERROR(__xludf.DUMMYFUNCTION("GOOGLETRANSLATE(B1350,""en"",""ja"")"),"まだプリンタがありません。\ NTOプリンタを追加する（+）ボタンを押します。")</f>
        <v>まだプリンタがありません。\ NTOプリンタを追加する（+）ボタンを押します。</v>
      </c>
      <c r="F1350" s="1" t="str">
        <f ca="1">IFERROR(__xludf.DUMMYFUNCTION("GOOGLETRANSLATE(B1350,""en"",""fr"")"),"Vous n'avez pas encore d'imprimantes. \ NTO Ajouter une imprimante Appuyez sur la touche (+).")</f>
        <v>Vous n'avez pas encore d'imprimantes. \ NTO Ajouter une imprimante Appuyez sur la touche (+).</v>
      </c>
    </row>
    <row r="1351" spans="1:6" ht="15.75" customHeight="1" x14ac:dyDescent="0.25">
      <c r="A1351" s="1" t="s">
        <v>2551</v>
      </c>
      <c r="B1351" s="1" t="s">
        <v>2552</v>
      </c>
      <c r="C1351" s="1" t="str">
        <f ca="1">IFERROR(__xludf.DUMMYFUNCTION("GOOGLETRANSLATE(B1351,""en"",""ar"")"),"لقد تم حذف حسابك.")</f>
        <v>لقد تم حذف حسابك.</v>
      </c>
      <c r="D1351" s="1" t="str">
        <f ca="1">IFERROR(__xludf.DUMMYFUNCTION("GOOGLETRANSLATE(B1351,""en"",""zh-CN"")"),"您的帐户已被删除。")</f>
        <v>您的帐户已被删除。</v>
      </c>
      <c r="E1351" s="1" t="str">
        <f ca="1">IFERROR(__xludf.DUMMYFUNCTION("GOOGLETRANSLATE(B1351,""en"",""ja"")"),"あなたのアカウントは削除されました。")</f>
        <v>あなたのアカウントは削除されました。</v>
      </c>
      <c r="F1351" s="1" t="str">
        <f ca="1">IFERROR(__xludf.DUMMYFUNCTION("GOOGLETRANSLATE(B1351,""en"",""fr"")"),"Votre compte a été supprimé.")</f>
        <v>Votre compte a été supprimé.</v>
      </c>
    </row>
    <row r="1352" spans="1:6" ht="15.75" customHeight="1" x14ac:dyDescent="0.25">
      <c r="A1352" s="1" t="s">
        <v>2553</v>
      </c>
      <c r="B1352" s="1" t="s">
        <v>2554</v>
      </c>
      <c r="C1352" s="1" t="str">
        <f ca="1">IFERROR(__xludf.DUMMYFUNCTION("GOOGLETRANSLATE(B1352,""en"",""ar"")"),"شكرا لاستخدام خدماتنا.")</f>
        <v>شكرا لاستخدام خدماتنا.</v>
      </c>
      <c r="D1352" s="1" t="str">
        <f ca="1">IFERROR(__xludf.DUMMYFUNCTION("GOOGLETRANSLATE(B1352,""en"",""zh-CN"")"),"谢谢您使用我们的服务。")</f>
        <v>谢谢您使用我们的服务。</v>
      </c>
      <c r="E1352" s="1" t="str">
        <f ca="1">IFERROR(__xludf.DUMMYFUNCTION("GOOGLETRANSLATE(B1352,""en"",""ja"")"),"私たちのサービスを利用していただきありがとうございます。")</f>
        <v>私たちのサービスを利用していただきありがとうございます。</v>
      </c>
      <c r="F1352" s="1" t="str">
        <f ca="1">IFERROR(__xludf.DUMMYFUNCTION("GOOGLETRANSLATE(B1352,""en"",""fr"")"),"Merci d'utiliser notre service.")</f>
        <v>Merci d'utiliser notre service.</v>
      </c>
    </row>
    <row r="1353" spans="1:6" ht="15.75" customHeight="1" x14ac:dyDescent="0.25">
      <c r="A1353" s="1" t="s">
        <v>2555</v>
      </c>
      <c r="B1353" s="1" t="s">
        <v>2556</v>
      </c>
      <c r="C1353" s="1" t="str">
        <f ca="1">IFERROR(__xludf.DUMMYFUNCTION("GOOGLETRANSLATE(B1353,""en"",""ar"")"),"يرجى إلغاء تثبيت التطبيق وإعادة التثبيت.")</f>
        <v>يرجى إلغاء تثبيت التطبيق وإعادة التثبيت.</v>
      </c>
      <c r="D1353" s="1" t="str">
        <f ca="1">IFERROR(__xludf.DUMMYFUNCTION("GOOGLETRANSLATE(B1353,""en"",""zh-CN"")"),"请卸载应用程序并重新安装。")</f>
        <v>请卸载应用程序并重新安装。</v>
      </c>
      <c r="E1353" s="1" t="str">
        <f ca="1">IFERROR(__xludf.DUMMYFUNCTION("GOOGLETRANSLATE(B1353,""en"",""ja"")"),"アプリケーションをアンインストールして再インストールしてください。")</f>
        <v>アプリケーションをアンインストールして再インストールしてください。</v>
      </c>
      <c r="F1353" s="1" t="str">
        <f ca="1">IFERROR(__xludf.DUMMYFUNCTION("GOOGLETRANSLATE(B1353,""en"",""fr"")"),"Veuillez désinstaller l'application et réinstaller.")</f>
        <v>Veuillez désinstaller l'application et réinstaller.</v>
      </c>
    </row>
    <row r="1354" spans="1:6" ht="15.75" customHeight="1" x14ac:dyDescent="0.25">
      <c r="A1354" s="1" t="s">
        <v>2557</v>
      </c>
      <c r="B1354" s="1" t="s">
        <v>2558</v>
      </c>
      <c r="C1354" s="1" t="str">
        <f ca="1">IFERROR(__xludf.DUMMYFUNCTION("GOOGLETRANSLATE(B1354,""en"",""ar"")"),"ليس لديك فئة حتى الآن")</f>
        <v>ليس لديك فئة حتى الآن</v>
      </c>
      <c r="D1354" s="1" t="str">
        <f ca="1">IFERROR(__xludf.DUMMYFUNCTION("GOOGLETRANSLATE(B1354,""en"",""zh-CN"")"),"你还没有类别")</f>
        <v>你还没有类别</v>
      </c>
      <c r="E1354" s="1" t="str">
        <f ca="1">IFERROR(__xludf.DUMMYFUNCTION("GOOGLETRANSLATE(B1354,""en"",""ja"")"),"あなたはまだカテゴリを持っていません")</f>
        <v>あなたはまだカテゴリを持っていません</v>
      </c>
      <c r="F1354" s="1" t="str">
        <f ca="1">IFERROR(__xludf.DUMMYFUNCTION("GOOGLETRANSLATE(B1354,""en"",""fr"")"),"Vous n'avez pas encore de catégorie")</f>
        <v>Vous n'avez pas encore de catégorie</v>
      </c>
    </row>
    <row r="1355" spans="1:6" ht="15.75" customHeight="1" x14ac:dyDescent="0.25">
      <c r="A1355" s="1" t="s">
        <v>2559</v>
      </c>
      <c r="B1355" s="1" t="s">
        <v>2560</v>
      </c>
      <c r="C1355" s="1" t="str">
        <f ca="1">IFERROR(__xludf.DUMMYFUNCTION("GOOGLETRANSLATE(B1355,""en"",""ar"")"),"لإضافة فئة اضغط على زر (+)")</f>
        <v>لإضافة فئة اضغط على زر (+)</v>
      </c>
      <c r="D1355" s="1" t="str">
        <f ca="1">IFERROR(__xludf.DUMMYFUNCTION("GOOGLETRANSLATE(B1355,""en"",""zh-CN"")"),"添加类别按（+）按钮")</f>
        <v>添加类别按（+）按钮</v>
      </c>
      <c r="E1355" s="1" t="str">
        <f ca="1">IFERROR(__xludf.DUMMYFUNCTION("GOOGLETRANSLATE(B1355,""en"",""ja"")"),"カテゴリを追加するには（+）ボタンを押す")</f>
        <v>カテゴリを追加するには（+）ボタンを押す</v>
      </c>
      <c r="F1355" s="1" t="str">
        <f ca="1">IFERROR(__xludf.DUMMYFUNCTION("GOOGLETRANSLATE(B1355,""en"",""fr"")"),"Pour ajouter une catégorie Appuyez sur le bouton (+)")</f>
        <v>Pour ajouter une catégorie Appuyez sur le bouton (+)</v>
      </c>
    </row>
    <row r="1356" spans="1:6" ht="15.75" customHeight="1" x14ac:dyDescent="0.25">
      <c r="A1356" s="1" t="s">
        <v>2561</v>
      </c>
      <c r="B1356" s="1" t="s">
        <v>2562</v>
      </c>
      <c r="C1356" s="1" t="str">
        <f ca="1">IFERROR(__xludf.DUMMYFUNCTION("GOOGLETRANSLATE(B1356,""en"",""ar"")"),"مبلغ استرداد النقود")</f>
        <v>مبلغ استرداد النقود</v>
      </c>
      <c r="D1356" s="1" t="str">
        <f ca="1">IFERROR(__xludf.DUMMYFUNCTION("GOOGLETRANSLATE(B1356,""en"",""zh-CN"")"),"现金退款金额")</f>
        <v>现金退款金额</v>
      </c>
      <c r="E1356" s="1" t="str">
        <f ca="1">IFERROR(__xludf.DUMMYFUNCTION("GOOGLETRANSLATE(B1356,""en"",""ja"")"),"現金払い戻し金額")</f>
        <v>現金払い戻し金額</v>
      </c>
      <c r="F1356" s="1" t="str">
        <f ca="1">IFERROR(__xludf.DUMMYFUNCTION("GOOGLETRANSLATE(B1356,""en"",""fr"")"),"Montant de remboursement de trésorerie")</f>
        <v>Montant de remboursement de trésorerie</v>
      </c>
    </row>
    <row r="1357" spans="1:6" ht="15.75" customHeight="1" x14ac:dyDescent="0.25">
      <c r="A1357" s="1" t="s">
        <v>2563</v>
      </c>
      <c r="B1357" s="1" t="s">
        <v>2564</v>
      </c>
      <c r="C1357" s="1" t="str">
        <f ca="1">IFERROR(__xludf.DUMMYFUNCTION("GOOGLETRANSLATE(B1357,""en"",""ar"")"),"مبلغ مذكرة الائتمان")</f>
        <v>مبلغ مذكرة الائتمان</v>
      </c>
      <c r="D1357" s="1" t="str">
        <f ca="1">IFERROR(__xludf.DUMMYFUNCTION("GOOGLETRANSLATE(B1357,""en"",""zh-CN"")"),"信用票据金额")</f>
        <v>信用票据金额</v>
      </c>
      <c r="E1357" s="1" t="str">
        <f ca="1">IFERROR(__xludf.DUMMYFUNCTION("GOOGLETRANSLATE(B1357,""en"",""ja"")"),"クレジットノート額")</f>
        <v>クレジットノート額</v>
      </c>
      <c r="F1357" s="1" t="str">
        <f ca="1">IFERROR(__xludf.DUMMYFUNCTION("GOOGLETRANSLATE(B1357,""en"",""fr"")"),"Montant de la note de crédit")</f>
        <v>Montant de la note de crédit</v>
      </c>
    </row>
    <row r="1358" spans="1:6" ht="15.75" customHeight="1" x14ac:dyDescent="0.25">
      <c r="A1358" s="1" t="s">
        <v>2565</v>
      </c>
      <c r="B1358" s="1" t="s">
        <v>2566</v>
      </c>
      <c r="C1358" s="1" t="str">
        <f ca="1">IFERROR(__xludf.DUMMYFUNCTION("GOOGLETRANSLATE(B1358,""en"",""ar"")"),"معرف استرداد:")</f>
        <v>معرف استرداد:</v>
      </c>
      <c r="D1358" s="1" t="str">
        <f ca="1">IFERROR(__xludf.DUMMYFUNCTION("GOOGLETRANSLATE(B1358,""en"",""zh-CN"")"),"退款ID：")</f>
        <v>退款ID：</v>
      </c>
      <c r="E1358" s="1" t="str">
        <f ca="1">IFERROR(__xludf.DUMMYFUNCTION("GOOGLETRANSLATE(B1358,""en"",""ja"")"),"払い戻しID：")</f>
        <v>払い戻しID：</v>
      </c>
      <c r="F1358" s="1" t="str">
        <f ca="1">IFERROR(__xludf.DUMMYFUNCTION("GOOGLETRANSLATE(B1358,""en"",""fr"")"),"ID de remboursement:")</f>
        <v>ID de remboursement:</v>
      </c>
    </row>
    <row r="1359" spans="1:6" ht="15.75" customHeight="1" x14ac:dyDescent="0.25">
      <c r="A1359" s="1" t="s">
        <v>2567</v>
      </c>
      <c r="B1359" s="1" t="s">
        <v>2568</v>
      </c>
      <c r="C1359" s="1" t="str">
        <f ca="1">IFERROR(__xludf.DUMMYFUNCTION("GOOGLETRANSLATE(B1359,""en"",""ar"")"),"يرجى إدخال سعر مقبول")</f>
        <v>يرجى إدخال سعر مقبول</v>
      </c>
      <c r="D1359" s="1" t="str">
        <f ca="1">IFERROR(__xludf.DUMMYFUNCTION("GOOGLETRANSLATE(B1359,""en"",""zh-CN"")"),"请输入有效的价格")</f>
        <v>请输入有效的价格</v>
      </c>
      <c r="E1359" s="1" t="str">
        <f ca="1">IFERROR(__xludf.DUMMYFUNCTION("GOOGLETRANSLATE(B1359,""en"",""ja"")"),"有効な価格を入力してください")</f>
        <v>有効な価格を入力してください</v>
      </c>
      <c r="F1359" s="1" t="str">
        <f ca="1">IFERROR(__xludf.DUMMYFUNCTION("GOOGLETRANSLATE(B1359,""en"",""fr"")"),"S'il vous plaît entrer un prix valide")</f>
        <v>S'il vous plaît entrer un prix valide</v>
      </c>
    </row>
    <row r="1360" spans="1:6" ht="15.75" customHeight="1" x14ac:dyDescent="0.25">
      <c r="A1360" s="1" t="s">
        <v>2569</v>
      </c>
      <c r="B1360" s="1" t="s">
        <v>2570</v>
      </c>
      <c r="C1360" s="1" t="str">
        <f ca="1">IFERROR(__xludf.DUMMYFUNCTION("GOOGLETRANSLATE(B1360,""en"",""ar"")"),"الرجاء إدخال كمية صالحة")</f>
        <v>الرجاء إدخال كمية صالحة</v>
      </c>
      <c r="D1360" s="1" t="str">
        <f ca="1">IFERROR(__xludf.DUMMYFUNCTION("GOOGLETRANSLATE(B1360,""en"",""zh-CN"")"),"请输入有效数量")</f>
        <v>请输入有效数量</v>
      </c>
      <c r="E1360" s="1" t="str">
        <f ca="1">IFERROR(__xludf.DUMMYFUNCTION("GOOGLETRANSLATE(B1360,""en"",""ja"")"),"有効な数量を入力してください")</f>
        <v>有効な数量を入力してください</v>
      </c>
      <c r="F1360" s="1" t="str">
        <f ca="1">IFERROR(__xludf.DUMMYFUNCTION("GOOGLETRANSLATE(B1360,""en"",""fr"")"),"S'il vous plaît entrer une quantité valide")</f>
        <v>S'il vous plaît entrer une quantité valide</v>
      </c>
    </row>
    <row r="1361" spans="1:6" ht="15.75" customHeight="1" x14ac:dyDescent="0.25">
      <c r="A1361" s="1" t="s">
        <v>2571</v>
      </c>
      <c r="B1361" s="1" t="s">
        <v>2572</v>
      </c>
      <c r="C1361" s="1" t="str">
        <f ca="1">IFERROR(__xludf.DUMMYFUNCTION("GOOGLETRANSLATE(B1361,""en"",""ar"")"),"لا يمكن أن تحتوي الكمية على أي قيم عشرية")</f>
        <v>لا يمكن أن تحتوي الكمية على أي قيم عشرية</v>
      </c>
      <c r="D1361" s="1" t="str">
        <f ca="1">IFERROR(__xludf.DUMMYFUNCTION("GOOGLETRANSLATE(B1361,""en"",""zh-CN"")"),"数量不能包含任何十进制值")</f>
        <v>数量不能包含任何十进制值</v>
      </c>
      <c r="E1361" s="1" t="str">
        <f ca="1">IFERROR(__xludf.DUMMYFUNCTION("GOOGLETRANSLATE(B1361,""en"",""ja"")"),"数量に10進数の値を含めることはできません")</f>
        <v>数量に10進数の値を含めることはできません</v>
      </c>
      <c r="F1361" s="1" t="str">
        <f ca="1">IFERROR(__xludf.DUMMYFUNCTION("GOOGLETRANSLATE(B1361,""en"",""fr"")"),"La quantité ne peut contenir aucune valeur décimale")</f>
        <v>La quantité ne peut contenir aucune valeur décimale</v>
      </c>
    </row>
    <row r="1362" spans="1:6" ht="15.75" customHeight="1" x14ac:dyDescent="0.25">
      <c r="A1362" s="1" t="s">
        <v>2573</v>
      </c>
      <c r="B1362" s="1" t="s">
        <v>2574</v>
      </c>
      <c r="C1362" s="1" t="str">
        <f ca="1">IFERROR(__xludf.DUMMYFUNCTION("GOOGLETRANSLATE(B1362,""en"",""ar"")"),"هل لديك سعر مع كمية صفر")</f>
        <v>هل لديك سعر مع كمية صفر</v>
      </c>
      <c r="D1362" s="1" t="str">
        <f ca="1">IFERROR(__xludf.DUMMYFUNCTION("GOOGLETRANSLATE(B1362,""en"",""zh-CN"")"),"可以有数量零的价格")</f>
        <v>可以有数量零的价格</v>
      </c>
      <c r="E1362" s="1" t="str">
        <f ca="1">IFERROR(__xludf.DUMMYFUNCTION("GOOGLETRANSLATE(B1362,""en"",""ja"")"),"数量ゼロの価格があります")</f>
        <v>数量ゼロの価格があります</v>
      </c>
      <c r="F1362" s="1" t="str">
        <f ca="1">IFERROR(__xludf.DUMMYFUNCTION("GOOGLETRANSLATE(B1362,""en"",""fr"")"),"Ne peut pas avoir un prix avec quantité zéro")</f>
        <v>Ne peut pas avoir un prix avec quantité zéro</v>
      </c>
    </row>
    <row r="1363" spans="1:6" ht="15.75" customHeight="1" x14ac:dyDescent="0.25">
      <c r="A1363" s="1" t="s">
        <v>2575</v>
      </c>
      <c r="B1363" s="1" t="s">
        <v>2576</v>
      </c>
      <c r="C1363" s="1" t="str">
        <f ca="1">IFERROR(__xludf.DUMMYFUNCTION("GOOGLETRANSLATE(B1363,""en"",""ar"")"),"يمكن أن يكون سعر أعلى من الحد الأقصى للسعر")</f>
        <v>يمكن أن يكون سعر أعلى من الحد الأقصى للسعر</v>
      </c>
      <c r="D1363" s="1" t="str">
        <f ca="1">IFERROR(__xludf.DUMMYFUNCTION("GOOGLETRANSLATE(B1363,""en"",""zh-CN"")"),"可以价格高于最高价格")</f>
        <v>可以价格高于最高价格</v>
      </c>
      <c r="E1363" s="1" t="str">
        <f ca="1">IFERROR(__xludf.DUMMYFUNCTION("GOOGLETRANSLATE(B1363,""en"",""ja"")"),"最低価格より高い価格が高いことができます")</f>
        <v>最低価格より高い価格が高いことができます</v>
      </c>
      <c r="F1363" s="1" t="str">
        <f ca="1">IFERROR(__xludf.DUMMYFUNCTION("GOOGLETRANSLATE(B1363,""en"",""fr"")"),"Ne peut pas avoir de prix plus élevé que le prix maximum")</f>
        <v>Ne peut pas avoir de prix plus élevé que le prix maximum</v>
      </c>
    </row>
    <row r="1364" spans="1:6" ht="15.75" customHeight="1" x14ac:dyDescent="0.25">
      <c r="A1364" s="1" t="s">
        <v>2577</v>
      </c>
      <c r="B1364" s="1" t="s">
        <v>2578</v>
      </c>
      <c r="C1364" s="1" t="str">
        <f ca="1">IFERROR(__xludf.DUMMYFUNCTION("GOOGLETRANSLATE(B1364,""en"",""ar"")"),"يمكن أن يكون لدينا سعر فارغ")</f>
        <v>يمكن أن يكون لدينا سعر فارغ</v>
      </c>
      <c r="D1364" s="1" t="str">
        <f ca="1">IFERROR(__xludf.DUMMYFUNCTION("GOOGLETRANSLATE(B1364,""en"",""zh-CN"")"),"可以有空的价格")</f>
        <v>可以有空的价格</v>
      </c>
      <c r="E1364" s="1" t="str">
        <f ca="1">IFERROR(__xludf.DUMMYFUNCTION("GOOGLETRANSLATE(B1364,""en"",""ja"")"),"空の価格があります")</f>
        <v>空の価格があります</v>
      </c>
      <c r="F1364" s="1" t="str">
        <f ca="1">IFERROR(__xludf.DUMMYFUNCTION("GOOGLETRANSLATE(B1364,""en"",""fr"")"),"Peut \ 't avoir le prix vide")</f>
        <v>Peut \ 't avoir le prix vide</v>
      </c>
    </row>
    <row r="1365" spans="1:6" ht="15.75" customHeight="1" x14ac:dyDescent="0.25">
      <c r="A1365" s="1" t="s">
        <v>2579</v>
      </c>
      <c r="B1365" s="1" t="s">
        <v>2580</v>
      </c>
      <c r="C1365" s="1" t="str">
        <f ca="1">IFERROR(__xludf.DUMMYFUNCTION("GOOGLETRANSLATE(B1365,""en"",""ar"")"),"كمية غير صالحة")</f>
        <v>كمية غير صالحة</v>
      </c>
      <c r="D1365" s="1" t="str">
        <f ca="1">IFERROR(__xludf.DUMMYFUNCTION("GOOGLETRANSLATE(B1365,""en"",""zh-CN"")"),"数量无效")</f>
        <v>数量无效</v>
      </c>
      <c r="E1365" s="1" t="str">
        <f ca="1">IFERROR(__xludf.DUMMYFUNCTION("GOOGLETRANSLATE(B1365,""en"",""ja"")"),"無効な量")</f>
        <v>無効な量</v>
      </c>
      <c r="F1365" s="1" t="str">
        <f ca="1">IFERROR(__xludf.DUMMYFUNCTION("GOOGLETRANSLATE(B1365,""en"",""fr"")"),"Quantité non valide")</f>
        <v>Quantité non valide</v>
      </c>
    </row>
    <row r="1366" spans="1:6" ht="15.75" customHeight="1" x14ac:dyDescent="0.25">
      <c r="A1366" s="1" t="s">
        <v>2581</v>
      </c>
      <c r="B1366" s="1" t="s">
        <v>2582</v>
      </c>
      <c r="C1366" s="1" t="str">
        <f ca="1">IFERROR(__xludf.DUMMYFUNCTION("GOOGLETRANSLATE(B1366,""en"",""ar"")"),"يرجى اختيار عنصر لاسترداد")</f>
        <v>يرجى اختيار عنصر لاسترداد</v>
      </c>
      <c r="D1366" s="1" t="str">
        <f ca="1">IFERROR(__xludf.DUMMYFUNCTION("GOOGLETRANSLATE(B1366,""en"",""zh-CN"")"),"请选择退款的物品")</f>
        <v>请选择退款的物品</v>
      </c>
      <c r="E1366" s="1" t="str">
        <f ca="1">IFERROR(__xludf.DUMMYFUNCTION("GOOGLETRANSLATE(B1366,""en"",""ja"")"),"払い戻しする項目を選択してください")</f>
        <v>払い戻しする項目を選択してください</v>
      </c>
      <c r="F1366" s="1" t="str">
        <f ca="1">IFERROR(__xludf.DUMMYFUNCTION("GOOGLETRANSLATE(B1366,""en"",""fr"")"),"Veuillez sélectionner un élément à rembourser")</f>
        <v>Veuillez sélectionner un élément à rembourser</v>
      </c>
    </row>
    <row r="1367" spans="1:6" ht="15.75" customHeight="1" x14ac:dyDescent="0.25">
      <c r="A1367" s="1" t="s">
        <v>2583</v>
      </c>
      <c r="B1367" s="1" t="s">
        <v>2584</v>
      </c>
      <c r="C1367" s="1" t="str">
        <f ca="1">IFERROR(__xludf.DUMMYFUNCTION("GOOGLETRANSLATE(B1367,""en"",""ar"")"),"لا يمكن استرداد إيصال الائتمان")</f>
        <v>لا يمكن استرداد إيصال الائتمان</v>
      </c>
      <c r="D1367" s="1" t="str">
        <f ca="1">IFERROR(__xludf.DUMMYFUNCTION("GOOGLETRANSLATE(B1367,""en"",""zh-CN"")"),"可以退还信用收据")</f>
        <v>可以退还信用收据</v>
      </c>
      <c r="E1367" s="1" t="str">
        <f ca="1">IFERROR(__xludf.DUMMYFUNCTION("GOOGLETRANSLATE(B1367,""en"",""ja"")"),"クレジットレシートを払い戻すことができます")</f>
        <v>クレジットレシートを払い戻すことができます</v>
      </c>
      <c r="F1367" s="1" t="str">
        <f ca="1">IFERROR(__xludf.DUMMYFUNCTION("GOOGLETRANSLATE(B1367,""en"",""fr"")"),"ne peut pas rembourser un reçu de crédit")</f>
        <v>ne peut pas rembourser un reçu de crédit</v>
      </c>
    </row>
    <row r="1368" spans="1:6" ht="15.75" customHeight="1" x14ac:dyDescent="0.25">
      <c r="A1368" s="1" t="s">
        <v>2585</v>
      </c>
      <c r="B1368" s="1" t="s">
        <v>2580</v>
      </c>
      <c r="C1368" s="1" t="str">
        <f ca="1">IFERROR(__xludf.DUMMYFUNCTION("GOOGLETRANSLATE(B1368,""en"",""ar"")"),"كمية غير صالحة")</f>
        <v>كمية غير صالحة</v>
      </c>
      <c r="D1368" s="1" t="str">
        <f ca="1">IFERROR(__xludf.DUMMYFUNCTION("GOOGLETRANSLATE(B1368,""en"",""zh-CN"")"),"数量无效")</f>
        <v>数量无效</v>
      </c>
      <c r="E1368" s="1" t="str">
        <f ca="1">IFERROR(__xludf.DUMMYFUNCTION("GOOGLETRANSLATE(B1368,""en"",""ja"")"),"無効な量")</f>
        <v>無効な量</v>
      </c>
      <c r="F1368" s="1" t="str">
        <f ca="1">IFERROR(__xludf.DUMMYFUNCTION("GOOGLETRANSLATE(B1368,""en"",""fr"")"),"Quantité non valide")</f>
        <v>Quantité non valide</v>
      </c>
    </row>
    <row r="1369" spans="1:6" ht="15.75" customHeight="1" x14ac:dyDescent="0.25">
      <c r="A1369" s="1" t="s">
        <v>2586</v>
      </c>
      <c r="B1369" s="1" t="s">
        <v>219</v>
      </c>
      <c r="C1369" s="1" t="str">
        <f ca="1">IFERROR(__xludf.DUMMYFUNCTION("GOOGLETRANSLATE(B1369,""en"",""ar"")"),"خصم")</f>
        <v>خصم</v>
      </c>
      <c r="D1369" s="1" t="str">
        <f ca="1">IFERROR(__xludf.DUMMYFUNCTION("GOOGLETRANSLATE(B1369,""en"",""zh-CN"")"),"折扣")</f>
        <v>折扣</v>
      </c>
      <c r="E1369" s="1" t="str">
        <f ca="1">IFERROR(__xludf.DUMMYFUNCTION("GOOGLETRANSLATE(B1369,""en"",""ja"")"),"割引")</f>
        <v>割引</v>
      </c>
      <c r="F1369" s="1" t="str">
        <f ca="1">IFERROR(__xludf.DUMMYFUNCTION("GOOGLETRANSLATE(B1369,""en"",""fr"")"),"Remise")</f>
        <v>Remise</v>
      </c>
    </row>
    <row r="1370" spans="1:6" ht="15.75" customHeight="1" x14ac:dyDescent="0.25">
      <c r="A1370" s="1" t="s">
        <v>2587</v>
      </c>
      <c r="B1370" s="1" t="s">
        <v>2588</v>
      </c>
      <c r="C1370" s="1" t="str">
        <f ca="1">IFERROR(__xludf.DUMMYFUNCTION("GOOGLETRANSLATE(B1370,""en"",""ar"")"),"البحث المنتج")</f>
        <v>البحث المنتج</v>
      </c>
      <c r="D1370" s="1" t="str">
        <f ca="1">IFERROR(__xludf.DUMMYFUNCTION("GOOGLETRANSLATE(B1370,""en"",""zh-CN"")"),"搜索产品")</f>
        <v>搜索产品</v>
      </c>
      <c r="E1370" s="1" t="str">
        <f ca="1">IFERROR(__xludf.DUMMYFUNCTION("GOOGLETRANSLATE(B1370,""en"",""ja"")"),"商品を検索")</f>
        <v>商品を検索</v>
      </c>
      <c r="F1370" s="1" t="str">
        <f ca="1">IFERROR(__xludf.DUMMYFUNCTION("GOOGLETRANSLATE(B1370,""en"",""fr"")"),"Produit de recherche")</f>
        <v>Produit de recherche</v>
      </c>
    </row>
    <row r="1371" spans="1:6" ht="15.75" customHeight="1" x14ac:dyDescent="0.25">
      <c r="A1371" s="1" t="s">
        <v>2589</v>
      </c>
      <c r="B1371" s="1" t="s">
        <v>2590</v>
      </c>
      <c r="C1371" s="1" t="str">
        <f ca="1">IFERROR(__xludf.DUMMYFUNCTION("GOOGLETRANSLATE(B1371,""en"",""ar"")"),"استرداد النقطة")</f>
        <v>استرداد النقطة</v>
      </c>
      <c r="D1371" s="1" t="str">
        <f ca="1">IFERROR(__xludf.DUMMYFUNCTION("GOOGLETRANSLATE(B1371,""en"",""zh-CN"")"),"赎回点")</f>
        <v>赎回点</v>
      </c>
      <c r="E1371" s="1" t="str">
        <f ca="1">IFERROR(__xludf.DUMMYFUNCTION("GOOGLETRANSLATE(B1371,""en"",""ja"")"),"ポイントを交換する")</f>
        <v>ポイントを交換する</v>
      </c>
      <c r="F1371" s="1" t="str">
        <f ca="1">IFERROR(__xludf.DUMMYFUNCTION("GOOGLETRANSLATE(B1371,""en"",""fr"")"),"Racheter le point")</f>
        <v>Racheter le point</v>
      </c>
    </row>
    <row r="1372" spans="1:6" ht="15.75" customHeight="1" x14ac:dyDescent="0.25">
      <c r="A1372" s="1" t="s">
        <v>2591</v>
      </c>
      <c r="B1372" s="1" t="s">
        <v>2592</v>
      </c>
      <c r="C1372" s="1" t="str">
        <f ca="1">IFERROR(__xludf.DUMMYFUNCTION("GOOGLETRANSLATE(B1372,""en"",""ar"")"),"إزالة من الاستلام")</f>
        <v>إزالة من الاستلام</v>
      </c>
      <c r="D1372" s="1" t="str">
        <f ca="1">IFERROR(__xludf.DUMMYFUNCTION("GOOGLETRANSLATE(B1372,""en"",""zh-CN"")"),"从收据中删除")</f>
        <v>从收据中删除</v>
      </c>
      <c r="E1372" s="1" t="str">
        <f ca="1">IFERROR(__xludf.DUMMYFUNCTION("GOOGLETRANSLATE(B1372,""en"",""ja"")"),"領収書から削除します")</f>
        <v>領収書から削除します</v>
      </c>
      <c r="F1372" s="1" t="str">
        <f ca="1">IFERROR(__xludf.DUMMYFUNCTION("GOOGLETRANSLATE(B1372,""en"",""fr"")"),"Supprimer de la réception")</f>
        <v>Supprimer de la réception</v>
      </c>
    </row>
    <row r="1373" spans="1:6" ht="15.75" customHeight="1" x14ac:dyDescent="0.25">
      <c r="A1373" s="1" t="s">
        <v>2593</v>
      </c>
      <c r="B1373" s="1" t="s">
        <v>2594</v>
      </c>
      <c r="C1373" s="1" t="str">
        <f ca="1">IFERROR(__xludf.DUMMYFUNCTION("GOOGLETRANSLATE(B1373,""en"",""ar"")"),"إعادة مال")</f>
        <v>إعادة مال</v>
      </c>
      <c r="D1373" s="1" t="str">
        <f ca="1">IFERROR(__xludf.DUMMYFUNCTION("GOOGLETRANSLATE(B1373,""en"",""zh-CN"")"),"退款")</f>
        <v>退款</v>
      </c>
      <c r="E1373" s="1" t="str">
        <f ca="1">IFERROR(__xludf.DUMMYFUNCTION("GOOGLETRANSLATE(B1373,""en"",""ja"")"),"返金")</f>
        <v>返金</v>
      </c>
      <c r="F1373" s="1" t="str">
        <f ca="1">IFERROR(__xludf.DUMMYFUNCTION("GOOGLETRANSLATE(B1373,""en"",""fr"")"),"REMBOURSER")</f>
        <v>REMBOURSER</v>
      </c>
    </row>
    <row r="1374" spans="1:6" ht="15.75" customHeight="1" x14ac:dyDescent="0.25">
      <c r="A1374" s="1" t="s">
        <v>2595</v>
      </c>
      <c r="B1374" s="1" t="s">
        <v>382</v>
      </c>
      <c r="C1374" s="1" t="str">
        <f ca="1">IFERROR(__xludf.DUMMYFUNCTION("GOOGLETRANSLATE(B1374,""en"",""ar"")"),"أسترجاع النقود")</f>
        <v>أسترجاع النقود</v>
      </c>
      <c r="D1374" s="1" t="str">
        <f ca="1">IFERROR(__xludf.DUMMYFUNCTION("GOOGLETRANSLATE(B1374,""en"",""zh-CN"")"),"现金退款")</f>
        <v>现金退款</v>
      </c>
      <c r="E1374" s="1" t="str">
        <f ca="1">IFERROR(__xludf.DUMMYFUNCTION("GOOGLETRANSLATE(B1374,""en"",""ja"")"),"払い戻し")</f>
        <v>払い戻し</v>
      </c>
      <c r="F1374" s="1" t="str">
        <f ca="1">IFERROR(__xludf.DUMMYFUNCTION("GOOGLETRANSLATE(B1374,""en"",""fr"")"),"Remboursement de l'argent")</f>
        <v>Remboursement de l'argent</v>
      </c>
    </row>
    <row r="1375" spans="1:6" ht="15.75" customHeight="1" x14ac:dyDescent="0.25">
      <c r="A1375" s="1" t="s">
        <v>2596</v>
      </c>
      <c r="B1375" s="1" t="s">
        <v>2597</v>
      </c>
      <c r="C1375" s="1" t="str">
        <f ca="1">IFERROR(__xludf.DUMMYFUNCTION("GOOGLETRANSLATE(B1375,""en"",""ar"")"),"إيصال : #")</f>
        <v>إيصال : #</v>
      </c>
      <c r="D1375" s="1" t="str">
        <f ca="1">IFERROR(__xludf.DUMMYFUNCTION("GOOGLETRANSLATE(B1375,""en"",""zh-CN"")"),"收据 ： ＃")</f>
        <v>收据 ： ＃</v>
      </c>
      <c r="E1375" s="1" t="str">
        <f ca="1">IFERROR(__xludf.DUMMYFUNCTION("GOOGLETRANSLATE(B1375,""en"",""ja"")"),"レシート ： ＃")</f>
        <v>レシート ： ＃</v>
      </c>
      <c r="F1375" s="1" t="str">
        <f ca="1">IFERROR(__xludf.DUMMYFUNCTION("GOOGLETRANSLATE(B1375,""en"",""fr"")"),"Reçu : #")</f>
        <v>Reçu : #</v>
      </c>
    </row>
    <row r="1376" spans="1:6" ht="15.75" customHeight="1" x14ac:dyDescent="0.25">
      <c r="A1376" s="1" t="s">
        <v>2598</v>
      </c>
      <c r="B1376" s="1" t="s">
        <v>205</v>
      </c>
      <c r="C1376" s="1" t="str">
        <f ca="1">IFERROR(__xludf.DUMMYFUNCTION("GOOGLETRANSLATE(B1376,""en"",""ar"")"),"مجموع")</f>
        <v>مجموع</v>
      </c>
      <c r="D1376" s="1" t="str">
        <f ca="1">IFERROR(__xludf.DUMMYFUNCTION("GOOGLETRANSLATE(B1376,""en"",""zh-CN"")"),"全部的")</f>
        <v>全部的</v>
      </c>
      <c r="E1376" s="1" t="str">
        <f ca="1">IFERROR(__xludf.DUMMYFUNCTION("GOOGLETRANSLATE(B1376,""en"",""ja"")"),"合計")</f>
        <v>合計</v>
      </c>
      <c r="F1376" s="1" t="str">
        <f ca="1">IFERROR(__xludf.DUMMYFUNCTION("GOOGLETRANSLATE(B1376,""en"",""fr"")"),"Le total")</f>
        <v>Le total</v>
      </c>
    </row>
    <row r="1377" spans="1:6" ht="15.75" customHeight="1" x14ac:dyDescent="0.25">
      <c r="A1377" s="1" t="s">
        <v>2599</v>
      </c>
      <c r="B1377" s="1" t="s">
        <v>2600</v>
      </c>
      <c r="C1377" s="1" t="str">
        <f ca="1">IFERROR(__xludf.DUMMYFUNCTION("GOOGLETRANSLATE(B1377,""en"",""ar"")"),"أسترجاع النقود")</f>
        <v>أسترجاع النقود</v>
      </c>
      <c r="D1377" s="1" t="str">
        <f ca="1">IFERROR(__xludf.DUMMYFUNCTION("GOOGLETRANSLATE(B1377,""en"",""zh-CN"")"),"现金退款")</f>
        <v>现金退款</v>
      </c>
      <c r="E1377" s="1" t="str">
        <f ca="1">IFERROR(__xludf.DUMMYFUNCTION("GOOGLETRANSLATE(B1377,""en"",""ja"")"),"払い戻し")</f>
        <v>払い戻し</v>
      </c>
      <c r="F1377" s="1" t="str">
        <f ca="1">IFERROR(__xludf.DUMMYFUNCTION("GOOGLETRANSLATE(B1377,""en"",""fr"")"),"Remboursement de l'argent")</f>
        <v>Remboursement de l'argent</v>
      </c>
    </row>
    <row r="1378" spans="1:6" ht="15.75" customHeight="1" x14ac:dyDescent="0.25">
      <c r="A1378" s="1" t="s">
        <v>2601</v>
      </c>
      <c r="B1378" s="1" t="s">
        <v>2602</v>
      </c>
      <c r="C1378" s="1" t="str">
        <f ca="1">IFERROR(__xludf.DUMMYFUNCTION("GOOGLETRANSLATE(B1378,""en"",""ar"")"),"اختر موقعا")</f>
        <v>اختر موقعا</v>
      </c>
      <c r="D1378" s="1" t="str">
        <f ca="1">IFERROR(__xludf.DUMMYFUNCTION("GOOGLETRANSLATE(B1378,""en"",""zh-CN"")"),"选择位置")</f>
        <v>选择位置</v>
      </c>
      <c r="E1378" s="1" t="str">
        <f ca="1">IFERROR(__xludf.DUMMYFUNCTION("GOOGLETRANSLATE(B1378,""en"",""ja"")"),"場所を選択してください")</f>
        <v>場所を選択してください</v>
      </c>
      <c r="F1378" s="1" t="str">
        <f ca="1">IFERROR(__xludf.DUMMYFUNCTION("GOOGLETRANSLATE(B1378,""en"",""fr"")"),"Sélectionnez l'emplacement")</f>
        <v>Sélectionnez l'emplacement</v>
      </c>
    </row>
    <row r="1379" spans="1:6" ht="15.75" customHeight="1" x14ac:dyDescent="0.25">
      <c r="A1379" s="1" t="s">
        <v>2603</v>
      </c>
      <c r="B1379" s="1" t="s">
        <v>2604</v>
      </c>
      <c r="C1379" s="1" t="str">
        <f ca="1">IFERROR(__xludf.DUMMYFUNCTION("GOOGLETRANSLATE(B1379,""en"",""ar"")"),"حدد الطرفية")</f>
        <v>حدد الطرفية</v>
      </c>
      <c r="D1379" s="1" t="str">
        <f ca="1">IFERROR(__xludf.DUMMYFUNCTION("GOOGLETRANSLATE(B1379,""en"",""zh-CN"")"),"选择终端")</f>
        <v>选择终端</v>
      </c>
      <c r="E1379" s="1" t="str">
        <f ca="1">IFERROR(__xludf.DUMMYFUNCTION("GOOGLETRANSLATE(B1379,""en"",""ja"")"),"端末を選択")</f>
        <v>端末を選択</v>
      </c>
      <c r="F1379" s="1" t="str">
        <f ca="1">IFERROR(__xludf.DUMMYFUNCTION("GOOGLETRANSLATE(B1379,""en"",""fr"")"),"Sélectionner le terminal")</f>
        <v>Sélectionner le terminal</v>
      </c>
    </row>
    <row r="1380" spans="1:6" ht="15.75" customHeight="1" x14ac:dyDescent="0.25">
      <c r="A1380" s="1" t="s">
        <v>2605</v>
      </c>
      <c r="B1380" s="1" t="s">
        <v>2606</v>
      </c>
      <c r="C1380" s="1" t="str">
        <f ca="1">IFERROR(__xludf.DUMMYFUNCTION("GOOGLETRANSLATE(B1380,""en"",""ar"")"),"إنشاء المنتجات")</f>
        <v>إنشاء المنتجات</v>
      </c>
      <c r="D1380" s="1" t="str">
        <f ca="1">IFERROR(__xludf.DUMMYFUNCTION("GOOGLETRANSLATE(B1380,""en"",""zh-CN"")"),"创建产品")</f>
        <v>创建产品</v>
      </c>
      <c r="E1380" s="1" t="str">
        <f ca="1">IFERROR(__xludf.DUMMYFUNCTION("GOOGLETRANSLATE(B1380,""en"",""ja"")"),"製品を作成します")</f>
        <v>製品を作成します</v>
      </c>
      <c r="F1380" s="1" t="str">
        <f ca="1">IFERROR(__xludf.DUMMYFUNCTION("GOOGLETRANSLATE(B1380,""en"",""fr"")"),"Créer des produits")</f>
        <v>Créer des produits</v>
      </c>
    </row>
    <row r="1381" spans="1:6" ht="15.75" customHeight="1" x14ac:dyDescent="0.25">
      <c r="A1381" s="1" t="s">
        <v>2607</v>
      </c>
      <c r="B1381" s="1" t="s">
        <v>2608</v>
      </c>
      <c r="C1381" s="1" t="str">
        <f ca="1">IFERROR(__xludf.DUMMYFUNCTION("GOOGLETRANSLATE(B1381,""en"",""ar"")"),"تحرير المنتجات")</f>
        <v>تحرير المنتجات</v>
      </c>
      <c r="D1381" s="1" t="str">
        <f ca="1">IFERROR(__xludf.DUMMYFUNCTION("GOOGLETRANSLATE(B1381,""en"",""zh-CN"")"),"编辑产品")</f>
        <v>编辑产品</v>
      </c>
      <c r="E1381" s="1" t="str">
        <f ca="1">IFERROR(__xludf.DUMMYFUNCTION("GOOGLETRANSLATE(B1381,""en"",""ja"")"),"製品を編集します")</f>
        <v>製品を編集します</v>
      </c>
      <c r="F1381" s="1" t="str">
        <f ca="1">IFERROR(__xludf.DUMMYFUNCTION("GOOGLETRANSLATE(B1381,""en"",""fr"")"),"Modifier les produits")</f>
        <v>Modifier les produits</v>
      </c>
    </row>
    <row r="1382" spans="1:6" ht="15.75" customHeight="1" x14ac:dyDescent="0.25">
      <c r="A1382" s="1" t="s">
        <v>2609</v>
      </c>
      <c r="B1382" s="1" t="s">
        <v>684</v>
      </c>
      <c r="C1382" s="1" t="str">
        <f ca="1">IFERROR(__xludf.DUMMYFUNCTION("GOOGLETRANSLATE(B1382,""en"",""ar"")"),"اسم المنتج")</f>
        <v>اسم المنتج</v>
      </c>
      <c r="D1382" s="1" t="str">
        <f ca="1">IFERROR(__xludf.DUMMYFUNCTION("GOOGLETRANSLATE(B1382,""en"",""zh-CN"")"),"产品名称")</f>
        <v>产品名称</v>
      </c>
      <c r="E1382" s="1" t="str">
        <f ca="1">IFERROR(__xludf.DUMMYFUNCTION("GOOGLETRANSLATE(B1382,""en"",""ja"")"),"商品名")</f>
        <v>商品名</v>
      </c>
      <c r="F1382" s="1" t="str">
        <f ca="1">IFERROR(__xludf.DUMMYFUNCTION("GOOGLETRANSLATE(B1382,""en"",""fr"")"),"Nom du produit")</f>
        <v>Nom du produit</v>
      </c>
    </row>
    <row r="1383" spans="1:6" ht="15.75" customHeight="1" x14ac:dyDescent="0.25">
      <c r="A1383" s="1" t="s">
        <v>2610</v>
      </c>
      <c r="B1383" s="1" t="s">
        <v>2611</v>
      </c>
      <c r="C1383" s="1" t="str">
        <f ca="1">IFERROR(__xludf.DUMMYFUNCTION("GOOGLETRANSLATE(B1383,""en"",""ar"")"),"رمز المنتج (SKU)")</f>
        <v>رمز المنتج (SKU)</v>
      </c>
      <c r="D1383" s="1" t="str">
        <f ca="1">IFERROR(__xludf.DUMMYFUNCTION("GOOGLETRANSLATE(B1383,""en"",""zh-CN"")"),"产品代码（SKU）")</f>
        <v>产品代码（SKU）</v>
      </c>
      <c r="E1383" s="1" t="str">
        <f ca="1">IFERROR(__xludf.DUMMYFUNCTION("GOOGLETRANSLATE(B1383,""en"",""ja"")"),"製品コード（SKU）")</f>
        <v>製品コード（SKU）</v>
      </c>
      <c r="F1383" s="1" t="str">
        <f ca="1">IFERROR(__xludf.DUMMYFUNCTION("GOOGLETRANSLATE(B1383,""en"",""fr"")"),"Code de produit (SKU)")</f>
        <v>Code de produit (SKU)</v>
      </c>
    </row>
    <row r="1384" spans="1:6" ht="15.75" customHeight="1" x14ac:dyDescent="0.25">
      <c r="A1384" s="1" t="s">
        <v>2612</v>
      </c>
      <c r="B1384" s="1" t="s">
        <v>672</v>
      </c>
      <c r="C1384" s="1" t="str">
        <f ca="1">IFERROR(__xludf.DUMMYFUNCTION("GOOGLETRANSLATE(B1384,""en"",""ar"")"),"الباركود")</f>
        <v>الباركود</v>
      </c>
      <c r="D1384" s="1" t="str">
        <f ca="1">IFERROR(__xludf.DUMMYFUNCTION("GOOGLETRANSLATE(B1384,""en"",""zh-CN"")"),"条码")</f>
        <v>条码</v>
      </c>
      <c r="E1384" s="1" t="str">
        <f ca="1">IFERROR(__xludf.DUMMYFUNCTION("GOOGLETRANSLATE(B1384,""en"",""ja"")"),"バーコード")</f>
        <v>バーコード</v>
      </c>
      <c r="F1384" s="1" t="str">
        <f ca="1">IFERROR(__xludf.DUMMYFUNCTION("GOOGLETRANSLATE(B1384,""en"",""fr"")"),"code à barre")</f>
        <v>code à barre</v>
      </c>
    </row>
    <row r="1385" spans="1:6" ht="15.75" customHeight="1" x14ac:dyDescent="0.25">
      <c r="A1385" s="1" t="s">
        <v>2613</v>
      </c>
      <c r="B1385" s="1" t="s">
        <v>2614</v>
      </c>
      <c r="C1385" s="1" t="str">
        <f ca="1">IFERROR(__xludf.DUMMYFUNCTION("GOOGLETRANSLATE(B1385,""en"",""ar"")"),"متاح للبيع")</f>
        <v>متاح للبيع</v>
      </c>
      <c r="D1385" s="1" t="str">
        <f ca="1">IFERROR(__xludf.DUMMYFUNCTION("GOOGLETRANSLATE(B1385,""en"",""zh-CN"")"),"可供销售")</f>
        <v>可供销售</v>
      </c>
      <c r="E1385" s="1" t="str">
        <f ca="1">IFERROR(__xludf.DUMMYFUNCTION("GOOGLETRANSLATE(B1385,""en"",""ja"")"),"売却可能です")</f>
        <v>売却可能です</v>
      </c>
      <c r="F1385" s="1" t="str">
        <f ca="1">IFERROR(__xludf.DUMMYFUNCTION("GOOGLETRANSLATE(B1385,""en"",""fr"")"),"Disponible à la vente")</f>
        <v>Disponible à la vente</v>
      </c>
    </row>
    <row r="1386" spans="1:6" ht="15.75" customHeight="1" x14ac:dyDescent="0.25">
      <c r="A1386" s="1" t="s">
        <v>2615</v>
      </c>
      <c r="B1386" s="1" t="s">
        <v>682</v>
      </c>
      <c r="C1386" s="1" t="str">
        <f ca="1">IFERROR(__xludf.DUMMYFUNCTION("GOOGLETRANSLATE(B1386,""en"",""ar"")"),"سعر البيع")</f>
        <v>سعر البيع</v>
      </c>
      <c r="D1386" s="1" t="str">
        <f ca="1">IFERROR(__xludf.DUMMYFUNCTION("GOOGLETRANSLATE(B1386,""en"",""zh-CN"")"),"售价")</f>
        <v>售价</v>
      </c>
      <c r="E1386" s="1" t="str">
        <f ca="1">IFERROR(__xludf.DUMMYFUNCTION("GOOGLETRANSLATE(B1386,""en"",""ja"")"),"販売価格")</f>
        <v>販売価格</v>
      </c>
      <c r="F1386" s="1" t="str">
        <f ca="1">IFERROR(__xludf.DUMMYFUNCTION("GOOGLETRANSLATE(B1386,""en"",""fr"")"),"Prix ​​de vente")</f>
        <v>Prix ​​de vente</v>
      </c>
    </row>
    <row r="1387" spans="1:6" ht="15.75" customHeight="1" x14ac:dyDescent="0.25">
      <c r="A1387" s="1" t="s">
        <v>2616</v>
      </c>
      <c r="B1387" s="1" t="s">
        <v>2617</v>
      </c>
      <c r="C1387" s="1" t="str">
        <f ca="1">IFERROR(__xludf.DUMMYFUNCTION("GOOGLETRANSLATE(B1387,""en"",""ar"")"),"اترك الحقل فارغا للإشارة إلى السعر عند البيع.")</f>
        <v>اترك الحقل فارغا للإشارة إلى السعر عند البيع.</v>
      </c>
      <c r="D1387" s="1" t="str">
        <f ca="1">IFERROR(__xludf.DUMMYFUNCTION("GOOGLETRANSLATE(B1387,""en"",""zh-CN"")"),"将字段留空以在销售时指示价格。")</f>
        <v>将字段留空以在销售时指示价格。</v>
      </c>
      <c r="E1387" s="1" t="str">
        <f ca="1">IFERROR(__xludf.DUMMYFUNCTION("GOOGLETRANSLATE(B1387,""en"",""ja"")"),"販売時の価格を示すために、フィールドを空白のままにしてください。")</f>
        <v>販売時の価格を示すために、フィールドを空白のままにしてください。</v>
      </c>
      <c r="F1387" s="1" t="str">
        <f ca="1">IFERROR(__xludf.DUMMYFUNCTION("GOOGLETRANSLATE(B1387,""en"",""fr"")"),"Laissez le champ vide pour indiquer le prix à la vente.")</f>
        <v>Laissez le champ vide pour indiquer le prix à la vente.</v>
      </c>
    </row>
    <row r="1388" spans="1:6" ht="15.75" customHeight="1" x14ac:dyDescent="0.25">
      <c r="A1388" s="1" t="s">
        <v>2618</v>
      </c>
      <c r="B1388" s="1" t="s">
        <v>2619</v>
      </c>
      <c r="C1388" s="1" t="str">
        <f ca="1">IFERROR(__xludf.DUMMYFUNCTION("GOOGLETRANSLATE(B1388,""en"",""ar"")"),"تحديثات القيمة تلقائيا عند تلقي المخزون.")</f>
        <v>تحديثات القيمة تلقائيا عند تلقي المخزون.</v>
      </c>
      <c r="D1388" s="1" t="str">
        <f ca="1">IFERROR(__xludf.DUMMYFUNCTION("GOOGLETRANSLATE(B1388,""en"",""zh-CN"")"),"收到清单时，值会自动更新。")</f>
        <v>收到清单时，值会自动更新。</v>
      </c>
      <c r="E1388" s="1" t="str">
        <f ca="1">IFERROR(__xludf.DUMMYFUNCTION("GOOGLETRANSLATE(B1388,""en"",""ja"")"),"在庫を受信したときに自動的に更新されます。")</f>
        <v>在庫を受信したときに自動的に更新されます。</v>
      </c>
      <c r="F1388" s="1" t="str">
        <f ca="1">IFERROR(__xludf.DUMMYFUNCTION("GOOGLETRANSLATE(B1388,""en"",""fr"")"),"Valeur se met à jour automatiquement lorsque vous recevez des stocks.")</f>
        <v>Valeur se met à jour automatiquement lorsque vous recevez des stocks.</v>
      </c>
    </row>
    <row r="1389" spans="1:6" ht="15.75" customHeight="1" x14ac:dyDescent="0.25">
      <c r="A1389" s="1" t="s">
        <v>2620</v>
      </c>
      <c r="B1389" s="1" t="s">
        <v>460</v>
      </c>
      <c r="C1389" s="1" t="str">
        <f ca="1">IFERROR(__xludf.DUMMYFUNCTION("GOOGLETRANSLATE(B1389,""en"",""ar"")"),"جرد")</f>
        <v>جرد</v>
      </c>
      <c r="D1389" s="1" t="str">
        <f ca="1">IFERROR(__xludf.DUMMYFUNCTION("GOOGLETRANSLATE(B1389,""en"",""zh-CN"")"),"存货")</f>
        <v>存货</v>
      </c>
      <c r="E1389" s="1" t="str">
        <f ca="1">IFERROR(__xludf.DUMMYFUNCTION("GOOGLETRANSLATE(B1389,""en"",""ja"")"),"在庫")</f>
        <v>在庫</v>
      </c>
      <c r="F1389" s="1" t="str">
        <f ca="1">IFERROR(__xludf.DUMMYFUNCTION("GOOGLETRANSLATE(B1389,""en"",""fr"")"),"Inventaire")</f>
        <v>Inventaire</v>
      </c>
    </row>
    <row r="1390" spans="1:6" ht="15.75" customHeight="1" x14ac:dyDescent="0.25">
      <c r="A1390" s="1" t="s">
        <v>2621</v>
      </c>
      <c r="B1390" s="1" t="s">
        <v>2622</v>
      </c>
      <c r="C1390" s="1" t="str">
        <f ca="1">IFERROR(__xludf.DUMMYFUNCTION("GOOGLETRANSLATE(B1390,""en"",""ar"")"),"المسار الأسهم")</f>
        <v>المسار الأسهم</v>
      </c>
      <c r="D1390" s="1" t="str">
        <f ca="1">IFERROR(__xludf.DUMMYFUNCTION("GOOGLETRANSLATE(B1390,""en"",""zh-CN"")"),"田径股票")</f>
        <v>田径股票</v>
      </c>
      <c r="E1390" s="1" t="str">
        <f ca="1">IFERROR(__xludf.DUMMYFUNCTION("GOOGLETRANSLATE(B1390,""en"",""ja"")"),"在庫を追跡する")</f>
        <v>在庫を追跡する</v>
      </c>
      <c r="F1390" s="1" t="str">
        <f ca="1">IFERROR(__xludf.DUMMYFUNCTION("GOOGLETRANSLATE(B1390,""en"",""fr"")"),"Stock de piste")</f>
        <v>Stock de piste</v>
      </c>
    </row>
    <row r="1391" spans="1:6" ht="15.75" customHeight="1" x14ac:dyDescent="0.25">
      <c r="A1391" s="1" t="s">
        <v>2623</v>
      </c>
      <c r="B1391" s="1" t="s">
        <v>2624</v>
      </c>
      <c r="C1391" s="1" t="str">
        <f ca="1">IFERROR(__xludf.DUMMYFUNCTION("GOOGLETRANSLATE(B1391,""en"",""ar"")"),"في المخزن")</f>
        <v>في المخزن</v>
      </c>
      <c r="D1391" s="1" t="str">
        <f ca="1">IFERROR(__xludf.DUMMYFUNCTION("GOOGLETRANSLATE(B1391,""en"",""zh-CN"")"),"有现货")</f>
        <v>有现货</v>
      </c>
      <c r="E1391" s="1" t="str">
        <f ca="1">IFERROR(__xludf.DUMMYFUNCTION("GOOGLETRANSLATE(B1391,""en"",""ja"")"),"在庫あり")</f>
        <v>在庫あり</v>
      </c>
      <c r="F1391" s="1" t="str">
        <f ca="1">IFERROR(__xludf.DUMMYFUNCTION("GOOGLETRANSLATE(B1391,""en"",""fr"")"),"En stock")</f>
        <v>En stock</v>
      </c>
    </row>
    <row r="1392" spans="1:6" ht="15.75" customHeight="1" x14ac:dyDescent="0.25">
      <c r="A1392" s="1" t="s">
        <v>2625</v>
      </c>
      <c r="B1392" s="1" t="s">
        <v>2626</v>
      </c>
      <c r="C1392" s="1" t="str">
        <f ca="1">IFERROR(__xludf.DUMMYFUNCTION("GOOGLETRANSLATE(B1392,""en"",""ar"")"),"هذا المبلغ سوف يتجاوز مبلغ الأسهم الموجود.")</f>
        <v>هذا المبلغ سوف يتجاوز مبلغ الأسهم الموجود.</v>
      </c>
      <c r="D1392" s="1" t="str">
        <f ca="1">IFERROR(__xludf.DUMMYFUNCTION("GOOGLETRANSLATE(B1392,""en"",""zh-CN"")"),"此金额将超越您现有的库存金额。")</f>
        <v>此金额将超越您现有的库存金额。</v>
      </c>
      <c r="E1392" s="1" t="str">
        <f ca="1">IFERROR(__xludf.DUMMYFUNCTION("GOOGLETRANSLATE(B1392,""en"",""ja"")"),"この金額は既存の株価を上書きします。")</f>
        <v>この金額は既存の株価を上書きします。</v>
      </c>
      <c r="F1392" s="1" t="str">
        <f ca="1">IFERROR(__xludf.DUMMYFUNCTION("GOOGLETRANSLATE(B1392,""en"",""fr"")"),"Ce montant remplacera votre montant de stock existant.")</f>
        <v>Ce montant remplacera votre montant de stock existant.</v>
      </c>
    </row>
    <row r="1393" spans="1:6" ht="15.75" customHeight="1" x14ac:dyDescent="0.25">
      <c r="A1393" s="1" t="s">
        <v>2627</v>
      </c>
      <c r="B1393" s="1" t="s">
        <v>2628</v>
      </c>
      <c r="C1393" s="1" t="str">
        <f ca="1">IFERROR(__xludf.DUMMYFUNCTION("GOOGLETRANSLATE(B1393,""en"",""ar"")"),"صورة المنتج")</f>
        <v>صورة المنتج</v>
      </c>
      <c r="D1393" s="1" t="str">
        <f ca="1">IFERROR(__xludf.DUMMYFUNCTION("GOOGLETRANSLATE(B1393,""en"",""zh-CN"")"),"产品映像")</f>
        <v>产品映像</v>
      </c>
      <c r="E1393" s="1" t="str">
        <f ca="1">IFERROR(__xludf.DUMMYFUNCTION("GOOGLETRANSLATE(B1393,""en"",""ja"")"),"製品画像")</f>
        <v>製品画像</v>
      </c>
      <c r="F1393" s="1" t="str">
        <f ca="1">IFERROR(__xludf.DUMMYFUNCTION("GOOGLETRANSLATE(B1393,""en"",""fr"")"),"Image produit")</f>
        <v>Image produit</v>
      </c>
    </row>
    <row r="1394" spans="1:6" ht="15.75" customHeight="1" x14ac:dyDescent="0.25">
      <c r="A1394" s="1" t="s">
        <v>2629</v>
      </c>
      <c r="B1394" s="1" t="s">
        <v>2630</v>
      </c>
      <c r="C1394" s="1" t="str">
        <f ca="1">IFERROR(__xludf.DUMMYFUNCTION("GOOGLETRANSLATE(B1394,""en"",""ar"")"),"التقاط صورة")</f>
        <v>التقاط صورة</v>
      </c>
      <c r="D1394" s="1" t="str">
        <f ca="1">IFERROR(__xludf.DUMMYFUNCTION("GOOGLETRANSLATE(B1394,""en"",""zh-CN"")"),"拍张照片")</f>
        <v>拍张照片</v>
      </c>
      <c r="E1394" s="1" t="str">
        <f ca="1">IFERROR(__xludf.DUMMYFUNCTION("GOOGLETRANSLATE(B1394,""en"",""ja"")"),"写真を撮る")</f>
        <v>写真を撮る</v>
      </c>
      <c r="F1394" s="1" t="str">
        <f ca="1">IFERROR(__xludf.DUMMYFUNCTION("GOOGLETRANSLATE(B1394,""en"",""fr"")"),"Prendre une photo")</f>
        <v>Prendre une photo</v>
      </c>
    </row>
    <row r="1395" spans="1:6" ht="15.75" customHeight="1" x14ac:dyDescent="0.25">
      <c r="A1395" s="1" t="s">
        <v>2631</v>
      </c>
      <c r="B1395" s="1" t="s">
        <v>2632</v>
      </c>
      <c r="C1395" s="1" t="str">
        <f ca="1">IFERROR(__xludf.DUMMYFUNCTION("GOOGLETRANSLATE(B1395,""en"",""ar"")"),"اختيار صورة")</f>
        <v>اختيار صورة</v>
      </c>
      <c r="D1395" s="1" t="str">
        <f ca="1">IFERROR(__xludf.DUMMYFUNCTION("GOOGLETRANSLATE(B1395,""en"",""zh-CN"")"),"选择照片")</f>
        <v>选择照片</v>
      </c>
      <c r="E1395" s="1" t="str">
        <f ca="1">IFERROR(__xludf.DUMMYFUNCTION("GOOGLETRANSLATE(B1395,""en"",""ja"")"),"写真を選択してください")</f>
        <v>写真を選択してください</v>
      </c>
      <c r="F1395" s="1" t="str">
        <f ca="1">IFERROR(__xludf.DUMMYFUNCTION("GOOGLETRANSLATE(B1395,""en"",""fr"")"),"Choisissez une photo")</f>
        <v>Choisissez une photo</v>
      </c>
    </row>
    <row r="1396" spans="1:6" ht="15.75" customHeight="1" x14ac:dyDescent="0.25">
      <c r="A1396" s="1" t="s">
        <v>2633</v>
      </c>
      <c r="B1396" s="1" t="s">
        <v>2634</v>
      </c>
      <c r="C1396" s="1" t="str">
        <f ca="1">IFERROR(__xludf.DUMMYFUNCTION("GOOGLETRANSLATE(B1396,""en"",""ar"")"),"إزالة الصورة")</f>
        <v>إزالة الصورة</v>
      </c>
      <c r="D1396" s="1" t="str">
        <f ca="1">IFERROR(__xludf.DUMMYFUNCTION("GOOGLETRANSLATE(B1396,""en"",""zh-CN"")"),"删除照片")</f>
        <v>删除照片</v>
      </c>
      <c r="E1396" s="1" t="str">
        <f ca="1">IFERROR(__xludf.DUMMYFUNCTION("GOOGLETRANSLATE(B1396,""en"",""ja"")"),"写真を取り除きます")</f>
        <v>写真を取り除きます</v>
      </c>
      <c r="F1396" s="1" t="str">
        <f ca="1">IFERROR(__xludf.DUMMYFUNCTION("GOOGLETRANSLATE(B1396,""en"",""fr"")"),"Retirer photo")</f>
        <v>Retirer photo</v>
      </c>
    </row>
    <row r="1397" spans="1:6" ht="15.75" customHeight="1" x14ac:dyDescent="0.25">
      <c r="A1397" s="1" t="s">
        <v>2635</v>
      </c>
      <c r="B1397" s="1" t="s">
        <v>2636</v>
      </c>
      <c r="C1397" s="1" t="str">
        <f ca="1">IFERROR(__xludf.DUMMYFUNCTION("GOOGLETRANSLATE(B1397,""en"",""ar"")"),"تغيير الأسعار")</f>
        <v>تغيير الأسعار</v>
      </c>
      <c r="D1397" s="1" t="str">
        <f ca="1">IFERROR(__xludf.DUMMYFUNCTION("GOOGLETRANSLATE(B1397,""en"",""zh-CN"")"),"价格变动")</f>
        <v>价格变动</v>
      </c>
      <c r="E1397" s="1" t="str">
        <f ca="1">IFERROR(__xludf.DUMMYFUNCTION("GOOGLETRANSLATE(B1397,""en"",""ja"")"),"価格変更")</f>
        <v>価格変更</v>
      </c>
      <c r="F1397" s="1" t="str">
        <f ca="1">IFERROR(__xludf.DUMMYFUNCTION("GOOGLETRANSLATE(B1397,""en"",""fr"")"),"Changement de prix")</f>
        <v>Changement de prix</v>
      </c>
    </row>
    <row r="1398" spans="1:6" ht="15.75" customHeight="1" x14ac:dyDescent="0.25">
      <c r="A1398" s="1" t="s">
        <v>2637</v>
      </c>
      <c r="B1398" s="1" t="s">
        <v>2638</v>
      </c>
      <c r="C1398" s="1" t="str">
        <f ca="1">IFERROR(__xludf.DUMMYFUNCTION("GOOGLETRANSLATE(B1398,""en"",""ar"")"),"فئات المنتجات")</f>
        <v>فئات المنتجات</v>
      </c>
      <c r="D1398" s="1" t="str">
        <f ca="1">IFERROR(__xludf.DUMMYFUNCTION("GOOGLETRANSLATE(B1398,""en"",""zh-CN"")"),"产品类别")</f>
        <v>产品类别</v>
      </c>
      <c r="E1398" s="1" t="str">
        <f ca="1">IFERROR(__xludf.DUMMYFUNCTION("GOOGLETRANSLATE(B1398,""en"",""ja"")"),"製品カテゴリ")</f>
        <v>製品カテゴリ</v>
      </c>
      <c r="F1398" s="1" t="str">
        <f ca="1">IFERROR(__xludf.DUMMYFUNCTION("GOOGLETRANSLATE(B1398,""en"",""fr"")"),"Catégories de produits")</f>
        <v>Catégories de produits</v>
      </c>
    </row>
    <row r="1399" spans="1:6" ht="15.75" customHeight="1" x14ac:dyDescent="0.25">
      <c r="A1399" s="1" t="s">
        <v>2639</v>
      </c>
      <c r="B1399" s="1" t="s">
        <v>2640</v>
      </c>
      <c r="C1399" s="1" t="str">
        <f ca="1">IFERROR(__xludf.DUMMYFUNCTION("GOOGLETRANSLATE(B1399,""en"",""ar"")"),"فئات المنتج الفرعية")</f>
        <v>فئات المنتج الفرعية</v>
      </c>
      <c r="D1399" s="1" t="str">
        <f ca="1">IFERROR(__xludf.DUMMYFUNCTION("GOOGLETRANSLATE(B1399,""en"",""zh-CN"")"),"产品子类别")</f>
        <v>产品子类别</v>
      </c>
      <c r="E1399" s="1" t="str">
        <f ca="1">IFERROR(__xludf.DUMMYFUNCTION("GOOGLETRANSLATE(B1399,""en"",""ja"")"),"製品サブカテゴリ")</f>
        <v>製品サブカテゴリ</v>
      </c>
      <c r="F1399" s="1" t="str">
        <f ca="1">IFERROR(__xludf.DUMMYFUNCTION("GOOGLETRANSLATE(B1399,""en"",""fr"")"),"Sous-catégories de produits")</f>
        <v>Sous-catégories de produits</v>
      </c>
    </row>
    <row r="1400" spans="1:6" ht="15.75" customHeight="1" x14ac:dyDescent="0.25">
      <c r="A1400" s="1" t="s">
        <v>2641</v>
      </c>
      <c r="B1400" s="1" t="s">
        <v>2642</v>
      </c>
      <c r="C1400" s="1" t="str">
        <f ca="1">IFERROR(__xludf.DUMMYFUNCTION("GOOGLETRANSLATE(B1400,""en"",""ar"")"),"حسن الواحد")</f>
        <v>حسن الواحد</v>
      </c>
      <c r="D1400" s="1" t="str">
        <f ca="1">IFERROR(__xludf.DUMMYFUNCTION("GOOGLETRANSLATE(B1400,""en"",""zh-CN"")"),"良好的收到笔记")</f>
        <v>良好的收到笔记</v>
      </c>
      <c r="E1400" s="1" t="str">
        <f ca="1">IFERROR(__xludf.DUMMYFUNCTION("GOOGLETRANSLATE(B1400,""en"",""ja"")"),"良い受注")</f>
        <v>良い受注</v>
      </c>
      <c r="F1400" s="1" t="str">
        <f ca="1">IFERROR(__xludf.DUMMYFUNCTION("GOOGLETRANSLATE(B1400,""en"",""fr"")"),"Bonne note reçue")</f>
        <v>Bonne note reçue</v>
      </c>
    </row>
    <row r="1401" spans="1:6" ht="15.75" customHeight="1" x14ac:dyDescent="0.25">
      <c r="A1401" s="1" t="s">
        <v>2643</v>
      </c>
      <c r="B1401" s="1" t="s">
        <v>2644</v>
      </c>
      <c r="C1401" s="1" t="str">
        <f ca="1">IFERROR(__xludf.DUMMYFUNCTION("GOOGLETRANSLATE(B1401,""en"",""ar"")"),"بحث grn.")</f>
        <v>بحث grn.</v>
      </c>
      <c r="D1401" s="1" t="str">
        <f ca="1">IFERROR(__xludf.DUMMYFUNCTION("GOOGLETRANSLATE(B1401,""en"",""zh-CN"")"),"搜索grn.")</f>
        <v>搜索grn.</v>
      </c>
      <c r="E1401" s="1" t="str">
        <f ca="1">IFERROR(__xludf.DUMMYFUNCTION("GOOGLETRANSLATE(B1401,""en"",""ja"")"),"grnを検索")</f>
        <v>grnを検索</v>
      </c>
      <c r="F1401" s="1" t="str">
        <f ca="1">IFERROR(__xludf.DUMMYFUNCTION("GOOGLETRANSLATE(B1401,""en"",""fr"")"),"Rechercher grn")</f>
        <v>Rechercher grn</v>
      </c>
    </row>
    <row r="1402" spans="1:6" ht="15.75" customHeight="1" x14ac:dyDescent="0.25">
      <c r="A1402" s="1" t="s">
        <v>2645</v>
      </c>
      <c r="B1402" s="1" t="s">
        <v>2646</v>
      </c>
      <c r="C1402" s="1" t="str">
        <f ca="1">IFERROR(__xludf.DUMMYFUNCTION("GOOGLETRANSLATE(B1402,""en"",""ar"")"),"هل أنت متأكد من أنك تريد تحرير هذه الملاحظة الاستقبال الجيدة؟")</f>
        <v>هل أنت متأكد من أنك تريد تحرير هذه الملاحظة الاستقبال الجيدة؟</v>
      </c>
      <c r="D1402" s="1" t="str">
        <f ca="1">IFERROR(__xludf.DUMMYFUNCTION("GOOGLETRANSLATE(B1402,""en"",""zh-CN"")"),"你肯定想编辑这个好的接收笔记吗？")</f>
        <v>你肯定想编辑这个好的接收笔记吗？</v>
      </c>
      <c r="E1402" s="1" t="str">
        <f ca="1">IFERROR(__xludf.DUMMYFUNCTION("GOOGLETRANSLATE(B1402,""en"",""ja"")"),"あなたは確かにこの良い受信メモを編集したいですか？")</f>
        <v>あなたは確かにこの良い受信メモを編集したいですか？</v>
      </c>
      <c r="F1402" s="1" t="str">
        <f ca="1">IFERROR(__xludf.DUMMYFUNCTION("GOOGLETRANSLATE(B1402,""en"",""fr"")"),"Voulez-vous vraiment vouloir modifier cette bonne note de recevoir?")</f>
        <v>Voulez-vous vraiment vouloir modifier cette bonne note de recevoir?</v>
      </c>
    </row>
    <row r="1403" spans="1:6" ht="15.75" customHeight="1" x14ac:dyDescent="0.25">
      <c r="A1403" s="1" t="s">
        <v>2647</v>
      </c>
      <c r="B1403" s="1" t="s">
        <v>2648</v>
      </c>
      <c r="C1403" s="1" t="str">
        <f ca="1">IFERROR(__xludf.DUMMYFUNCTION("GOOGLETRANSLATE(B1403,""en"",""ar"")"),"هل ترغب في تقديم هذا GRN؟")</f>
        <v>هل ترغب في تقديم هذا GRN؟</v>
      </c>
      <c r="D1403" s="1" t="str">
        <f ca="1">IFERROR(__xludf.DUMMYFUNCTION("GOOGLETRANSLATE(B1403,""en"",""zh-CN"")"),"你想提交这个gn吗？")</f>
        <v>你想提交这个gn吗？</v>
      </c>
      <c r="E1403" s="1" t="str">
        <f ca="1">IFERROR(__xludf.DUMMYFUNCTION("GOOGLETRANSLATE(B1403,""en"",""ja"")"),"このGRNを送信しますか？")</f>
        <v>このGRNを送信しますか？</v>
      </c>
      <c r="F1403" s="1" t="str">
        <f ca="1">IFERROR(__xludf.DUMMYFUNCTION("GOOGLETRANSLATE(B1403,""en"",""fr"")"),"Voulez-vous soumettre ce grn?")</f>
        <v>Voulez-vous soumettre ce grn?</v>
      </c>
    </row>
    <row r="1404" spans="1:6" ht="15.75" customHeight="1" x14ac:dyDescent="0.25">
      <c r="A1404" s="1" t="s">
        <v>2649</v>
      </c>
      <c r="B1404" s="1" t="s">
        <v>2650</v>
      </c>
      <c r="C1404" s="1" t="str">
        <f ca="1">IFERROR(__xludf.DUMMYFUNCTION("GOOGLETRANSLATE(B1404,""en"",""ar"")"),"هل أنت متأكد من أنك تريد تقديم GRN؟")</f>
        <v>هل أنت متأكد من أنك تريد تقديم GRN؟</v>
      </c>
      <c r="D1404" s="1" t="str">
        <f ca="1">IFERROR(__xludf.DUMMYFUNCTION("GOOGLETRANSLATE(B1404,""en"",""zh-CN"")"),"你肯定想提交grn吗？")</f>
        <v>你肯定想提交grn吗？</v>
      </c>
      <c r="E1404" s="1" t="str">
        <f ca="1">IFERROR(__xludf.DUMMYFUNCTION("GOOGLETRANSLATE(B1404,""en"",""ja"")"),"あなたは確かにGRNを提出したいですか？")</f>
        <v>あなたは確かにGRNを提出したいですか？</v>
      </c>
      <c r="F1404" s="1" t="str">
        <f ca="1">IFERROR(__xludf.DUMMYFUNCTION("GOOGLETRANSLATE(B1404,""en"",""fr"")"),"Voulez-vous sûr de soumettre GRN?")</f>
        <v>Voulez-vous sûr de soumettre GRN?</v>
      </c>
    </row>
    <row r="1405" spans="1:6" ht="15.75" customHeight="1" x14ac:dyDescent="0.25">
      <c r="A1405" s="1" t="s">
        <v>2651</v>
      </c>
      <c r="B1405" s="1" t="s">
        <v>2652</v>
      </c>
      <c r="C1405" s="1" t="str">
        <f ca="1">IFERROR(__xludf.DUMMYFUNCTION("GOOGLETRANSLATE(B1405,""en"",""ar"")"),"تقديم GRN.")</f>
        <v>تقديم GRN.</v>
      </c>
      <c r="D1405" s="1" t="str">
        <f ca="1">IFERROR(__xludf.DUMMYFUNCTION("GOOGLETRANSLATE(B1405,""en"",""zh-CN"")"),"提交GRN.")</f>
        <v>提交GRN.</v>
      </c>
      <c r="E1405" s="1" t="str">
        <f ca="1">IFERROR(__xludf.DUMMYFUNCTION("GOOGLETRANSLATE(B1405,""en"",""ja"")"),"GRNを提出してください")</f>
        <v>GRNを提出してください</v>
      </c>
      <c r="F1405" s="1" t="str">
        <f ca="1">IFERROR(__xludf.DUMMYFUNCTION("GOOGLETRANSLATE(B1405,""en"",""fr"")"),"Soumettre grn")</f>
        <v>Soumettre grn</v>
      </c>
    </row>
    <row r="1406" spans="1:6" ht="15.75" customHeight="1" x14ac:dyDescent="0.25">
      <c r="A1406" s="1" t="s">
        <v>2653</v>
      </c>
      <c r="B1406" s="1" t="s">
        <v>2654</v>
      </c>
      <c r="C1406" s="1" t="str">
        <f ca="1">IFERROR(__xludf.DUMMYFUNCTION("GOOGLETRANSLATE(B1406,""en"",""ar"")"),"الحصول على ملاحظة جيدة")</f>
        <v>الحصول على ملاحظة جيدة</v>
      </c>
      <c r="D1406" s="1" t="str">
        <f ca="1">IFERROR(__xludf.DUMMYFUNCTION("GOOGLETRANSLATE(B1406,""en"",""zh-CN"")"),"好收到注意")</f>
        <v>好收到注意</v>
      </c>
      <c r="E1406" s="1" t="str">
        <f ca="1">IFERROR(__xludf.DUMMYFUNCTION("GOOGLETRANSLATE(B1406,""en"",""ja"")"),"良い受注について")</f>
        <v>良い受注について</v>
      </c>
      <c r="F1406" s="1" t="str">
        <f ca="1">IFERROR(__xludf.DUMMYFUNCTION("GOOGLETRANSLATE(B1406,""en"",""fr"")"),"Bonne note de réception")</f>
        <v>Bonne note de réception</v>
      </c>
    </row>
    <row r="1407" spans="1:6" ht="15.75" customHeight="1" x14ac:dyDescent="0.25">
      <c r="A1407" s="1" t="s">
        <v>2655</v>
      </c>
      <c r="B1407" s="1" t="s">
        <v>2656</v>
      </c>
      <c r="C1407" s="1" t="str">
        <f ca="1">IFERROR(__xludf.DUMMYFUNCTION("GOOGLETRANSLATE(B1407,""en"",""ar"")"),"إزالة البند (ق) GRN")</f>
        <v>إزالة البند (ق) GRN</v>
      </c>
      <c r="D1407" s="1" t="str">
        <f ca="1">IFERROR(__xludf.DUMMYFUNCTION("GOOGLETRANSLATE(B1407,""en"",""zh-CN"")"),"删除GRN项目")</f>
        <v>删除GRN项目</v>
      </c>
      <c r="E1407" s="1" t="str">
        <f ca="1">IFERROR(__xludf.DUMMYFUNCTION("GOOGLETRANSLATE(B1407,""en"",""ja"")"),"GRNアイテムを削除する")</f>
        <v>GRNアイテムを削除する</v>
      </c>
      <c r="F1407" s="1" t="str">
        <f ca="1">IFERROR(__xludf.DUMMYFUNCTION("GOOGLETRANSLATE(B1407,""en"",""fr"")"),"Supprimer GRN Item (S)")</f>
        <v>Supprimer GRN Item (S)</v>
      </c>
    </row>
    <row r="1408" spans="1:6" ht="15.75" customHeight="1" x14ac:dyDescent="0.25">
      <c r="A1408" s="1" t="s">
        <v>2657</v>
      </c>
      <c r="B1408" s="1" t="s">
        <v>2658</v>
      </c>
      <c r="C1408" s="1" t="str">
        <f ca="1">IFERROR(__xludf.DUMMYFUNCTION("GOOGLETRANSLATE(B1408,""en"",""ar"")"),"تحرير البند GRN")</f>
        <v>تحرير البند GRN</v>
      </c>
      <c r="D1408" s="1" t="str">
        <f ca="1">IFERROR(__xludf.DUMMYFUNCTION("GOOGLETRANSLATE(B1408,""en"",""zh-CN"")"),"编辑Grn Item.")</f>
        <v>编辑Grn Item.</v>
      </c>
      <c r="E1408" s="1" t="str">
        <f ca="1">IFERROR(__xludf.DUMMYFUNCTION("GOOGLETRANSLATE(B1408,""en"",""ja"")"),"GRNアイテムを編集します")</f>
        <v>GRNアイテムを編集します</v>
      </c>
      <c r="F1408" s="1" t="str">
        <f ca="1">IFERROR(__xludf.DUMMYFUNCTION("GOOGLETRANSLATE(B1408,""en"",""fr"")"),"Modifier l'élément GRN")</f>
        <v>Modifier l'élément GRN</v>
      </c>
    </row>
    <row r="1409" spans="1:6" ht="15.75" customHeight="1" x14ac:dyDescent="0.25">
      <c r="A1409" s="1" t="s">
        <v>2659</v>
      </c>
      <c r="B1409" s="1" t="s">
        <v>2660</v>
      </c>
      <c r="C1409" s="1" t="str">
        <f ca="1">IFERROR(__xludf.DUMMYFUNCTION("GOOGLETRANSLATE(B1409,""en"",""ar"")"),"تحرير حسن تلقي ملاحظة")</f>
        <v>تحرير حسن تلقي ملاحظة</v>
      </c>
      <c r="D1409" s="1" t="str">
        <f ca="1">IFERROR(__xludf.DUMMYFUNCTION("GOOGLETRANSLATE(B1409,""en"",""zh-CN"")"),"编辑好接收笔记")</f>
        <v>编辑好接收笔记</v>
      </c>
      <c r="E1409" s="1" t="str">
        <f ca="1">IFERROR(__xludf.DUMMYFUNCTION("GOOGLETRANSLATE(B1409,""en"",""ja"")"),"注文を編集する")</f>
        <v>注文を編集する</v>
      </c>
      <c r="F1409" s="1" t="str">
        <f ca="1">IFERROR(__xludf.DUMMYFUNCTION("GOOGLETRANSLATE(B1409,""en"",""fr"")"),"Éditer bonne note de recevoir")</f>
        <v>Éditer bonne note de recevoir</v>
      </c>
    </row>
    <row r="1410" spans="1:6" ht="15.75" customHeight="1" x14ac:dyDescent="0.25">
      <c r="A1410" s="1" t="s">
        <v>2661</v>
      </c>
      <c r="B1410" s="1" t="s">
        <v>2662</v>
      </c>
      <c r="C1410" s="1" t="str">
        <f ca="1">IFERROR(__xludf.DUMMYFUNCTION("GOOGLETRANSLATE(B1410,""en"",""ar"")"),"البضائع الواردة مذكرة")</f>
        <v>البضائع الواردة مذكرة</v>
      </c>
      <c r="D1410" s="1" t="str">
        <f ca="1">IFERROR(__xludf.DUMMYFUNCTION("GOOGLETRANSLATE(B1410,""en"",""zh-CN"")"),"收到的商品注释")</f>
        <v>收到的商品注释</v>
      </c>
      <c r="E1410" s="1" t="str">
        <f ca="1">IFERROR(__xludf.DUMMYFUNCTION("GOOGLETRANSLATE(B1410,""en"",""ja"")"),"商品を受け取った")</f>
        <v>商品を受け取った</v>
      </c>
      <c r="F1410" s="1" t="str">
        <f ca="1">IFERROR(__xludf.DUMMYFUNCTION("GOOGLETRANSLATE(B1410,""en"",""fr"")"),"Note des marchandises reçues")</f>
        <v>Note des marchandises reçues</v>
      </c>
    </row>
    <row r="1411" spans="1:6" ht="15.75" customHeight="1" x14ac:dyDescent="0.25">
      <c r="A1411" s="1" t="s">
        <v>2663</v>
      </c>
      <c r="B1411" s="1" t="s">
        <v>2664</v>
      </c>
      <c r="C1411" s="1" t="str">
        <f ca="1">IFERROR(__xludf.DUMMYFUNCTION("GOOGLETRANSLATE(B1411,""en"",""ar"")"),"رقم GRN.")</f>
        <v>رقم GRN.</v>
      </c>
      <c r="D1411" s="1" t="str">
        <f ca="1">IFERROR(__xludf.DUMMYFUNCTION("GOOGLETRANSLATE(B1411,""en"",""zh-CN"")"),"GRN号码")</f>
        <v>GRN号码</v>
      </c>
      <c r="E1411" s="1" t="str">
        <f ca="1">IFERROR(__xludf.DUMMYFUNCTION("GOOGLETRANSLATE(B1411,""en"",""ja"")"),"GRN番号")</f>
        <v>GRN番号</v>
      </c>
      <c r="F1411" s="1" t="str">
        <f ca="1">IFERROR(__xludf.DUMMYFUNCTION("GOOGLETRANSLATE(B1411,""en"",""fr"")"),"Nombre grn")</f>
        <v>Nombre grn</v>
      </c>
    </row>
    <row r="1412" spans="1:6" ht="15.75" customHeight="1" x14ac:dyDescent="0.25">
      <c r="A1412" s="1" t="s">
        <v>2665</v>
      </c>
      <c r="B1412" s="1" t="s">
        <v>2666</v>
      </c>
      <c r="C1412" s="1" t="str">
        <f ca="1">IFERROR(__xludf.DUMMYFUNCTION("GOOGLETRANSLATE(B1412,""en"",""ar"")"),"المبلغ الإجمالي GRN.")</f>
        <v>المبلغ الإجمالي GRN.</v>
      </c>
      <c r="D1412" s="1" t="str">
        <f ca="1">IFERROR(__xludf.DUMMYFUNCTION("GOOGLETRANSLATE(B1412,""en"",""zh-CN"")"),"总金额")</f>
        <v>总金额</v>
      </c>
      <c r="E1412" s="1" t="str">
        <f ca="1">IFERROR(__xludf.DUMMYFUNCTION("GOOGLETRANSLATE(B1412,""en"",""ja"")"),"GRN合計金額")</f>
        <v>GRN合計金額</v>
      </c>
      <c r="F1412" s="1" t="str">
        <f ca="1">IFERROR(__xludf.DUMMYFUNCTION("GOOGLETRANSLATE(B1412,""en"",""fr"")"),"Montant total grn")</f>
        <v>Montant total grn</v>
      </c>
    </row>
    <row r="1413" spans="1:6" ht="15.75" customHeight="1" x14ac:dyDescent="0.25">
      <c r="A1413" s="1" t="s">
        <v>2667</v>
      </c>
      <c r="B1413" s="1" t="s">
        <v>2668</v>
      </c>
      <c r="C1413" s="1" t="str">
        <f ca="1">IFERROR(__xludf.DUMMYFUNCTION("GOOGLETRANSLATE(B1413,""en"",""ar"")"),"مستخدم GRN.")</f>
        <v>مستخدم GRN.</v>
      </c>
      <c r="D1413" s="1" t="str">
        <f ca="1">IFERROR(__xludf.DUMMYFUNCTION("GOOGLETRANSLATE(B1413,""en"",""zh-CN"")"),"grn用户")</f>
        <v>grn用户</v>
      </c>
      <c r="E1413" s="1" t="str">
        <f ca="1">IFERROR(__xludf.DUMMYFUNCTION("GOOGLETRANSLATE(B1413,""en"",""ja"")"),"GRNユーザー")</f>
        <v>GRNユーザー</v>
      </c>
      <c r="F1413" s="1" t="str">
        <f ca="1">IFERROR(__xludf.DUMMYFUNCTION("GOOGLETRANSLATE(B1413,""en"",""fr"")"),"User GRN")</f>
        <v>User GRN</v>
      </c>
    </row>
    <row r="1414" spans="1:6" ht="15.75" customHeight="1" x14ac:dyDescent="0.25">
      <c r="A1414" s="1" t="s">
        <v>2669</v>
      </c>
      <c r="B1414" s="1" t="s">
        <v>2670</v>
      </c>
      <c r="C1414" s="1" t="str">
        <f ca="1">IFERROR(__xludf.DUMMYFUNCTION("GOOGLETRANSLATE(B1414,""en"",""ar"")"),"GRN لا:")</f>
        <v>GRN لا:</v>
      </c>
      <c r="D1414" s="1" t="str">
        <f ca="1">IFERROR(__xludf.DUMMYFUNCTION("GOOGLETRANSLATE(B1414,""en"",""zh-CN"")"),"没有：")</f>
        <v>没有：</v>
      </c>
      <c r="E1414" s="1" t="str">
        <f ca="1">IFERROR(__xludf.DUMMYFUNCTION("GOOGLETRANSLATE(B1414,""en"",""ja"")"),"GRNいいえ：")</f>
        <v>GRNいいえ：</v>
      </c>
      <c r="F1414" s="1" t="str">
        <f ca="1">IFERROR(__xludf.DUMMYFUNCTION("GOOGLETRANSLATE(B1414,""en"",""fr"")"),"Grn no:")</f>
        <v>Grn no:</v>
      </c>
    </row>
    <row r="1415" spans="1:6" ht="15.75" customHeight="1" x14ac:dyDescent="0.25">
      <c r="A1415" s="1" t="s">
        <v>2671</v>
      </c>
      <c r="B1415" s="1" t="s">
        <v>2672</v>
      </c>
      <c r="C1415" s="1" t="str">
        <f ca="1">IFERROR(__xludf.DUMMYFUNCTION("GOOGLETRANSLATE(B1415,""en"",""ar"")"),"وحدة GRN")</f>
        <v>وحدة GRN</v>
      </c>
      <c r="D1415" s="1" t="str">
        <f ca="1">IFERROR(__xludf.DUMMYFUNCTION("GOOGLETRANSLATE(B1415,""en"",""zh-CN"")"),"GRN单位成本")</f>
        <v>GRN单位成本</v>
      </c>
      <c r="E1415" s="1" t="str">
        <f ca="1">IFERROR(__xludf.DUMMYFUNCTION("GOOGLETRANSLATE(B1415,""en"",""ja"")"),"GRNユニットコスト")</f>
        <v>GRNユニットコスト</v>
      </c>
      <c r="F1415" s="1" t="str">
        <f ca="1">IFERROR(__xludf.DUMMYFUNCTION("GOOGLETRANSLATE(B1415,""en"",""fr"")"),"Coût unitaire grn")</f>
        <v>Coût unitaire grn</v>
      </c>
    </row>
    <row r="1416" spans="1:6" ht="15.75" customHeight="1" x14ac:dyDescent="0.25">
      <c r="A1416" s="1" t="s">
        <v>2673</v>
      </c>
      <c r="B1416" s="1" t="s">
        <v>2674</v>
      </c>
      <c r="C1416" s="1" t="str">
        <f ca="1">IFERROR(__xludf.DUMMYFUNCTION("GOOGLETRANSLATE(B1416,""en"",""ar"")"),"تفاصيل GRN \ NSTOCK النقل (داخل / خارج) \ NStock العودة \ Nin مخزونات اليد \ NSales السجلات \ NCash المعاملة")</f>
        <v>تفاصيل GRN \ NSTOCK النقل (داخل / خارج) \ NStock العودة \ Nin مخزونات اليد \ NSales السجلات \ NCash المعاملة</v>
      </c>
      <c r="D1416" s="1" t="str">
        <f ca="1">IFERROR(__xludf.DUMMYFUNCTION("GOOGLETRANSLATE(B1416,""en"",""zh-CN"")"),"GRN详细信息\ NSTOCK转移（IN / OUT）\ NSTOCK返回\ nin手股票\ nsales records \ ncash事务")</f>
        <v>GRN详细信息\ NSTOCK转移（IN / OUT）\ NSTOCK返回\ nin手股票\ nsales records \ ncash事务</v>
      </c>
      <c r="E1416" s="1" t="str">
        <f ca="1">IFERROR(__xludf.DUMMYFUNCTION("GOOGLETRANSLATE(B1416,""en"",""ja"")"),"GRN詳細\ NStockトランスファー（IN / OUT）\ NStock Return \ Nin手の株式\ NSales Records \ Ncashトランザクション")</f>
        <v>GRN詳細\ NStockトランスファー（IN / OUT）\ NStock Return \ Nin手の株式\ NSales Records \ Ncashトランザクション</v>
      </c>
      <c r="F1416" s="1" t="str">
        <f ca="1">IFERROR(__xludf.DUMMYFUNCTION("GOOGLETRANSLATE(B1416,""en"",""fr"")"),"Détails GRN \ Nettock Transferts (IN / OUT) \ NSTOCK Retour \ Nin Main Stocks \ Nsales Records \ NCASH Transaction")</f>
        <v>Détails GRN \ Nettock Transferts (IN / OUT) \ NSTOCK Retour \ Nin Main Stocks \ Nsales Records \ NCASH Transaction</v>
      </c>
    </row>
    <row r="1417" spans="1:6" ht="15.75" customHeight="1" x14ac:dyDescent="0.25">
      <c r="A1417" s="1" t="s">
        <v>2675</v>
      </c>
      <c r="B1417" s="1" t="s">
        <v>2676</v>
      </c>
      <c r="C1417" s="1" t="str">
        <f ca="1">IFERROR(__xludf.DUMMYFUNCTION("GOOGLETRANSLATE(B1417,""en"",""ar"")"),"جرن الكمية")</f>
        <v>جرن الكمية</v>
      </c>
      <c r="D1417" s="1" t="str">
        <f ca="1">IFERROR(__xludf.DUMMYFUNCTION("GOOGLETRANSLATE(B1417,""en"",""zh-CN"")"),"金数量")</f>
        <v>金数量</v>
      </c>
      <c r="E1417" s="1" t="str">
        <f ca="1">IFERROR(__xludf.DUMMYFUNCTION("GOOGLETRANSLATE(B1417,""en"",""ja"")"),"grn qty.")</f>
        <v>grn qty.</v>
      </c>
      <c r="F1417" s="1" t="str">
        <f ca="1">IFERROR(__xludf.DUMMYFUNCTION("GOOGLETRANSLATE(B1417,""en"",""fr"")"),"Grn qty")</f>
        <v>Grn qty</v>
      </c>
    </row>
    <row r="1418" spans="1:6" ht="15.75" customHeight="1" x14ac:dyDescent="0.25">
      <c r="A1418" s="1" t="s">
        <v>2677</v>
      </c>
      <c r="B1418" s="1" t="s">
        <v>2678</v>
      </c>
      <c r="C1418" s="1" t="str">
        <f ca="1">IFERROR(__xludf.DUMMYFUNCTION("GOOGLETRANSLATE(B1418,""en"",""ar"")"),"سعر GRN")</f>
        <v>سعر GRN</v>
      </c>
      <c r="D1418" s="1" t="str">
        <f ca="1">IFERROR(__xludf.DUMMYFUNCTION("GOOGLETRANSLATE(B1418,""en"",""zh-CN"")"),"价格")</f>
        <v>价格</v>
      </c>
      <c r="E1418" s="1" t="str">
        <f ca="1">IFERROR(__xludf.DUMMYFUNCTION("GOOGLETRANSLATE(B1418,""en"",""ja"")"),"GRN価格")</f>
        <v>GRN価格</v>
      </c>
      <c r="F1418" s="1" t="str">
        <f ca="1">IFERROR(__xludf.DUMMYFUNCTION("GOOGLETRANSLATE(B1418,""en"",""fr"")"),"Prix ​​grn")</f>
        <v>Prix ​​grn</v>
      </c>
    </row>
    <row r="1419" spans="1:6" ht="15.75" customHeight="1" x14ac:dyDescent="0.25">
      <c r="A1419" s="1" t="s">
        <v>2679</v>
      </c>
      <c r="B1419" s="1" t="s">
        <v>2680</v>
      </c>
      <c r="C1419" s="1" t="str">
        <f ca="1">IFERROR(__xludf.DUMMYFUNCTION("GOOGLETRANSLATE(B1419,""en"",""ar"")"),"تاريخ GRN.")</f>
        <v>تاريخ GRN.</v>
      </c>
      <c r="D1419" s="1" t="str">
        <f ca="1">IFERROR(__xludf.DUMMYFUNCTION("GOOGLETRANSLATE(B1419,""en"",""zh-CN"")"),"GRN日期")</f>
        <v>GRN日期</v>
      </c>
      <c r="E1419" s="1" t="str">
        <f ca="1">IFERROR(__xludf.DUMMYFUNCTION("GOOGLETRANSLATE(B1419,""en"",""ja"")"),"GRN日付")</f>
        <v>GRN日付</v>
      </c>
      <c r="F1419" s="1" t="str">
        <f ca="1">IFERROR(__xludf.DUMMYFUNCTION("GOOGLETRANSLATE(B1419,""en"",""fr"")"),"Date de grn")</f>
        <v>Date de grn</v>
      </c>
    </row>
    <row r="1420" spans="1:6" ht="15.75" customHeight="1" x14ac:dyDescent="0.25">
      <c r="A1420" s="1" t="s">
        <v>2681</v>
      </c>
      <c r="B1420" s="1" t="s">
        <v>2682</v>
      </c>
      <c r="C1420" s="1" t="str">
        <f ca="1">IFERROR(__xludf.DUMMYFUNCTION("GOOGLETRANSLATE(B1420,""en"",""ar"")"),"إنشاء GRN.")</f>
        <v>إنشاء GRN.</v>
      </c>
      <c r="D1420" s="1" t="str">
        <f ca="1">IFERROR(__xludf.DUMMYFUNCTION("GOOGLETRANSLATE(B1420,""en"",""zh-CN"")"),"创建grn.")</f>
        <v>创建grn.</v>
      </c>
      <c r="E1420" s="1" t="str">
        <f ca="1">IFERROR(__xludf.DUMMYFUNCTION("GOOGLETRANSLATE(B1420,""en"",""ja"")"),"grnを作成します")</f>
        <v>grnを作成します</v>
      </c>
      <c r="F1420" s="1" t="str">
        <f ca="1">IFERROR(__xludf.DUMMYFUNCTION("GOOGLETRANSLATE(B1420,""en"",""fr"")"),"Créer grn")</f>
        <v>Créer grn</v>
      </c>
    </row>
    <row r="1421" spans="1:6" ht="15.75" customHeight="1" x14ac:dyDescent="0.25">
      <c r="A1421" s="1" t="s">
        <v>2683</v>
      </c>
      <c r="B1421" s="1" t="s">
        <v>2684</v>
      </c>
      <c r="C1421" s="1" t="str">
        <f ca="1">IFERROR(__xludf.DUMMYFUNCTION("GOOGLETRANSLATE(B1421,""en"",""ar"")"),"قائمة البند GRN.")</f>
        <v>قائمة البند GRN.</v>
      </c>
      <c r="D1421" s="1" t="str">
        <f ca="1">IFERROR(__xludf.DUMMYFUNCTION("GOOGLETRANSLATE(B1421,""en"",""zh-CN"")"),"grn项目列表")</f>
        <v>grn项目列表</v>
      </c>
      <c r="E1421" s="1" t="str">
        <f ca="1">IFERROR(__xludf.DUMMYFUNCTION("GOOGLETRANSLATE(B1421,""en"",""ja"")"),"GRNアイテムリスト")</f>
        <v>GRNアイテムリスト</v>
      </c>
      <c r="F1421" s="1" t="str">
        <f ca="1">IFERROR(__xludf.DUMMYFUNCTION("GOOGLETRANSLATE(B1421,""en"",""fr"")"),"Liste des articles Grn")</f>
        <v>Liste des articles Grn</v>
      </c>
    </row>
    <row r="1422" spans="1:6" ht="15.75" customHeight="1" x14ac:dyDescent="0.25">
      <c r="A1422" s="1" t="s">
        <v>2685</v>
      </c>
      <c r="B1422" s="1" t="s">
        <v>2686</v>
      </c>
      <c r="C1422" s="1" t="str">
        <f ca="1">IFERROR(__xludf.DUMMYFUNCTION("GOOGLETRANSLATE(B1422,""en"",""ar"")"),"معرف GRN")</f>
        <v>معرف GRN</v>
      </c>
      <c r="D1422" s="1" t="str">
        <f ca="1">IFERROR(__xludf.DUMMYFUNCTION("GOOGLETRANSLATE(B1422,""en"",""zh-CN"")"),"GRN ID.")</f>
        <v>GRN ID.</v>
      </c>
      <c r="E1422" s="1" t="str">
        <f ca="1">IFERROR(__xludf.DUMMYFUNCTION("GOOGLETRANSLATE(B1422,""en"",""ja"")"),"grn id.")</f>
        <v>grn id.</v>
      </c>
      <c r="F1422" s="1" t="str">
        <f ca="1">IFERROR(__xludf.DUMMYFUNCTION("GOOGLETRANSLATE(B1422,""en"",""fr"")"),"ID Grn")</f>
        <v>ID Grn</v>
      </c>
    </row>
    <row r="1423" spans="1:6" ht="15.75" customHeight="1" x14ac:dyDescent="0.25">
      <c r="A1423" s="1" t="s">
        <v>2687</v>
      </c>
      <c r="B1423" s="1" t="s">
        <v>2688</v>
      </c>
      <c r="C1423" s="1" t="str">
        <f ca="1">IFERROR(__xludf.DUMMYFUNCTION("GOOGLETRANSLATE(B1423,""en"",""ar"")"),"جرن الكمية")</f>
        <v>جرن الكمية</v>
      </c>
      <c r="D1423" s="1" t="str">
        <f ca="1">IFERROR(__xludf.DUMMYFUNCTION("GOOGLETRANSLATE(B1423,""en"",""zh-CN"")"),"金数量")</f>
        <v>金数量</v>
      </c>
      <c r="E1423" s="1" t="str">
        <f ca="1">IFERROR(__xludf.DUMMYFUNCTION("GOOGLETRANSLATE(B1423,""en"",""ja"")"),"grn qty.")</f>
        <v>grn qty.</v>
      </c>
      <c r="F1423" s="1" t="str">
        <f ca="1">IFERROR(__xludf.DUMMYFUNCTION("GOOGLETRANSLATE(B1423,""en"",""fr"")"),"Grn qty")</f>
        <v>Grn qty</v>
      </c>
    </row>
    <row r="1424" spans="1:6" ht="15.75" customHeight="1" x14ac:dyDescent="0.25">
      <c r="A1424" s="1" t="s">
        <v>2689</v>
      </c>
      <c r="B1424" s="1" t="s">
        <v>2690</v>
      </c>
      <c r="C1424" s="1" t="str">
        <f ca="1">IFERROR(__xludf.DUMMYFUNCTION("GOOGLETRANSLATE(B1424,""en"",""ar"")"),"عرض GRN.")</f>
        <v>عرض GRN.</v>
      </c>
      <c r="D1424" s="1" t="str">
        <f ca="1">IFERROR(__xludf.DUMMYFUNCTION("GOOGLETRANSLATE(B1424,""en"",""zh-CN"")"),"GRN视图")</f>
        <v>GRN视图</v>
      </c>
      <c r="E1424" s="1" t="str">
        <f ca="1">IFERROR(__xludf.DUMMYFUNCTION("GOOGLETRANSLATE(B1424,""en"",""ja"")"),"GRNビュー")</f>
        <v>GRNビュー</v>
      </c>
      <c r="F1424" s="1" t="str">
        <f ca="1">IFERROR(__xludf.DUMMYFUNCTION("GOOGLETRANSLATE(B1424,""en"",""fr"")"),"Vue Grn")</f>
        <v>Vue Grn</v>
      </c>
    </row>
    <row r="1425" spans="1:6" ht="15.75" customHeight="1" x14ac:dyDescent="0.25">
      <c r="A1425" s="1" t="s">
        <v>2691</v>
      </c>
      <c r="B1425" s="1" t="s">
        <v>2692</v>
      </c>
      <c r="C1425" s="1" t="str">
        <f ca="1">IFERROR(__xludf.DUMMYFUNCTION("GOOGLETRANSLATE(B1425,""en"",""ar"")"),"لم يتم تعريف تاريخ GRN")</f>
        <v>لم يتم تعريف تاريخ GRN</v>
      </c>
      <c r="D1425" s="1" t="str">
        <f ca="1">IFERROR(__xludf.DUMMYFUNCTION("GOOGLETRANSLATE(B1425,""en"",""zh-CN"")"),"没有定义GRN日期")</f>
        <v>没有定义GRN日期</v>
      </c>
      <c r="E1425" s="1" t="str">
        <f ca="1">IFERROR(__xludf.DUMMYFUNCTION("GOOGLETRANSLATE(B1425,""en"",""ja"")"),"GRN日付は定義されていません")</f>
        <v>GRN日付は定義されていません</v>
      </c>
      <c r="F1425" s="1" t="str">
        <f ca="1">IFERROR(__xludf.DUMMYFUNCTION("GOOGLETRANSLATE(B1425,""en"",""fr"")"),"La date de grn n'est pas définie")</f>
        <v>La date de grn n'est pas définie</v>
      </c>
    </row>
    <row r="1426" spans="1:6" ht="15.75" customHeight="1" x14ac:dyDescent="0.25">
      <c r="A1426" s="1" t="s">
        <v>2693</v>
      </c>
      <c r="B1426" s="1" t="s">
        <v>2694</v>
      </c>
      <c r="C1426" s="1" t="str">
        <f ca="1">IFERROR(__xludf.DUMMYFUNCTION("GOOGLETRANSLATE(B1426,""en"",""ar"")"),"هل تريد تحرير هذا العنصر (")</f>
        <v>هل تريد تحرير هذا العنصر (</v>
      </c>
      <c r="D1426" s="1" t="str">
        <f ca="1">IFERROR(__xludf.DUMMYFUNCTION("GOOGLETRANSLATE(B1426,""en"",""zh-CN"")"),"你想编辑这个项目吗？")</f>
        <v>你想编辑这个项目吗？</v>
      </c>
      <c r="E1426" s="1" t="str">
        <f ca="1">IFERROR(__xludf.DUMMYFUNCTION("GOOGLETRANSLATE(B1426,""en"",""ja"")"),"このアイテムを編集しますか（")</f>
        <v>このアイテムを編集しますか（</v>
      </c>
      <c r="F1426" s="1" t="str">
        <f ca="1">IFERROR(__xludf.DUMMYFUNCTION("GOOGLETRANSLATE(B1426,""en"",""fr"")"),"Voulez-vous modifier cet article (")</f>
        <v>Voulez-vous modifier cet article (</v>
      </c>
    </row>
    <row r="1427" spans="1:6" ht="15.75" customHeight="1" x14ac:dyDescent="0.25">
      <c r="A1427" s="1" t="s">
        <v>2695</v>
      </c>
      <c r="B1427" s="1" t="s">
        <v>2696</v>
      </c>
      <c r="C1427" s="1" t="str">
        <f ca="1">IFERROR(__xludf.DUMMYFUNCTION("GOOGLETRANSLATE(B1427,""en"",""ar"")"),"هل تريد إزالة هذا العنصر (العناصر)؟")</f>
        <v>هل تريد إزالة هذا العنصر (العناصر)؟</v>
      </c>
      <c r="D1427" s="1" t="str">
        <f ca="1">IFERROR(__xludf.DUMMYFUNCTION("GOOGLETRANSLATE(B1427,""en"",""zh-CN"")"),"你想删除这个项目吗？")</f>
        <v>你想删除这个项目吗？</v>
      </c>
      <c r="E1427" s="1" t="str">
        <f ca="1">IFERROR(__xludf.DUMMYFUNCTION("GOOGLETRANSLATE(B1427,""en"",""ja"")"),"このアイテムを削除しますか？")</f>
        <v>このアイテムを削除しますか？</v>
      </c>
      <c r="F1427" s="1" t="str">
        <f ca="1">IFERROR(__xludf.DUMMYFUNCTION("GOOGLETRANSLATE(B1427,""en"",""fr"")"),"Voulez-vous supprimer cet article?")</f>
        <v>Voulez-vous supprimer cet article?</v>
      </c>
    </row>
    <row r="1428" spans="1:6" ht="15.75" customHeight="1" x14ac:dyDescent="0.25">
      <c r="A1428" s="1" t="s">
        <v>2697</v>
      </c>
      <c r="B1428" s="1" t="s">
        <v>2698</v>
      </c>
      <c r="C1428" s="1" t="str">
        <f ca="1">IFERROR(__xludf.DUMMYFUNCTION("GOOGLETRANSLATE(B1428,""en"",""ar"")"),"هل تريد إضافة هذا المخزون؟")</f>
        <v>هل تريد إضافة هذا المخزون؟</v>
      </c>
      <c r="D1428" s="1" t="str">
        <f ca="1">IFERROR(__xludf.DUMMYFUNCTION("GOOGLETRANSLATE(B1428,""en"",""zh-CN"")"),"你想加这个股票吗？")</f>
        <v>你想加这个股票吗？</v>
      </c>
      <c r="E1428" s="1" t="str">
        <f ca="1">IFERROR(__xludf.DUMMYFUNCTION("GOOGLETRANSLATE(B1428,""en"",""ja"")"),"この在庫を追加しますか？")</f>
        <v>この在庫を追加しますか？</v>
      </c>
      <c r="F1428" s="1" t="str">
        <f ca="1">IFERROR(__xludf.DUMMYFUNCTION("GOOGLETRANSLATE(B1428,""en"",""fr"")"),"Voulez-vous ajouter ce stock?")</f>
        <v>Voulez-vous ajouter ce stock?</v>
      </c>
    </row>
    <row r="1429" spans="1:6" ht="15.75" customHeight="1" x14ac:dyDescent="0.25">
      <c r="A1429" s="1" t="s">
        <v>2699</v>
      </c>
      <c r="B1429" s="1" t="s">
        <v>2700</v>
      </c>
      <c r="C1429" s="1" t="str">
        <f ca="1">IFERROR(__xludf.DUMMYFUNCTION("GOOGLETRANSLATE(B1429,""en"",""ar"")"),"هل ترغب في الخروج دون إكمال المهمة السابقة؟")</f>
        <v>هل ترغب في الخروج دون إكمال المهمة السابقة؟</v>
      </c>
      <c r="D1429" s="1" t="str">
        <f ca="1">IFERROR(__xludf.DUMMYFUNCTION("GOOGLETRANSLATE(B1429,""en"",""zh-CN"")"),"您是否想在不完成以前的任务时退出？")</f>
        <v>您是否想在不完成以前的任务时退出？</v>
      </c>
      <c r="E1429" s="1" t="str">
        <f ca="1">IFERROR(__xludf.DUMMYFUNCTION("GOOGLETRANSLATE(B1429,""en"",""ja"")"),"以前のタスクを完了せずに終了しますか？")</f>
        <v>以前のタスクを完了せずに終了しますか？</v>
      </c>
      <c r="F1429" s="1" t="str">
        <f ca="1">IFERROR(__xludf.DUMMYFUNCTION("GOOGLETRANSLATE(B1429,""en"",""fr"")"),"Voulez-vous quitter sans terminer la tâche précédente?")</f>
        <v>Voulez-vous quitter sans terminer la tâche précédente?</v>
      </c>
    </row>
    <row r="1430" spans="1:6" ht="15.75" customHeight="1" x14ac:dyDescent="0.25">
      <c r="A1430" s="1" t="s">
        <v>2701</v>
      </c>
      <c r="B1430" s="1" t="s">
        <v>2702</v>
      </c>
      <c r="C1430" s="1" t="str">
        <f ca="1">IFERROR(__xludf.DUMMYFUNCTION("GOOGLETRANSLATE(B1430,""en"",""ar"")"),"ملاحظات جيدة وردت (GRN)")</f>
        <v>ملاحظات جيدة وردت (GRN)</v>
      </c>
      <c r="D1430" s="1" t="str">
        <f ca="1">IFERROR(__xludf.DUMMYFUNCTION("GOOGLETRANSLATE(B1430,""en"",""zh-CN"")"),"良好的收到笔记（GRN）")</f>
        <v>良好的收到笔记（GRN）</v>
      </c>
      <c r="E1430" s="1" t="str">
        <f ca="1">IFERROR(__xludf.DUMMYFUNCTION("GOOGLETRANSLATE(B1430,""en"",""ja"")"),"良い受信ノート（GRN）")</f>
        <v>良い受信ノート（GRN）</v>
      </c>
      <c r="F1430" s="1" t="str">
        <f ca="1">IFERROR(__xludf.DUMMYFUNCTION("GOOGLETRANSLATE(B1430,""en"",""fr"")"),"Bonnes notes reçues (Grn)")</f>
        <v>Bonnes notes reçues (Grn)</v>
      </c>
    </row>
    <row r="1431" spans="1:6" ht="15.75" customHeight="1" x14ac:dyDescent="0.25">
      <c r="A1431" s="1" t="s">
        <v>2703</v>
      </c>
      <c r="B1431" s="1" t="s">
        <v>2704</v>
      </c>
      <c r="C1431" s="1" t="str">
        <f ca="1">IFERROR(__xludf.DUMMYFUNCTION("GOOGLETRANSLATE(B1431,""en"",""ar"")"),"قائمة تعديل الأسهم")</f>
        <v>قائمة تعديل الأسهم</v>
      </c>
      <c r="D1431" s="1" t="str">
        <f ca="1">IFERROR(__xludf.DUMMYFUNCTION("GOOGLETRANSLATE(B1431,""en"",""zh-CN"")"),"库存调整项目清单")</f>
        <v>库存调整项目清单</v>
      </c>
      <c r="E1431" s="1" t="str">
        <f ca="1">IFERROR(__xludf.DUMMYFUNCTION("GOOGLETRANSLATE(B1431,""en"",""ja"")"),"在庫調整項目リスト")</f>
        <v>在庫調整項目リスト</v>
      </c>
      <c r="F1431" s="1" t="str">
        <f ca="1">IFERROR(__xludf.DUMMYFUNCTION("GOOGLETRANSLATE(B1431,""en"",""fr"")"),"Liste des éléments de réglage des stocks")</f>
        <v>Liste des éléments de réglage des stocks</v>
      </c>
    </row>
    <row r="1432" spans="1:6" ht="15.75" customHeight="1" x14ac:dyDescent="0.25">
      <c r="A1432" s="1" t="s">
        <v>2705</v>
      </c>
      <c r="B1432" s="1" t="s">
        <v>2706</v>
      </c>
      <c r="C1432" s="1" t="str">
        <f ca="1">IFERROR(__xludf.DUMMYFUNCTION("GOOGLETRANSLATE(B1432,""en"",""ar"")"),"تعديلات الأسهم")</f>
        <v>تعديلات الأسهم</v>
      </c>
      <c r="D1432" s="1" t="str">
        <f ca="1">IFERROR(__xludf.DUMMYFUNCTION("GOOGLETRANSLATE(B1432,""en"",""zh-CN"")"),"库存调整")</f>
        <v>库存调整</v>
      </c>
      <c r="E1432" s="1" t="str">
        <f ca="1">IFERROR(__xludf.DUMMYFUNCTION("GOOGLETRANSLATE(B1432,""en"",""ja"")"),"在庫調整")</f>
        <v>在庫調整</v>
      </c>
      <c r="F1432" s="1" t="str">
        <f ca="1">IFERROR(__xludf.DUMMYFUNCTION("GOOGLETRANSLATE(B1432,""en"",""fr"")"),"Réglages des stocks")</f>
        <v>Réglages des stocks</v>
      </c>
    </row>
    <row r="1433" spans="1:6" ht="15.75" customHeight="1" x14ac:dyDescent="0.25">
      <c r="A1433" s="1" t="s">
        <v>2707</v>
      </c>
      <c r="B1433" s="1" t="s">
        <v>2708</v>
      </c>
      <c r="C1433" s="1" t="str">
        <f ca="1">IFERROR(__xludf.DUMMYFUNCTION("GOOGLETRANSLATE(B1433,""en"",""ar"")"),"التعديل الأسهم")</f>
        <v>التعديل الأسهم</v>
      </c>
      <c r="D1433" s="1" t="str">
        <f ca="1">IFERROR(__xludf.DUMMYFUNCTION("GOOGLETRANSLATE(B1433,""en"",""zh-CN"")"),"库存调整")</f>
        <v>库存调整</v>
      </c>
      <c r="E1433" s="1" t="str">
        <f ca="1">IFERROR(__xludf.DUMMYFUNCTION("GOOGLETRANSLATE(B1433,""en"",""ja"")"),"在庫調整")</f>
        <v>在庫調整</v>
      </c>
      <c r="F1433" s="1" t="str">
        <f ca="1">IFERROR(__xludf.DUMMYFUNCTION("GOOGLETRANSLATE(B1433,""en"",""fr"")"),"Ajustement des stocks")</f>
        <v>Ajustement des stocks</v>
      </c>
    </row>
    <row r="1434" spans="1:6" ht="15.75" customHeight="1" x14ac:dyDescent="0.25">
      <c r="A1434" s="1" t="s">
        <v>2709</v>
      </c>
      <c r="B1434" s="1" t="s">
        <v>2710</v>
      </c>
      <c r="C1434" s="1" t="str">
        <f ca="1">IFERROR(__xludf.DUMMYFUNCTION("GOOGLETRANSLATE(B1434,""en"",""ar"")"),"إنشاء تعديل الأسهم")</f>
        <v>إنشاء تعديل الأسهم</v>
      </c>
      <c r="D1434" s="1" t="str">
        <f ca="1">IFERROR(__xludf.DUMMYFUNCTION("GOOGLETRANSLATE(B1434,""en"",""zh-CN"")"),"创建库存调整")</f>
        <v>创建库存调整</v>
      </c>
      <c r="E1434" s="1" t="str">
        <f ca="1">IFERROR(__xludf.DUMMYFUNCTION("GOOGLETRANSLATE(B1434,""en"",""ja"")"),"在庫調整を作成します")</f>
        <v>在庫調整を作成します</v>
      </c>
      <c r="F1434" s="1" t="str">
        <f ca="1">IFERROR(__xludf.DUMMYFUNCTION("GOOGLETRANSLATE(B1434,""en"",""fr"")"),"Créer un ajustement des stocks")</f>
        <v>Créer un ajustement des stocks</v>
      </c>
    </row>
    <row r="1435" spans="1:6" ht="15.75" customHeight="1" x14ac:dyDescent="0.25">
      <c r="A1435" s="1" t="s">
        <v>2711</v>
      </c>
      <c r="B1435" s="1" t="s">
        <v>2712</v>
      </c>
      <c r="C1435" s="1" t="str">
        <f ca="1">IFERROR(__xludf.DUMMYFUNCTION("GOOGLETRANSLATE(B1435,""en"",""ar"")"),"تحرير سا البند")</f>
        <v>تحرير سا البند</v>
      </c>
      <c r="D1435" s="1" t="str">
        <f ca="1">IFERROR(__xludf.DUMMYFUNCTION("GOOGLETRANSLATE(B1435,""en"",""zh-CN"")"),"编辑SA项目")</f>
        <v>编辑SA项目</v>
      </c>
      <c r="E1435" s="1" t="str">
        <f ca="1">IFERROR(__xludf.DUMMYFUNCTION("GOOGLETRANSLATE(B1435,""en"",""ja"")"),"SA項目を編集します")</f>
        <v>SA項目を編集します</v>
      </c>
      <c r="F1435" s="1" t="str">
        <f ca="1">IFERROR(__xludf.DUMMYFUNCTION("GOOGLETRANSLATE(B1435,""en"",""fr"")"),"Edit SA Item")</f>
        <v>Edit SA Item</v>
      </c>
    </row>
    <row r="1436" spans="1:6" ht="15.75" customHeight="1" x14ac:dyDescent="0.25">
      <c r="A1436" s="1" t="s">
        <v>2713</v>
      </c>
      <c r="B1436" s="1" t="s">
        <v>2714</v>
      </c>
      <c r="C1436" s="1" t="str">
        <f ca="1">IFERROR(__xludf.DUMMYFUNCTION("GOOGLETRANSLATE(B1436,""en"",""ar"")"),"تحرير تعديل الأسهم")</f>
        <v>تحرير تعديل الأسهم</v>
      </c>
      <c r="D1436" s="1" t="str">
        <f ca="1">IFERROR(__xludf.DUMMYFUNCTION("GOOGLETRANSLATE(B1436,""en"",""zh-CN"")"),"编辑股票调整")</f>
        <v>编辑股票调整</v>
      </c>
      <c r="E1436" s="1" t="str">
        <f ca="1">IFERROR(__xludf.DUMMYFUNCTION("GOOGLETRANSLATE(B1436,""en"",""ja"")"),"在庫調整を編集します")</f>
        <v>在庫調整を編集します</v>
      </c>
      <c r="F1436" s="1" t="str">
        <f ca="1">IFERROR(__xludf.DUMMYFUNCTION("GOOGLETRANSLATE(B1436,""en"",""fr"")"),"Modifier le réglage des stocks")</f>
        <v>Modifier le réglage des stocks</v>
      </c>
    </row>
    <row r="1437" spans="1:6" ht="15.75" customHeight="1" x14ac:dyDescent="0.25">
      <c r="A1437" s="1" t="s">
        <v>2715</v>
      </c>
      <c r="B1437" s="1" t="s">
        <v>2694</v>
      </c>
      <c r="C1437" s="1" t="str">
        <f ca="1">IFERROR(__xludf.DUMMYFUNCTION("GOOGLETRANSLATE(B1437,""en"",""ar"")"),"هل تريد تحرير هذا العنصر (")</f>
        <v>هل تريد تحرير هذا العنصر (</v>
      </c>
      <c r="D1437" s="1" t="str">
        <f ca="1">IFERROR(__xludf.DUMMYFUNCTION("GOOGLETRANSLATE(B1437,""en"",""zh-CN"")"),"你想编辑这个项目吗？")</f>
        <v>你想编辑这个项目吗？</v>
      </c>
      <c r="E1437" s="1" t="str">
        <f ca="1">IFERROR(__xludf.DUMMYFUNCTION("GOOGLETRANSLATE(B1437,""en"",""ja"")"),"このアイテムを編集しますか（")</f>
        <v>このアイテムを編集しますか（</v>
      </c>
      <c r="F1437" s="1" t="str">
        <f ca="1">IFERROR(__xludf.DUMMYFUNCTION("GOOGLETRANSLATE(B1437,""en"",""fr"")"),"Voulez-vous modifier cet article (")</f>
        <v>Voulez-vous modifier cet article (</v>
      </c>
    </row>
    <row r="1438" spans="1:6" ht="15.75" customHeight="1" x14ac:dyDescent="0.25">
      <c r="A1438" s="1" t="s">
        <v>2716</v>
      </c>
      <c r="B1438" s="1" t="s">
        <v>2717</v>
      </c>
      <c r="C1438" s="1" t="str">
        <f ca="1">IFERROR(__xludf.DUMMYFUNCTION("GOOGLETRANSLATE(B1438,""en"",""ar"")"),"هل أنت متأكد من أنك تريد تحرير تعديل المخزون هذا؟")</f>
        <v>هل أنت متأكد من أنك تريد تحرير تعديل المخزون هذا؟</v>
      </c>
      <c r="D1438" s="1" t="str">
        <f ca="1">IFERROR(__xludf.DUMMYFUNCTION("GOOGLETRANSLATE(B1438,""en"",""zh-CN"")"),"你肯定想编辑这个股票调整吗？")</f>
        <v>你肯定想编辑这个股票调整吗？</v>
      </c>
      <c r="E1438" s="1" t="str">
        <f ca="1">IFERROR(__xludf.DUMMYFUNCTION("GOOGLETRANSLATE(B1438,""en"",""ja"")"),"あなたは確かにこの在庫調整を編集したいですか？")</f>
        <v>あなたは確かにこの在庫調整を編集したいですか？</v>
      </c>
      <c r="F1438" s="1" t="str">
        <f ca="1">IFERROR(__xludf.DUMMYFUNCTION("GOOGLETRANSLATE(B1438,""en"",""fr"")"),"Êtes-vous sûr que vous voulez éditer cet ajustement des stocks?")</f>
        <v>Êtes-vous sûr que vous voulez éditer cet ajustement des stocks?</v>
      </c>
    </row>
    <row r="1439" spans="1:6" ht="15.75" customHeight="1" x14ac:dyDescent="0.25">
      <c r="A1439" s="1" t="s">
        <v>2718</v>
      </c>
      <c r="B1439" s="1" t="s">
        <v>2719</v>
      </c>
      <c r="C1439" s="1" t="str">
        <f ca="1">IFERROR(__xludf.DUMMYFUNCTION("GOOGLETRANSLATE(B1439,""en"",""ar"")"),"إزالة صنف البند (ق)")</f>
        <v>إزالة صنف البند (ق)</v>
      </c>
      <c r="D1439" s="1" t="str">
        <f ca="1">IFERROR(__xludf.DUMMYFUNCTION("GOOGLETRANSLATE(B1439,""en"",""zh-CN"")"),"删除SA项目")</f>
        <v>删除SA项目</v>
      </c>
      <c r="E1439" s="1" t="str">
        <f ca="1">IFERROR(__xludf.DUMMYFUNCTION("GOOGLETRANSLATE(B1439,""en"",""ja"")"),"SA項目を削除する")</f>
        <v>SA項目を削除する</v>
      </c>
      <c r="F1439" s="1" t="str">
        <f ca="1">IFERROR(__xludf.DUMMYFUNCTION("GOOGLETRANSLATE(B1439,""en"",""fr"")"),"Supprimer SA Article (s)")</f>
        <v>Supprimer SA Article (s)</v>
      </c>
    </row>
    <row r="1440" spans="1:6" ht="15.75" customHeight="1" x14ac:dyDescent="0.25">
      <c r="A1440" s="1" t="s">
        <v>2720</v>
      </c>
      <c r="B1440" s="1" t="s">
        <v>2696</v>
      </c>
      <c r="C1440" s="1" t="str">
        <f ca="1">IFERROR(__xludf.DUMMYFUNCTION("GOOGLETRANSLATE(B1440,""en"",""ar"")"),"هل تريد إزالة هذا العنصر (العناصر)؟")</f>
        <v>هل تريد إزالة هذا العنصر (العناصر)؟</v>
      </c>
      <c r="D1440" s="1" t="str">
        <f ca="1">IFERROR(__xludf.DUMMYFUNCTION("GOOGLETRANSLATE(B1440,""en"",""zh-CN"")"),"你想删除这个项目吗？")</f>
        <v>你想删除这个项目吗？</v>
      </c>
      <c r="E1440" s="1" t="str">
        <f ca="1">IFERROR(__xludf.DUMMYFUNCTION("GOOGLETRANSLATE(B1440,""en"",""ja"")"),"このアイテムを削除しますか？")</f>
        <v>このアイテムを削除しますか？</v>
      </c>
      <c r="F1440" s="1" t="str">
        <f ca="1">IFERROR(__xludf.DUMMYFUNCTION("GOOGLETRANSLATE(B1440,""en"",""fr"")"),"Voulez-vous supprimer cet article?")</f>
        <v>Voulez-vous supprimer cet article?</v>
      </c>
    </row>
    <row r="1441" spans="1:6" ht="15.75" customHeight="1" x14ac:dyDescent="0.25">
      <c r="A1441" s="1" t="s">
        <v>2721</v>
      </c>
      <c r="B1441" s="1" t="s">
        <v>2722</v>
      </c>
      <c r="C1441" s="1" t="str">
        <f ca="1">IFERROR(__xludf.DUMMYFUNCTION("GOOGLETRANSLATE(B1441,""en"",""ar"")"),"هل ترغب في تقديم هذا sa؟")</f>
        <v>هل ترغب في تقديم هذا sa؟</v>
      </c>
      <c r="D1441" s="1" t="str">
        <f ca="1">IFERROR(__xludf.DUMMYFUNCTION("GOOGLETRANSLATE(B1441,""en"",""zh-CN"")"),"你想提交这个sa吗？")</f>
        <v>你想提交这个sa吗？</v>
      </c>
      <c r="E1441" s="1" t="str">
        <f ca="1">IFERROR(__xludf.DUMMYFUNCTION("GOOGLETRANSLATE(B1441,""en"",""ja"")"),"このSAを送信しますか？")</f>
        <v>このSAを送信しますか？</v>
      </c>
      <c r="F1441" s="1" t="str">
        <f ca="1">IFERROR(__xludf.DUMMYFUNCTION("GOOGLETRANSLATE(B1441,""en"",""fr"")"),"Voulez-vous soumettre cette SA?")</f>
        <v>Voulez-vous soumettre cette SA?</v>
      </c>
    </row>
    <row r="1442" spans="1:6" ht="15.75" customHeight="1" x14ac:dyDescent="0.25">
      <c r="A1442" s="1" t="s">
        <v>2723</v>
      </c>
      <c r="B1442" s="1" t="s">
        <v>2724</v>
      </c>
      <c r="C1442" s="1" t="str">
        <f ca="1">IFERROR(__xludf.DUMMYFUNCTION("GOOGLETRANSLATE(B1442,""en"",""ar"")"),"هل تريد بالتأكيد أن تقدم SA؟")</f>
        <v>هل تريد بالتأكيد أن تقدم SA؟</v>
      </c>
      <c r="D1442" s="1" t="str">
        <f ca="1">IFERROR(__xludf.DUMMYFUNCTION("GOOGLETRANSLATE(B1442,""en"",""zh-CN"")"),"你肯定想提交sa吗？")</f>
        <v>你肯定想提交sa吗？</v>
      </c>
      <c r="E1442" s="1" t="str">
        <f ca="1">IFERROR(__xludf.DUMMYFUNCTION("GOOGLETRANSLATE(B1442,""en"",""ja"")"),"SAを提出したいですか？")</f>
        <v>SAを提出したいですか？</v>
      </c>
      <c r="F1442" s="1" t="str">
        <f ca="1">IFERROR(__xludf.DUMMYFUNCTION("GOOGLETRANSLATE(B1442,""en"",""fr"")"),"Voulez-vous sûr que vous soumettez SA?")</f>
        <v>Voulez-vous sûr que vous soumettez SA?</v>
      </c>
    </row>
    <row r="1443" spans="1:6" ht="15.75" customHeight="1" x14ac:dyDescent="0.25">
      <c r="A1443" s="1" t="s">
        <v>2725</v>
      </c>
      <c r="B1443" s="1" t="s">
        <v>2726</v>
      </c>
      <c r="C1443" s="1" t="str">
        <f ca="1">IFERROR(__xludf.DUMMYFUNCTION("GOOGLETRANSLATE(B1443,""en"",""ar"")"),"أرسل شركة سا")</f>
        <v>أرسل شركة سا</v>
      </c>
      <c r="D1443" s="1" t="str">
        <f ca="1">IFERROR(__xludf.DUMMYFUNCTION("GOOGLETRANSLATE(B1443,""en"",""zh-CN"")"),"提交SA")</f>
        <v>提交SA</v>
      </c>
      <c r="E1443" s="1" t="str">
        <f ca="1">IFERROR(__xludf.DUMMYFUNCTION("GOOGLETRANSLATE(B1443,""en"",""ja"")"),"サブサブサブ")</f>
        <v>サブサブサブ</v>
      </c>
      <c r="F1443" s="1" t="str">
        <f ca="1">IFERROR(__xludf.DUMMYFUNCTION("GOOGLETRANSLATE(B1443,""en"",""fr"")"),"Soumettre sa")</f>
        <v>Soumettre sa</v>
      </c>
    </row>
    <row r="1444" spans="1:6" ht="15.75" customHeight="1" x14ac:dyDescent="0.25">
      <c r="A1444" s="1" t="s">
        <v>2727</v>
      </c>
      <c r="B1444" s="1" t="s">
        <v>2728</v>
      </c>
      <c r="C1444" s="1" t="str">
        <f ca="1">IFERROR(__xludf.DUMMYFUNCTION("GOOGLETRANSLATE(B1444,""en"",""ar"")"),"التعديل الأسهم")</f>
        <v>التعديل الأسهم</v>
      </c>
      <c r="D1444" s="1" t="str">
        <f ca="1">IFERROR(__xludf.DUMMYFUNCTION("GOOGLETRANSLATE(B1444,""en"",""zh-CN"")"),"库存调整")</f>
        <v>库存调整</v>
      </c>
      <c r="E1444" s="1" t="str">
        <f ca="1">IFERROR(__xludf.DUMMYFUNCTION("GOOGLETRANSLATE(B1444,""en"",""ja"")"),"在庫調整")</f>
        <v>在庫調整</v>
      </c>
      <c r="F1444" s="1" t="str">
        <f ca="1">IFERROR(__xludf.DUMMYFUNCTION("GOOGLETRANSLATE(B1444,""en"",""fr"")"),"Ajustement des stocks")</f>
        <v>Ajustement des stocks</v>
      </c>
    </row>
    <row r="1445" spans="1:6" ht="15.75" customHeight="1" x14ac:dyDescent="0.25">
      <c r="A1445" s="1" t="s">
        <v>2729</v>
      </c>
      <c r="B1445" s="1" t="s">
        <v>2730</v>
      </c>
      <c r="C1445" s="1" t="str">
        <f ca="1">IFERROR(__xludf.DUMMYFUNCTION("GOOGLETRANSLATE(B1445,""en"",""ar"")"),"اختر صنف")</f>
        <v>اختر صنف</v>
      </c>
      <c r="D1445" s="1" t="str">
        <f ca="1">IFERROR(__xludf.DUMMYFUNCTION("GOOGLETRANSLATE(B1445,""en"",""zh-CN"")"),"选择类型")</f>
        <v>选择类型</v>
      </c>
      <c r="E1445" s="1" t="str">
        <f ca="1">IFERROR(__xludf.DUMMYFUNCTION("GOOGLETRANSLATE(B1445,""en"",""ja"")"),"タイプを選択")</f>
        <v>タイプを選択</v>
      </c>
      <c r="F1445" s="1" t="str">
        <f ca="1">IFERROR(__xludf.DUMMYFUNCTION("GOOGLETRANSLATE(B1445,""en"",""fr"")"),"Sélectionner le genre")</f>
        <v>Sélectionner le genre</v>
      </c>
    </row>
    <row r="1446" spans="1:6" ht="15.75" customHeight="1" x14ac:dyDescent="0.25">
      <c r="A1446" s="1" t="s">
        <v>2731</v>
      </c>
      <c r="B1446" s="1" t="s">
        <v>2732</v>
      </c>
      <c r="C1446" s="1" t="str">
        <f ca="1">IFERROR(__xludf.DUMMYFUNCTION("GOOGLETRANSLATE(B1446,""en"",""ar"")"),"اختر السبب")</f>
        <v>اختر السبب</v>
      </c>
      <c r="D1446" s="1" t="str">
        <f ca="1">IFERROR(__xludf.DUMMYFUNCTION("GOOGLETRANSLATE(B1446,""en"",""zh-CN"")"),"选择原因")</f>
        <v>选择原因</v>
      </c>
      <c r="E1446" s="1" t="str">
        <f ca="1">IFERROR(__xludf.DUMMYFUNCTION("GOOGLETRANSLATE(B1446,""en"",""ja"")"),"理由を選択してください")</f>
        <v>理由を選択してください</v>
      </c>
      <c r="F1446" s="1" t="str">
        <f ca="1">IFERROR(__xludf.DUMMYFUNCTION("GOOGLETRANSLATE(B1446,""en"",""fr"")"),"Sélectionnez une raison")</f>
        <v>Sélectionnez une raison</v>
      </c>
    </row>
    <row r="1447" spans="1:6" ht="15.75" customHeight="1" x14ac:dyDescent="0.25">
      <c r="A1447" s="1" t="s">
        <v>2733</v>
      </c>
      <c r="B1447" s="1" t="s">
        <v>2734</v>
      </c>
      <c r="C1447" s="1" t="str">
        <f ca="1">IFERROR(__xludf.DUMMYFUNCTION("GOOGLETRANSLATE(B1447,""en"",""ar"")"),"البحث SA.")</f>
        <v>البحث SA.</v>
      </c>
      <c r="D1447" s="1" t="str">
        <f ca="1">IFERROR(__xludf.DUMMYFUNCTION("GOOGLETRANSLATE(B1447,""en"",""zh-CN"")"),"搜索SA.")</f>
        <v>搜索SA.</v>
      </c>
      <c r="E1447" s="1" t="str">
        <f ca="1">IFERROR(__xludf.DUMMYFUNCTION("GOOGLETRANSLATE(B1447,""en"",""ja"")"),"Saを検索")</f>
        <v>Saを検索</v>
      </c>
      <c r="F1447" s="1" t="str">
        <f ca="1">IFERROR(__xludf.DUMMYFUNCTION("GOOGLETRANSLATE(B1447,""en"",""fr"")"),"Search SA")</f>
        <v>Search SA</v>
      </c>
    </row>
    <row r="1448" spans="1:6" ht="15.75" customHeight="1" x14ac:dyDescent="0.25">
      <c r="A1448" s="1" t="s">
        <v>2735</v>
      </c>
      <c r="B1448" s="1" t="s">
        <v>2736</v>
      </c>
      <c r="C1448" s="1" t="str">
        <f ca="1">IFERROR(__xludf.DUMMYFUNCTION("GOOGLETRANSLATE(B1448,""en"",""ar"")"),"إنشاء SA.")</f>
        <v>إنشاء SA.</v>
      </c>
      <c r="D1448" s="1" t="str">
        <f ca="1">IFERROR(__xludf.DUMMYFUNCTION("GOOGLETRANSLATE(B1448,""en"",""zh-CN"")"),"创建SA.")</f>
        <v>创建SA.</v>
      </c>
      <c r="E1448" s="1" t="str">
        <f ca="1">IFERROR(__xludf.DUMMYFUNCTION("GOOGLETRANSLATE(B1448,""en"",""ja"")"),"サラを作成する")</f>
        <v>サラを作成する</v>
      </c>
      <c r="F1448" s="1" t="str">
        <f ca="1">IFERROR(__xludf.DUMMYFUNCTION("GOOGLETRANSLATE(B1448,""en"",""fr"")"),"Créer sa")</f>
        <v>Créer sa</v>
      </c>
    </row>
    <row r="1449" spans="1:6" ht="15.75" customHeight="1" x14ac:dyDescent="0.25">
      <c r="A1449" s="1" t="s">
        <v>2737</v>
      </c>
      <c r="B1449" s="1" t="s">
        <v>2738</v>
      </c>
      <c r="C1449" s="1" t="str">
        <f ca="1">IFERROR(__xludf.DUMMYFUNCTION("GOOGLETRANSLATE(B1449,""en"",""ar"")"),"كمية التعديل لا يمكن أن تتجاوز الكمية الحالية الحالية")</f>
        <v>كمية التعديل لا يمكن أن تتجاوز الكمية الحالية الحالية</v>
      </c>
      <c r="D1449" s="1" t="str">
        <f ca="1">IFERROR(__xludf.DUMMYFUNCTION("GOOGLETRANSLATE(B1449,""en"",""zh-CN"")"),"调整数量不能超过当前的数量")</f>
        <v>调整数量不能超过当前的数量</v>
      </c>
      <c r="E1449" s="1" t="str">
        <f ca="1">IFERROR(__xludf.DUMMYFUNCTION("GOOGLETRANSLATE(B1449,""en"",""ja"")"),"調整量は現在の数量を超えることはできません")</f>
        <v>調整量は現在の数量を超えることはできません</v>
      </c>
      <c r="F1449" s="1" t="str">
        <f ca="1">IFERROR(__xludf.DUMMYFUNCTION("GOOGLETRANSLATE(B1449,""en"",""fr"")"),"La quantité de réglage ne peut pas dépasser la quantité actuelle en main")</f>
        <v>La quantité de réglage ne peut pas dépasser la quantité actuelle en main</v>
      </c>
    </row>
    <row r="1450" spans="1:6" ht="15.75" customHeight="1" x14ac:dyDescent="0.25">
      <c r="A1450" s="1" t="s">
        <v>2739</v>
      </c>
      <c r="B1450" s="1" t="s">
        <v>2740</v>
      </c>
      <c r="C1450" s="1" t="str">
        <f ca="1">IFERROR(__xludf.DUMMYFUNCTION("GOOGLETRANSLATE(B1450,""en"",""ar"")"),"تاريخ تاريخ")</f>
        <v>تاريخ تاريخ</v>
      </c>
      <c r="D1450" s="1" t="str">
        <f ca="1">IFERROR(__xludf.DUMMYFUNCTION("GOOGLETRANSLATE(B1450,""en"",""zh-CN"")"),"SA日期")</f>
        <v>SA日期</v>
      </c>
      <c r="E1450" s="1" t="str">
        <f ca="1">IFERROR(__xludf.DUMMYFUNCTION("GOOGLETRANSLATE(B1450,""en"",""ja"")"),"SA日付")</f>
        <v>SA日付</v>
      </c>
      <c r="F1450" s="1" t="str">
        <f ca="1">IFERROR(__xludf.DUMMYFUNCTION("GOOGLETRANSLATE(B1450,""en"",""fr"")"),"SA DATE")</f>
        <v>SA DATE</v>
      </c>
    </row>
    <row r="1451" spans="1:6" ht="15.75" customHeight="1" x14ac:dyDescent="0.25">
      <c r="A1451" s="1" t="s">
        <v>2741</v>
      </c>
      <c r="B1451" s="1" t="s">
        <v>763</v>
      </c>
      <c r="C1451" s="1" t="str">
        <f ca="1">IFERROR(__xludf.DUMMYFUNCTION("GOOGLETRANSLATE(B1451,""en"",""ar"")"),"سبب")</f>
        <v>سبب</v>
      </c>
      <c r="D1451" s="1" t="str">
        <f ca="1">IFERROR(__xludf.DUMMYFUNCTION("GOOGLETRANSLATE(B1451,""en"",""zh-CN"")"),"原因")</f>
        <v>原因</v>
      </c>
      <c r="E1451" s="1" t="str">
        <f ca="1">IFERROR(__xludf.DUMMYFUNCTION("GOOGLETRANSLATE(B1451,""en"",""ja"")"),"理由")</f>
        <v>理由</v>
      </c>
      <c r="F1451" s="1" t="str">
        <f ca="1">IFERROR(__xludf.DUMMYFUNCTION("GOOGLETRANSLATE(B1451,""en"",""fr"")"),"Raison")</f>
        <v>Raison</v>
      </c>
    </row>
    <row r="1452" spans="1:6" ht="15.75" customHeight="1" x14ac:dyDescent="0.25">
      <c r="A1452" s="1" t="s">
        <v>2742</v>
      </c>
      <c r="B1452" s="1" t="s">
        <v>180</v>
      </c>
      <c r="C1452" s="1" t="str">
        <f ca="1">IFERROR(__xludf.DUMMYFUNCTION("GOOGLETRANSLATE(B1452,""en"",""ar"")"),"الكمية")</f>
        <v>الكمية</v>
      </c>
      <c r="D1452" s="1" t="str">
        <f ca="1">IFERROR(__xludf.DUMMYFUNCTION("GOOGLETRANSLATE(B1452,""en"",""zh-CN"")"),"QTY.")</f>
        <v>QTY.</v>
      </c>
      <c r="E1452" s="1" t="str">
        <f ca="1">IFERROR(__xludf.DUMMYFUNCTION("GOOGLETRANSLATE(B1452,""en"",""ja"")"),"q")</f>
        <v>q</v>
      </c>
      <c r="F1452" s="1" t="str">
        <f ca="1">IFERROR(__xludf.DUMMYFUNCTION("GOOGLETRANSLATE(B1452,""en"",""fr"")"),"Quantité")</f>
        <v>Quantité</v>
      </c>
    </row>
    <row r="1453" spans="1:6" ht="15.75" customHeight="1" x14ac:dyDescent="0.25">
      <c r="A1453" s="1" t="s">
        <v>2743</v>
      </c>
      <c r="B1453" s="1" t="s">
        <v>2744</v>
      </c>
      <c r="C1453" s="1" t="str">
        <f ca="1">IFERROR(__xludf.DUMMYFUNCTION("GOOGLETRANSLATE(B1453,""en"",""ar"")"),"رقم سا")</f>
        <v>رقم سا</v>
      </c>
      <c r="D1453" s="1" t="str">
        <f ca="1">IFERROR(__xludf.DUMMYFUNCTION("GOOGLETRANSLATE(B1453,""en"",""zh-CN"")"),"SA号码")</f>
        <v>SA号码</v>
      </c>
      <c r="E1453" s="1" t="str">
        <f ca="1">IFERROR(__xludf.DUMMYFUNCTION("GOOGLETRANSLATE(B1453,""en"",""ja"")"),"SA番号")</f>
        <v>SA番号</v>
      </c>
      <c r="F1453" s="1" t="str">
        <f ca="1">IFERROR(__xludf.DUMMYFUNCTION("GOOGLETRANSLATE(B1453,""en"",""fr"")"),"SA Numéro")</f>
        <v>SA Numéro</v>
      </c>
    </row>
    <row r="1454" spans="1:6" ht="15.75" customHeight="1" x14ac:dyDescent="0.25">
      <c r="A1454" s="1" t="s">
        <v>2745</v>
      </c>
      <c r="B1454" s="1" t="s">
        <v>2746</v>
      </c>
      <c r="C1454" s="1" t="str">
        <f ca="1">IFERROR(__xludf.DUMMYFUNCTION("GOOGLETRANSLATE(B1454,""en"",""ar"")"),"تعديلات الأسهم (SA)")</f>
        <v>تعديلات الأسهم (SA)</v>
      </c>
      <c r="D1454" s="1" t="str">
        <f ca="1">IFERROR(__xludf.DUMMYFUNCTION("GOOGLETRANSLATE(B1454,""en"",""zh-CN"")"),"库存调整（SA）")</f>
        <v>库存调整（SA）</v>
      </c>
      <c r="E1454" s="1" t="str">
        <f ca="1">IFERROR(__xludf.DUMMYFUNCTION("GOOGLETRANSLATE(B1454,""en"",""ja"")"),"在庫調整（SA）")</f>
        <v>在庫調整（SA）</v>
      </c>
      <c r="F1454" s="1" t="str">
        <f ca="1">IFERROR(__xludf.DUMMYFUNCTION("GOOGLETRANSLATE(B1454,""en"",""fr"")"),"Réglages des stocks (SA)")</f>
        <v>Réglages des stocks (SA)</v>
      </c>
    </row>
    <row r="1455" spans="1:6" ht="15.75" customHeight="1" x14ac:dyDescent="0.25">
      <c r="A1455" s="1" t="s">
        <v>2747</v>
      </c>
      <c r="B1455" s="1" t="s">
        <v>2748</v>
      </c>
      <c r="C1455" s="1" t="str">
        <f ca="1">IFERROR(__xludf.DUMMYFUNCTION("GOOGLETRANSLATE(B1455,""en"",""ar"")"),"هل تريد بالتأكيد تحرير هذا النقل من البضائع؟")</f>
        <v>هل تريد بالتأكيد تحرير هذا النقل من البضائع؟</v>
      </c>
      <c r="D1455" s="1" t="str">
        <f ca="1">IFERROR(__xludf.DUMMYFUNCTION("GOOGLETRANSLATE(B1455,""en"",""zh-CN"")"),"你肯定想编辑这款货物的转移吗？")</f>
        <v>你肯定想编辑这款货物的转移吗？</v>
      </c>
      <c r="E1455" s="1" t="str">
        <f ca="1">IFERROR(__xludf.DUMMYFUNCTION("GOOGLETRANSLATE(B1455,""en"",""ja"")"),"あなたは確かに商品の転送を編集したいですか？")</f>
        <v>あなたは確かに商品の転送を編集したいですか？</v>
      </c>
      <c r="F1455" s="1" t="str">
        <f ca="1">IFERROR(__xludf.DUMMYFUNCTION("GOOGLETRANSLATE(B1455,""en"",""fr"")"),"Voulez-vous vraiment vouloir modifier ce transfert de marchandises?")</f>
        <v>Voulez-vous vraiment vouloir modifier ce transfert de marchandises?</v>
      </c>
    </row>
    <row r="1456" spans="1:6" ht="15.75" customHeight="1" x14ac:dyDescent="0.25">
      <c r="A1456" s="1" t="s">
        <v>2749</v>
      </c>
      <c r="B1456" s="1" t="s">
        <v>2750</v>
      </c>
      <c r="C1456" s="1" t="str">
        <f ca="1">IFERROR(__xludf.DUMMYFUNCTION("GOOGLETRANSLATE(B1456,""en"",""ar"")"),"tog date.")</f>
        <v>tog date.</v>
      </c>
      <c r="D1456" s="1" t="str">
        <f ca="1">IFERROR(__xludf.DUMMYFUNCTION("GOOGLETRANSLATE(B1456,""en"",""zh-CN"")"),"Tog Date.")</f>
        <v>Tog Date.</v>
      </c>
      <c r="E1456" s="1" t="str">
        <f ca="1">IFERROR(__xludf.DUMMYFUNCTION("GOOGLETRANSLATE(B1456,""en"",""ja"")"),"TOG DATES")</f>
        <v>TOG DATES</v>
      </c>
      <c r="F1456" s="1" t="str">
        <f ca="1">IFERROR(__xludf.DUMMYFUNCTION("GOOGLETRANSLATE(B1456,""en"",""fr"")"),"Date")</f>
        <v>Date</v>
      </c>
    </row>
    <row r="1457" spans="1:6" ht="15.75" customHeight="1" x14ac:dyDescent="0.25">
      <c r="A1457" s="1" t="s">
        <v>2751</v>
      </c>
      <c r="B1457" s="1" t="s">
        <v>2752</v>
      </c>
      <c r="C1457" s="1" t="str">
        <f ca="1">IFERROR(__xludf.DUMMYFUNCTION("GOOGLETRANSLATE(B1457,""en"",""ar"")"),"tog view.")</f>
        <v>tog view.</v>
      </c>
      <c r="D1457" s="1" t="str">
        <f ca="1">IFERROR(__xludf.DUMMYFUNCTION("GOOGLETRANSLATE(B1457,""en"",""zh-CN"")"),"Tog View.")</f>
        <v>Tog View.</v>
      </c>
      <c r="E1457" s="1" t="str">
        <f ca="1">IFERROR(__xludf.DUMMYFUNCTION("GOOGLETRANSLATE(B1457,""en"",""ja"")"),"視聴する")</f>
        <v>視聴する</v>
      </c>
      <c r="F1457" s="1" t="str">
        <f ca="1">IFERROR(__xludf.DUMMYFUNCTION("GOOGLETRANSLATE(B1457,""en"",""fr"")"),"Vue")</f>
        <v>Vue</v>
      </c>
    </row>
    <row r="1458" spans="1:6" ht="15.75" customHeight="1" x14ac:dyDescent="0.25">
      <c r="A1458" s="1" t="s">
        <v>2753</v>
      </c>
      <c r="B1458" s="1" t="s">
        <v>2754</v>
      </c>
      <c r="C1458" s="1" t="str">
        <f ca="1">IFERROR(__xludf.DUMMYFUNCTION("GOOGLETRANSLATE(B1458,""en"",""ar"")"),"بحث TOG.")</f>
        <v>بحث TOG.</v>
      </c>
      <c r="D1458" s="1" t="str">
        <f ca="1">IFERROR(__xludf.DUMMYFUNCTION("GOOGLETRANSLATE(B1458,""en"",""zh-CN"")"),"搜索ov.")</f>
        <v>搜索ov.</v>
      </c>
      <c r="E1458" s="1" t="str">
        <f ca="1">IFERROR(__xludf.DUMMYFUNCTION("GOOGLETRANSLATE(B1458,""en"",""ja"")"),"検索TONGを検索")</f>
        <v>検索TONGを検索</v>
      </c>
      <c r="F1458" s="1" t="str">
        <f ca="1">IFERROR(__xludf.DUMMYFUNCTION("GOOGLETRANSLATE(B1458,""en"",""fr"")"),"Recherche")</f>
        <v>Recherche</v>
      </c>
    </row>
    <row r="1459" spans="1:6" ht="15.75" customHeight="1" x14ac:dyDescent="0.25">
      <c r="A1459" s="1" t="s">
        <v>2755</v>
      </c>
      <c r="B1459" s="1" t="s">
        <v>2756</v>
      </c>
      <c r="C1459" s="1" t="str">
        <f ca="1">IFERROR(__xludf.DUMMYFUNCTION("GOOGLETRANSLATE(B1459,""en"",""ar"")"),"إنشاء توغ")</f>
        <v>إنشاء توغ</v>
      </c>
      <c r="D1459" s="1" t="str">
        <f ca="1">IFERROR(__xludf.DUMMYFUNCTION("GOOGLETRANSLATE(B1459,""en"",""zh-CN"")"),"创造脚根")</f>
        <v>创造脚根</v>
      </c>
      <c r="E1459" s="1" t="str">
        <f ca="1">IFERROR(__xludf.DUMMYFUNCTION("GOOGLETRANSLATE(B1459,""en"",""ja"")"),"トグを作成します")</f>
        <v>トグを作成します</v>
      </c>
      <c r="F1459" s="1" t="str">
        <f ca="1">IFERROR(__xludf.DUMMYFUNCTION("GOOGLETRANSLATE(B1459,""en"",""fr"")"),"Créer")</f>
        <v>Créer</v>
      </c>
    </row>
    <row r="1460" spans="1:6" ht="15.75" customHeight="1" x14ac:dyDescent="0.25">
      <c r="A1460" s="1" t="s">
        <v>2757</v>
      </c>
      <c r="B1460" s="1" t="s">
        <v>2758</v>
      </c>
      <c r="C1460" s="1" t="str">
        <f ca="1">IFERROR(__xludf.DUMMYFUNCTION("GOOGLETRANSLATE(B1460,""en"",""ar"")"),"إنشاء TOG. جديد")</f>
        <v>إنشاء TOG. جديد</v>
      </c>
      <c r="D1460" s="1" t="str">
        <f ca="1">IFERROR(__xludf.DUMMYFUNCTION("GOOGLETRANSLATE(B1460,""en"",""zh-CN"")"),"创造新的脚本")</f>
        <v>创造新的脚本</v>
      </c>
      <c r="E1460" s="1" t="str">
        <f ca="1">IFERROR(__xludf.DUMMYFUNCTION("GOOGLETRANSLATE(B1460,""en"",""ja"")"),"新しい墓を作成します")</f>
        <v>新しい墓を作成します</v>
      </c>
      <c r="F1460" s="1" t="str">
        <f ca="1">IFERROR(__xludf.DUMMYFUNCTION("GOOGLETRANSLATE(B1460,""en"",""fr"")"),"Créer de nouveau tog")</f>
        <v>Créer de nouveau tog</v>
      </c>
    </row>
    <row r="1461" spans="1:6" ht="15.75" customHeight="1" x14ac:dyDescent="0.25">
      <c r="A1461" s="1" t="s">
        <v>2759</v>
      </c>
      <c r="B1461" s="1" t="s">
        <v>2760</v>
      </c>
      <c r="C1461" s="1" t="str">
        <f ca="1">IFERROR(__xludf.DUMMYFUNCTION("GOOGLETRANSLATE(B1461,""en"",""ar"")"),"TOG قائمة البند")</f>
        <v>TOG قائمة البند</v>
      </c>
      <c r="D1461" s="1" t="str">
        <f ca="1">IFERROR(__xludf.DUMMYFUNCTION("GOOGLETRANSLATE(B1461,""en"",""zh-CN"")"),"TOG项目列表")</f>
        <v>TOG项目列表</v>
      </c>
      <c r="E1461" s="1" t="str">
        <f ca="1">IFERROR(__xludf.DUMMYFUNCTION("GOOGLETRANSLATE(B1461,""en"",""ja"")"),"トグアイテムリスト")</f>
        <v>トグアイテムリスト</v>
      </c>
      <c r="F1461" s="1" t="str">
        <f ca="1">IFERROR(__xludf.DUMMYFUNCTION("GOOGLETRANSLATE(B1461,""en"",""fr"")"),"Liste d'articles Tog")</f>
        <v>Liste d'articles Tog</v>
      </c>
    </row>
    <row r="1462" spans="1:6" ht="15.75" customHeight="1" x14ac:dyDescent="0.25">
      <c r="A1462" s="1" t="s">
        <v>2761</v>
      </c>
      <c r="B1462" s="1" t="s">
        <v>1604</v>
      </c>
      <c r="C1462" s="1" t="str">
        <f ca="1">IFERROR(__xludf.DUMMYFUNCTION("GOOGLETRANSLATE(B1462,""en"",""ar"")"),"#VALUE!")</f>
        <v>#VALUE!</v>
      </c>
      <c r="D1462" s="1" t="str">
        <f ca="1">IFERROR(__xludf.DUMMYFUNCTION("GOOGLETRANSLATE(B1462,""en"",""zh-CN"")"),"#VALUE!")</f>
        <v>#VALUE!</v>
      </c>
      <c r="E1462" s="1" t="str">
        <f ca="1">IFERROR(__xludf.DUMMYFUNCTION("GOOGLETRANSLATE(B1462,""en"",""ja"")"),"#VALUE!")</f>
        <v>#VALUE!</v>
      </c>
      <c r="F1462" s="1" t="str">
        <f ca="1">IFERROR(__xludf.DUMMYFUNCTION("GOOGLETRANSLATE(B1462,""en"",""fr"")"),"#VALUE!")</f>
        <v>#VALUE!</v>
      </c>
    </row>
    <row r="1463" spans="1:6" ht="15.75" customHeight="1" x14ac:dyDescent="0.25">
      <c r="A1463" s="1" t="s">
        <v>2762</v>
      </c>
      <c r="B1463" s="1" t="s">
        <v>2763</v>
      </c>
      <c r="C1463" s="1" t="str">
        <f ca="1">IFERROR(__xludf.DUMMYFUNCTION("GOOGLETRANSLATE(B1463,""en"",""ar"")"),"إزالة توي البند (ق)")</f>
        <v>إزالة توي البند (ق)</v>
      </c>
      <c r="D1463" s="1" t="str">
        <f ca="1">IFERROR(__xludf.DUMMYFUNCTION("GOOGLETRANSLATE(B1463,""en"",""zh-CN"")"),"删除TOG项目")</f>
        <v>删除TOG项目</v>
      </c>
      <c r="E1463" s="1" t="str">
        <f ca="1">IFERROR(__xludf.DUMMYFUNCTION("GOOGLETRANSLATE(B1463,""en"",""ja"")"),"TOG項目を削除する")</f>
        <v>TOG項目を削除する</v>
      </c>
      <c r="F1463" s="1" t="str">
        <f ca="1">IFERROR(__xludf.DUMMYFUNCTION("GOOGLETRANSLATE(B1463,""en"",""fr"")"),"Supprimer les articles Tog (s)")</f>
        <v>Supprimer les articles Tog (s)</v>
      </c>
    </row>
    <row r="1464" spans="1:6" ht="15.75" customHeight="1" x14ac:dyDescent="0.25">
      <c r="A1464" s="1" t="s">
        <v>2764</v>
      </c>
      <c r="B1464" s="1" t="s">
        <v>2696</v>
      </c>
      <c r="C1464" s="1" t="str">
        <f ca="1">IFERROR(__xludf.DUMMYFUNCTION("GOOGLETRANSLATE(B1464,""en"",""ar"")"),"هل تريد إزالة هذا العنصر (العناصر)؟")</f>
        <v>هل تريد إزالة هذا العنصر (العناصر)؟</v>
      </c>
      <c r="D1464" s="1" t="str">
        <f ca="1">IFERROR(__xludf.DUMMYFUNCTION("GOOGLETRANSLATE(B1464,""en"",""zh-CN"")"),"你想删除这个项目吗？")</f>
        <v>你想删除这个项目吗？</v>
      </c>
      <c r="E1464" s="1" t="str">
        <f ca="1">IFERROR(__xludf.DUMMYFUNCTION("GOOGLETRANSLATE(B1464,""en"",""ja"")"),"このアイテムを削除しますか？")</f>
        <v>このアイテムを削除しますか？</v>
      </c>
      <c r="F1464" s="1" t="str">
        <f ca="1">IFERROR(__xludf.DUMMYFUNCTION("GOOGLETRANSLATE(B1464,""en"",""fr"")"),"Voulez-vous supprimer cet article?")</f>
        <v>Voulez-vous supprimer cet article?</v>
      </c>
    </row>
    <row r="1465" spans="1:6" ht="15.75" customHeight="1" x14ac:dyDescent="0.25">
      <c r="A1465" s="1" t="s">
        <v>2765</v>
      </c>
      <c r="B1465" s="1" t="s">
        <v>2766</v>
      </c>
      <c r="C1465" s="1" t="str">
        <f ca="1">IFERROR(__xludf.DUMMYFUNCTION("GOOGLETRANSLATE(B1465,""en"",""ar"")"),"تحرير توش البند")</f>
        <v>تحرير توش البند</v>
      </c>
      <c r="D1465" s="1" t="str">
        <f ca="1">IFERROR(__xludf.DUMMYFUNCTION("GOOGLETRANSLATE(B1465,""en"",""zh-CN"")"),"编辑tog项目")</f>
        <v>编辑tog项目</v>
      </c>
      <c r="E1465" s="1" t="str">
        <f ca="1">IFERROR(__xludf.DUMMYFUNCTION("GOOGLETRANSLATE(B1465,""en"",""ja"")"),"TOG項目を編集します")</f>
        <v>TOG項目を編集します</v>
      </c>
      <c r="F1465" s="1" t="str">
        <f ca="1">IFERROR(__xludf.DUMMYFUNCTION("GOOGLETRANSLATE(B1465,""en"",""fr"")"),"Modifier l'article Tog")</f>
        <v>Modifier l'article Tog</v>
      </c>
    </row>
    <row r="1466" spans="1:6" ht="15.75" customHeight="1" x14ac:dyDescent="0.25">
      <c r="A1466" s="1" t="s">
        <v>2767</v>
      </c>
      <c r="B1466" s="1" t="s">
        <v>2768</v>
      </c>
      <c r="C1466" s="1" t="str">
        <f ca="1">IFERROR(__xludf.DUMMYFUNCTION("GOOGLETRANSLATE(B1466,""en"",""ar"")"),"تحرير نقل البضائع")</f>
        <v>تحرير نقل البضائع</v>
      </c>
      <c r="D1466" s="1" t="str">
        <f ca="1">IFERROR(__xludf.DUMMYFUNCTION("GOOGLETRANSLATE(B1466,""en"",""zh-CN"")"),"编辑货物转移")</f>
        <v>编辑货物转移</v>
      </c>
      <c r="E1466" s="1" t="str">
        <f ca="1">IFERROR(__xludf.DUMMYFUNCTION("GOOGLETRANSLATE(B1466,""en"",""ja"")"),"商品の転送を編集します")</f>
        <v>商品の転送を編集します</v>
      </c>
      <c r="F1466" s="1" t="str">
        <f ca="1">IFERROR(__xludf.DUMMYFUNCTION("GOOGLETRANSLATE(B1466,""en"",""fr"")"),"Modifier le transfert de marchandises")</f>
        <v>Modifier le transfert de marchandises</v>
      </c>
    </row>
    <row r="1467" spans="1:6" ht="15.75" customHeight="1" x14ac:dyDescent="0.25">
      <c r="A1467" s="1" t="s">
        <v>2769</v>
      </c>
      <c r="B1467" s="1" t="s">
        <v>2770</v>
      </c>
      <c r="C1467" s="1" t="str">
        <f ca="1">IFERROR(__xludf.DUMMYFUNCTION("GOOGLETRANSLATE(B1467,""en"",""ar"")"),"لوجه")</f>
        <v>لوجه</v>
      </c>
      <c r="D1467" s="1" t="str">
        <f ca="1">IFERROR(__xludf.DUMMYFUNCTION("GOOGLETRANSLATE(B1467,""en"",""zh-CN"")"),"提交Tog.")</f>
        <v>提交Tog.</v>
      </c>
      <c r="E1467" s="1" t="str">
        <f ca="1">IFERROR(__xludf.DUMMYFUNCTION("GOOGLETRANSLATE(B1467,""en"",""ja"")"),"納入")</f>
        <v>納入</v>
      </c>
      <c r="F1467" s="1" t="str">
        <f ca="1">IFERROR(__xludf.DUMMYFUNCTION("GOOGLETRANSLATE(B1467,""en"",""fr"")"),"Soumettre")</f>
        <v>Soumettre</v>
      </c>
    </row>
    <row r="1468" spans="1:6" ht="15.75" customHeight="1" x14ac:dyDescent="0.25">
      <c r="A1468" s="1" t="s">
        <v>2771</v>
      </c>
      <c r="B1468" s="1" t="s">
        <v>2380</v>
      </c>
      <c r="C1468" s="1" t="str">
        <f ca="1">IFERROR(__xludf.DUMMYFUNCTION("GOOGLETRANSLATE(B1468,""en"",""ar"")"),"نقل البضائع")</f>
        <v>نقل البضائع</v>
      </c>
      <c r="D1468" s="1" t="str">
        <f ca="1">IFERROR(__xludf.DUMMYFUNCTION("GOOGLETRANSLATE(B1468,""en"",""zh-CN"")"),"货物转移")</f>
        <v>货物转移</v>
      </c>
      <c r="E1468" s="1" t="str">
        <f ca="1">IFERROR(__xludf.DUMMYFUNCTION("GOOGLETRANSLATE(B1468,""en"",""ja"")"),"商品の転送")</f>
        <v>商品の転送</v>
      </c>
      <c r="F1468" s="1" t="str">
        <f ca="1">IFERROR(__xludf.DUMMYFUNCTION("GOOGLETRANSLATE(B1468,""en"",""fr"")"),"Transfert de marchandises")</f>
        <v>Transfert de marchandises</v>
      </c>
    </row>
    <row r="1469" spans="1:6" ht="15.75" customHeight="1" x14ac:dyDescent="0.25">
      <c r="A1469" s="1" t="s">
        <v>2772</v>
      </c>
      <c r="B1469" s="1" t="s">
        <v>2773</v>
      </c>
      <c r="C1469" s="1" t="str">
        <f ca="1">IFERROR(__xludf.DUMMYFUNCTION("GOOGLETRANSLATE(B1469,""en"",""ar"")"),"هل ترغب في تقديم هذه tog؟")</f>
        <v>هل ترغب في تقديم هذه tog؟</v>
      </c>
      <c r="D1469" s="1" t="str">
        <f ca="1">IFERROR(__xludf.DUMMYFUNCTION("GOOGLETRANSLATE(B1469,""en"",""zh-CN"")"),"你想提交这个to​​g吗？")</f>
        <v>你想提交这个to​​g吗？</v>
      </c>
      <c r="E1469" s="1" t="str">
        <f ca="1">IFERROR(__xludf.DUMMYFUNCTION("GOOGLETRANSLATE(B1469,""en"",""ja"")"),"あなたはこの洞を提出したいですか？")</f>
        <v>あなたはこの洞を提出したいですか？</v>
      </c>
      <c r="F1469" s="1" t="str">
        <f ca="1">IFERROR(__xludf.DUMMYFUNCTION("GOOGLETRANSLATE(B1469,""en"",""fr"")"),"Voulez-vous soumettre ce TOG?")</f>
        <v>Voulez-vous soumettre ce TOG?</v>
      </c>
    </row>
    <row r="1470" spans="1:6" ht="15.75" customHeight="1" x14ac:dyDescent="0.25">
      <c r="A1470" s="1" t="s">
        <v>2774</v>
      </c>
      <c r="B1470" s="1" t="s">
        <v>2775</v>
      </c>
      <c r="C1470" s="1" t="str">
        <f ca="1">IFERROR(__xludf.DUMMYFUNCTION("GOOGLETRANSLATE(B1470,""en"",""ar"")"),"هل أنت متأكد من أنك تريد إرسال توج؟")</f>
        <v>هل أنت متأكد من أنك تريد إرسال توج؟</v>
      </c>
      <c r="D1470" s="1" t="str">
        <f ca="1">IFERROR(__xludf.DUMMYFUNCTION("GOOGLETRANSLATE(B1470,""en"",""zh-CN"")"),"你肯定想提交tog吗？")</f>
        <v>你肯定想提交tog吗？</v>
      </c>
      <c r="E1470" s="1" t="str">
        <f ca="1">IFERROR(__xludf.DUMMYFUNCTION("GOOGLETRANSLATE(B1470,""en"",""ja"")"),"あなたは確かにTOGを提出したいですか？")</f>
        <v>あなたは確かにTOGを提出したいですか？</v>
      </c>
      <c r="F1470" s="1" t="str">
        <f ca="1">IFERROR(__xludf.DUMMYFUNCTION("GOOGLETRANSLATE(B1470,""en"",""fr"")"),"Êtes-vous sûr que vous voulez soumettre TOG?")</f>
        <v>Êtes-vous sûr que vous voulez soumettre TOG?</v>
      </c>
    </row>
    <row r="1471" spans="1:6" ht="15.75" customHeight="1" x14ac:dyDescent="0.25">
      <c r="A1471" s="1" t="s">
        <v>2776</v>
      </c>
      <c r="B1471" s="1" t="s">
        <v>2777</v>
      </c>
      <c r="C1471" s="1" t="str">
        <f ca="1">IFERROR(__xludf.DUMMYFUNCTION("GOOGLETRANSLATE(B1471,""en"",""ar"")"),"TOG Number.")</f>
        <v>TOG Number.</v>
      </c>
      <c r="D1471" s="1" t="str">
        <f ca="1">IFERROR(__xludf.DUMMYFUNCTION("GOOGLETRANSLATE(B1471,""en"",""zh-CN"")"),"Tog号码")</f>
        <v>Tog号码</v>
      </c>
      <c r="E1471" s="1" t="str">
        <f ca="1">IFERROR(__xludf.DUMMYFUNCTION("GOOGLETRANSLATE(B1471,""en"",""ja"")"),"TOG番号")</f>
        <v>TOG番号</v>
      </c>
      <c r="F1471" s="1" t="str">
        <f ca="1">IFERROR(__xludf.DUMMYFUNCTION("GOOGLETRANSLATE(B1471,""en"",""fr"")"),"Numéroter")</f>
        <v>Numéroter</v>
      </c>
    </row>
    <row r="1472" spans="1:6" ht="15.75" customHeight="1" x14ac:dyDescent="0.25">
      <c r="A1472" s="1" t="s">
        <v>2778</v>
      </c>
      <c r="B1472" s="1" t="s">
        <v>2380</v>
      </c>
      <c r="C1472" s="1" t="str">
        <f ca="1">IFERROR(__xludf.DUMMYFUNCTION("GOOGLETRANSLATE(B1472,""en"",""ar"")"),"نقل البضائع")</f>
        <v>نقل البضائع</v>
      </c>
      <c r="D1472" s="1" t="str">
        <f ca="1">IFERROR(__xludf.DUMMYFUNCTION("GOOGLETRANSLATE(B1472,""en"",""zh-CN"")"),"货物转移")</f>
        <v>货物转移</v>
      </c>
      <c r="E1472" s="1" t="str">
        <f ca="1">IFERROR(__xludf.DUMMYFUNCTION("GOOGLETRANSLATE(B1472,""en"",""ja"")"),"商品の転送")</f>
        <v>商品の転送</v>
      </c>
      <c r="F1472" s="1" t="str">
        <f ca="1">IFERROR(__xludf.DUMMYFUNCTION("GOOGLETRANSLATE(B1472,""en"",""fr"")"),"Transfert de marchandises")</f>
        <v>Transfert de marchandises</v>
      </c>
    </row>
    <row r="1473" spans="1:6" ht="15.75" customHeight="1" x14ac:dyDescent="0.25">
      <c r="A1473" s="1" t="s">
        <v>2779</v>
      </c>
      <c r="B1473" s="1" t="s">
        <v>2780</v>
      </c>
      <c r="C1473" s="1" t="str">
        <f ca="1">IFERROR(__xludf.DUMMYFUNCTION("GOOGLETRANSLATE(B1473,""en"",""ar"")"),"نقل البضائع (TOG)")</f>
        <v>نقل البضائع (TOG)</v>
      </c>
      <c r="D1473" s="1" t="str">
        <f ca="1">IFERROR(__xludf.DUMMYFUNCTION("GOOGLETRANSLATE(B1473,""en"",""zh-CN"")"),"货物转移（TOG）")</f>
        <v>货物转移（TOG）</v>
      </c>
      <c r="E1473" s="1" t="str">
        <f ca="1">IFERROR(__xludf.DUMMYFUNCTION("GOOGLETRANSLATE(B1473,""en"",""ja"")"),"商品の移動（TOG）")</f>
        <v>商品の移動（TOG）</v>
      </c>
      <c r="F1473" s="1" t="str">
        <f ca="1">IFERROR(__xludf.DUMMYFUNCTION("GOOGLETRANSLATE(B1473,""en"",""fr"")"),"Transfert de marchandises (TOG)")</f>
        <v>Transfert de marchandises (TOG)</v>
      </c>
    </row>
    <row r="1474" spans="1:6" ht="15.75" customHeight="1" x14ac:dyDescent="0.25">
      <c r="A1474" s="1" t="s">
        <v>2781</v>
      </c>
      <c r="B1474" s="1" t="s">
        <v>2782</v>
      </c>
      <c r="C1474" s="1" t="str">
        <f ca="1">IFERROR(__xludf.DUMMYFUNCTION("GOOGLETRANSLATE(B1474,""en"",""ar"")"),"* مرجع فريد")</f>
        <v>* مرجع فريد</v>
      </c>
      <c r="D1474" s="1" t="str">
        <f ca="1">IFERROR(__xludf.DUMMYFUNCTION("GOOGLETRANSLATE(B1474,""en"",""zh-CN"")"),"*独特参考")</f>
        <v>*独特参考</v>
      </c>
      <c r="E1474" s="1" t="str">
        <f ca="1">IFERROR(__xludf.DUMMYFUNCTION("GOOGLETRANSLATE(B1474,""en"",""ja"")"),"*ユニークな参考文献")</f>
        <v>*ユニークな参考文献</v>
      </c>
      <c r="F1474" s="1" t="str">
        <f ca="1">IFERROR(__xludf.DUMMYFUNCTION("GOOGLETRANSLATE(B1474,""en"",""fr"")"),"* Référence unique")</f>
        <v>* Référence unique</v>
      </c>
    </row>
    <row r="1475" spans="1:6" ht="15.75" customHeight="1" x14ac:dyDescent="0.25">
      <c r="A1475" s="1" t="s">
        <v>2783</v>
      </c>
      <c r="B1475" s="1" t="s">
        <v>464</v>
      </c>
      <c r="C1475" s="1" t="str">
        <f ca="1">IFERROR(__xludf.DUMMYFUNCTION("GOOGLETRANSLATE(B1475,""en"",""ar"")"),"هاتف")</f>
        <v>هاتف</v>
      </c>
      <c r="D1475" s="1" t="str">
        <f ca="1">IFERROR(__xludf.DUMMYFUNCTION("GOOGLETRANSLATE(B1475,""en"",""zh-CN"")"),"电话")</f>
        <v>电话</v>
      </c>
      <c r="E1475" s="1" t="str">
        <f ca="1">IFERROR(__xludf.DUMMYFUNCTION("GOOGLETRANSLATE(B1475,""en"",""ja"")"),"電話")</f>
        <v>電話</v>
      </c>
      <c r="F1475" s="1" t="str">
        <f ca="1">IFERROR(__xludf.DUMMYFUNCTION("GOOGLETRANSLATE(B1475,""en"",""fr"")"),"Téléphoner")</f>
        <v>Téléphoner</v>
      </c>
    </row>
    <row r="1476" spans="1:6" ht="15.75" customHeight="1" x14ac:dyDescent="0.25">
      <c r="A1476" s="1" t="s">
        <v>2784</v>
      </c>
      <c r="B1476" s="1" t="s">
        <v>2785</v>
      </c>
      <c r="C1476" s="1" t="str">
        <f ca="1">IFERROR(__xludf.DUMMYFUNCTION("GOOGLETRANSLATE(B1476,""en"",""ar"")"),"أدخل عنوان البريد الالكتروني")</f>
        <v>أدخل عنوان البريد الالكتروني</v>
      </c>
      <c r="D1476" s="1" t="str">
        <f ca="1">IFERROR(__xludf.DUMMYFUNCTION("GOOGLETRANSLATE(B1476,""en"",""zh-CN"")"),"输入电邮地址")</f>
        <v>输入电邮地址</v>
      </c>
      <c r="E1476" s="1" t="str">
        <f ca="1">IFERROR(__xludf.DUMMYFUNCTION("GOOGLETRANSLATE(B1476,""en"",""ja"")"),"メールアドレスを入力してください")</f>
        <v>メールアドレスを入力してください</v>
      </c>
      <c r="F1476" s="1" t="str">
        <f ca="1">IFERROR(__xludf.DUMMYFUNCTION("GOOGLETRANSLATE(B1476,""en"",""fr"")"),"Entrer l'adresse e-mail")</f>
        <v>Entrer l'adresse e-mail</v>
      </c>
    </row>
    <row r="1477" spans="1:6" ht="15.75" customHeight="1" x14ac:dyDescent="0.25">
      <c r="A1477" s="1" t="s">
        <v>2786</v>
      </c>
      <c r="B1477" s="1" t="s">
        <v>2787</v>
      </c>
      <c r="C1477" s="1" t="str">
        <f ca="1">IFERROR(__xludf.DUMMYFUNCTION("GOOGLETRANSLATE(B1477,""en"",""ar"")"),"قبل")</f>
        <v>قبل</v>
      </c>
      <c r="D1477" s="1" t="str">
        <f ca="1">IFERROR(__xludf.DUMMYFUNCTION("GOOGLETRANSLATE(B1477,""en"",""zh-CN"")"),"前")</f>
        <v>前</v>
      </c>
      <c r="E1477" s="1" t="str">
        <f ca="1">IFERROR(__xludf.DUMMYFUNCTION("GOOGLETRANSLATE(B1477,""en"",""ja"")"),"未だに")</f>
        <v>未だに</v>
      </c>
      <c r="F1477" s="1" t="str">
        <f ca="1">IFERROR(__xludf.DUMMYFUNCTION("GOOGLETRANSLATE(B1477,""en"",""fr"")"),"Pré.uite")</f>
        <v>Pré.uite</v>
      </c>
    </row>
    <row r="1478" spans="1:6" ht="15.75" customHeight="1" x14ac:dyDescent="0.25">
      <c r="A1478" s="1" t="s">
        <v>2788</v>
      </c>
      <c r="B1478" s="1" t="s">
        <v>2789</v>
      </c>
      <c r="C1478" s="1" t="str">
        <f ca="1">IFERROR(__xludf.DUMMYFUNCTION("GOOGLETRANSLATE(B1478,""en"",""ar"")"),"كمية استقر")</f>
        <v>كمية استقر</v>
      </c>
      <c r="D1478" s="1" t="str">
        <f ca="1">IFERROR(__xludf.DUMMYFUNCTION("GOOGLETRANSLATE(B1478,""en"",""zh-CN"")"),"安顿金额")</f>
        <v>安顿金额</v>
      </c>
      <c r="E1478" s="1" t="str">
        <f ca="1">IFERROR(__xludf.DUMMYFUNCTION("GOOGLETRANSLATE(B1478,""en"",""ja"")"),"落ち着いた金額")</f>
        <v>落ち着いた金額</v>
      </c>
      <c r="F1478" s="1" t="str">
        <f ca="1">IFERROR(__xludf.DUMMYFUNCTION("GOOGLETRANSLATE(B1478,""en"",""fr"")"),"Montant réglé")</f>
        <v>Montant réglé</v>
      </c>
    </row>
    <row r="1479" spans="1:6" ht="15.75" customHeight="1" x14ac:dyDescent="0.25">
      <c r="A1479" s="1" t="s">
        <v>2790</v>
      </c>
      <c r="B1479" s="1" t="s">
        <v>2791</v>
      </c>
      <c r="C1479" s="1" t="str">
        <f ca="1">IFERROR(__xludf.DUMMYFUNCTION("GOOGLETRANSLATE(B1479,""en"",""ar"")"),"مبلغ التسوية")</f>
        <v>مبلغ التسوية</v>
      </c>
      <c r="D1479" s="1" t="str">
        <f ca="1">IFERROR(__xludf.DUMMYFUNCTION("GOOGLETRANSLATE(B1479,""en"",""zh-CN"")"),"结算金额")</f>
        <v>结算金额</v>
      </c>
      <c r="E1479" s="1" t="str">
        <f ca="1">IFERROR(__xludf.DUMMYFUNCTION("GOOGLETRANSLATE(B1479,""en"",""ja"")"),"決済額")</f>
        <v>決済額</v>
      </c>
      <c r="F1479" s="1" t="str">
        <f ca="1">IFERROR(__xludf.DUMMYFUNCTION("GOOGLETRANSLATE(B1479,""en"",""fr"")"),"Montant du règlement")</f>
        <v>Montant du règlement</v>
      </c>
    </row>
    <row r="1480" spans="1:6" ht="15.75" customHeight="1" x14ac:dyDescent="0.25">
      <c r="A1480" s="1" t="s">
        <v>2792</v>
      </c>
      <c r="B1480" s="1" t="s">
        <v>2793</v>
      </c>
      <c r="C1480" s="1" t="str">
        <f ca="1">IFERROR(__xludf.DUMMYFUNCTION("GOOGLETRANSLATE(B1480,""en"",""ar"")"),"تاريخ التسوية")</f>
        <v>تاريخ التسوية</v>
      </c>
      <c r="D1480" s="1" t="str">
        <f ca="1">IFERROR(__xludf.DUMMYFUNCTION("GOOGLETRANSLATE(B1480,""en"",""zh-CN"")"),"结算日期")</f>
        <v>结算日期</v>
      </c>
      <c r="E1480" s="1" t="str">
        <f ca="1">IFERROR(__xludf.DUMMYFUNCTION("GOOGLETRANSLATE(B1480,""en"",""ja"")"),"決済日")</f>
        <v>決済日</v>
      </c>
      <c r="F1480" s="1" t="str">
        <f ca="1">IFERROR(__xludf.DUMMYFUNCTION("GOOGLETRANSLATE(B1480,""en"",""fr"")"),"Date de règlement")</f>
        <v>Date de règlement</v>
      </c>
    </row>
    <row r="1481" spans="1:6" ht="15.75" customHeight="1" x14ac:dyDescent="0.25">
      <c r="A1481" s="1" t="s">
        <v>2794</v>
      </c>
      <c r="B1481" s="1" t="s">
        <v>2795</v>
      </c>
      <c r="C1481" s="1" t="str">
        <f ca="1">IFERROR(__xludf.DUMMYFUNCTION("GOOGLETRANSLATE(B1481,""en"",""ar"")"),"جديد متميز")</f>
        <v>جديد متميز</v>
      </c>
      <c r="D1481" s="1" t="str">
        <f ca="1">IFERROR(__xludf.DUMMYFUNCTION("GOOGLETRANSLATE(B1481,""en"",""zh-CN"")"),"新出杰出")</f>
        <v>新出杰出</v>
      </c>
      <c r="E1481" s="1" t="str">
        <f ca="1">IFERROR(__xludf.DUMMYFUNCTION("GOOGLETRANSLATE(B1481,""en"",""ja"")"),"新しい優れた")</f>
        <v>新しい優れた</v>
      </c>
      <c r="F1481" s="1" t="str">
        <f ca="1">IFERROR(__xludf.DUMMYFUNCTION("GOOGLETRANSLATE(B1481,""en"",""fr"")"),"Nouveau exceptionnel")</f>
        <v>Nouveau exceptionnel</v>
      </c>
    </row>
    <row r="1482" spans="1:6" ht="15.75" customHeight="1" x14ac:dyDescent="0.25">
      <c r="A1482" s="1" t="s">
        <v>2796</v>
      </c>
      <c r="B1482" s="1" t="s">
        <v>2797</v>
      </c>
      <c r="C1482" s="1" t="str">
        <f ca="1">IFERROR(__xludf.DUMMYFUNCTION("GOOGLETRANSLATE(B1482,""en"",""ar"")"),"استلام الائتمان الماضي")</f>
        <v>استلام الائتمان الماضي</v>
      </c>
      <c r="D1482" s="1" t="str">
        <f ca="1">IFERROR(__xludf.DUMMYFUNCTION("GOOGLETRANSLATE(B1482,""en"",""zh-CN"")"),"过去的信用收据")</f>
        <v>过去的信用收据</v>
      </c>
      <c r="E1482" s="1" t="str">
        <f ca="1">IFERROR(__xludf.DUMMYFUNCTION("GOOGLETRANSLATE(B1482,""en"",""ja"")"),"過去のクレジットレシート")</f>
        <v>過去のクレジットレシート</v>
      </c>
      <c r="F1482" s="1" t="str">
        <f ca="1">IFERROR(__xludf.DUMMYFUNCTION("GOOGLETRANSLATE(B1482,""en"",""fr"")"),"Réception du crédit passé")</f>
        <v>Réception du crédit passé</v>
      </c>
    </row>
    <row r="1483" spans="1:6" ht="15.75" customHeight="1" x14ac:dyDescent="0.25">
      <c r="A1483" s="1" t="s">
        <v>2798</v>
      </c>
      <c r="B1483" s="1" t="s">
        <v>2799</v>
      </c>
      <c r="C1483" s="1" t="str">
        <f ca="1">IFERROR(__xludf.DUMMYFUNCTION("GOOGLETRANSLATE(B1483,""en"",""ar"")"),"استقر إيصال الائتمان")</f>
        <v>استقر إيصال الائتمان</v>
      </c>
      <c r="D1483" s="1" t="str">
        <f ca="1">IFERROR(__xludf.DUMMYFUNCTION("GOOGLETRANSLATE(B1483,""en"",""zh-CN"")"),"结算信用收据")</f>
        <v>结算信用收据</v>
      </c>
      <c r="E1483" s="1" t="str">
        <f ca="1">IFERROR(__xludf.DUMMYFUNCTION("GOOGLETRANSLATE(B1483,""en"",""ja"")"),"決済クレジットレシート")</f>
        <v>決済クレジットレシート</v>
      </c>
      <c r="F1483" s="1" t="str">
        <f ca="1">IFERROR(__xludf.DUMMYFUNCTION("GOOGLETRANSLATE(B1483,""en"",""fr"")"),"Recevoir de crédit réglé")</f>
        <v>Recevoir de crédit réglé</v>
      </c>
    </row>
    <row r="1484" spans="1:6" ht="15.75" customHeight="1" x14ac:dyDescent="0.25">
      <c r="A1484" s="1" t="s">
        <v>2800</v>
      </c>
      <c r="B1484" s="1" t="s">
        <v>2801</v>
      </c>
      <c r="C1484" s="1" t="str">
        <f ca="1">IFERROR(__xludf.DUMMYFUNCTION("GOOGLETRANSLATE(B1484,""en"",""ar"")"),"تسوية استلام")</f>
        <v>تسوية استلام</v>
      </c>
      <c r="D1484" s="1" t="str">
        <f ca="1">IFERROR(__xludf.DUMMYFUNCTION("GOOGLETRANSLATE(B1484,""en"",""zh-CN"")"),"解决收据")</f>
        <v>解决收据</v>
      </c>
      <c r="E1484" s="1" t="str">
        <f ca="1">IFERROR(__xludf.DUMMYFUNCTION("GOOGLETRANSLATE(B1484,""en"",""ja"")"),"領収書を解決する")</f>
        <v>領収書を解決する</v>
      </c>
      <c r="F1484" s="1" t="str">
        <f ca="1">IFERROR(__xludf.DUMMYFUNCTION("GOOGLETRANSLATE(B1484,""en"",""fr"")"),"Régler la réception")</f>
        <v>Régler la réception</v>
      </c>
    </row>
    <row r="1485" spans="1:6" ht="15.75" customHeight="1" x14ac:dyDescent="0.25">
      <c r="A1485" s="1" t="s">
        <v>2802</v>
      </c>
      <c r="B1485" s="1" t="s">
        <v>1359</v>
      </c>
      <c r="C1485" s="1" t="str">
        <f ca="1">IFERROR(__xludf.DUMMYFUNCTION("GOOGLETRANSLATE(B1485,""en"",""ar"")"),"تسوية")</f>
        <v>تسوية</v>
      </c>
      <c r="D1485" s="1" t="str">
        <f ca="1">IFERROR(__xludf.DUMMYFUNCTION("GOOGLETRANSLATE(B1485,""en"",""zh-CN"")"),"定居")</f>
        <v>定居</v>
      </c>
      <c r="E1485" s="1" t="str">
        <f ca="1">IFERROR(__xludf.DUMMYFUNCTION("GOOGLETRANSLATE(B1485,""en"",""ja"")"),"解決")</f>
        <v>解決</v>
      </c>
      <c r="F1485" s="1" t="str">
        <f ca="1">IFERROR(__xludf.DUMMYFUNCTION("GOOGLETRANSLATE(B1485,""en"",""fr"")"),"Régler")</f>
        <v>Régler</v>
      </c>
    </row>
    <row r="1486" spans="1:6" ht="15.75" customHeight="1" x14ac:dyDescent="0.25">
      <c r="A1486" s="1" t="s">
        <v>2803</v>
      </c>
      <c r="B1486" s="1" t="s">
        <v>2804</v>
      </c>
      <c r="C1486" s="1" t="str">
        <f ca="1">IFERROR(__xludf.DUMMYFUNCTION("GOOGLETRANSLATE(B1486,""en"",""ar"")"),"رمز المنتج موجود بالفعل")</f>
        <v>رمز المنتج موجود بالفعل</v>
      </c>
      <c r="D1486" s="1" t="str">
        <f ca="1">IFERROR(__xludf.DUMMYFUNCTION("GOOGLETRANSLATE(B1486,""en"",""zh-CN"")"),"产品代码已存在")</f>
        <v>产品代码已存在</v>
      </c>
      <c r="E1486" s="1" t="str">
        <f ca="1">IFERROR(__xludf.DUMMYFUNCTION("GOOGLETRANSLATE(B1486,""en"",""ja"")"),"製品コードはすでに存在しています")</f>
        <v>製品コードはすでに存在しています</v>
      </c>
      <c r="F1486" s="1" t="str">
        <f ca="1">IFERROR(__xludf.DUMMYFUNCTION("GOOGLETRANSLATE(B1486,""en"",""fr"")"),"Le code de produit est déjà existant")</f>
        <v>Le code de produit est déjà existant</v>
      </c>
    </row>
    <row r="1487" spans="1:6" ht="15.75" customHeight="1" x14ac:dyDescent="0.25">
      <c r="A1487" s="1" t="s">
        <v>2805</v>
      </c>
      <c r="B1487" s="1" t="s">
        <v>2806</v>
      </c>
      <c r="C1487" s="1" t="str">
        <f ca="1">IFERROR(__xludf.DUMMYFUNCTION("GOOGLETRANSLATE(B1487,""en"",""ar"")"),"أحرف خاصة غير مسموح بها")</f>
        <v>أحرف خاصة غير مسموح بها</v>
      </c>
      <c r="D1487" s="1" t="str">
        <f ca="1">IFERROR(__xludf.DUMMYFUNCTION("GOOGLETRANSLATE(B1487,""en"",""zh-CN"")"),"不允许特殊字符")</f>
        <v>不允许特殊字符</v>
      </c>
      <c r="E1487" s="1" t="str">
        <f ca="1">IFERROR(__xludf.DUMMYFUNCTION("GOOGLETRANSLATE(B1487,""en"",""ja"")"),"特殊文字は許可されていません")</f>
        <v>特殊文字は許可されていません</v>
      </c>
      <c r="F1487" s="1" t="str">
        <f ca="1">IFERROR(__xludf.DUMMYFUNCTION("GOOGLETRANSLATE(B1487,""en"",""fr"")"),"Caractères spéciaux non autorisés")</f>
        <v>Caractères spéciaux non autorisés</v>
      </c>
    </row>
    <row r="1488" spans="1:6" ht="15.75" customHeight="1" x14ac:dyDescent="0.25">
      <c r="A1488" s="1" t="s">
        <v>2807</v>
      </c>
      <c r="B1488" s="1" t="s">
        <v>2808</v>
      </c>
      <c r="C1488" s="1" t="str">
        <f ca="1">IFERROR(__xludf.DUMMYFUNCTION("GOOGLETRANSLATE(B1488,""en"",""ar"")"),"اسم الزبون")</f>
        <v>اسم الزبون</v>
      </c>
      <c r="D1488" s="1" t="str">
        <f ca="1">IFERROR(__xludf.DUMMYFUNCTION("GOOGLETRANSLATE(B1488,""en"",""zh-CN"")"),"顾客姓名")</f>
        <v>顾客姓名</v>
      </c>
      <c r="E1488" s="1" t="str">
        <f ca="1">IFERROR(__xludf.DUMMYFUNCTION("GOOGLETRANSLATE(B1488,""en"",""ja"")"),"顧客名")</f>
        <v>顧客名</v>
      </c>
      <c r="F1488" s="1" t="str">
        <f ca="1">IFERROR(__xludf.DUMMYFUNCTION("GOOGLETRANSLATE(B1488,""en"",""fr"")"),"Nom du client")</f>
        <v>Nom du client</v>
      </c>
    </row>
    <row r="1489" spans="1:6" ht="15.75" customHeight="1" x14ac:dyDescent="0.25">
      <c r="A1489" s="1" t="s">
        <v>2809</v>
      </c>
      <c r="B1489" s="1" t="s">
        <v>2810</v>
      </c>
      <c r="C1489" s="1" t="str">
        <f ca="1">IFERROR(__xludf.DUMMYFUNCTION("GOOGLETRANSLATE(B1489,""en"",""ar"")"),"مدينة / بلدة")</f>
        <v>مدينة / بلدة</v>
      </c>
      <c r="D1489" s="1" t="str">
        <f ca="1">IFERROR(__xludf.DUMMYFUNCTION("GOOGLETRANSLATE(B1489,""en"",""zh-CN"")"),"城市/城镇")</f>
        <v>城市/城镇</v>
      </c>
      <c r="E1489" s="1" t="str">
        <f ca="1">IFERROR(__xludf.DUMMYFUNCTION("GOOGLETRANSLATE(B1489,""en"",""ja"")"),"市/タウン")</f>
        <v>市/タウン</v>
      </c>
      <c r="F1489" s="1" t="str">
        <f ca="1">IFERROR(__xludf.DUMMYFUNCTION("GOOGLETRANSLATE(B1489,""en"",""fr"")"),"Ville / ville")</f>
        <v>Ville / ville</v>
      </c>
    </row>
    <row r="1490" spans="1:6" ht="15.75" customHeight="1" x14ac:dyDescent="0.25">
      <c r="A1490" s="1" t="s">
        <v>2811</v>
      </c>
      <c r="B1490" s="1" t="s">
        <v>2812</v>
      </c>
      <c r="C1490" s="1" t="str">
        <f ca="1">IFERROR(__xludf.DUMMYFUNCTION("GOOGLETRANSLATE(B1490,""en"",""ar"")"),"البحث حسب رمز الموظف")</f>
        <v>البحث حسب رمز الموظف</v>
      </c>
      <c r="D1490" s="1" t="str">
        <f ca="1">IFERROR(__xludf.DUMMYFUNCTION("GOOGLETRANSLATE(B1490,""en"",""zh-CN"")"),"按员工代码搜索")</f>
        <v>按员工代码搜索</v>
      </c>
      <c r="E1490" s="1" t="str">
        <f ca="1">IFERROR(__xludf.DUMMYFUNCTION("GOOGLETRANSLATE(B1490,""en"",""ja"")"),"従業員コードで検索")</f>
        <v>従業員コードで検索</v>
      </c>
      <c r="F1490" s="1" t="str">
        <f ca="1">IFERROR(__xludf.DUMMYFUNCTION("GOOGLETRANSLATE(B1490,""en"",""fr"")"),"Recherche par code d'employé")</f>
        <v>Recherche par code d'employé</v>
      </c>
    </row>
    <row r="1491" spans="1:6" ht="15.75" customHeight="1" x14ac:dyDescent="0.25">
      <c r="A1491" s="1" t="s">
        <v>2813</v>
      </c>
      <c r="B1491" s="1" t="s">
        <v>2814</v>
      </c>
      <c r="C1491" s="1" t="str">
        <f ca="1">IFERROR(__xludf.DUMMYFUNCTION("GOOGLETRANSLATE(B1491,""en"",""ar"")"),"البحث حسب رمز الوكيل")</f>
        <v>البحث حسب رمز الوكيل</v>
      </c>
      <c r="D1491" s="1" t="str">
        <f ca="1">IFERROR(__xludf.DUMMYFUNCTION("GOOGLETRANSLATE(B1491,""en"",""zh-CN"")"),"按代理代码搜索")</f>
        <v>按代理代码搜索</v>
      </c>
      <c r="E1491" s="1" t="str">
        <f ca="1">IFERROR(__xludf.DUMMYFUNCTION("GOOGLETRANSLATE(B1491,""en"",""ja"")"),"エージェントコードによる検索")</f>
        <v>エージェントコードによる検索</v>
      </c>
      <c r="F1491" s="1" t="str">
        <f ca="1">IFERROR(__xludf.DUMMYFUNCTION("GOOGLETRANSLATE(B1491,""en"",""fr"")"),"Recherche par code d'agent")</f>
        <v>Recherche par code d'agent</v>
      </c>
    </row>
    <row r="1492" spans="1:6" ht="15.75" customHeight="1" x14ac:dyDescent="0.25">
      <c r="A1492" s="1" t="s">
        <v>2815</v>
      </c>
      <c r="B1492" s="1" t="s">
        <v>2808</v>
      </c>
      <c r="C1492" s="1" t="str">
        <f ca="1">IFERROR(__xludf.DUMMYFUNCTION("GOOGLETRANSLATE(B1492,""en"",""ar"")"),"اسم الزبون")</f>
        <v>اسم الزبون</v>
      </c>
      <c r="D1492" s="1" t="str">
        <f ca="1">IFERROR(__xludf.DUMMYFUNCTION("GOOGLETRANSLATE(B1492,""en"",""zh-CN"")"),"顾客姓名")</f>
        <v>顾客姓名</v>
      </c>
      <c r="E1492" s="1" t="str">
        <f ca="1">IFERROR(__xludf.DUMMYFUNCTION("GOOGLETRANSLATE(B1492,""en"",""ja"")"),"顧客名")</f>
        <v>顧客名</v>
      </c>
      <c r="F1492" s="1" t="str">
        <f ca="1">IFERROR(__xludf.DUMMYFUNCTION("GOOGLETRANSLATE(B1492,""en"",""fr"")"),"Nom du client")</f>
        <v>Nom du client</v>
      </c>
    </row>
    <row r="1493" spans="1:6" ht="15.75" customHeight="1" x14ac:dyDescent="0.25">
      <c r="A1493" s="1" t="s">
        <v>2816</v>
      </c>
      <c r="B1493" s="1" t="s">
        <v>2817</v>
      </c>
      <c r="C1493" s="1" t="str">
        <f ca="1">IFERROR(__xludf.DUMMYFUNCTION("GOOGLETRANSLATE(B1493,""en"",""ar"")"),"هوية الزبون :")</f>
        <v>هوية الزبون :</v>
      </c>
      <c r="D1493" s="1" t="str">
        <f ca="1">IFERROR(__xludf.DUMMYFUNCTION("GOOGLETRANSLATE(B1493,""en"",""zh-CN"")"),"客户ID ：")</f>
        <v>客户ID ：</v>
      </c>
      <c r="E1493" s="1" t="str">
        <f ca="1">IFERROR(__xludf.DUMMYFUNCTION("GOOGLETRANSLATE(B1493,""en"",""ja"")"),"顧客ID ：")</f>
        <v>顧客ID ：</v>
      </c>
      <c r="F1493" s="1" t="str">
        <f ca="1">IFERROR(__xludf.DUMMYFUNCTION("GOOGLETRANSLATE(B1493,""en"",""fr"")"),"N ° de client :")</f>
        <v>N ° de client :</v>
      </c>
    </row>
    <row r="1494" spans="1:6" ht="15.75" customHeight="1" x14ac:dyDescent="0.25">
      <c r="A1494" s="1" t="s">
        <v>2818</v>
      </c>
      <c r="B1494" s="1" t="s">
        <v>2819</v>
      </c>
      <c r="C1494" s="1" t="str">
        <f ca="1">IFERROR(__xludf.DUMMYFUNCTION("GOOGLETRANSLATE(B1494,""en"",""ar"")"),"عميل")</f>
        <v>عميل</v>
      </c>
      <c r="D1494" s="1" t="str">
        <f ca="1">IFERROR(__xludf.DUMMYFUNCTION("GOOGLETRANSLATE(B1494,""en"",""zh-CN"")"),"顾客")</f>
        <v>顾客</v>
      </c>
      <c r="E1494" s="1" t="str">
        <f ca="1">IFERROR(__xludf.DUMMYFUNCTION("GOOGLETRANSLATE(B1494,""en"",""ja"")"),"お客様")</f>
        <v>お客様</v>
      </c>
      <c r="F1494" s="1" t="str">
        <f ca="1">IFERROR(__xludf.DUMMYFUNCTION("GOOGLETRANSLATE(B1494,""en"",""fr"")"),"Client")</f>
        <v>Client</v>
      </c>
    </row>
    <row r="1495" spans="1:6" ht="15.75" customHeight="1" x14ac:dyDescent="0.25">
      <c r="A1495" s="1" t="s">
        <v>2820</v>
      </c>
      <c r="B1495" s="1" t="s">
        <v>2821</v>
      </c>
      <c r="C1495" s="1" t="str">
        <f ca="1">IFERROR(__xludf.DUMMYFUNCTION("GOOGLETRANSLATE(B1495,""en"",""ar"")"),"حدد العميل")</f>
        <v>حدد العميل</v>
      </c>
      <c r="D1495" s="1" t="str">
        <f ca="1">IFERROR(__xludf.DUMMYFUNCTION("GOOGLETRANSLATE(B1495,""en"",""zh-CN"")"),"选择客户")</f>
        <v>选择客户</v>
      </c>
      <c r="E1495" s="1" t="str">
        <f ca="1">IFERROR(__xludf.DUMMYFUNCTION("GOOGLETRANSLATE(B1495,""en"",""ja"")"),"顧客を選択してください")</f>
        <v>顧客を選択してください</v>
      </c>
      <c r="F1495" s="1" t="str">
        <f ca="1">IFERROR(__xludf.DUMMYFUNCTION("GOOGLETRANSLATE(B1495,""en"",""fr"")"),"Sélectionnez le client")</f>
        <v>Sélectionnez le client</v>
      </c>
    </row>
    <row r="1496" spans="1:6" ht="15.75" customHeight="1" x14ac:dyDescent="0.25">
      <c r="A1496" s="1" t="s">
        <v>2822</v>
      </c>
      <c r="B1496" s="1" t="s">
        <v>2823</v>
      </c>
      <c r="C1496" s="1" t="str">
        <f ca="1">IFERROR(__xludf.DUMMYFUNCTION("GOOGLETRANSLATE(B1496,""en"",""ar"")"),"البحث العملاء")</f>
        <v>البحث العملاء</v>
      </c>
      <c r="D1496" s="1" t="str">
        <f ca="1">IFERROR(__xludf.DUMMYFUNCTION("GOOGLETRANSLATE(B1496,""en"",""zh-CN"")"),"搜索客户")</f>
        <v>搜索客户</v>
      </c>
      <c r="E1496" s="1" t="str">
        <f ca="1">IFERROR(__xludf.DUMMYFUNCTION("GOOGLETRANSLATE(B1496,""en"",""ja"")"),"お客様を検索してください")</f>
        <v>お客様を検索してください</v>
      </c>
      <c r="F1496" s="1" t="str">
        <f ca="1">IFERROR(__xludf.DUMMYFUNCTION("GOOGLETRANSLATE(B1496,""en"",""fr"")"),"Rechercher des clients")</f>
        <v>Rechercher des clients</v>
      </c>
    </row>
    <row r="1497" spans="1:6" ht="15.75" customHeight="1" x14ac:dyDescent="0.25">
      <c r="A1497" s="1" t="s">
        <v>2824</v>
      </c>
      <c r="B1497" s="1" t="s">
        <v>2825</v>
      </c>
      <c r="C1497" s="1" t="str">
        <f ca="1">IFERROR(__xludf.DUMMYFUNCTION("GOOGLETRANSLATE(B1497,""en"",""ar"")"),"ملف الزائر")</f>
        <v>ملف الزائر</v>
      </c>
      <c r="D1497" s="1" t="str">
        <f ca="1">IFERROR(__xludf.DUMMYFUNCTION("GOOGLETRANSLATE(B1497,""en"",""zh-CN"")"),"客户档案")</f>
        <v>客户档案</v>
      </c>
      <c r="E1497" s="1" t="str">
        <f ca="1">IFERROR(__xludf.DUMMYFUNCTION("GOOGLETRANSLATE(B1497,""en"",""ja"")"),"顧客情報")</f>
        <v>顧客情報</v>
      </c>
      <c r="F1497" s="1" t="str">
        <f ca="1">IFERROR(__xludf.DUMMYFUNCTION("GOOGLETRANSLATE(B1497,""en"",""fr"")"),"Profil client")</f>
        <v>Profil client</v>
      </c>
    </row>
    <row r="1498" spans="1:6" ht="15.75" customHeight="1" x14ac:dyDescent="0.25">
      <c r="A1498" s="1" t="s">
        <v>2826</v>
      </c>
      <c r="B1498" s="1" t="s">
        <v>2827</v>
      </c>
      <c r="C1498" s="1" t="str">
        <f ca="1">IFERROR(__xludf.DUMMYFUNCTION("GOOGLETRANSLATE(B1498,""en"",""ar"")"),"تعديل الملف الشخصي")</f>
        <v>تعديل الملف الشخصي</v>
      </c>
      <c r="D1498" s="1" t="str">
        <f ca="1">IFERROR(__xludf.DUMMYFUNCTION("GOOGLETRANSLATE(B1498,""en"",""zh-CN"")"),"编辑个人资料")</f>
        <v>编辑个人资料</v>
      </c>
      <c r="E1498" s="1" t="str">
        <f ca="1">IFERROR(__xludf.DUMMYFUNCTION("GOOGLETRANSLATE(B1498,""en"",""ja"")"),"プロファイル編集")</f>
        <v>プロファイル編集</v>
      </c>
      <c r="F1498" s="1" t="str">
        <f ca="1">IFERROR(__xludf.DUMMYFUNCTION("GOOGLETRANSLATE(B1498,""en"",""fr"")"),"EDITER LE PROFIL")</f>
        <v>EDITER LE PROFIL</v>
      </c>
    </row>
    <row r="1499" spans="1:6" ht="15.75" customHeight="1" x14ac:dyDescent="0.25">
      <c r="A1499" s="1" t="s">
        <v>2828</v>
      </c>
      <c r="B1499" s="1" t="s">
        <v>2829</v>
      </c>
      <c r="C1499" s="1" t="str">
        <f ca="1">IFERROR(__xludf.DUMMYFUNCTION("GOOGLETRANSLATE(B1499,""en"",""ar"")"),"استرداد النقاط")</f>
        <v>استرداد النقاط</v>
      </c>
      <c r="D1499" s="1" t="str">
        <f ca="1">IFERROR(__xludf.DUMMYFUNCTION("GOOGLETRANSLATE(B1499,""en"",""zh-CN"")"),"兑换积分")</f>
        <v>兑换积分</v>
      </c>
      <c r="E1499" s="1" t="str">
        <f ca="1">IFERROR(__xludf.DUMMYFUNCTION("GOOGLETRANSLATE(B1499,""en"",""ja"")"),"ポイントを交換します")</f>
        <v>ポイントを交換します</v>
      </c>
      <c r="F1499" s="1" t="str">
        <f ca="1">IFERROR(__xludf.DUMMYFUNCTION("GOOGLETRANSLATE(B1499,""en"",""fr"")"),"ÉCHANGER DES POINTS")</f>
        <v>ÉCHANGER DES POINTS</v>
      </c>
    </row>
    <row r="1500" spans="1:6" ht="15.75" customHeight="1" x14ac:dyDescent="0.25">
      <c r="A1500" s="1" t="s">
        <v>2830</v>
      </c>
      <c r="B1500" s="1" t="s">
        <v>2831</v>
      </c>
      <c r="C1500" s="1" t="str">
        <f ca="1">IFERROR(__xludf.DUMMYFUNCTION("GOOGLETRANSLATE(B1500,""en"",""ar"")"),"إنشاء العملاء")</f>
        <v>إنشاء العملاء</v>
      </c>
      <c r="D1500" s="1" t="str">
        <f ca="1">IFERROR(__xludf.DUMMYFUNCTION("GOOGLETRANSLATE(B1500,""en"",""zh-CN"")"),"创造客户")</f>
        <v>创造客户</v>
      </c>
      <c r="E1500" s="1" t="str">
        <f ca="1">IFERROR(__xludf.DUMMYFUNCTION("GOOGLETRANSLATE(B1500,""en"",""ja"")"),"顧客を作成します")</f>
        <v>顧客を作成します</v>
      </c>
      <c r="F1500" s="1" t="str">
        <f ca="1">IFERROR(__xludf.DUMMYFUNCTION("GOOGLETRANSLATE(B1500,""en"",""fr"")"),"Créer un client")</f>
        <v>Créer un client</v>
      </c>
    </row>
    <row r="1501" spans="1:6" ht="15.75" customHeight="1" x14ac:dyDescent="0.25">
      <c r="A1501" s="1" t="s">
        <v>2832</v>
      </c>
      <c r="B1501" s="1" t="s">
        <v>2833</v>
      </c>
      <c r="C1501" s="1" t="str">
        <f ca="1">IFERROR(__xludf.DUMMYFUNCTION("GOOGLETRANSLATE(B1501,""en"",""ar"")"),"تحرير العملاء")</f>
        <v>تحرير العملاء</v>
      </c>
      <c r="D1501" s="1" t="str">
        <f ca="1">IFERROR(__xludf.DUMMYFUNCTION("GOOGLETRANSLATE(B1501,""en"",""zh-CN"")"),"编辑客户")</f>
        <v>编辑客户</v>
      </c>
      <c r="E1501" s="1" t="str">
        <f ca="1">IFERROR(__xludf.DUMMYFUNCTION("GOOGLETRANSLATE(B1501,""en"",""ja"")"),"顧客を編集します")</f>
        <v>顧客を編集します</v>
      </c>
      <c r="F1501" s="1" t="str">
        <f ca="1">IFERROR(__xludf.DUMMYFUNCTION("GOOGLETRANSLATE(B1501,""en"",""fr"")"),"Modifier le client")</f>
        <v>Modifier le client</v>
      </c>
    </row>
    <row r="1502" spans="1:6" ht="15.75" customHeight="1" x14ac:dyDescent="0.25">
      <c r="A1502" s="1" t="s">
        <v>2834</v>
      </c>
      <c r="B1502" s="1" t="s">
        <v>2835</v>
      </c>
      <c r="C1502" s="1" t="str">
        <f ca="1">IFERROR(__xludf.DUMMYFUNCTION("GOOGLETRANSLATE(B1502,""en"",""ar"")"),"إضافة عميل جديد")</f>
        <v>إضافة عميل جديد</v>
      </c>
      <c r="D1502" s="1" t="str">
        <f ca="1">IFERROR(__xludf.DUMMYFUNCTION("GOOGLETRANSLATE(B1502,""en"",""zh-CN"")"),"添加新客户")</f>
        <v>添加新客户</v>
      </c>
      <c r="E1502" s="1" t="str">
        <f ca="1">IFERROR(__xludf.DUMMYFUNCTION("GOOGLETRANSLATE(B1502,""en"",""ja"")"),"新しい顧客を追加してください")</f>
        <v>新しい顧客を追加してください</v>
      </c>
      <c r="F1502" s="1" t="str">
        <f ca="1">IFERROR(__xludf.DUMMYFUNCTION("GOOGLETRANSLATE(B1502,""en"",""fr"")"),"Ajouter un nouveau client")</f>
        <v>Ajouter un nouveau client</v>
      </c>
    </row>
    <row r="1503" spans="1:6" ht="15.75" customHeight="1" x14ac:dyDescent="0.25">
      <c r="A1503" s="1" t="s">
        <v>2836</v>
      </c>
      <c r="B1503" s="1" t="s">
        <v>2837</v>
      </c>
      <c r="C1503" s="1" t="str">
        <f ca="1">IFERROR(__xludf.DUMMYFUNCTION("GOOGLETRANSLATE(B1503,""en"",""ar"")"),"أضف إلى الاستلام")</f>
        <v>أضف إلى الاستلام</v>
      </c>
      <c r="D1503" s="1" t="str">
        <f ca="1">IFERROR(__xludf.DUMMYFUNCTION("GOOGLETRANSLATE(B1503,""en"",""zh-CN"")"),"加入收据")</f>
        <v>加入收据</v>
      </c>
      <c r="E1503" s="1" t="str">
        <f ca="1">IFERROR(__xludf.DUMMYFUNCTION("GOOGLETRANSLATE(B1503,""en"",""ja"")"),"領収書に追加してください")</f>
        <v>領収書に追加してください</v>
      </c>
      <c r="F1503" s="1" t="str">
        <f ca="1">IFERROR(__xludf.DUMMYFUNCTION("GOOGLETRANSLATE(B1503,""en"",""fr"")"),"Ajouter à la réception")</f>
        <v>Ajouter à la réception</v>
      </c>
    </row>
    <row r="1504" spans="1:6" ht="15.75" customHeight="1" x14ac:dyDescent="0.25">
      <c r="A1504" s="1" t="s">
        <v>2838</v>
      </c>
      <c r="B1504" s="1" t="s">
        <v>2839</v>
      </c>
      <c r="C1504" s="1" t="str">
        <f ca="1">IFERROR(__xludf.DUMMYFUNCTION("GOOGLETRANSLATE(B1504,""en"",""ar"")"),"معرف العميل موجود بالفعل")</f>
        <v>معرف العميل موجود بالفعل</v>
      </c>
      <c r="D1504" s="1" t="str">
        <f ca="1">IFERROR(__xludf.DUMMYFUNCTION("GOOGLETRANSLATE(B1504,""en"",""zh-CN"")"),"客户ID已存在")</f>
        <v>客户ID已存在</v>
      </c>
      <c r="E1504" s="1" t="str">
        <f ca="1">IFERROR(__xludf.DUMMYFUNCTION("GOOGLETRANSLATE(B1504,""en"",""ja"")"),"顧客IDはすでに存在しています")</f>
        <v>顧客IDはすでに存在しています</v>
      </c>
      <c r="F1504" s="1" t="str">
        <f ca="1">IFERROR(__xludf.DUMMYFUNCTION("GOOGLETRANSLATE(B1504,""en"",""fr"")"),"L'ID client existe déjà")</f>
        <v>L'ID client existe déjà</v>
      </c>
    </row>
    <row r="1505" spans="1:6" ht="15.75" customHeight="1" x14ac:dyDescent="0.25">
      <c r="A1505" s="1" t="s">
        <v>2840</v>
      </c>
      <c r="B1505" s="1" t="s">
        <v>406</v>
      </c>
      <c r="C1505" s="1" t="str">
        <f ca="1">IFERROR(__xludf.DUMMYFUNCTION("GOOGLETRANSLATE(B1505,""en"",""ar"")"),"اسم")</f>
        <v>اسم</v>
      </c>
      <c r="D1505" s="1" t="str">
        <f ca="1">IFERROR(__xludf.DUMMYFUNCTION("GOOGLETRANSLATE(B1505,""en"",""zh-CN"")"),"名称")</f>
        <v>名称</v>
      </c>
      <c r="E1505" s="1" t="str">
        <f ca="1">IFERROR(__xludf.DUMMYFUNCTION("GOOGLETRANSLATE(B1505,""en"",""ja"")"),"名前")</f>
        <v>名前</v>
      </c>
      <c r="F1505" s="1" t="str">
        <f ca="1">IFERROR(__xludf.DUMMYFUNCTION("GOOGLETRANSLATE(B1505,""en"",""fr"")"),"Nom")</f>
        <v>Nom</v>
      </c>
    </row>
    <row r="1506" spans="1:6" ht="15.75" customHeight="1" x14ac:dyDescent="0.25">
      <c r="A1506" s="1" t="s">
        <v>2841</v>
      </c>
      <c r="B1506" s="1" t="s">
        <v>2808</v>
      </c>
      <c r="C1506" s="1" t="str">
        <f ca="1">IFERROR(__xludf.DUMMYFUNCTION("GOOGLETRANSLATE(B1506,""en"",""ar"")"),"اسم الزبون")</f>
        <v>اسم الزبون</v>
      </c>
      <c r="D1506" s="1" t="str">
        <f ca="1">IFERROR(__xludf.DUMMYFUNCTION("GOOGLETRANSLATE(B1506,""en"",""zh-CN"")"),"顾客姓名")</f>
        <v>顾客姓名</v>
      </c>
      <c r="E1506" s="1" t="str">
        <f ca="1">IFERROR(__xludf.DUMMYFUNCTION("GOOGLETRANSLATE(B1506,""en"",""ja"")"),"顧客名")</f>
        <v>顧客名</v>
      </c>
      <c r="F1506" s="1" t="str">
        <f ca="1">IFERROR(__xludf.DUMMYFUNCTION("GOOGLETRANSLATE(B1506,""en"",""fr"")"),"Nom du client")</f>
        <v>Nom du client</v>
      </c>
    </row>
    <row r="1507" spans="1:6" ht="15.75" customHeight="1" x14ac:dyDescent="0.25">
      <c r="A1507" s="1" t="s">
        <v>2842</v>
      </c>
      <c r="B1507" s="1" t="s">
        <v>2843</v>
      </c>
      <c r="C1507" s="1" t="str">
        <f ca="1">IFERROR(__xludf.DUMMYFUNCTION("GOOGLETRANSLATE(B1507,""en"",""ar"")"),"هوية الزبون")</f>
        <v>هوية الزبون</v>
      </c>
      <c r="D1507" s="1" t="str">
        <f ca="1">IFERROR(__xludf.DUMMYFUNCTION("GOOGLETRANSLATE(B1507,""en"",""zh-CN"")"),"客户ID")</f>
        <v>客户ID</v>
      </c>
      <c r="E1507" s="1" t="str">
        <f ca="1">IFERROR(__xludf.DUMMYFUNCTION("GOOGLETRANSLATE(B1507,""en"",""ja"")"),"顧客ID")</f>
        <v>顧客ID</v>
      </c>
      <c r="F1507" s="1" t="str">
        <f ca="1">IFERROR(__xludf.DUMMYFUNCTION("GOOGLETRANSLATE(B1507,""en"",""fr"")"),"N ° de client")</f>
        <v>N ° de client</v>
      </c>
    </row>
    <row r="1508" spans="1:6" ht="15.75" customHeight="1" x14ac:dyDescent="0.25">
      <c r="A1508" s="1" t="s">
        <v>2844</v>
      </c>
      <c r="B1508" s="1" t="s">
        <v>2819</v>
      </c>
      <c r="C1508" s="1" t="str">
        <f ca="1">IFERROR(__xludf.DUMMYFUNCTION("GOOGLETRANSLATE(B1508,""en"",""ar"")"),"عميل")</f>
        <v>عميل</v>
      </c>
      <c r="D1508" s="1" t="str">
        <f ca="1">IFERROR(__xludf.DUMMYFUNCTION("GOOGLETRANSLATE(B1508,""en"",""zh-CN"")"),"顾客")</f>
        <v>顾客</v>
      </c>
      <c r="E1508" s="1" t="str">
        <f ca="1">IFERROR(__xludf.DUMMYFUNCTION("GOOGLETRANSLATE(B1508,""en"",""ja"")"),"お客様")</f>
        <v>お客様</v>
      </c>
      <c r="F1508" s="1" t="str">
        <f ca="1">IFERROR(__xludf.DUMMYFUNCTION("GOOGLETRANSLATE(B1508,""en"",""fr"")"),"Client")</f>
        <v>Client</v>
      </c>
    </row>
    <row r="1509" spans="1:6" ht="15.75" customHeight="1" x14ac:dyDescent="0.25">
      <c r="A1509" s="1" t="s">
        <v>2845</v>
      </c>
      <c r="B1509" s="1" t="s">
        <v>2592</v>
      </c>
      <c r="C1509" s="1" t="str">
        <f ca="1">IFERROR(__xludf.DUMMYFUNCTION("GOOGLETRANSLATE(B1509,""en"",""ar"")"),"إزالة من الاستلام")</f>
        <v>إزالة من الاستلام</v>
      </c>
      <c r="D1509" s="1" t="str">
        <f ca="1">IFERROR(__xludf.DUMMYFUNCTION("GOOGLETRANSLATE(B1509,""en"",""zh-CN"")"),"从收据中删除")</f>
        <v>从收据中删除</v>
      </c>
      <c r="E1509" s="1" t="str">
        <f ca="1">IFERROR(__xludf.DUMMYFUNCTION("GOOGLETRANSLATE(B1509,""en"",""ja"")"),"領収書から削除します")</f>
        <v>領収書から削除します</v>
      </c>
      <c r="F1509" s="1" t="str">
        <f ca="1">IFERROR(__xludf.DUMMYFUNCTION("GOOGLETRANSLATE(B1509,""en"",""fr"")"),"Supprimer de la réception")</f>
        <v>Supprimer de la réception</v>
      </c>
    </row>
    <row r="1510" spans="1:6" ht="15.75" customHeight="1" x14ac:dyDescent="0.25">
      <c r="A1510" s="1" t="s">
        <v>2846</v>
      </c>
      <c r="B1510" s="1" t="s">
        <v>2847</v>
      </c>
      <c r="C1510" s="1" t="str">
        <f ca="1">IFERROR(__xludf.DUMMYFUNCTION("GOOGLETRANSLATE(B1510,""en"",""ar"")"),"توليد NFC.")</f>
        <v>توليد NFC.</v>
      </c>
      <c r="D1510" s="1" t="str">
        <f ca="1">IFERROR(__xludf.DUMMYFUNCTION("GOOGLETRANSLATE(B1510,""en"",""zh-CN"")"),"生成nfc.")</f>
        <v>生成nfc.</v>
      </c>
      <c r="E1510" s="1" t="str">
        <f ca="1">IFERROR(__xludf.DUMMYFUNCTION("GOOGLETRANSLATE(B1510,""en"",""ja"")"),"NFCを生成します")</f>
        <v>NFCを生成します</v>
      </c>
      <c r="F1510" s="1" t="str">
        <f ca="1">IFERROR(__xludf.DUMMYFUNCTION("GOOGLETRANSLATE(B1510,""en"",""fr"")"),"Générer nfc")</f>
        <v>Générer nfc</v>
      </c>
    </row>
    <row r="1511" spans="1:6" ht="15.75" customHeight="1" x14ac:dyDescent="0.25">
      <c r="A1511" s="1" t="s">
        <v>2848</v>
      </c>
      <c r="B1511" s="1" t="s">
        <v>2849</v>
      </c>
      <c r="C1511" s="1" t="str">
        <f ca="1">IFERROR(__xludf.DUMMYFUNCTION("GOOGLETRANSLATE(B1511,""en"",""ar"")"),"لا يوجد محطة POS جديدة متوفرة في المحل")</f>
        <v>لا يوجد محطة POS جديدة متوفرة في المحل</v>
      </c>
      <c r="D1511" s="1" t="str">
        <f ca="1">IFERROR(__xludf.DUMMYFUNCTION("GOOGLETRANSLATE(B1511,""en"",""zh-CN"")"),"商店没有新的POS终端")</f>
        <v>商店没有新的POS终端</v>
      </c>
      <c r="E1511" s="1" t="str">
        <f ca="1">IFERROR(__xludf.DUMMYFUNCTION("GOOGLETRANSLATE(B1511,""en"",""ja"")"),"店で新しいPOS端末はありません")</f>
        <v>店で新しいPOS端末はありません</v>
      </c>
      <c r="F1511" s="1" t="str">
        <f ca="1">IFERROR(__xludf.DUMMYFUNCTION("GOOGLETRANSLATE(B1511,""en"",""fr"")"),"Il n'y a pas de nouveau terminal POS disponible dans la boutique")</f>
        <v>Il n'y a pas de nouveau terminal POS disponible dans la boutique</v>
      </c>
    </row>
    <row r="1512" spans="1:6" ht="15.75" customHeight="1" x14ac:dyDescent="0.25">
      <c r="A1512" s="1" t="s">
        <v>2850</v>
      </c>
      <c r="B1512" s="1" t="s">
        <v>2851</v>
      </c>
      <c r="C1512" s="1" t="str">
        <f ca="1">IFERROR(__xludf.DUMMYFUNCTION("GOOGLETRANSLATE(B1512,""en"",""ar"")"),"إضافة محطة POS جديدة (ق) في BackOffice")</f>
        <v>إضافة محطة POS جديدة (ق) في BackOffice</v>
      </c>
      <c r="D1512" s="1" t="str">
        <f ca="1">IFERROR(__xludf.DUMMYFUNCTION("GOOGLETRANSLATE(B1512,""en"",""zh-CN"")"),"在Backoffice中添加新的POS终端")</f>
        <v>在Backoffice中添加新的POS终端</v>
      </c>
      <c r="E1512" s="1" t="str">
        <f ca="1">IFERROR(__xludf.DUMMYFUNCTION("GOOGLETRANSLATE(B1512,""en"",""ja"")"),"バックオフィスに新しいPOS端末を追加する")</f>
        <v>バックオフィスに新しいPOS端末を追加する</v>
      </c>
      <c r="F1512" s="1" t="str">
        <f ca="1">IFERROR(__xludf.DUMMYFUNCTION("GOOGLETRANSLATE(B1512,""en"",""fr"")"),"Ajouter un nouveau terminal de point de vente dans la backOffice")</f>
        <v>Ajouter un nouveau terminal de point de vente dans la backOffice</v>
      </c>
    </row>
    <row r="1513" spans="1:6" ht="15.75" customHeight="1" x14ac:dyDescent="0.25">
      <c r="A1513" s="1" t="s">
        <v>2852</v>
      </c>
      <c r="B1513" s="1" t="s">
        <v>2853</v>
      </c>
      <c r="C1513" s="1" t="str">
        <f ca="1">IFERROR(__xludf.DUMMYFUNCTION("GOOGLETRANSLATE(B1513,""en"",""ar"")"),"شاشة العملاء غير متصل. يرجى إعادة تشغيل الجهاز")</f>
        <v>شاشة العملاء غير متصل. يرجى إعادة تشغيل الجهاز</v>
      </c>
      <c r="D1513" s="1" t="str">
        <f ca="1">IFERROR(__xludf.DUMMYFUNCTION("GOOGLETRANSLATE(B1513,""en"",""zh-CN"")"),"客户显示未连接。请重新启动计算机")</f>
        <v>客户显示未连接。请重新启动计算机</v>
      </c>
      <c r="E1513" s="1" t="str">
        <f ca="1">IFERROR(__xludf.DUMMYFUNCTION("GOOGLETRANSLATE(B1513,""en"",""ja"")"),"カスタマーディスプレイは接続されていません。マシンを再起動します")</f>
        <v>カスタマーディスプレイは接続されていません。マシンを再起動します</v>
      </c>
      <c r="F1513" s="1" t="str">
        <f ca="1">IFERROR(__xludf.DUMMYFUNCTION("GOOGLETRANSLATE(B1513,""en"",""fr"")"),"L'affichage du client n'est pas connecté.Veuillez redémarrer la machine")</f>
        <v>L'affichage du client n'est pas connecté.Veuillez redémarrer la machine</v>
      </c>
    </row>
    <row r="1514" spans="1:6" ht="15.75" customHeight="1" x14ac:dyDescent="0.25">
      <c r="A1514" s="1" t="s">
        <v>2854</v>
      </c>
      <c r="B1514" s="1" t="s">
        <v>2855</v>
      </c>
      <c r="C1514" s="1" t="str">
        <f ca="1">IFERROR(__xludf.DUMMYFUNCTION("GOOGLETRANSLATE(B1514,""en"",""ar"")"),"فتح صندوق النقص تفشل: SecurityException")</f>
        <v>فتح صندوق النقص تفشل: SecurityException</v>
      </c>
      <c r="D1514" s="1" t="str">
        <f ca="1">IFERROR(__xludf.DUMMYFUNCTION("GOOGLETRANSLATE(B1514,""en"",""zh-CN"")"),"打开Cashbox失败：SecurityException")</f>
        <v>打开Cashbox失败：SecurityException</v>
      </c>
      <c r="E1514" s="1" t="str">
        <f ca="1">IFERROR(__xludf.DUMMYFUNCTION("GOOGLETRANSLATE(B1514,""en"",""ja"")"),"オープンキャッシュボックスが失敗する：SecurityException")</f>
        <v>オープンキャッシュボックスが失敗する：SecurityException</v>
      </c>
      <c r="F1514" s="1" t="str">
        <f ca="1">IFERROR(__xludf.DUMMYFUNCTION("GOOGLETRANSLATE(B1514,""en"",""fr"")"),"Ouvrir Cashbox échec: SecurityException")</f>
        <v>Ouvrir Cashbox échec: SecurityException</v>
      </c>
    </row>
    <row r="1515" spans="1:6" ht="15.75" customHeight="1" x14ac:dyDescent="0.25">
      <c r="A1515" s="1" t="s">
        <v>2856</v>
      </c>
      <c r="B1515" s="1" t="s">
        <v>2857</v>
      </c>
      <c r="C1515" s="1" t="str">
        <f ca="1">IFERROR(__xludf.DUMMYFUNCTION("GOOGLETRANSLATE(B1515,""en"",""ar"")"),"تفتح Cashbox تفشل: IoException")</f>
        <v>تفتح Cashbox تفشل: IoException</v>
      </c>
      <c r="D1515" s="1" t="str">
        <f ca="1">IFERROR(__xludf.DUMMYFUNCTION("GOOGLETRANSLATE(B1515,""en"",""zh-CN"")"),"打开Cashbox Fail：ioException")</f>
        <v>打开Cashbox Fail：ioException</v>
      </c>
      <c r="E1515" s="1" t="str">
        <f ca="1">IFERROR(__xludf.DUMMYFUNCTION("GOOGLETRANSLATE(B1515,""en"",""ja"")"),"オープンキャッシュボックスが失敗する：IoException")</f>
        <v>オープンキャッシュボックスが失敗する：IoException</v>
      </c>
      <c r="F1515" s="1" t="str">
        <f ca="1">IFERROR(__xludf.DUMMYFUNCTION("GOOGLETRANSLATE(B1515,""en"",""fr"")"),"Ouvrir Cashbox échec: IoException")</f>
        <v>Ouvrir Cashbox échec: IoException</v>
      </c>
    </row>
    <row r="1516" spans="1:6" ht="15.75" customHeight="1" x14ac:dyDescent="0.25">
      <c r="A1516" s="1" t="s">
        <v>2858</v>
      </c>
      <c r="B1516" s="1" t="s">
        <v>2859</v>
      </c>
      <c r="C1516" s="1" t="str">
        <f ca="1">IFERROR(__xludf.DUMMYFUNCTION("GOOGLETRANSLATE(B1516,""en"",""ar"")"),"تفتح Cashbox تفشل: InvalidParameterException")</f>
        <v>تفتح Cashbox تفشل: InvalidParameterException</v>
      </c>
      <c r="D1516" s="1" t="str">
        <f ca="1">IFERROR(__xludf.DUMMYFUNCTION("GOOGLETRANSLATE(B1516,""en"",""zh-CN"")"),"打开Cashbox Fail：InvalidParameterException")</f>
        <v>打开Cashbox Fail：InvalidParameterException</v>
      </c>
      <c r="E1516" s="1" t="str">
        <f ca="1">IFERROR(__xludf.DUMMYFUNCTION("GOOGLETRANSLATE(B1516,""en"",""ja"")"),"オープンキャッシュボックスが失敗する：InvalidParameterException")</f>
        <v>オープンキャッシュボックスが失敗する：InvalidParameterException</v>
      </c>
      <c r="F1516" s="1" t="str">
        <f ca="1">IFERROR(__xludf.DUMMYFUNCTION("GOOGLETRANSLATE(B1516,""en"",""fr"")"),"Ouvrir Cashbox échec: InvalidParameException")</f>
        <v>Ouvrir Cashbox échec: InvalidParameException</v>
      </c>
    </row>
    <row r="1517" spans="1:6" ht="15.75" customHeight="1" x14ac:dyDescent="0.25">
      <c r="A1517" s="1" t="s">
        <v>2860</v>
      </c>
      <c r="B1517" s="1" t="s">
        <v>2861</v>
      </c>
      <c r="C1517" s="1" t="str">
        <f ca="1">IFERROR(__xludf.DUMMYFUNCTION("GOOGLETRANSLATE(B1517,""en"",""ar"")"),"حاول ثانية!")</f>
        <v>حاول ثانية!</v>
      </c>
      <c r="D1517" s="1" t="str">
        <f ca="1">IFERROR(__xludf.DUMMYFUNCTION("GOOGLETRANSLATE(B1517,""en"",""zh-CN"")"),"再试一次！")</f>
        <v>再试一次！</v>
      </c>
      <c r="E1517" s="1" t="str">
        <f ca="1">IFERROR(__xludf.DUMMYFUNCTION("GOOGLETRANSLATE(B1517,""en"",""ja"")"),"再試行する！")</f>
        <v>再試行する！</v>
      </c>
      <c r="F1517" s="1" t="str">
        <f ca="1">IFERROR(__xludf.DUMMYFUNCTION("GOOGLETRANSLATE(B1517,""en"",""fr"")"),"Essayer à nouveau!")</f>
        <v>Essayer à nouveau!</v>
      </c>
    </row>
    <row r="1518" spans="1:6" ht="15.75" customHeight="1" x14ac:dyDescent="0.25">
      <c r="A1518" s="1" t="s">
        <v>2862</v>
      </c>
      <c r="B1518" s="1" t="s">
        <v>2863</v>
      </c>
      <c r="C1518" s="1" t="str">
        <f ca="1">IFERROR(__xludf.DUMMYFUNCTION("GOOGLETRANSLATE(B1518,""en"",""ar"")"),"تحميل KOT فشل")</f>
        <v>تحميل KOT فشل</v>
      </c>
      <c r="D1518" s="1" t="str">
        <f ca="1">IFERROR(__xludf.DUMMYFUNCTION("GOOGLETRANSLATE(B1518,""en"",""zh-CN"")"),"KOT上传是失败的")</f>
        <v>KOT上传是失败的</v>
      </c>
      <c r="E1518" s="1" t="str">
        <f ca="1">IFERROR(__xludf.DUMMYFUNCTION("GOOGLETRANSLATE(B1518,""en"",""ja"")"),"KOTアップロードは失敗します")</f>
        <v>KOTアップロードは失敗します</v>
      </c>
      <c r="F1518" s="1" t="str">
        <f ca="1">IFERROR(__xludf.DUMMYFUNCTION("GOOGLETRANSLATE(B1518,""en"",""fr"")"),"Le téléchargement Kot est en échec")</f>
        <v>Le téléchargement Kot est en échec</v>
      </c>
    </row>
    <row r="1519" spans="1:6" ht="15.75" customHeight="1" x14ac:dyDescent="0.25">
      <c r="A1519" s="1" t="s">
        <v>2864</v>
      </c>
      <c r="B1519" s="1" t="s">
        <v>2865</v>
      </c>
      <c r="C1519" s="1" t="str">
        <f ca="1">IFERROR(__xludf.DUMMYFUNCTION("GOOGLETRANSLATE(B1519,""en"",""ar"")"),"كوت ليس diliverd")</f>
        <v>كوت ليس diliverd</v>
      </c>
      <c r="D1519" s="1" t="str">
        <f ca="1">IFERROR(__xludf.DUMMYFUNCTION("GOOGLETRANSLATE(B1519,""en"",""zh-CN"")"),"kot不是diliverd")</f>
        <v>kot不是diliverd</v>
      </c>
      <c r="E1519" s="1" t="str">
        <f ca="1">IFERROR(__xludf.DUMMYFUNCTION("GOOGLETRANSLATE(B1519,""en"",""ja"")"),"KOTはDiverdではありません")</f>
        <v>KOTはDiverdではありません</v>
      </c>
      <c r="F1519" s="1" t="str">
        <f ca="1">IFERROR(__xludf.DUMMYFUNCTION("GOOGLETRANSLATE(B1519,""en"",""fr"")"),"Kot n'est pas diliverd")</f>
        <v>Kot n'est pas diliverd</v>
      </c>
    </row>
    <row r="1520" spans="1:6" ht="15.75" customHeight="1" x14ac:dyDescent="0.25">
      <c r="A1520" s="1" t="s">
        <v>2866</v>
      </c>
      <c r="B1520" s="1" t="s">
        <v>2867</v>
      </c>
      <c r="C1520" s="1" t="str">
        <f ca="1">IFERROR(__xludf.DUMMYFUNCTION("GOOGLETRANSLATE(B1520,""en"",""ar"")"),"إلغاء كوت فشل")</f>
        <v>إلغاء كوت فشل</v>
      </c>
      <c r="D1520" s="1" t="str">
        <f ca="1">IFERROR(__xludf.DUMMYFUNCTION("GOOGLETRANSLATE(B1520,""en"",""zh-CN"")"),"kot取消失败")</f>
        <v>kot取消失败</v>
      </c>
      <c r="E1520" s="1" t="str">
        <f ca="1">IFERROR(__xludf.DUMMYFUNCTION("GOOGLETRANSLATE(B1520,""en"",""ja"")"),"KOTキャンセルは失敗します")</f>
        <v>KOTキャンセルは失敗します</v>
      </c>
      <c r="F1520" s="1" t="str">
        <f ca="1">IFERROR(__xludf.DUMMYFUNCTION("GOOGLETRANSLATE(B1520,""en"",""fr"")"),"L'annulation de Kot est échouée")</f>
        <v>L'annulation de Kot est échouée</v>
      </c>
    </row>
    <row r="1521" spans="1:6" ht="15.75" customHeight="1" x14ac:dyDescent="0.25">
      <c r="A1521" s="1" t="s">
        <v>2868</v>
      </c>
      <c r="B1521" s="1" t="s">
        <v>2869</v>
      </c>
      <c r="C1521" s="1" t="str">
        <f ca="1">IFERROR(__xludf.DUMMYFUNCTION("GOOGLETRANSLATE(B1521,""en"",""ar"")"),"PLAESE إعطاء تصاريح لاستخدام الطابعة")</f>
        <v>PLAESE إعطاء تصاريح لاستخدام الطابعة</v>
      </c>
      <c r="D1521" s="1" t="str">
        <f ca="1">IFERROR(__xludf.DUMMYFUNCTION("GOOGLETRANSLATE(B1521,""en"",""zh-CN"")"),"PLAEESE提供使用打印机的权限")</f>
        <v>PLAEESE提供使用打印机的权限</v>
      </c>
      <c r="E1521" s="1" t="str">
        <f ca="1">IFERROR(__xludf.DUMMYFUNCTION("GOOGLETRANSLATE(B1521,""en"",""ja"")"),"Plaeseは使用プリンタの透過を与えます")</f>
        <v>Plaeseは使用プリンタの透過を与えます</v>
      </c>
      <c r="F1521" s="1" t="str">
        <f ca="1">IFERROR(__xludf.DUMMYFUNCTION("GOOGLETRANSLATE(B1521,""en"",""fr"")"),"PLAESE DONNE PERMISION POUR UTILISER L'imprimante")</f>
        <v>PLAESE DONNE PERMISION POUR UTILISER L'imprimante</v>
      </c>
    </row>
    <row r="1522" spans="1:6" ht="15.75" customHeight="1" x14ac:dyDescent="0.25">
      <c r="A1522" s="1" t="s">
        <v>2870</v>
      </c>
      <c r="B1522" s="1" t="s">
        <v>2871</v>
      </c>
      <c r="C1522" s="1" t="str">
        <f ca="1">IFERROR(__xludf.DUMMYFUNCTION("GOOGLETRANSLATE(B1522,""en"",""ar"")"),"الطابعة ليس لها ورقة")</f>
        <v>الطابعة ليس لها ورقة</v>
      </c>
      <c r="D1522" s="1" t="str">
        <f ca="1">IFERROR(__xludf.DUMMYFUNCTION("GOOGLETRANSLATE(B1522,""en"",""zh-CN"")"),"打印机没有纸张")</f>
        <v>打印机没有纸张</v>
      </c>
      <c r="E1522" s="1" t="str">
        <f ca="1">IFERROR(__xludf.DUMMYFUNCTION("GOOGLETRANSLATE(B1522,""en"",""ja"")"),"プリンタには紙がありません")</f>
        <v>プリンタには紙がありません</v>
      </c>
      <c r="F1522" s="1" t="str">
        <f ca="1">IFERROR(__xludf.DUMMYFUNCTION("GOOGLETRANSLATE(B1522,""en"",""fr"")"),"L'imprimante n'a pas de papier")</f>
        <v>L'imprimante n'a pas de papier</v>
      </c>
    </row>
    <row r="1523" spans="1:6" ht="15.75" customHeight="1" x14ac:dyDescent="0.25">
      <c r="A1523" s="1" t="s">
        <v>2872</v>
      </c>
      <c r="B1523" s="1" t="s">
        <v>2873</v>
      </c>
      <c r="C1523" s="1" t="str">
        <f ca="1">IFERROR(__xludf.DUMMYFUNCTION("GOOGLETRANSLATE(B1523,""en"",""ar"")"),"مشكلة مع اتصال بلوتوث")</f>
        <v>مشكلة مع اتصال بلوتوث</v>
      </c>
      <c r="D1523" s="1" t="str">
        <f ca="1">IFERROR(__xludf.DUMMYFUNCTION("GOOGLETRANSLATE(B1523,""en"",""zh-CN"")"),"蓝牙连接问题")</f>
        <v>蓝牙连接问题</v>
      </c>
      <c r="E1523" s="1" t="str">
        <f ca="1">IFERROR(__xludf.DUMMYFUNCTION("GOOGLETRANSLATE(B1523,""en"",""ja"")"),"Bluetooth接続に関する問題")</f>
        <v>Bluetooth接続に関する問題</v>
      </c>
      <c r="F1523" s="1" t="str">
        <f ca="1">IFERROR(__xludf.DUMMYFUNCTION("GOOGLETRANSLATE(B1523,""en"",""fr"")"),"Problème avec la connexion Bluetooth")</f>
        <v>Problème avec la connexion Bluetooth</v>
      </c>
    </row>
    <row r="1524" spans="1:6" ht="15.75" customHeight="1" x14ac:dyDescent="0.25">
      <c r="A1524" s="1" t="s">
        <v>2874</v>
      </c>
      <c r="B1524" s="1" t="s">
        <v>2875</v>
      </c>
      <c r="C1524" s="1" t="str">
        <f ca="1">IFERROR(__xludf.DUMMYFUNCTION("GOOGLETRANSLATE(B1524,""en"",""ar"")"),"مشكلة مع اتصال الشبكة")</f>
        <v>مشكلة مع اتصال الشبكة</v>
      </c>
      <c r="D1524" s="1" t="str">
        <f ca="1">IFERROR(__xludf.DUMMYFUNCTION("GOOGLETRANSLATE(B1524,""en"",""zh-CN"")"),"网络连接问题")</f>
        <v>网络连接问题</v>
      </c>
      <c r="E1524" s="1" t="str">
        <f ca="1">IFERROR(__xludf.DUMMYFUNCTION("GOOGLETRANSLATE(B1524,""en"",""ja"")"),"ネットワーク接続に関する問題")</f>
        <v>ネットワーク接続に関する問題</v>
      </c>
      <c r="F1524" s="1" t="str">
        <f ca="1">IFERROR(__xludf.DUMMYFUNCTION("GOOGLETRANSLATE(B1524,""en"",""fr"")"),"Problème avec la connexion réseau")</f>
        <v>Problème avec la connexion réseau</v>
      </c>
    </row>
    <row r="1525" spans="1:6" ht="15.75" customHeight="1" x14ac:dyDescent="0.25">
      <c r="A1525" s="1" t="s">
        <v>2876</v>
      </c>
      <c r="B1525" s="1" t="s">
        <v>2877</v>
      </c>
      <c r="C1525" s="1" t="str">
        <f ca="1">IFERROR(__xludf.DUMMYFUNCTION("GOOGLETRANSLATE(B1525,""en"",""ar"")"),"قم بتوصيل خطأ WiFi-Printer")</f>
        <v>قم بتوصيل خطأ WiFi-Printer</v>
      </c>
      <c r="D1525" s="1" t="str">
        <f ca="1">IFERROR(__xludf.DUMMYFUNCTION("GOOGLETRANSLATE(B1525,""en"",""zh-CN"")"),"连接WiFi打印机错误")</f>
        <v>连接WiFi打印机错误</v>
      </c>
      <c r="E1525" s="1" t="str">
        <f ca="1">IFERROR(__xludf.DUMMYFUNCTION("GOOGLETRANSLATE(B1525,""en"",""ja"")"),"WiFiプリンタエラーを接続してください")</f>
        <v>WiFiプリンタエラーを接続してください</v>
      </c>
      <c r="F1525" s="1" t="str">
        <f ca="1">IFERROR(__xludf.DUMMYFUNCTION("GOOGLETRANSLATE(B1525,""en"",""fr"")"),"Connectez l'erreur WiFi-imprimante")</f>
        <v>Connectez l'erreur WiFi-imprimante</v>
      </c>
    </row>
    <row r="1526" spans="1:6" ht="15.75" customHeight="1" x14ac:dyDescent="0.25">
      <c r="A1526" s="1" t="s">
        <v>2878</v>
      </c>
      <c r="B1526" s="1" t="s">
        <v>2879</v>
      </c>
      <c r="C1526" s="1" t="str">
        <f ca="1">IFERROR(__xludf.DUMMYFUNCTION("GOOGLETRANSLATE(B1526,""en"",""ar"")"),"لا توجد تطبيقات للمشاركة!")</f>
        <v>لا توجد تطبيقات للمشاركة!</v>
      </c>
      <c r="D1526" s="1" t="str">
        <f ca="1">IFERROR(__xludf.DUMMYFUNCTION("GOOGLETRANSLATE(B1526,""en"",""zh-CN"")"),"没有应用程序分享！")</f>
        <v>没有应用程序分享！</v>
      </c>
      <c r="E1526" s="1" t="str">
        <f ca="1">IFERROR(__xludf.DUMMYFUNCTION("GOOGLETRANSLATE(B1526,""en"",""ja"")"),"共有するアプリはありません！")</f>
        <v>共有するアプリはありません！</v>
      </c>
      <c r="F1526" s="1" t="str">
        <f ca="1">IFERROR(__xludf.DUMMYFUNCTION("GOOGLETRANSLATE(B1526,""en"",""fr"")"),"Aucune application à partager!")</f>
        <v>Aucune application à partager!</v>
      </c>
    </row>
    <row r="1527" spans="1:6" ht="15.75" customHeight="1" x14ac:dyDescent="0.25">
      <c r="A1527" s="1" t="s">
        <v>2880</v>
      </c>
      <c r="B1527" s="1" t="s">
        <v>2881</v>
      </c>
      <c r="C1527" s="1" t="str">
        <f ca="1">IFERROR(__xludf.DUMMYFUNCTION("GOOGLETRANSLATE(B1527,""en"",""ar"")"),"فشل النسخ الاحتياطي!")</f>
        <v>فشل النسخ الاحتياطي!</v>
      </c>
      <c r="D1527" s="1" t="str">
        <f ca="1">IFERROR(__xludf.DUMMYFUNCTION("GOOGLETRANSLATE(B1527,""en"",""zh-CN"")"),"备份失败！")</f>
        <v>备份失败！</v>
      </c>
      <c r="E1527" s="1" t="str">
        <f ca="1">IFERROR(__xludf.DUMMYFUNCTION("GOOGLETRANSLATE(B1527,""en"",""ja"")"),"バックアップに失敗しました！")</f>
        <v>バックアップに失敗しました！</v>
      </c>
      <c r="F1527" s="1" t="str">
        <f ca="1">IFERROR(__xludf.DUMMYFUNCTION("GOOGLETRANSLATE(B1527,""en"",""fr"")"),"La sauvegarde a échoué!")</f>
        <v>La sauvegarde a échoué!</v>
      </c>
    </row>
    <row r="1528" spans="1:6" ht="15.75" customHeight="1" x14ac:dyDescent="0.25">
      <c r="A1528" s="1" t="s">
        <v>2882</v>
      </c>
      <c r="B1528" s="1" t="s">
        <v>2883</v>
      </c>
      <c r="C1528" s="1" t="str">
        <f ca="1">IFERROR(__xludf.DUMMYFUNCTION("GOOGLETRANSLATE(B1528,""en"",""ar"")"),"مرحبا شظية فارغة")</f>
        <v>مرحبا شظية فارغة</v>
      </c>
      <c r="D1528" s="1" t="str">
        <f ca="1">IFERROR(__xludf.DUMMYFUNCTION("GOOGLETRANSLATE(B1528,""en"",""zh-CN"")"),"你好空白片段")</f>
        <v>你好空白片段</v>
      </c>
      <c r="E1528" s="1" t="str">
        <f ca="1">IFERROR(__xludf.DUMMYFUNCTION("GOOGLETRANSLATE(B1528,""en"",""ja"")"),"こんにちは空白の断片")</f>
        <v>こんにちは空白の断片</v>
      </c>
      <c r="F1528" s="1" t="str">
        <f ca="1">IFERROR(__xludf.DUMMYFUNCTION("GOOGLETRANSLATE(B1528,""en"",""fr"")"),"Bonjour fragment vierge")</f>
        <v>Bonjour fragment vierge</v>
      </c>
    </row>
    <row r="1529" spans="1:6" ht="15.75" customHeight="1" x14ac:dyDescent="0.25">
      <c r="A1529" s="1" t="s">
        <v>2884</v>
      </c>
      <c r="B1529" s="1" t="s">
        <v>2885</v>
      </c>
      <c r="C1529" s="1" t="str">
        <f ca="1">IFERROR(__xludf.DUMMYFUNCTION("GOOGLETRANSLATE(B1529,""en"",""ar"")"),"إنشاء المنتجات")</f>
        <v>إنشاء المنتجات</v>
      </c>
      <c r="D1529" s="1" t="str">
        <f ca="1">IFERROR(__xludf.DUMMYFUNCTION("GOOGLETRANSLATE(B1529,""en"",""zh-CN"")"),"创建产品")</f>
        <v>创建产品</v>
      </c>
      <c r="E1529" s="1" t="str">
        <f ca="1">IFERROR(__xludf.DUMMYFUNCTION("GOOGLETRANSLATE(B1529,""en"",""ja"")"),"製品を作成します")</f>
        <v>製品を作成します</v>
      </c>
      <c r="F1529" s="1" t="str">
        <f ca="1">IFERROR(__xludf.DUMMYFUNCTION("GOOGLETRANSLATE(B1529,""en"",""fr"")"),"Créer des produits")</f>
        <v>Créer des produits</v>
      </c>
    </row>
    <row r="1530" spans="1:6" ht="15.75" customHeight="1" x14ac:dyDescent="0.25">
      <c r="A1530" s="1" t="s">
        <v>2886</v>
      </c>
      <c r="B1530" s="1" t="s">
        <v>2887</v>
      </c>
      <c r="C1530" s="1" t="str">
        <f ca="1">IFERROR(__xludf.DUMMYFUNCTION("GOOGLETRANSLATE(B1530,""en"",""ar"")"),"تعيين المنتجات")</f>
        <v>تعيين المنتجات</v>
      </c>
      <c r="D1530" s="1" t="str">
        <f ca="1">IFERROR(__xludf.DUMMYFUNCTION("GOOGLETRANSLATE(B1530,""en"",""zh-CN"")"),"分配产品")</f>
        <v>分配产品</v>
      </c>
      <c r="E1530" s="1" t="str">
        <f ca="1">IFERROR(__xludf.DUMMYFUNCTION("GOOGLETRANSLATE(B1530,""en"",""ja"")"),"製品を割り当てます")</f>
        <v>製品を割り当てます</v>
      </c>
      <c r="F1530" s="1" t="str">
        <f ca="1">IFERROR(__xludf.DUMMYFUNCTION("GOOGLETRANSLATE(B1530,""en"",""fr"")"),"Attribuer des produits")</f>
        <v>Attribuer des produits</v>
      </c>
    </row>
    <row r="1531" spans="1:6" ht="15.75" customHeight="1" x14ac:dyDescent="0.25">
      <c r="A1531" s="1" t="s">
        <v>2888</v>
      </c>
      <c r="B1531" s="1" t="s">
        <v>2889</v>
      </c>
      <c r="C1531" s="1" t="str">
        <f ca="1">IFERROR(__xludf.DUMMYFUNCTION("GOOGLETRANSLATE(B1531,""en"",""ar"")"),"تعيين المنتجات إلى الفئة")</f>
        <v>تعيين المنتجات إلى الفئة</v>
      </c>
      <c r="D1531" s="1" t="str">
        <f ca="1">IFERROR(__xludf.DUMMYFUNCTION("GOOGLETRANSLATE(B1531,""en"",""zh-CN"")"),"将产品分配给类别")</f>
        <v>将产品分配给类别</v>
      </c>
      <c r="E1531" s="1" t="str">
        <f ca="1">IFERROR(__xludf.DUMMYFUNCTION("GOOGLETRANSLATE(B1531,""en"",""ja"")"),"カテゴリに製品を割り当てる")</f>
        <v>カテゴリに製品を割り当てる</v>
      </c>
      <c r="F1531" s="1" t="str">
        <f ca="1">IFERROR(__xludf.DUMMYFUNCTION("GOOGLETRANSLATE(B1531,""en"",""fr"")"),"Attribuer des produits à la catégorie")</f>
        <v>Attribuer des produits à la catégorie</v>
      </c>
    </row>
    <row r="1532" spans="1:6" ht="15.75" customHeight="1" x14ac:dyDescent="0.25">
      <c r="A1532" s="1" t="s">
        <v>2890</v>
      </c>
      <c r="B1532" s="1" t="s">
        <v>2891</v>
      </c>
      <c r="C1532" s="1" t="str">
        <f ca="1">IFERROR(__xludf.DUMMYFUNCTION("GOOGLETRANSLATE(B1532,""en"",""ar"")"),"التصنيف بنجاح")</f>
        <v>التصنيف بنجاح</v>
      </c>
      <c r="D1532" s="1" t="str">
        <f ca="1">IFERROR(__xludf.DUMMYFUNCTION("GOOGLETRANSLATE(B1532,""en"",""zh-CN"")"),"类别成功创建")</f>
        <v>类别成功创建</v>
      </c>
      <c r="E1532" s="1" t="str">
        <f ca="1">IFERROR(__xludf.DUMMYFUNCTION("GOOGLETRANSLATE(B1532,""en"",""ja"")"),"カテゴリが正常に作成されました")</f>
        <v>カテゴリが正常に作成されました</v>
      </c>
      <c r="F1532" s="1" t="str">
        <f ca="1">IFERROR(__xludf.DUMMYFUNCTION("GOOGLETRANSLATE(B1532,""en"",""fr"")"),"Catégorie créée avec succès")</f>
        <v>Catégorie créée avec succès</v>
      </c>
    </row>
    <row r="1533" spans="1:6" ht="15.75" customHeight="1" x14ac:dyDescent="0.25">
      <c r="A1533" s="1" t="s">
        <v>2892</v>
      </c>
      <c r="B1533" s="1" t="s">
        <v>2893</v>
      </c>
      <c r="C1533" s="1" t="str">
        <f ca="1">IFERROR(__xludf.DUMMYFUNCTION("GOOGLETRANSLATE(B1533,""en"",""ar"")"),"حدد المنتجات لحفظ")</f>
        <v>حدد المنتجات لحفظ</v>
      </c>
      <c r="D1533" s="1" t="str">
        <f ca="1">IFERROR(__xludf.DUMMYFUNCTION("GOOGLETRANSLATE(B1533,""en"",""zh-CN"")"),"选择要保存的产品")</f>
        <v>选择要保存的产品</v>
      </c>
      <c r="E1533" s="1" t="str">
        <f ca="1">IFERROR(__xludf.DUMMYFUNCTION("GOOGLETRANSLATE(B1533,""en"",""ja"")"),"保存する製品を選択してください")</f>
        <v>保存する製品を選択してください</v>
      </c>
      <c r="F1533" s="1" t="str">
        <f ca="1">IFERROR(__xludf.DUMMYFUNCTION("GOOGLETRANSLATE(B1533,""en"",""fr"")"),"Sélectionnez Produits pour enregistrer")</f>
        <v>Sélectionnez Produits pour enregistrer</v>
      </c>
    </row>
    <row r="1534" spans="1:6" ht="15.75" customHeight="1" x14ac:dyDescent="0.25">
      <c r="A1534" s="1" t="s">
        <v>2894</v>
      </c>
      <c r="B1534" s="1" t="s">
        <v>2895</v>
      </c>
      <c r="C1534" s="1" t="str">
        <f ca="1">IFERROR(__xludf.DUMMYFUNCTION("GOOGLETRANSLATE(B1534,""en"",""ar"")"),"المنتجات المضافة إلى الفئة بنجاح")</f>
        <v>المنتجات المضافة إلى الفئة بنجاح</v>
      </c>
      <c r="D1534" s="1" t="str">
        <f ca="1">IFERROR(__xludf.DUMMYFUNCTION("GOOGLETRANSLATE(B1534,""en"",""zh-CN"")"),"产品已成功添加到类别")</f>
        <v>产品已成功添加到类别</v>
      </c>
      <c r="E1534" s="1" t="str">
        <f ca="1">IFERROR(__xludf.DUMMYFUNCTION("GOOGLETRANSLATE(B1534,""en"",""ja"")"),"カテゴリに首尾よく追加された製品")</f>
        <v>カテゴリに首尾よく追加された製品</v>
      </c>
      <c r="F1534" s="1" t="str">
        <f ca="1">IFERROR(__xludf.DUMMYFUNCTION("GOOGLETRANSLATE(B1534,""en"",""fr"")"),"Produits ajoutés à la catégorie avec succès")</f>
        <v>Produits ajoutés à la catégorie avec succès</v>
      </c>
    </row>
    <row r="1535" spans="1:6" ht="15.75" customHeight="1" x14ac:dyDescent="0.25">
      <c r="A1535" s="1" t="s">
        <v>2896</v>
      </c>
      <c r="B1535" s="1" t="s">
        <v>2897</v>
      </c>
      <c r="C1535" s="1" t="str">
        <f ca="1">IFERROR(__xludf.DUMMYFUNCTION("GOOGLETRANSLATE(B1535,""en"",""ar"")"),"استخدام الفئة الفرعية")</f>
        <v>استخدام الفئة الفرعية</v>
      </c>
      <c r="D1535" s="1" t="str">
        <f ca="1">IFERROR(__xludf.DUMMYFUNCTION("GOOGLETRANSLATE(B1535,""en"",""zh-CN"")"),"使用子类别")</f>
        <v>使用子类别</v>
      </c>
      <c r="E1535" s="1" t="str">
        <f ca="1">IFERROR(__xludf.DUMMYFUNCTION("GOOGLETRANSLATE(B1535,""en"",""ja"")"),"サブカテゴリを使う")</f>
        <v>サブカテゴリを使う</v>
      </c>
      <c r="F1535" s="1" t="str">
        <f ca="1">IFERROR(__xludf.DUMMYFUNCTION("GOOGLETRANSLATE(B1535,""en"",""fr"")"),"Utilisez la sous-catégorie")</f>
        <v>Utilisez la sous-catégorie</v>
      </c>
    </row>
    <row r="1536" spans="1:6" ht="15.75" customHeight="1" x14ac:dyDescent="0.25">
      <c r="A1536" s="1" t="s">
        <v>2898</v>
      </c>
      <c r="B1536" s="1" t="s">
        <v>2899</v>
      </c>
      <c r="C1536" s="1" t="str">
        <f ca="1">IFERROR(__xludf.DUMMYFUNCTION("GOOGLETRANSLATE(B1536,""en"",""ar"")"),"حدد الفئة الفرعية")</f>
        <v>حدد الفئة الفرعية</v>
      </c>
      <c r="D1536" s="1" t="str">
        <f ca="1">IFERROR(__xludf.DUMMYFUNCTION("GOOGLETRANSLATE(B1536,""en"",""zh-CN"")"),"选择子类别")</f>
        <v>选择子类别</v>
      </c>
      <c r="E1536" s="1" t="str">
        <f ca="1">IFERROR(__xludf.DUMMYFUNCTION("GOOGLETRANSLATE(B1536,""en"",""ja"")"),"サブカテゴリを選択してください")</f>
        <v>サブカテゴリを選択してください</v>
      </c>
      <c r="F1536" s="1" t="str">
        <f ca="1">IFERROR(__xludf.DUMMYFUNCTION("GOOGLETRANSLATE(B1536,""en"",""fr"")"),"Sélectionnez Sous-catégorie")</f>
        <v>Sélectionnez Sous-catégorie</v>
      </c>
    </row>
    <row r="1537" spans="1:6" ht="15.75" customHeight="1" x14ac:dyDescent="0.25">
      <c r="A1537" s="1" t="s">
        <v>2900</v>
      </c>
      <c r="B1537" s="1" t="s">
        <v>2901</v>
      </c>
      <c r="C1537" s="1" t="str">
        <f ca="1">IFERROR(__xludf.DUMMYFUNCTION("GOOGLETRANSLATE(B1537,""en"",""ar"")"),"إنشاء الفئة الفرعية")</f>
        <v>إنشاء الفئة الفرعية</v>
      </c>
      <c r="D1537" s="1" t="str">
        <f ca="1">IFERROR(__xludf.DUMMYFUNCTION("GOOGLETRANSLATE(B1537,""en"",""zh-CN"")"),"创建子类别")</f>
        <v>创建子类别</v>
      </c>
      <c r="E1537" s="1" t="str">
        <f ca="1">IFERROR(__xludf.DUMMYFUNCTION("GOOGLETRANSLATE(B1537,""en"",""ja"")"),"サブカテゴリを作成します")</f>
        <v>サブカテゴリを作成します</v>
      </c>
      <c r="F1537" s="1" t="str">
        <f ca="1">IFERROR(__xludf.DUMMYFUNCTION("GOOGLETRANSLATE(B1537,""en"",""fr"")"),"Créer une sous-catégorie")</f>
        <v>Créer une sous-catégorie</v>
      </c>
    </row>
    <row r="1538" spans="1:6" ht="15.75" customHeight="1" x14ac:dyDescent="0.25">
      <c r="A1538" s="1" t="s">
        <v>2902</v>
      </c>
      <c r="B1538" s="1" t="s">
        <v>2903</v>
      </c>
      <c r="C1538" s="1" t="str">
        <f ca="1">IFERROR(__xludf.DUMMYFUNCTION("GOOGLETRANSLATE(B1538,""en"",""ar"")"),"فئة :")</f>
        <v>فئة :</v>
      </c>
      <c r="D1538" s="1" t="str">
        <f ca="1">IFERROR(__xludf.DUMMYFUNCTION("GOOGLETRANSLATE(B1538,""en"",""zh-CN"")"),"类别 ：")</f>
        <v>类别 ：</v>
      </c>
      <c r="E1538" s="1" t="str">
        <f ca="1">IFERROR(__xludf.DUMMYFUNCTION("GOOGLETRANSLATE(B1538,""en"",""ja"")"),"カテゴリー ：")</f>
        <v>カテゴリー ：</v>
      </c>
      <c r="F1538" s="1" t="str">
        <f ca="1">IFERROR(__xludf.DUMMYFUNCTION("GOOGLETRANSLATE(B1538,""en"",""fr"")"),"Catégorie :")</f>
        <v>Catégorie :</v>
      </c>
    </row>
    <row r="1539" spans="1:6" ht="15.75" customHeight="1" x14ac:dyDescent="0.25">
      <c r="A1539" s="1" t="s">
        <v>2904</v>
      </c>
      <c r="B1539" s="1" t="s">
        <v>2905</v>
      </c>
      <c r="C1539" s="1" t="str">
        <f ca="1">IFERROR(__xludf.DUMMYFUNCTION("GOOGLETRANSLATE(B1539,""en"",""ar"")"),"تصنيف فرعي  :")</f>
        <v>تصنيف فرعي  :</v>
      </c>
      <c r="D1539" s="1" t="str">
        <f ca="1">IFERROR(__xludf.DUMMYFUNCTION("GOOGLETRANSLATE(B1539,""en"",""zh-CN"")"),"子类别：")</f>
        <v>子类别：</v>
      </c>
      <c r="E1539" s="1" t="str">
        <f ca="1">IFERROR(__xludf.DUMMYFUNCTION("GOOGLETRANSLATE(B1539,""en"",""ja"")"),"サブカテゴリ：")</f>
        <v>サブカテゴリ：</v>
      </c>
      <c r="F1539" s="1" t="str">
        <f ca="1">IFERROR(__xludf.DUMMYFUNCTION("GOOGLETRANSLATE(B1539,""en"",""fr"")"),"Sous-catégorie:")</f>
        <v>Sous-catégorie:</v>
      </c>
    </row>
    <row r="1540" spans="1:6" ht="15.75" customHeight="1" x14ac:dyDescent="0.25">
      <c r="A1540" s="1" t="s">
        <v>2906</v>
      </c>
      <c r="B1540" s="1" t="s">
        <v>2907</v>
      </c>
      <c r="C1540" s="1" t="str">
        <f ca="1">IFERROR(__xludf.DUMMYFUNCTION("GOOGLETRANSLATE(B1540,""en"",""ar"")"),"طلب الزبون")</f>
        <v>طلب الزبون</v>
      </c>
      <c r="D1540" s="1" t="str">
        <f ca="1">IFERROR(__xludf.DUMMYFUNCTION("GOOGLETRANSLATE(B1540,""en"",""zh-CN"")"),"客户订单")</f>
        <v>客户订单</v>
      </c>
      <c r="E1540" s="1" t="str">
        <f ca="1">IFERROR(__xludf.DUMMYFUNCTION("GOOGLETRANSLATE(B1540,""en"",""ja"")"),"顧客注文")</f>
        <v>顧客注文</v>
      </c>
      <c r="F1540" s="1" t="str">
        <f ca="1">IFERROR(__xludf.DUMMYFUNCTION("GOOGLETRANSLATE(B1540,""en"",""fr"")"),"Commande du client")</f>
        <v>Commande du client</v>
      </c>
    </row>
    <row r="1541" spans="1:6" ht="15.75" customHeight="1" x14ac:dyDescent="0.25">
      <c r="A1541" s="1" t="s">
        <v>2908</v>
      </c>
      <c r="B1541" s="1" t="s">
        <v>2909</v>
      </c>
      <c r="C1541" s="1" t="str">
        <f ca="1">IFERROR(__xludf.DUMMYFUNCTION("GOOGLETRANSLATE(B1541,""en"",""ar"")"),"البحث الموظفين")</f>
        <v>البحث الموظفين</v>
      </c>
      <c r="D1541" s="1" t="str">
        <f ca="1">IFERROR(__xludf.DUMMYFUNCTION("GOOGLETRANSLATE(B1541,""en"",""zh-CN"")"),"搜索员工")</f>
        <v>搜索员工</v>
      </c>
      <c r="E1541" s="1" t="str">
        <f ca="1">IFERROR(__xludf.DUMMYFUNCTION("GOOGLETRANSLATE(B1541,""en"",""ja"")"),"従業員を検索します")</f>
        <v>従業員を検索します</v>
      </c>
      <c r="F1541" s="1" t="str">
        <f ca="1">IFERROR(__xludf.DUMMYFUNCTION("GOOGLETRANSLATE(B1541,""en"",""fr"")"),"Rechercher des employés")</f>
        <v>Rechercher des employés</v>
      </c>
    </row>
    <row r="1542" spans="1:6" ht="15.75" customHeight="1" x14ac:dyDescent="0.25">
      <c r="A1542" s="1" t="s">
        <v>2910</v>
      </c>
      <c r="B1542" s="1" t="s">
        <v>2911</v>
      </c>
      <c r="C1542" s="1" t="str">
        <f ca="1">IFERROR(__xludf.DUMMYFUNCTION("GOOGLETRANSLATE(B1542,""en"",""ar"")"),"تاريخ البدء")</f>
        <v>تاريخ البدء</v>
      </c>
      <c r="D1542" s="1" t="str">
        <f ca="1">IFERROR(__xludf.DUMMYFUNCTION("GOOGLETRANSLATE(B1542,""en"",""zh-CN"")"),"开始日期")</f>
        <v>开始日期</v>
      </c>
      <c r="E1542" s="1" t="str">
        <f ca="1">IFERROR(__xludf.DUMMYFUNCTION("GOOGLETRANSLATE(B1542,""en"",""ja"")"),"開始日")</f>
        <v>開始日</v>
      </c>
      <c r="F1542" s="1" t="str">
        <f ca="1">IFERROR(__xludf.DUMMYFUNCTION("GOOGLETRANSLATE(B1542,""en"",""fr"")"),"Date de début")</f>
        <v>Date de début</v>
      </c>
    </row>
    <row r="1543" spans="1:6" ht="15.75" customHeight="1" x14ac:dyDescent="0.25">
      <c r="A1543" s="1" t="s">
        <v>2912</v>
      </c>
      <c r="B1543" s="1" t="s">
        <v>1168</v>
      </c>
      <c r="C1543" s="1" t="str">
        <f ca="1">IFERROR(__xludf.DUMMYFUNCTION("GOOGLETRANSLATE(B1543,""en"",""ar"")"),"مدة")</f>
        <v>مدة</v>
      </c>
      <c r="D1543" s="1" t="str">
        <f ca="1">IFERROR(__xludf.DUMMYFUNCTION("GOOGLETRANSLATE(B1543,""en"",""zh-CN"")"),"期间")</f>
        <v>期间</v>
      </c>
      <c r="E1543" s="1" t="str">
        <f ca="1">IFERROR(__xludf.DUMMYFUNCTION("GOOGLETRANSLATE(B1543,""en"",""ja"")"),"間隔")</f>
        <v>間隔</v>
      </c>
      <c r="F1543" s="1" t="str">
        <f ca="1">IFERROR(__xludf.DUMMYFUNCTION("GOOGLETRANSLATE(B1543,""en"",""fr"")"),"Durée")</f>
        <v>Durée</v>
      </c>
    </row>
    <row r="1544" spans="1:6" ht="15.75" customHeight="1" x14ac:dyDescent="0.25">
      <c r="A1544" s="1" t="s">
        <v>2913</v>
      </c>
      <c r="B1544" s="1" t="s">
        <v>1001</v>
      </c>
      <c r="C1544" s="1" t="str">
        <f ca="1">IFERROR(__xludf.DUMMYFUNCTION("GOOGLETRANSLATE(B1544,""en"",""ar"")"),"تاريخ الانتهاء")</f>
        <v>تاريخ الانتهاء</v>
      </c>
      <c r="D1544" s="1" t="str">
        <f ca="1">IFERROR(__xludf.DUMMYFUNCTION("GOOGLETRANSLATE(B1544,""en"",""zh-CN"")"),"结束日期")</f>
        <v>结束日期</v>
      </c>
      <c r="E1544" s="1" t="str">
        <f ca="1">IFERROR(__xludf.DUMMYFUNCTION("GOOGLETRANSLATE(B1544,""en"",""ja"")"),"終了日")</f>
        <v>終了日</v>
      </c>
      <c r="F1544" s="1" t="str">
        <f ca="1">IFERROR(__xludf.DUMMYFUNCTION("GOOGLETRANSLATE(B1544,""en"",""fr"")"),"Date de fin")</f>
        <v>Date de fin</v>
      </c>
    </row>
    <row r="1545" spans="1:6" ht="15.75" customHeight="1" x14ac:dyDescent="0.25">
      <c r="A1545" s="1" t="s">
        <v>2914</v>
      </c>
      <c r="B1545" s="1" t="s">
        <v>2915</v>
      </c>
      <c r="C1545" s="1" t="str">
        <f ca="1">IFERROR(__xludf.DUMMYFUNCTION("GOOGLETRANSLATE(B1545,""en"",""ar"")"),"وقت البدء")</f>
        <v>وقت البدء</v>
      </c>
      <c r="D1545" s="1" t="str">
        <f ca="1">IFERROR(__xludf.DUMMYFUNCTION("GOOGLETRANSLATE(B1545,""en"",""zh-CN"")"),"开始时间")</f>
        <v>开始时间</v>
      </c>
      <c r="E1545" s="1" t="str">
        <f ca="1">IFERROR(__xludf.DUMMYFUNCTION("GOOGLETRANSLATE(B1545,""en"",""ja"")"),"始まる時間")</f>
        <v>始まる時間</v>
      </c>
      <c r="F1545" s="1" t="str">
        <f ca="1">IFERROR(__xludf.DUMMYFUNCTION("GOOGLETRANSLATE(B1545,""en"",""fr"")"),"Heure de début")</f>
        <v>Heure de début</v>
      </c>
    </row>
    <row r="1546" spans="1:6" ht="15.75" customHeight="1" x14ac:dyDescent="0.25">
      <c r="A1546" s="1" t="s">
        <v>2916</v>
      </c>
      <c r="B1546" s="1" t="s">
        <v>1604</v>
      </c>
      <c r="C1546" s="1" t="str">
        <f ca="1">IFERROR(__xludf.DUMMYFUNCTION("GOOGLETRANSLATE(B1546,""en"",""ar"")"),"#VALUE!")</f>
        <v>#VALUE!</v>
      </c>
      <c r="D1546" s="1" t="str">
        <f ca="1">IFERROR(__xludf.DUMMYFUNCTION("GOOGLETRANSLATE(B1546,""en"",""zh-CN"")"),"#VALUE!")</f>
        <v>#VALUE!</v>
      </c>
      <c r="E1546" s="1" t="str">
        <f ca="1">IFERROR(__xludf.DUMMYFUNCTION("GOOGLETRANSLATE(B1546,""en"",""ja"")"),"#VALUE!")</f>
        <v>#VALUE!</v>
      </c>
      <c r="F1546" s="1" t="str">
        <f ca="1">IFERROR(__xludf.DUMMYFUNCTION("GOOGLETRANSLATE(B1546,""en"",""fr"")"),"#VALUE!")</f>
        <v>#VALUE!</v>
      </c>
    </row>
    <row r="1547" spans="1:6" ht="15.75" customHeight="1" x14ac:dyDescent="0.25">
      <c r="A1547" s="1" t="s">
        <v>2917</v>
      </c>
      <c r="B1547" s="1" t="s">
        <v>2918</v>
      </c>
      <c r="C1547" s="1" t="str">
        <f ca="1">IFERROR(__xludf.DUMMYFUNCTION("GOOGLETRANSLATE(B1547,""en"",""ar"")"),"HH: MM")</f>
        <v>HH: MM</v>
      </c>
      <c r="D1547" s="1" t="str">
        <f ca="1">IFERROR(__xludf.DUMMYFUNCTION("GOOGLETRANSLATE(B1547,""en"",""zh-CN"")"),"hh：mm")</f>
        <v>hh：mm</v>
      </c>
      <c r="E1547" s="1" t="str">
        <f ca="1">IFERROR(__xludf.DUMMYFUNCTION("GOOGLETRANSLATE(B1547,""en"",""ja"")"),"hh：mm")</f>
        <v>hh：mm</v>
      </c>
      <c r="F1547" s="1" t="str">
        <f ca="1">IFERROR(__xludf.DUMMYFUNCTION("GOOGLETRANSLATE(B1547,""en"",""fr"")"),"HH: mm")</f>
        <v>HH: mm</v>
      </c>
    </row>
    <row r="1548" spans="1:6" ht="15.75" customHeight="1" x14ac:dyDescent="0.25">
      <c r="A1548" s="1" t="s">
        <v>2919</v>
      </c>
      <c r="B1548" s="1" t="s">
        <v>2920</v>
      </c>
      <c r="C1548" s="1" t="str">
        <f ca="1">IFERROR(__xludf.DUMMYFUNCTION("GOOGLETRANSLATE(B1548,""en"",""ar"")"),"الفئة الفرعية موجودة بالفعل")</f>
        <v>الفئة الفرعية موجودة بالفعل</v>
      </c>
      <c r="D1548" s="1" t="str">
        <f ca="1">IFERROR(__xludf.DUMMYFUNCTION("GOOGLETRANSLATE(B1548,""en"",""zh-CN"")"),"子类别已经存在")</f>
        <v>子类别已经存在</v>
      </c>
      <c r="E1548" s="1" t="str">
        <f ca="1">IFERROR(__xludf.DUMMYFUNCTION("GOOGLETRANSLATE(B1548,""en"",""ja"")"),"サブカテゴリはすでに存在しています")</f>
        <v>サブカテゴリはすでに存在しています</v>
      </c>
      <c r="F1548" s="1" t="str">
        <f ca="1">IFERROR(__xludf.DUMMYFUNCTION("GOOGLETRANSLATE(B1548,""en"",""fr"")"),"La sous-catégorie existe déjà")</f>
        <v>La sous-catégorie existe déjà</v>
      </c>
    </row>
    <row r="1549" spans="1:6" ht="15.75" customHeight="1" x14ac:dyDescent="0.25">
      <c r="A1549" s="1" t="s">
        <v>2921</v>
      </c>
      <c r="B1549" s="1" t="s">
        <v>2922</v>
      </c>
      <c r="C1549" s="1" t="str">
        <f ca="1">IFERROR(__xludf.DUMMYFUNCTION("GOOGLETRANSLATE(B1549,""en"",""ar"")"),"اسم الفئة المطلوبة")</f>
        <v>اسم الفئة المطلوبة</v>
      </c>
      <c r="D1549" s="1" t="str">
        <f ca="1">IFERROR(__xludf.DUMMYFUNCTION("GOOGLETRANSLATE(B1549,""en"",""zh-CN"")"),"需要类别名称")</f>
        <v>需要类别名称</v>
      </c>
      <c r="E1549" s="1" t="str">
        <f ca="1">IFERROR(__xludf.DUMMYFUNCTION("GOOGLETRANSLATE(B1549,""en"",""ja"")"),"カテゴリ名が必要です")</f>
        <v>カテゴリ名が必要です</v>
      </c>
      <c r="F1549" s="1" t="str">
        <f ca="1">IFERROR(__xludf.DUMMYFUNCTION("GOOGLETRANSLATE(B1549,""en"",""fr"")"),"Nom de la catégorie requis")</f>
        <v>Nom de la catégorie requis</v>
      </c>
    </row>
    <row r="1550" spans="1:6" ht="15.75" customHeight="1" x14ac:dyDescent="0.25">
      <c r="A1550" s="1" t="s">
        <v>2923</v>
      </c>
      <c r="B1550" s="1" t="s">
        <v>2924</v>
      </c>
      <c r="C1550" s="1" t="str">
        <f ca="1">IFERROR(__xludf.DUMMYFUNCTION("GOOGLETRANSLATE(B1550,""en"",""ar"")"),"عند بيع نفس العنصر، يمكنك إضافة إلى السطر الموجود (زيادة الكمية) أو إضافة سطر جديد")</f>
        <v>عند بيع نفس العنصر، يمكنك إضافة إلى السطر الموجود (زيادة الكمية) أو إضافة سطر جديد</v>
      </c>
      <c r="D1550" s="1" t="str">
        <f ca="1">IFERROR(__xludf.DUMMYFUNCTION("GOOGLETRANSLATE(B1550,""en"",""zh-CN"")"),"在销售相同的项目时，您可以添加到现有行（增加数量）或添加新行")</f>
        <v>在销售相同的项目时，您可以添加到现有行（增加数量）或添加新行</v>
      </c>
      <c r="E1550" s="1" t="str">
        <f ca="1">IFERROR(__xludf.DUMMYFUNCTION("GOOGLETRANSLATE(B1550,""en"",""ja"")"),"同じアイテムを販売するときは、既存の行（数量を増やす）に追加することも、新しい行を追加することもできます。")</f>
        <v>同じアイテムを販売するときは、既存の行（数量を増やす）に追加することも、新しい行を追加することもできます。</v>
      </c>
      <c r="F1550" s="1" t="str">
        <f ca="1">IFERROR(__xludf.DUMMYFUNCTION("GOOGLETRANSLATE(B1550,""en"",""fr"")"),"Lorsque vous vendez le même article, vous pouvez ajouter à la ligne existante (augmentation de la quantité) ou ajouter une nouvelle ligne.")</f>
        <v>Lorsque vous vendez le même article, vous pouvez ajouter à la ligne existante (augmentation de la quantité) ou ajouter une nouvelle ligne.</v>
      </c>
    </row>
    <row r="1551" spans="1:6" ht="15.75" customHeight="1" x14ac:dyDescent="0.25">
      <c r="A1551" s="1" t="s">
        <v>2925</v>
      </c>
      <c r="B1551" s="1" t="s">
        <v>2926</v>
      </c>
      <c r="C1551" s="1" t="str">
        <f ca="1">IFERROR(__xludf.DUMMYFUNCTION("GOOGLETRANSLATE(B1551,""en"",""ar"")"),"إعادة إطلاق")</f>
        <v>إعادة إطلاق</v>
      </c>
      <c r="D1551" s="1" t="str">
        <f ca="1">IFERROR(__xludf.DUMMYFUNCTION("GOOGLETRANSLATE(B1551,""en"",""zh-CN"")"),"重新启动")</f>
        <v>重新启动</v>
      </c>
      <c r="E1551" s="1" t="str">
        <f ca="1">IFERROR(__xludf.DUMMYFUNCTION("GOOGLETRANSLATE(B1551,""en"",""ja"")"),"再発売")</f>
        <v>再発売</v>
      </c>
      <c r="F1551" s="1" t="str">
        <f ca="1">IFERROR(__xludf.DUMMYFUNCTION("GOOGLETRANSLATE(B1551,""en"",""fr"")"),"Re-lancé")</f>
        <v>Re-lancé</v>
      </c>
    </row>
    <row r="1552" spans="1:6" ht="15.75" customHeight="1" x14ac:dyDescent="0.25">
      <c r="A1552" s="1" t="s">
        <v>2927</v>
      </c>
      <c r="B1552" s="1" t="s">
        <v>2928</v>
      </c>
      <c r="C1552" s="1" t="str">
        <f ca="1">IFERROR(__xludf.DUMMYFUNCTION("GOOGLETRANSLATE(B1552,""en"",""ar"")"),"حدد وقت الحجز")</f>
        <v>حدد وقت الحجز</v>
      </c>
      <c r="D1552" s="1" t="str">
        <f ca="1">IFERROR(__xludf.DUMMYFUNCTION("GOOGLETRANSLATE(B1552,""en"",""zh-CN"")"),"选择预订时间")</f>
        <v>选择预订时间</v>
      </c>
      <c r="E1552" s="1" t="str">
        <f ca="1">IFERROR(__xludf.DUMMYFUNCTION("GOOGLETRANSLATE(B1552,""en"",""ja"")"),"予約時間を選択してください")</f>
        <v>予約時間を選択してください</v>
      </c>
      <c r="F1552" s="1" t="str">
        <f ca="1">IFERROR(__xludf.DUMMYFUNCTION("GOOGLETRANSLATE(B1552,""en"",""fr"")"),"Sélectionnez le temps de réservation")</f>
        <v>Sélectionnez le temps de réservation</v>
      </c>
    </row>
    <row r="1553" spans="1:6" ht="15.75" customHeight="1" x14ac:dyDescent="0.25">
      <c r="A1553" s="1" t="s">
        <v>2929</v>
      </c>
      <c r="B1553" s="1" t="s">
        <v>2930</v>
      </c>
      <c r="C1553" s="1" t="str">
        <f ca="1">IFERROR(__xludf.DUMMYFUNCTION("GOOGLETRANSLATE(B1553,""en"",""ar"")"),"حجزت بالفعل")</f>
        <v>حجزت بالفعل</v>
      </c>
      <c r="D1553" s="1" t="str">
        <f ca="1">IFERROR(__xludf.DUMMYFUNCTION("GOOGLETRANSLATE(B1553,""en"",""zh-CN"")"),"已经预定好了")</f>
        <v>已经预定好了</v>
      </c>
      <c r="E1553" s="1" t="str">
        <f ca="1">IFERROR(__xludf.DUMMYFUNCTION("GOOGLETRANSLATE(B1553,""en"",""ja"")"),"予約済み")</f>
        <v>予約済み</v>
      </c>
      <c r="F1553" s="1" t="str">
        <f ca="1">IFERROR(__xludf.DUMMYFUNCTION("GOOGLETRANSLATE(B1553,""en"",""fr"")"),"Déjà réservé")</f>
        <v>Déjà réservé</v>
      </c>
    </row>
    <row r="1554" spans="1:6" ht="15.75" customHeight="1" x14ac:dyDescent="0.25">
      <c r="A1554" s="1" t="s">
        <v>2931</v>
      </c>
      <c r="B1554" s="1" t="s">
        <v>2932</v>
      </c>
      <c r="C1554" s="1" t="str">
        <f ca="1">IFERROR(__xludf.DUMMYFUNCTION("GOOGLETRANSLATE(B1554,""en"",""ar"")"),"يرجى اختيار وقت")</f>
        <v>يرجى اختيار وقت</v>
      </c>
      <c r="D1554" s="1" t="str">
        <f ca="1">IFERROR(__xludf.DUMMYFUNCTION("GOOGLETRANSLATE(B1554,""en"",""zh-CN"")"),"请选择时间")</f>
        <v>请选择时间</v>
      </c>
      <c r="E1554" s="1" t="str">
        <f ca="1">IFERROR(__xludf.DUMMYFUNCTION("GOOGLETRANSLATE(B1554,""en"",""ja"")"),"時間を選択してください")</f>
        <v>時間を選択してください</v>
      </c>
      <c r="F1554" s="1" t="str">
        <f ca="1">IFERROR(__xludf.DUMMYFUNCTION("GOOGLETRANSLATE(B1554,""en"",""fr"")"),"S'il vous plaît sélectionner un temps")</f>
        <v>S'il vous plaît sélectionner un temps</v>
      </c>
    </row>
    <row r="1555" spans="1:6" ht="15.75" customHeight="1" x14ac:dyDescent="0.25">
      <c r="A1555" s="1" t="s">
        <v>2933</v>
      </c>
      <c r="B1555" s="1" t="s">
        <v>2934</v>
      </c>
      <c r="C1555" s="1" t="str">
        <f ca="1">IFERROR(__xludf.DUMMYFUNCTION("GOOGLETRANSLATE(B1555,""en"",""ar"")"),"يرجى اختيار الموظف")</f>
        <v>يرجى اختيار الموظف</v>
      </c>
      <c r="D1555" s="1" t="str">
        <f ca="1">IFERROR(__xludf.DUMMYFUNCTION("GOOGLETRANSLATE(B1555,""en"",""zh-CN"")"),"请选择员工")</f>
        <v>请选择员工</v>
      </c>
      <c r="E1555" s="1" t="str">
        <f ca="1">IFERROR(__xludf.DUMMYFUNCTION("GOOGLETRANSLATE(B1555,""en"",""ja"")"),"従業員を選択してください")</f>
        <v>従業員を選択してください</v>
      </c>
      <c r="F1555" s="1" t="str">
        <f ca="1">IFERROR(__xludf.DUMMYFUNCTION("GOOGLETRANSLATE(B1555,""en"",""fr"")"),"S'il vous plaît sélectionner un employé")</f>
        <v>S'il vous plaît sélectionner un employé</v>
      </c>
    </row>
    <row r="1556" spans="1:6" ht="15.75" customHeight="1" x14ac:dyDescent="0.25">
      <c r="A1556" s="1" t="s">
        <v>2935</v>
      </c>
      <c r="B1556" s="1" t="s">
        <v>2936</v>
      </c>
      <c r="C1556" s="1" t="str">
        <f ca="1">IFERROR(__xludf.DUMMYFUNCTION("GOOGLETRANSLATE(B1556,""en"",""ar"")"),"تم اختيارها بالفعل")</f>
        <v>تم اختيارها بالفعل</v>
      </c>
      <c r="D1556" s="1" t="str">
        <f ca="1">IFERROR(__xludf.DUMMYFUNCTION("GOOGLETRANSLATE(B1556,""en"",""zh-CN"")"),"已经选择了")</f>
        <v>已经选择了</v>
      </c>
      <c r="E1556" s="1" t="str">
        <f ca="1">IFERROR(__xludf.DUMMYFUNCTION("GOOGLETRANSLATE(B1556,""en"",""ja"")"),"すでに選択されています")</f>
        <v>すでに選択されています</v>
      </c>
      <c r="F1556" s="1" t="str">
        <f ca="1">IFERROR(__xludf.DUMMYFUNCTION("GOOGLETRANSLATE(B1556,""en"",""fr"")"),"Déjà sélectionné")</f>
        <v>Déjà sélectionné</v>
      </c>
    </row>
    <row r="1557" spans="1:6" ht="15.75" customHeight="1" x14ac:dyDescent="0.25">
      <c r="A1557" s="1" t="s">
        <v>2937</v>
      </c>
      <c r="B1557" s="1" t="s">
        <v>2938</v>
      </c>
      <c r="C1557" s="1" t="str">
        <f ca="1">IFERROR(__xludf.DUMMYFUNCTION("GOOGLETRANSLATE(B1557,""en"",""ar"")"),"ملخص الحجز")</f>
        <v>ملخص الحجز</v>
      </c>
      <c r="D1557" s="1" t="str">
        <f ca="1">IFERROR(__xludf.DUMMYFUNCTION("GOOGLETRANSLATE(B1557,""en"",""zh-CN"")"),"预订摘要")</f>
        <v>预订摘要</v>
      </c>
      <c r="E1557" s="1" t="str">
        <f ca="1">IFERROR(__xludf.DUMMYFUNCTION("GOOGLETRANSLATE(B1557,""en"",""ja"")"),"予約の概要")</f>
        <v>予約の概要</v>
      </c>
      <c r="F1557" s="1" t="str">
        <f ca="1">IFERROR(__xludf.DUMMYFUNCTION("GOOGLETRANSLATE(B1557,""en"",""fr"")"),"Résumé de la réservation")</f>
        <v>Résumé de la réservation</v>
      </c>
    </row>
    <row r="1558" spans="1:6" ht="15.75" customHeight="1" x14ac:dyDescent="0.25">
      <c r="A1558" s="1" t="s">
        <v>2939</v>
      </c>
      <c r="B1558" s="1" t="s">
        <v>851</v>
      </c>
      <c r="C1558" s="1" t="str">
        <f ca="1">IFERROR(__xludf.DUMMYFUNCTION("GOOGLETRANSLATE(B1558,""en"",""ar"")"),"عميل :")</f>
        <v>عميل :</v>
      </c>
      <c r="D1558" s="1" t="str">
        <f ca="1">IFERROR(__xludf.DUMMYFUNCTION("GOOGLETRANSLATE(B1558,""en"",""zh-CN"")"),"顾客 ：")</f>
        <v>顾客 ：</v>
      </c>
      <c r="E1558" s="1" t="str">
        <f ca="1">IFERROR(__xludf.DUMMYFUNCTION("GOOGLETRANSLATE(B1558,""en"",""ja"")"),"お客様 ：")</f>
        <v>お客様 ：</v>
      </c>
      <c r="F1558" s="1" t="str">
        <f ca="1">IFERROR(__xludf.DUMMYFUNCTION("GOOGLETRANSLATE(B1558,""en"",""fr"")"),"Client :")</f>
        <v>Client :</v>
      </c>
    </row>
    <row r="1559" spans="1:6" ht="15.75" customHeight="1" x14ac:dyDescent="0.25">
      <c r="A1559" s="1" t="s">
        <v>2940</v>
      </c>
      <c r="B1559" s="1" t="s">
        <v>2941</v>
      </c>
      <c r="C1559" s="1" t="str">
        <f ca="1">IFERROR(__xludf.DUMMYFUNCTION("GOOGLETRANSLATE(B1559,""en"",""ar"")"),"موظف :")</f>
        <v>موظف :</v>
      </c>
      <c r="D1559" s="1" t="str">
        <f ca="1">IFERROR(__xludf.DUMMYFUNCTION("GOOGLETRANSLATE(B1559,""en"",""zh-CN"")"),"员工 ：")</f>
        <v>员工 ：</v>
      </c>
      <c r="E1559" s="1" t="str">
        <f ca="1">IFERROR(__xludf.DUMMYFUNCTION("GOOGLETRANSLATE(B1559,""en"",""ja"")"),"従業員 ：")</f>
        <v>従業員 ：</v>
      </c>
      <c r="F1559" s="1" t="str">
        <f ca="1">IFERROR(__xludf.DUMMYFUNCTION("GOOGLETRANSLATE(B1559,""en"",""fr"")"),"Employé :")</f>
        <v>Employé :</v>
      </c>
    </row>
    <row r="1560" spans="1:6" ht="15.75" customHeight="1" x14ac:dyDescent="0.25">
      <c r="A1560" s="1" t="s">
        <v>2942</v>
      </c>
      <c r="B1560" s="1" t="s">
        <v>2943</v>
      </c>
      <c r="C1560" s="1" t="str">
        <f ca="1">IFERROR(__xludf.DUMMYFUNCTION("GOOGLETRANSLATE(B1560,""en"",""ar"")"),"هل أنت متأكد تريد أن تبدأ التحول؟")</f>
        <v>هل أنت متأكد تريد أن تبدأ التحول؟</v>
      </c>
      <c r="D1560" s="1" t="str">
        <f ca="1">IFERROR(__xludf.DUMMYFUNCTION("GOOGLETRANSLATE(B1560,""en"",""zh-CN"")"),"你肯定想开始班次吗？")</f>
        <v>你肯定想开始班次吗？</v>
      </c>
      <c r="E1560" s="1" t="str">
        <f ca="1">IFERROR(__xludf.DUMMYFUNCTION("GOOGLETRANSLATE(B1560,""en"",""ja"")"),"あなたは確かにシフトを始めたいですか？")</f>
        <v>あなたは確かにシフトを始めたいですか？</v>
      </c>
      <c r="F1560" s="1" t="str">
        <f ca="1">IFERROR(__xludf.DUMMYFUNCTION("GOOGLETRANSLATE(B1560,""en"",""fr"")"),"Êtes-vous sûr que vous voulez commencer à changer?")</f>
        <v>Êtes-vous sûr que vous voulez commencer à changer?</v>
      </c>
    </row>
    <row r="1561" spans="1:6" ht="15.75" customHeight="1" x14ac:dyDescent="0.25">
      <c r="A1561" s="1" t="s">
        <v>2944</v>
      </c>
      <c r="B1561" s="1" t="s">
        <v>2945</v>
      </c>
      <c r="C1561" s="1" t="str">
        <f ca="1">IFERROR(__xludf.DUMMYFUNCTION("GOOGLETRANSLATE(B1561,""en"",""ar"")"),"فتح")</f>
        <v>فتح</v>
      </c>
      <c r="D1561" s="1" t="str">
        <f ca="1">IFERROR(__xludf.DUMMYFUNCTION("GOOGLETRANSLATE(B1561,""en"",""zh-CN"")"),"打开")</f>
        <v>打开</v>
      </c>
      <c r="E1561" s="1" t="str">
        <f ca="1">IFERROR(__xludf.DUMMYFUNCTION("GOOGLETRANSLATE(B1561,""en"",""ja"")"),"開ける")</f>
        <v>開ける</v>
      </c>
      <c r="F1561" s="1" t="str">
        <f ca="1">IFERROR(__xludf.DUMMYFUNCTION("GOOGLETRANSLATE(B1561,""en"",""fr"")"),"Ouvert")</f>
        <v>Ouvert</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savindu pasintha</cp:lastModifiedBy>
  <dcterms:modified xsi:type="dcterms:W3CDTF">2022-02-08T20:20:04Z</dcterms:modified>
</cp:coreProperties>
</file>