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lvadorgarcia/Repos/class_ITAM_estadistica1/assignments/Assignment 02/"/>
    </mc:Choice>
  </mc:AlternateContent>
  <xr:revisionPtr revIDLastSave="0" documentId="13_ncr:1_{12D80352-9DFD-754B-A398-14C2AB9DB5C6}" xr6:coauthVersionLast="47" xr6:coauthVersionMax="47" xr10:uidLastSave="{00000000-0000-0000-0000-000000000000}"/>
  <bookViews>
    <workbookView xWindow="22220" yWindow="1400" windowWidth="28800" windowHeight="18000" activeTab="1" xr2:uid="{635F2F8D-BD2C-0949-864D-D988A36D99BE}"/>
  </bookViews>
  <sheets>
    <sheet name="Pregunta 1" sheetId="1" r:id="rId1"/>
    <sheet name="Pregunt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8" i="1" l="1"/>
  <c r="C48" i="1"/>
  <c r="C46" i="1"/>
  <c r="D36" i="1"/>
  <c r="D31" i="1"/>
  <c r="C27" i="1"/>
  <c r="F7" i="2"/>
  <c r="F6" i="2"/>
  <c r="J65" i="1"/>
  <c r="G65" i="1"/>
  <c r="G63" i="1"/>
  <c r="C62" i="1"/>
  <c r="C61" i="1"/>
  <c r="C60" i="1"/>
  <c r="N58" i="1"/>
  <c r="J58" i="1"/>
  <c r="G58" i="1"/>
  <c r="C58" i="1"/>
  <c r="G56" i="1"/>
  <c r="C53" i="1"/>
  <c r="N51" i="1"/>
  <c r="J51" i="1"/>
  <c r="G51" i="1"/>
  <c r="C51" i="1"/>
  <c r="J49" i="1"/>
  <c r="F41" i="1"/>
  <c r="J63" i="1" s="1"/>
  <c r="N37" i="1"/>
  <c r="N38" i="1" s="1"/>
  <c r="N39" i="1" s="1"/>
  <c r="N40" i="1" s="1"/>
  <c r="M37" i="1"/>
  <c r="M38" i="1" s="1"/>
  <c r="M39" i="1" s="1"/>
  <c r="M40" i="1" s="1"/>
  <c r="H37" i="1"/>
  <c r="G66" i="1" s="1"/>
  <c r="H36" i="1"/>
  <c r="C36" i="1"/>
  <c r="G50" i="1" s="1"/>
  <c r="C29" i="1"/>
  <c r="C30" i="1" s="1"/>
  <c r="I36" i="1" l="1"/>
  <c r="G40" i="1"/>
  <c r="C59" i="1"/>
  <c r="C49" i="1"/>
  <c r="C50" i="1" s="1"/>
  <c r="I37" i="1"/>
  <c r="C54" i="1"/>
  <c r="H38" i="1"/>
  <c r="I38" i="1" s="1"/>
  <c r="J67" i="1"/>
  <c r="J60" i="1"/>
  <c r="G53" i="1"/>
  <c r="C63" i="1"/>
  <c r="C57" i="1" s="1"/>
  <c r="G67" i="1"/>
  <c r="G60" i="1"/>
  <c r="C55" i="1"/>
  <c r="N53" i="1"/>
  <c r="N60" i="1"/>
  <c r="J53" i="1"/>
  <c r="G36" i="1"/>
  <c r="N49" i="1"/>
  <c r="G37" i="1"/>
  <c r="J56" i="1"/>
  <c r="N56" i="1"/>
  <c r="G38" i="1"/>
  <c r="J50" i="1"/>
  <c r="J48" i="1" s="1"/>
  <c r="G57" i="1"/>
  <c r="C37" i="1"/>
  <c r="G49" i="1"/>
  <c r="N50" i="1"/>
  <c r="J57" i="1"/>
  <c r="G39" i="1"/>
  <c r="J55" i="1" l="1"/>
  <c r="G48" i="1"/>
  <c r="Q78" i="1" s="1"/>
  <c r="G55" i="1"/>
  <c r="H39" i="1"/>
  <c r="D37" i="1"/>
  <c r="C38" i="1" s="1"/>
  <c r="E37" i="1"/>
  <c r="J66" i="1"/>
  <c r="H40" i="1"/>
  <c r="I40" i="1" s="1"/>
  <c r="N59" i="1"/>
  <c r="I39" i="1"/>
  <c r="N48" i="1"/>
  <c r="G41" i="1"/>
  <c r="E36" i="1"/>
  <c r="J37" i="1" l="1"/>
  <c r="J36" i="1"/>
  <c r="C52" i="1"/>
  <c r="D38" i="1"/>
  <c r="C39" i="1" s="1"/>
  <c r="G64" i="1"/>
  <c r="G62" i="1" s="1"/>
  <c r="E38" i="1" l="1"/>
  <c r="D39" i="1"/>
  <c r="C40" i="1" s="1"/>
  <c r="J38" i="1"/>
  <c r="Q81" i="1"/>
  <c r="P83" i="1" s="1"/>
  <c r="O78" i="1" s="1"/>
  <c r="S78" i="1"/>
  <c r="P84" i="1" s="1"/>
  <c r="U78" i="1" s="1"/>
  <c r="E39" i="1" l="1"/>
  <c r="J39" i="1" s="1"/>
  <c r="N57" i="1"/>
  <c r="N55" i="1" s="1"/>
  <c r="J64" i="1"/>
  <c r="J62" i="1" s="1"/>
  <c r="D40" i="1"/>
  <c r="E40" i="1" s="1"/>
  <c r="J40" i="1" l="1"/>
  <c r="J41" i="1" s="1"/>
  <c r="R78" i="1" l="1"/>
  <c r="L37" i="1"/>
  <c r="L36" i="1"/>
  <c r="K36" i="1"/>
  <c r="K37" i="1"/>
  <c r="L38" i="1"/>
  <c r="K38" i="1"/>
  <c r="K39" i="1"/>
  <c r="L39" i="1"/>
  <c r="L40" i="1"/>
  <c r="K40" i="1"/>
  <c r="K41" i="1" l="1"/>
  <c r="L41" i="1"/>
  <c r="Q52" i="1" s="1"/>
  <c r="Q49" i="1" l="1"/>
  <c r="Q51" i="1" s="1"/>
  <c r="Q50" i="1" l="1"/>
  <c r="Q53" i="1"/>
</calcChain>
</file>

<file path=xl/sharedStrings.xml><?xml version="1.0" encoding="utf-8"?>
<sst xmlns="http://schemas.openxmlformats.org/spreadsheetml/2006/main" count="108" uniqueCount="70">
  <si>
    <t xml:space="preserve">DATOS </t>
  </si>
  <si>
    <t>Planta 1</t>
  </si>
  <si>
    <t>Planta 2</t>
  </si>
  <si>
    <t xml:space="preserve">1. RANGO </t>
  </si>
  <si>
    <t xml:space="preserve">2. clases </t>
  </si>
  <si>
    <t>k</t>
  </si>
  <si>
    <t xml:space="preserve">3. amplitud de clase </t>
  </si>
  <si>
    <t xml:space="preserve">CLASES </t>
  </si>
  <si>
    <t xml:space="preserve">Limite inferior </t>
  </si>
  <si>
    <t xml:space="preserve">Limite Superior </t>
  </si>
  <si>
    <t xml:space="preserve">Mci </t>
  </si>
  <si>
    <t xml:space="preserve">Frecuencia Absoluta </t>
  </si>
  <si>
    <t xml:space="preserve">Frecuencia Relativa </t>
  </si>
  <si>
    <t xml:space="preserve">Frecuencia Acumulada </t>
  </si>
  <si>
    <t xml:space="preserve">Frecuencia Relativa Acumulada </t>
  </si>
  <si>
    <t xml:space="preserve">Mci*fi </t>
  </si>
  <si>
    <t>(Mci-media)^2*fi</t>
  </si>
  <si>
    <t>Abs(mci-media)*fi</t>
  </si>
  <si>
    <t xml:space="preserve">Mayor que </t>
  </si>
  <si>
    <t xml:space="preserve">Menor que </t>
  </si>
  <si>
    <t xml:space="preserve">MEDIDAS DE TENDENCIA CENTRAL </t>
  </si>
  <si>
    <t>Qk= Li+ ((K*N)/4 – Fi-1)/fi *ai</t>
  </si>
  <si>
    <t xml:space="preserve">1. MEDIA </t>
  </si>
  <si>
    <t xml:space="preserve">Cuartiles </t>
  </si>
  <si>
    <t xml:space="preserve">PERCENTILES </t>
  </si>
  <si>
    <t xml:space="preserve">DECILES </t>
  </si>
  <si>
    <t xml:space="preserve">Medidas de dispersión </t>
  </si>
  <si>
    <t xml:space="preserve">2. MEDIANA </t>
  </si>
  <si>
    <t>Q1</t>
  </si>
  <si>
    <t xml:space="preserve">P5 </t>
  </si>
  <si>
    <t>D5</t>
  </si>
  <si>
    <t>Desv estandar muestral de datos agrupados</t>
  </si>
  <si>
    <t>N</t>
  </si>
  <si>
    <t>K*N/4</t>
  </si>
  <si>
    <t>K*N/100</t>
  </si>
  <si>
    <t>K*N/10</t>
  </si>
  <si>
    <t>Desv estandar poblac de datos agrupados</t>
  </si>
  <si>
    <t>N/2</t>
  </si>
  <si>
    <t>Li</t>
  </si>
  <si>
    <t>Varianza muestral de datos agrupados</t>
  </si>
  <si>
    <t>Clase de la mediana</t>
  </si>
  <si>
    <t>fi</t>
  </si>
  <si>
    <t xml:space="preserve">fi </t>
  </si>
  <si>
    <t>Varianza poblacional de datos agrupados</t>
  </si>
  <si>
    <t xml:space="preserve">Li </t>
  </si>
  <si>
    <t>Fi-1</t>
  </si>
  <si>
    <t>Desviación media de datos agrupados</t>
  </si>
  <si>
    <t>amplitud</t>
  </si>
  <si>
    <t>Amplitud</t>
  </si>
  <si>
    <t xml:space="preserve">amplitud </t>
  </si>
  <si>
    <t>CV para datos agrupados</t>
  </si>
  <si>
    <t xml:space="preserve">Fi-1 </t>
  </si>
  <si>
    <t>Q2</t>
  </si>
  <si>
    <t>P50</t>
  </si>
  <si>
    <t>D10</t>
  </si>
  <si>
    <t>3. MODA</t>
  </si>
  <si>
    <t xml:space="preserve">clase modal </t>
  </si>
  <si>
    <t>fi+1</t>
  </si>
  <si>
    <t>fi-1</t>
  </si>
  <si>
    <t>Q3</t>
  </si>
  <si>
    <t>P95</t>
  </si>
  <si>
    <t xml:space="preserve">DIAGRAMA DE CAJA Y BRAZO </t>
  </si>
  <si>
    <t>media</t>
  </si>
  <si>
    <t xml:space="preserve">1. rango intercuartil </t>
  </si>
  <si>
    <t>Ls</t>
  </si>
  <si>
    <t xml:space="preserve">PARA LA PLANTA 2 </t>
  </si>
  <si>
    <t xml:space="preserve">x(pies cuadrados) </t>
  </si>
  <si>
    <t xml:space="preserve">y(en miles) </t>
  </si>
  <si>
    <t xml:space="preserve">Coeficiente de correlación </t>
  </si>
  <si>
    <t xml:space="preserve">Covarianza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</si>
</sst>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0000000"/>
    <numFmt numFmtId="166" formatCode="0.000%"/>
    <numFmt numFmtId="167" formatCode="_-* #,##0.00000_-;\-* #,##0.00000_-;_-* &quot;-&quot;??_-;_-@_-"/>
    <numFmt numFmtId="168" formatCode="0.0000%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Bold"/>
    </font>
    <font>
      <b/>
      <sz val="12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MBX10"/>
    </font>
    <font>
      <sz val="10"/>
      <color theme="1"/>
      <name val="CMR10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A2D1"/>
        <bgColor indexed="64"/>
      </patternFill>
    </fill>
    <fill>
      <patternFill patternType="solid">
        <fgColor rgb="FFFF9E9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2" fontId="0" fillId="0" borderId="0" xfId="0" applyNumberFormat="1"/>
    <xf numFmtId="165" fontId="0" fillId="0" borderId="0" xfId="0" applyNumberForma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0" fontId="0" fillId="0" borderId="0" xfId="1" applyNumberFormat="1" applyFont="1"/>
    <xf numFmtId="166" fontId="0" fillId="0" borderId="0" xfId="1" applyNumberFormat="1" applyFont="1"/>
    <xf numFmtId="9" fontId="0" fillId="0" borderId="0" xfId="1" applyFont="1"/>
    <xf numFmtId="0" fontId="2" fillId="4" borderId="0" xfId="0" applyFont="1" applyFill="1"/>
    <xf numFmtId="0" fontId="2" fillId="6" borderId="0" xfId="0" applyFont="1" applyFill="1"/>
    <xf numFmtId="0" fontId="2" fillId="7" borderId="0" xfId="0" applyFont="1" applyFill="1"/>
    <xf numFmtId="0" fontId="0" fillId="7" borderId="0" xfId="0" applyFill="1"/>
    <xf numFmtId="0" fontId="2" fillId="8" borderId="0" xfId="0" applyFont="1" applyFill="1"/>
    <xf numFmtId="0" fontId="5" fillId="0" borderId="0" xfId="2"/>
    <xf numFmtId="164" fontId="0" fillId="0" borderId="0" xfId="3" applyFont="1"/>
    <xf numFmtId="167" fontId="5" fillId="0" borderId="0" xfId="2" applyNumberFormat="1"/>
    <xf numFmtId="0" fontId="0" fillId="0" borderId="0" xfId="0" applyAlignment="1">
      <alignment horizontal="center" vertical="center" wrapText="1"/>
    </xf>
    <xf numFmtId="167" fontId="0" fillId="0" borderId="0" xfId="3" applyNumberFormat="1" applyFont="1"/>
    <xf numFmtId="168" fontId="0" fillId="0" borderId="0" xfId="4" applyNumberFormat="1" applyFont="1"/>
    <xf numFmtId="0" fontId="2" fillId="0" borderId="0" xfId="0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2" fontId="0" fillId="9" borderId="0" xfId="0" applyNumberFormat="1" applyFill="1" applyAlignment="1">
      <alignment horizontal="center"/>
    </xf>
    <xf numFmtId="0" fontId="6" fillId="0" borderId="0" xfId="0" applyFont="1"/>
    <xf numFmtId="2" fontId="7" fillId="0" borderId="0" xfId="0" applyNumberFormat="1" applyFont="1"/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5">
    <cellStyle name="Millares 2" xfId="3" xr:uid="{587E1681-1867-3E4B-BEDA-D41016B85A9D}"/>
    <cellStyle name="Normal" xfId="0" builtinId="0"/>
    <cellStyle name="Normal 2" xfId="2" xr:uid="{E5F3800B-1327-5C48-BF43-372C5714F6FF}"/>
    <cellStyle name="Percent" xfId="1" builtinId="5"/>
    <cellStyle name="Porcentaje 2" xfId="4" xr:uid="{E6AAD82F-9669-0847-AAB6-E084498E3D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'Pregunta 1'!$M$35</c:f>
              <c:strCache>
                <c:ptCount val="1"/>
                <c:pt idx="0">
                  <c:v>Mayor que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'Pregunta 1'!$C$36:$C$40</c:f>
              <c:numCache>
                <c:formatCode>General</c:formatCode>
                <c:ptCount val="5"/>
                <c:pt idx="0">
                  <c:v>2.25</c:v>
                </c:pt>
                <c:pt idx="1">
                  <c:v>2.3420000000000001</c:v>
                </c:pt>
                <c:pt idx="2">
                  <c:v>2.4340000000000002</c:v>
                </c:pt>
                <c:pt idx="3">
                  <c:v>2.5260000000000002</c:v>
                </c:pt>
                <c:pt idx="4">
                  <c:v>2.6180000000000003</c:v>
                </c:pt>
              </c:numCache>
            </c:numRef>
          </c:cat>
          <c:val>
            <c:numRef>
              <c:f>'Pregunta 1'!$M$36:$M$40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0-1F40-A530-25790F7FE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270431"/>
        <c:axId val="1657482095"/>
      </c:lineChart>
      <c:catAx>
        <c:axId val="16512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7482095"/>
        <c:crosses val="autoZero"/>
        <c:auto val="1"/>
        <c:lblAlgn val="ctr"/>
        <c:lblOffset val="100"/>
        <c:noMultiLvlLbl val="0"/>
      </c:catAx>
      <c:valAx>
        <c:axId val="16574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12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'Pregunta 1'!$N$35</c:f>
              <c:strCache>
                <c:ptCount val="1"/>
                <c:pt idx="0">
                  <c:v>Menor que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'Pregunta 1'!$D$36:$D$40</c:f>
              <c:numCache>
                <c:formatCode>General</c:formatCode>
                <c:ptCount val="5"/>
                <c:pt idx="0">
                  <c:v>2.3420000000000001</c:v>
                </c:pt>
                <c:pt idx="1">
                  <c:v>2.4340000000000002</c:v>
                </c:pt>
                <c:pt idx="2">
                  <c:v>2.5260000000000002</c:v>
                </c:pt>
                <c:pt idx="3">
                  <c:v>2.6180000000000003</c:v>
                </c:pt>
                <c:pt idx="4">
                  <c:v>2.7100000000000004</c:v>
                </c:pt>
              </c:numCache>
            </c:numRef>
          </c:cat>
          <c:val>
            <c:numRef>
              <c:f>'Pregunta 1'!$N$36:$N$40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11</c:v>
                </c:pt>
                <c:pt idx="3">
                  <c:v>13</c:v>
                </c:pt>
                <c:pt idx="4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4F-CF41-965E-89D5FBCB4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1714959"/>
        <c:axId val="1657186351"/>
      </c:lineChart>
      <c:catAx>
        <c:axId val="1471714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7186351"/>
        <c:crosses val="autoZero"/>
        <c:auto val="1"/>
        <c:lblAlgn val="ctr"/>
        <c:lblOffset val="100"/>
        <c:noMultiLvlLbl val="0"/>
      </c:catAx>
      <c:valAx>
        <c:axId val="165718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47171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HISTOGRAMA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1'!$F$35</c:f>
              <c:strCache>
                <c:ptCount val="1"/>
                <c:pt idx="0">
                  <c:v>Frecuencia Absoluta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2.3879999999999999</c:v>
                </c:pt>
                <c:pt idx="2">
                  <c:v>2.4800000000000004</c:v>
                </c:pt>
                <c:pt idx="3">
                  <c:v>2.5720000000000001</c:v>
                </c:pt>
                <c:pt idx="4">
                  <c:v>2.6640000000000006</c:v>
                </c:pt>
              </c:numCache>
            </c:numRef>
          </c:cat>
          <c:val>
            <c:numRef>
              <c:f>'Pregunta 1'!$F$36:$F$40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6-8546-B816-6B7DF3020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650651039"/>
        <c:axId val="1921232527"/>
      </c:barChart>
      <c:catAx>
        <c:axId val="165065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21232527"/>
        <c:crosses val="autoZero"/>
        <c:auto val="1"/>
        <c:lblAlgn val="ctr"/>
        <c:lblOffset val="100"/>
        <c:noMultiLvlLbl val="0"/>
      </c:catAx>
      <c:valAx>
        <c:axId val="192123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065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POLIGONO</a:t>
            </a:r>
            <a:r>
              <a:rPr lang="es-MX" baseline="0"/>
              <a:t> DE FRECUENCIA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'Pregunta 1'!$F$35</c:f>
              <c:strCache>
                <c:ptCount val="1"/>
                <c:pt idx="0">
                  <c:v>Frecuencia Absoluta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2.3879999999999999</c:v>
                </c:pt>
                <c:pt idx="2">
                  <c:v>2.4800000000000004</c:v>
                </c:pt>
                <c:pt idx="3">
                  <c:v>2.5720000000000001</c:v>
                </c:pt>
                <c:pt idx="4">
                  <c:v>2.6640000000000006</c:v>
                </c:pt>
              </c:numCache>
            </c:numRef>
          </c:cat>
          <c:val>
            <c:numRef>
              <c:f>'Pregunta 1'!$F$36:$F$40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8F-2345-810F-9365C3D0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0869263"/>
        <c:axId val="1546156255"/>
      </c:barChart>
      <c:lineChart>
        <c:grouping val="standard"/>
        <c:varyColors val="0"/>
        <c:ser>
          <c:idx val="1"/>
          <c:order val="1"/>
          <c:tx>
            <c:strRef>
              <c:f>'Pregunta 1'!$G$35</c:f>
              <c:strCache>
                <c:ptCount val="1"/>
                <c:pt idx="0">
                  <c:v>Frecuencia Relativa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'Pregunta 1'!$E$36:$E$40</c:f>
              <c:numCache>
                <c:formatCode>General</c:formatCode>
                <c:ptCount val="5"/>
                <c:pt idx="0">
                  <c:v>2.2960000000000003</c:v>
                </c:pt>
                <c:pt idx="1">
                  <c:v>2.3879999999999999</c:v>
                </c:pt>
                <c:pt idx="2">
                  <c:v>2.4800000000000004</c:v>
                </c:pt>
                <c:pt idx="3">
                  <c:v>2.5720000000000001</c:v>
                </c:pt>
                <c:pt idx="4">
                  <c:v>2.6640000000000006</c:v>
                </c:pt>
              </c:numCache>
            </c:numRef>
          </c:cat>
          <c:val>
            <c:numRef>
              <c:f>'Pregunta 1'!$G$36:$G$40</c:f>
              <c:numCache>
                <c:formatCode>0.00%</c:formatCode>
                <c:ptCount val="5"/>
                <c:pt idx="0">
                  <c:v>0.53333333333333333</c:v>
                </c:pt>
                <c:pt idx="1">
                  <c:v>0.2</c:v>
                </c:pt>
                <c:pt idx="2">
                  <c:v>0.13333333333333333</c:v>
                </c:pt>
                <c:pt idx="3">
                  <c:v>6.6666666666666666E-2</c:v>
                </c:pt>
                <c:pt idx="4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8F-2345-810F-9365C3D09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8947456"/>
        <c:axId val="998975248"/>
      </c:lineChart>
      <c:catAx>
        <c:axId val="16508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546156255"/>
        <c:crosses val="autoZero"/>
        <c:auto val="1"/>
        <c:lblAlgn val="ctr"/>
        <c:lblOffset val="100"/>
        <c:noMultiLvlLbl val="0"/>
      </c:catAx>
      <c:valAx>
        <c:axId val="15461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650869263"/>
        <c:crosses val="autoZero"/>
        <c:crossBetween val="between"/>
      </c:valAx>
      <c:valAx>
        <c:axId val="99897524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998947456"/>
        <c:crosses val="max"/>
        <c:crossBetween val="between"/>
      </c:valAx>
      <c:catAx>
        <c:axId val="998947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8975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DIAGRAMA DE PUNTOS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'Pregunta 1'!$O$7:$O$21</c:f>
              <c:numCache>
                <c:formatCode>General</c:formatCode>
                <c:ptCount val="15"/>
                <c:pt idx="0">
                  <c:v>2.25</c:v>
                </c:pt>
                <c:pt idx="1">
                  <c:v>2.27</c:v>
                </c:pt>
                <c:pt idx="2">
                  <c:v>2.27</c:v>
                </c:pt>
                <c:pt idx="3">
                  <c:v>2.27</c:v>
                </c:pt>
                <c:pt idx="4">
                  <c:v>2.27</c:v>
                </c:pt>
                <c:pt idx="5">
                  <c:v>2.27</c:v>
                </c:pt>
                <c:pt idx="6">
                  <c:v>2.27</c:v>
                </c:pt>
                <c:pt idx="7">
                  <c:v>2.27</c:v>
                </c:pt>
                <c:pt idx="8">
                  <c:v>2.36</c:v>
                </c:pt>
                <c:pt idx="9" formatCode="0.00">
                  <c:v>2.4</c:v>
                </c:pt>
                <c:pt idx="10" formatCode="0.00">
                  <c:v>2.4</c:v>
                </c:pt>
                <c:pt idx="11">
                  <c:v>2.4900000000000002</c:v>
                </c:pt>
                <c:pt idx="12" formatCode="0.00">
                  <c:v>2.5</c:v>
                </c:pt>
                <c:pt idx="13">
                  <c:v>2.56</c:v>
                </c:pt>
                <c:pt idx="14">
                  <c:v>2.71</c:v>
                </c:pt>
              </c:numCache>
            </c:numRef>
          </c:xVal>
          <c:yVal>
            <c:numRef>
              <c:f>'Pregunta 1'!$P$7:$P$21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6-684C-8749-1D204609B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1829871"/>
        <c:axId val="2052993375"/>
      </c:scatterChart>
      <c:valAx>
        <c:axId val="1921829871"/>
        <c:scaling>
          <c:orientation val="minMax"/>
          <c:min val="2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2052993375"/>
        <c:crosses val="autoZero"/>
        <c:crossBetween val="midCat"/>
      </c:valAx>
      <c:valAx>
        <c:axId val="205299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921829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tiff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702733</xdr:colOff>
      <xdr:row>0</xdr:row>
      <xdr:rowOff>186227</xdr:rowOff>
    </xdr:from>
    <xdr:to>
      <xdr:col>10</xdr:col>
      <xdr:colOff>713040</xdr:colOff>
      <xdr:row>15</xdr:row>
      <xdr:rowOff>148166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C8FAA1-5B93-4546-BFC8-655D4989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2733" y="186227"/>
          <a:ext cx="8493907" cy="3009939"/>
        </a:xfrm>
        <a:prstGeom prst="rect">
          <a:avLst/>
        </a:prstGeom>
      </xdr:spPr>
    </xdr:pic>
    <xdr:clientData/>
  </xdr:twoCellAnchor>
  <xdr:twoCellAnchor editAs="oneCell">
    <xdr:from>
      <xdr:col>1</xdr:col>
      <xdr:colOff>67732</xdr:colOff>
      <xdr:row>15</xdr:row>
      <xdr:rowOff>175326</xdr:rowOff>
    </xdr:from>
    <xdr:to>
      <xdr:col>8</xdr:col>
      <xdr:colOff>740132</xdr:colOff>
      <xdr:row>21</xdr:row>
      <xdr:rowOff>114299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3F00B7B-E966-D34F-A903-DD55865A4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3232" y="3223326"/>
          <a:ext cx="6679500" cy="1158173"/>
        </a:xfrm>
        <a:prstGeom prst="rect">
          <a:avLst/>
        </a:prstGeom>
      </xdr:spPr>
    </xdr:pic>
    <xdr:clientData/>
  </xdr:twoCellAnchor>
  <xdr:twoCellAnchor>
    <xdr:from>
      <xdr:col>6</xdr:col>
      <xdr:colOff>233083</xdr:colOff>
      <xdr:row>67</xdr:row>
      <xdr:rowOff>134471</xdr:rowOff>
    </xdr:from>
    <xdr:to>
      <xdr:col>11</xdr:col>
      <xdr:colOff>712694</xdr:colOff>
      <xdr:row>80</xdr:row>
      <xdr:rowOff>158377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4D4B369-F8E8-AF45-8A06-BBC27F55ED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306293</xdr:colOff>
      <xdr:row>53</xdr:row>
      <xdr:rowOff>115047</xdr:rowOff>
    </xdr:from>
    <xdr:to>
      <xdr:col>16</xdr:col>
      <xdr:colOff>874058</xdr:colOff>
      <xdr:row>66</xdr:row>
      <xdr:rowOff>138953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BC3CE9-156D-8148-9804-CE4872F7F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366058</xdr:colOff>
      <xdr:row>67</xdr:row>
      <xdr:rowOff>129988</xdr:rowOff>
    </xdr:from>
    <xdr:to>
      <xdr:col>5</xdr:col>
      <xdr:colOff>694764</xdr:colOff>
      <xdr:row>80</xdr:row>
      <xdr:rowOff>153894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C1C81F5-09ED-E347-9600-085E1F0C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403412</xdr:colOff>
      <xdr:row>81</xdr:row>
      <xdr:rowOff>189754</xdr:rowOff>
    </xdr:from>
    <xdr:to>
      <xdr:col>5</xdr:col>
      <xdr:colOff>732118</xdr:colOff>
      <xdr:row>95</xdr:row>
      <xdr:rowOff>4483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1A6BC7C-5B49-1F42-8015-ECBF2CD09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238275</xdr:colOff>
      <xdr:row>81</xdr:row>
      <xdr:rowOff>55888</xdr:rowOff>
    </xdr:from>
    <xdr:to>
      <xdr:col>11</xdr:col>
      <xdr:colOff>668045</xdr:colOff>
      <xdr:row>94</xdr:row>
      <xdr:rowOff>199753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F4E50805-0F29-2A4E-B4FA-0AC010B9C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3</xdr:col>
      <xdr:colOff>482600</xdr:colOff>
      <xdr:row>21</xdr:row>
      <xdr:rowOff>0</xdr:rowOff>
    </xdr:to>
    <xdr:pic>
      <xdr:nvPicPr>
        <xdr:cNvPr id="3" name="Imagen 2" descr="page2image63795968">
          <a:extLst>
            <a:ext uri="{FF2B5EF4-FFF2-40B4-BE49-F238E27FC236}">
              <a16:creationId xmlns:a16="http://schemas.microsoft.com/office/drawing/2014/main" id="{41515EB2-3C4F-0BE8-8509-7040D4E77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5500" y="4267200"/>
          <a:ext cx="21336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2C3B0-17F1-E247-8681-E743B3124AF4}">
  <dimension ref="B4:U84"/>
  <sheetViews>
    <sheetView topLeftCell="A54" zoomScale="110" zoomScaleNormal="110" workbookViewId="0">
      <selection activeCell="M38" sqref="M38"/>
    </sheetView>
  </sheetViews>
  <sheetFormatPr baseColWidth="10" defaultRowHeight="16"/>
  <cols>
    <col min="3" max="3" width="11.83203125" customWidth="1"/>
    <col min="4" max="4" width="11.5" customWidth="1"/>
    <col min="6" max="6" width="12.1640625" customWidth="1"/>
    <col min="16" max="16" width="41.6640625" customWidth="1"/>
    <col min="17" max="17" width="15.33203125" customWidth="1"/>
  </cols>
  <sheetData>
    <row r="4" spans="12:16">
      <c r="M4" s="34" t="s">
        <v>0</v>
      </c>
      <c r="N4" s="34"/>
      <c r="O4" s="34"/>
    </row>
    <row r="6" spans="12:16">
      <c r="M6" s="1" t="s">
        <v>1</v>
      </c>
      <c r="O6" s="29" t="s">
        <v>2</v>
      </c>
    </row>
    <row r="7" spans="12:16">
      <c r="L7">
        <v>1</v>
      </c>
      <c r="M7">
        <v>2.15</v>
      </c>
      <c r="O7" s="30">
        <v>2.25</v>
      </c>
      <c r="P7">
        <v>1</v>
      </c>
    </row>
    <row r="8" spans="12:16">
      <c r="L8">
        <v>1</v>
      </c>
      <c r="M8">
        <v>2.1800000000000002</v>
      </c>
      <c r="O8" s="30">
        <v>2.27</v>
      </c>
      <c r="P8">
        <v>1</v>
      </c>
    </row>
    <row r="9" spans="12:16">
      <c r="L9">
        <v>1</v>
      </c>
      <c r="M9">
        <v>2.19</v>
      </c>
      <c r="O9" s="30">
        <v>2.27</v>
      </c>
      <c r="P9">
        <v>2</v>
      </c>
    </row>
    <row r="10" spans="12:16">
      <c r="L10">
        <v>2</v>
      </c>
      <c r="M10">
        <v>2.19</v>
      </c>
      <c r="O10" s="30">
        <v>2.27</v>
      </c>
      <c r="P10">
        <v>3</v>
      </c>
    </row>
    <row r="11" spans="12:16">
      <c r="L11">
        <v>3</v>
      </c>
      <c r="M11">
        <v>2.19</v>
      </c>
      <c r="O11" s="30">
        <v>2.27</v>
      </c>
      <c r="P11">
        <v>4</v>
      </c>
    </row>
    <row r="12" spans="12:16">
      <c r="L12">
        <v>4</v>
      </c>
      <c r="M12">
        <v>2.19</v>
      </c>
      <c r="O12" s="30">
        <v>2.27</v>
      </c>
      <c r="P12">
        <v>5</v>
      </c>
    </row>
    <row r="13" spans="12:16">
      <c r="L13">
        <v>1</v>
      </c>
      <c r="M13">
        <v>2.21</v>
      </c>
      <c r="O13" s="30">
        <v>2.27</v>
      </c>
      <c r="P13">
        <v>6</v>
      </c>
    </row>
    <row r="14" spans="12:16">
      <c r="L14">
        <v>1</v>
      </c>
      <c r="M14">
        <v>2.27</v>
      </c>
      <c r="O14" s="30">
        <v>2.27</v>
      </c>
      <c r="P14">
        <v>7</v>
      </c>
    </row>
    <row r="15" spans="12:16">
      <c r="L15">
        <v>2</v>
      </c>
      <c r="M15">
        <v>2.27</v>
      </c>
      <c r="O15" s="30">
        <v>2.36</v>
      </c>
      <c r="P15">
        <v>1</v>
      </c>
    </row>
    <row r="16" spans="12:16">
      <c r="L16">
        <v>3</v>
      </c>
      <c r="M16">
        <v>2.27</v>
      </c>
      <c r="O16" s="31">
        <v>2.4</v>
      </c>
      <c r="P16">
        <v>1</v>
      </c>
    </row>
    <row r="17" spans="2:16">
      <c r="L17">
        <v>4</v>
      </c>
      <c r="M17">
        <v>2.27</v>
      </c>
      <c r="O17" s="31">
        <v>2.4</v>
      </c>
      <c r="P17">
        <v>2</v>
      </c>
    </row>
    <row r="18" spans="2:16">
      <c r="L18">
        <v>5</v>
      </c>
      <c r="M18">
        <v>2.27</v>
      </c>
      <c r="O18" s="30">
        <v>2.4900000000000002</v>
      </c>
      <c r="P18">
        <v>1</v>
      </c>
    </row>
    <row r="19" spans="2:16">
      <c r="L19">
        <v>6</v>
      </c>
      <c r="M19">
        <v>2.27</v>
      </c>
      <c r="O19" s="31">
        <v>2.5</v>
      </c>
      <c r="P19">
        <v>1</v>
      </c>
    </row>
    <row r="20" spans="2:16">
      <c r="L20">
        <v>1</v>
      </c>
      <c r="M20" s="2">
        <v>2.2999999999999998</v>
      </c>
      <c r="O20" s="30">
        <v>2.56</v>
      </c>
      <c r="P20">
        <v>1</v>
      </c>
    </row>
    <row r="21" spans="2:16">
      <c r="L21">
        <v>1</v>
      </c>
      <c r="M21">
        <v>2.33</v>
      </c>
      <c r="O21" s="30">
        <v>2.71</v>
      </c>
      <c r="P21">
        <v>1</v>
      </c>
    </row>
    <row r="23" spans="2:16">
      <c r="D23" s="3"/>
    </row>
    <row r="25" spans="2:16" ht="21">
      <c r="B25" s="35" t="s">
        <v>65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</row>
    <row r="27" spans="2:16">
      <c r="B27" s="1" t="s">
        <v>3</v>
      </c>
      <c r="C27">
        <f>+MAX(O7:O21)-MIN(O7:O21)</f>
        <v>0.45999999999999996</v>
      </c>
    </row>
    <row r="28" spans="2:16">
      <c r="B28" s="1"/>
    </row>
    <row r="29" spans="2:16">
      <c r="B29" s="1" t="s">
        <v>4</v>
      </c>
      <c r="C29">
        <f>1+3.322*(LOG(COUNT(O7:O21)))</f>
        <v>4.9069751625829738</v>
      </c>
    </row>
    <row r="30" spans="2:16">
      <c r="B30" s="1" t="s">
        <v>5</v>
      </c>
      <c r="C30">
        <f>+ROUNDUP(C29,0)</f>
        <v>5</v>
      </c>
    </row>
    <row r="31" spans="2:16">
      <c r="B31" s="1" t="s">
        <v>6</v>
      </c>
      <c r="D31">
        <f>+C27/C30</f>
        <v>9.1999999999999998E-2</v>
      </c>
    </row>
    <row r="32" spans="2:16">
      <c r="B32" s="1"/>
    </row>
    <row r="33" spans="2:20">
      <c r="B33" s="1"/>
    </row>
    <row r="35" spans="2:20" ht="51">
      <c r="B35" s="4" t="s">
        <v>7</v>
      </c>
      <c r="C35" s="5" t="s">
        <v>8</v>
      </c>
      <c r="D35" s="5" t="s">
        <v>9</v>
      </c>
      <c r="E35" s="6" t="s">
        <v>10</v>
      </c>
      <c r="F35" s="5" t="s">
        <v>11</v>
      </c>
      <c r="G35" s="5" t="s">
        <v>12</v>
      </c>
      <c r="H35" s="5" t="s">
        <v>13</v>
      </c>
      <c r="I35" s="5" t="s">
        <v>14</v>
      </c>
      <c r="J35" s="5" t="s">
        <v>15</v>
      </c>
      <c r="K35" s="5" t="s">
        <v>16</v>
      </c>
      <c r="L35" s="5" t="s">
        <v>17</v>
      </c>
      <c r="M35" s="5" t="s">
        <v>18</v>
      </c>
      <c r="N35" s="5" t="s">
        <v>19</v>
      </c>
    </row>
    <row r="36" spans="2:20">
      <c r="B36">
        <v>1</v>
      </c>
      <c r="C36">
        <f>+MIN(O7:O21)</f>
        <v>2.25</v>
      </c>
      <c r="D36">
        <f>+C36+$D$31</f>
        <v>2.3420000000000001</v>
      </c>
      <c r="E36">
        <f>+AVERAGE(C36:D36)</f>
        <v>2.2960000000000003</v>
      </c>
      <c r="F36">
        <v>8</v>
      </c>
      <c r="G36" s="7">
        <f>+F36/$F$41</f>
        <v>0.53333333333333333</v>
      </c>
      <c r="H36">
        <f>+F36</f>
        <v>8</v>
      </c>
      <c r="I36" s="8">
        <f>+H36/$F$41</f>
        <v>0.53333333333333333</v>
      </c>
      <c r="J36">
        <f>+E36*F36</f>
        <v>18.368000000000002</v>
      </c>
      <c r="K36">
        <f>+(E36-$C$46)^2*F36</f>
        <v>5.8984675555555983E-2</v>
      </c>
      <c r="L36">
        <f>+ABS(E36-$C$46)*F36</f>
        <v>0.68693333333333584</v>
      </c>
      <c r="M36">
        <v>15</v>
      </c>
      <c r="N36">
        <v>0</v>
      </c>
    </row>
    <row r="37" spans="2:20">
      <c r="B37">
        <v>2</v>
      </c>
      <c r="C37">
        <f>+D36+$D$33</f>
        <v>2.3420000000000001</v>
      </c>
      <c r="D37">
        <f>+C37+$D$31</f>
        <v>2.4340000000000002</v>
      </c>
      <c r="E37">
        <f t="shared" ref="E37:E40" si="0">+AVERAGE(C37:D37)</f>
        <v>2.3879999999999999</v>
      </c>
      <c r="F37">
        <v>3</v>
      </c>
      <c r="G37" s="7">
        <f t="shared" ref="G37:G40" si="1">+F37/$F$41</f>
        <v>0.2</v>
      </c>
      <c r="H37">
        <f>+H36+F37</f>
        <v>11</v>
      </c>
      <c r="I37" s="8">
        <f t="shared" ref="I37:I40" si="2">+H37/$F$41</f>
        <v>0.73333333333333328</v>
      </c>
      <c r="J37">
        <f t="shared" ref="J37:J40" si="3">+E37*F37</f>
        <v>7.1639999999999997</v>
      </c>
      <c r="K37">
        <f t="shared" ref="K37:K40" si="4">+(E37-$C$46)^2*F37</f>
        <v>1.1285333333330848E-4</v>
      </c>
      <c r="L37">
        <f t="shared" ref="L37:L40" si="5">+ABS(E37-$C$46)*F37</f>
        <v>1.8399999999997974E-2</v>
      </c>
      <c r="M37">
        <f>+M36-F36</f>
        <v>7</v>
      </c>
      <c r="N37">
        <f>+N36+F36</f>
        <v>8</v>
      </c>
    </row>
    <row r="38" spans="2:20">
      <c r="B38">
        <v>3</v>
      </c>
      <c r="C38">
        <f t="shared" ref="C38:C40" si="6">+D37+$D$33</f>
        <v>2.4340000000000002</v>
      </c>
      <c r="D38">
        <f t="shared" ref="D38:D40" si="7">+C38+$D$31</f>
        <v>2.5260000000000002</v>
      </c>
      <c r="E38">
        <f t="shared" si="0"/>
        <v>2.4800000000000004</v>
      </c>
      <c r="F38">
        <v>2</v>
      </c>
      <c r="G38" s="7">
        <f t="shared" si="1"/>
        <v>0.13333333333333333</v>
      </c>
      <c r="H38">
        <f t="shared" ref="H38:H40" si="8">+H37+F38</f>
        <v>13</v>
      </c>
      <c r="I38" s="8">
        <f t="shared" si="2"/>
        <v>0.8666666666666667</v>
      </c>
      <c r="J38">
        <f t="shared" si="3"/>
        <v>4.9600000000000009</v>
      </c>
      <c r="K38">
        <f t="shared" si="4"/>
        <v>1.9260302222222164E-2</v>
      </c>
      <c r="L38">
        <f t="shared" si="5"/>
        <v>0.19626666666666637</v>
      </c>
      <c r="M38">
        <f t="shared" ref="M38:M40" si="9">+M37-F37</f>
        <v>4</v>
      </c>
      <c r="N38">
        <f t="shared" ref="N38:N40" si="10">+N37+F37</f>
        <v>11</v>
      </c>
    </row>
    <row r="39" spans="2:20">
      <c r="B39">
        <v>4</v>
      </c>
      <c r="C39">
        <f t="shared" si="6"/>
        <v>2.5260000000000002</v>
      </c>
      <c r="D39">
        <f t="shared" si="7"/>
        <v>2.6180000000000003</v>
      </c>
      <c r="E39">
        <f t="shared" si="0"/>
        <v>2.5720000000000001</v>
      </c>
      <c r="F39">
        <v>1</v>
      </c>
      <c r="G39" s="7">
        <f t="shared" si="1"/>
        <v>6.6666666666666666E-2</v>
      </c>
      <c r="H39">
        <f t="shared" si="8"/>
        <v>14</v>
      </c>
      <c r="I39" s="8">
        <f t="shared" si="2"/>
        <v>0.93333333333333335</v>
      </c>
      <c r="J39">
        <f t="shared" si="3"/>
        <v>2.5720000000000001</v>
      </c>
      <c r="K39">
        <f t="shared" si="4"/>
        <v>3.6150684444444248E-2</v>
      </c>
      <c r="L39">
        <f t="shared" si="5"/>
        <v>0.19013333333333282</v>
      </c>
      <c r="M39">
        <f t="shared" si="9"/>
        <v>2</v>
      </c>
      <c r="N39">
        <f t="shared" si="10"/>
        <v>13</v>
      </c>
    </row>
    <row r="40" spans="2:20">
      <c r="B40">
        <v>5</v>
      </c>
      <c r="C40">
        <f t="shared" si="6"/>
        <v>2.6180000000000003</v>
      </c>
      <c r="D40">
        <f t="shared" si="7"/>
        <v>2.7100000000000004</v>
      </c>
      <c r="E40">
        <f t="shared" si="0"/>
        <v>2.6640000000000006</v>
      </c>
      <c r="F40">
        <v>1</v>
      </c>
      <c r="G40" s="7">
        <f t="shared" si="1"/>
        <v>6.6666666666666666E-2</v>
      </c>
      <c r="H40">
        <f t="shared" si="8"/>
        <v>15</v>
      </c>
      <c r="I40" s="8">
        <f t="shared" si="2"/>
        <v>1</v>
      </c>
      <c r="J40">
        <f t="shared" si="3"/>
        <v>2.6640000000000006</v>
      </c>
      <c r="K40">
        <f t="shared" si="4"/>
        <v>7.9599217777777787E-2</v>
      </c>
      <c r="L40">
        <f t="shared" si="5"/>
        <v>0.28213333333333335</v>
      </c>
      <c r="M40">
        <f t="shared" si="9"/>
        <v>1</v>
      </c>
      <c r="N40">
        <f t="shared" si="10"/>
        <v>14</v>
      </c>
    </row>
    <row r="41" spans="2:20">
      <c r="F41">
        <f>+SUM(F36:F40)</f>
        <v>15</v>
      </c>
      <c r="G41" s="9">
        <f>+SUM(G36:G40)</f>
        <v>1</v>
      </c>
      <c r="J41">
        <f>SUM(J36:J40)</f>
        <v>35.728000000000009</v>
      </c>
      <c r="K41">
        <f t="shared" ref="K41:L41" si="11">SUM(K36:K40)</f>
        <v>0.19410773333333348</v>
      </c>
      <c r="L41">
        <f t="shared" si="11"/>
        <v>1.3738666666666663</v>
      </c>
    </row>
    <row r="44" spans="2:20">
      <c r="B44" s="36" t="s">
        <v>20</v>
      </c>
      <c r="C44" s="36"/>
      <c r="D44" s="36"/>
      <c r="F44" t="s">
        <v>21</v>
      </c>
    </row>
    <row r="46" spans="2:20">
      <c r="B46" s="1" t="s">
        <v>22</v>
      </c>
      <c r="C46" s="10">
        <f>+J41/F41</f>
        <v>2.3818666666666672</v>
      </c>
      <c r="F46" s="37" t="s">
        <v>23</v>
      </c>
      <c r="G46" s="37"/>
      <c r="H46" s="1"/>
      <c r="I46" s="37" t="s">
        <v>24</v>
      </c>
      <c r="J46" s="37"/>
      <c r="M46" s="38" t="s">
        <v>25</v>
      </c>
      <c r="N46" s="38"/>
      <c r="P46" s="34" t="s">
        <v>26</v>
      </c>
      <c r="Q46" s="34"/>
      <c r="R46" s="34"/>
      <c r="S46" s="34"/>
      <c r="T46" s="34"/>
    </row>
    <row r="47" spans="2:20">
      <c r="B47" s="1"/>
      <c r="C47" s="1"/>
    </row>
    <row r="48" spans="2:20">
      <c r="B48" s="1" t="s">
        <v>27</v>
      </c>
      <c r="C48" s="10">
        <f>+C52+(((C50-C54)/C53)*C55)</f>
        <v>2.2730000000000001</v>
      </c>
      <c r="F48" s="11" t="s">
        <v>28</v>
      </c>
      <c r="G48" s="11">
        <f>+G50+((G49-G52)/G51)*G53</f>
        <v>2.2931249999999999</v>
      </c>
      <c r="I48" s="12" t="s">
        <v>29</v>
      </c>
      <c r="J48" s="13">
        <f>+J50+((J49-J52)/J51)*J53</f>
        <v>2.2586249999999999</v>
      </c>
      <c r="M48" s="14" t="s">
        <v>30</v>
      </c>
      <c r="N48" s="14">
        <f>+N50+((N49-N52)/N51)*N53</f>
        <v>2.3362500000000002</v>
      </c>
      <c r="P48" s="15" t="s">
        <v>31</v>
      </c>
      <c r="Q48" s="16">
        <f>SQRT(K41/14)</f>
        <v>0.11774904710968197</v>
      </c>
    </row>
    <row r="49" spans="2:17">
      <c r="B49" t="s">
        <v>32</v>
      </c>
      <c r="C49">
        <f>+F41</f>
        <v>15</v>
      </c>
      <c r="F49" t="s">
        <v>33</v>
      </c>
      <c r="G49">
        <f>+(1*F41)/4</f>
        <v>3.75</v>
      </c>
      <c r="I49" t="s">
        <v>34</v>
      </c>
      <c r="J49">
        <f>+(15*5)/100</f>
        <v>0.75</v>
      </c>
      <c r="M49" t="s">
        <v>35</v>
      </c>
      <c r="N49">
        <f>+(5*F41)/10</f>
        <v>7.5</v>
      </c>
      <c r="P49" s="15" t="s">
        <v>36</v>
      </c>
      <c r="Q49" s="16">
        <f>SQRT(K41/15)</f>
        <v>0.11375638687808068</v>
      </c>
    </row>
    <row r="50" spans="2:17">
      <c r="B50" t="s">
        <v>37</v>
      </c>
      <c r="C50">
        <f>+C49/2</f>
        <v>7.5</v>
      </c>
      <c r="F50" t="s">
        <v>38</v>
      </c>
      <c r="G50">
        <f>+C36</f>
        <v>2.25</v>
      </c>
      <c r="I50" t="s">
        <v>38</v>
      </c>
      <c r="J50">
        <f>+C36</f>
        <v>2.25</v>
      </c>
      <c r="M50" t="s">
        <v>38</v>
      </c>
      <c r="N50">
        <f>+C36</f>
        <v>2.25</v>
      </c>
      <c r="P50" s="15" t="s">
        <v>39</v>
      </c>
      <c r="Q50" s="17">
        <f>Q48^2</f>
        <v>1.3864838095238103E-2</v>
      </c>
    </row>
    <row r="51" spans="2:17" ht="34">
      <c r="B51" s="18" t="s">
        <v>40</v>
      </c>
      <c r="C51">
        <f>+B38</f>
        <v>3</v>
      </c>
      <c r="F51" t="s">
        <v>41</v>
      </c>
      <c r="G51">
        <f>+F36</f>
        <v>8</v>
      </c>
      <c r="I51" t="s">
        <v>41</v>
      </c>
      <c r="J51">
        <f>+F36</f>
        <v>8</v>
      </c>
      <c r="M51" t="s">
        <v>42</v>
      </c>
      <c r="N51">
        <f>+F36</f>
        <v>8</v>
      </c>
      <c r="P51" s="15" t="s">
        <v>43</v>
      </c>
      <c r="Q51" s="17">
        <f>Q49^2</f>
        <v>1.2940515555555566E-2</v>
      </c>
    </row>
    <row r="52" spans="2:17">
      <c r="B52" t="s">
        <v>44</v>
      </c>
      <c r="C52">
        <f>+C38</f>
        <v>2.4340000000000002</v>
      </c>
      <c r="F52" t="s">
        <v>45</v>
      </c>
      <c r="G52">
        <v>0</v>
      </c>
      <c r="I52" t="s">
        <v>45</v>
      </c>
      <c r="J52">
        <v>0</v>
      </c>
      <c r="M52" t="s">
        <v>45</v>
      </c>
      <c r="N52">
        <v>0</v>
      </c>
      <c r="P52" s="15" t="s">
        <v>46</v>
      </c>
      <c r="Q52" s="19">
        <f>L41/F41</f>
        <v>9.1591111111111095E-2</v>
      </c>
    </row>
    <row r="53" spans="2:17">
      <c r="B53" t="s">
        <v>42</v>
      </c>
      <c r="C53">
        <f>+F38</f>
        <v>2</v>
      </c>
      <c r="F53" t="s">
        <v>47</v>
      </c>
      <c r="G53">
        <f>+D31</f>
        <v>9.1999999999999998E-2</v>
      </c>
      <c r="I53" t="s">
        <v>48</v>
      </c>
      <c r="J53">
        <f>+D31</f>
        <v>9.1999999999999998E-2</v>
      </c>
      <c r="M53" t="s">
        <v>49</v>
      </c>
      <c r="N53">
        <f>+D31</f>
        <v>9.1999999999999998E-2</v>
      </c>
      <c r="P53" s="15" t="s">
        <v>50</v>
      </c>
      <c r="Q53" s="20">
        <f>Q48/C46</f>
        <v>4.9435616509326832E-2</v>
      </c>
    </row>
    <row r="54" spans="2:17">
      <c r="B54" t="s">
        <v>51</v>
      </c>
      <c r="C54">
        <f>+H37</f>
        <v>11</v>
      </c>
    </row>
    <row r="55" spans="2:17">
      <c r="B55" t="s">
        <v>47</v>
      </c>
      <c r="C55">
        <f>+D31</f>
        <v>9.1999999999999998E-2</v>
      </c>
      <c r="F55" s="11" t="s">
        <v>52</v>
      </c>
      <c r="G55" s="11">
        <f>+G57+((G56-G59)/G58)*G60</f>
        <v>2.3362500000000002</v>
      </c>
      <c r="I55" s="12" t="s">
        <v>53</v>
      </c>
      <c r="J55" s="12">
        <f>+J57+((J56-J59)/J58)*J60</f>
        <v>2.3362500000000002</v>
      </c>
      <c r="M55" s="14" t="s">
        <v>54</v>
      </c>
      <c r="N55" s="14">
        <f>+N57+((N56-N59)/N58)*N60</f>
        <v>2.7100000000000004</v>
      </c>
    </row>
    <row r="56" spans="2:17">
      <c r="F56" t="s">
        <v>33</v>
      </c>
      <c r="G56">
        <f>+(2*15)/4</f>
        <v>7.5</v>
      </c>
      <c r="I56" t="s">
        <v>34</v>
      </c>
      <c r="J56">
        <f>+(50*F41)/100</f>
        <v>7.5</v>
      </c>
      <c r="M56" t="s">
        <v>35</v>
      </c>
      <c r="N56">
        <f>+(10*F41)/10</f>
        <v>15</v>
      </c>
    </row>
    <row r="57" spans="2:17">
      <c r="B57" s="1" t="s">
        <v>55</v>
      </c>
      <c r="C57" s="10">
        <f>+C59+((C60-C62)/(2*C60-C61-C62))*C63</f>
        <v>2.3036666666666665</v>
      </c>
      <c r="F57" t="s">
        <v>38</v>
      </c>
      <c r="G57">
        <f>+C36</f>
        <v>2.25</v>
      </c>
      <c r="I57" t="s">
        <v>38</v>
      </c>
      <c r="J57">
        <f>+C36</f>
        <v>2.25</v>
      </c>
      <c r="M57" t="s">
        <v>38</v>
      </c>
      <c r="N57">
        <f>+C40</f>
        <v>2.6180000000000003</v>
      </c>
    </row>
    <row r="58" spans="2:17">
      <c r="B58" t="s">
        <v>56</v>
      </c>
      <c r="C58">
        <f>+B36</f>
        <v>1</v>
      </c>
      <c r="F58" t="s">
        <v>41</v>
      </c>
      <c r="G58">
        <f>+F36</f>
        <v>8</v>
      </c>
      <c r="I58" t="s">
        <v>41</v>
      </c>
      <c r="J58">
        <f>+F36</f>
        <v>8</v>
      </c>
      <c r="M58" t="s">
        <v>42</v>
      </c>
      <c r="N58">
        <f>+F40</f>
        <v>1</v>
      </c>
    </row>
    <row r="59" spans="2:17">
      <c r="B59" t="s">
        <v>38</v>
      </c>
      <c r="C59">
        <f>+C36</f>
        <v>2.25</v>
      </c>
      <c r="F59" t="s">
        <v>45</v>
      </c>
      <c r="G59">
        <v>0</v>
      </c>
      <c r="I59" t="s">
        <v>45</v>
      </c>
      <c r="J59">
        <v>0</v>
      </c>
      <c r="M59" t="s">
        <v>45</v>
      </c>
      <c r="N59">
        <f>+H39</f>
        <v>14</v>
      </c>
    </row>
    <row r="60" spans="2:17">
      <c r="B60" t="s">
        <v>41</v>
      </c>
      <c r="C60">
        <f>+F36</f>
        <v>8</v>
      </c>
      <c r="F60" t="s">
        <v>47</v>
      </c>
      <c r="G60">
        <f>+D31</f>
        <v>9.1999999999999998E-2</v>
      </c>
      <c r="I60" t="s">
        <v>48</v>
      </c>
      <c r="J60">
        <f>+D31</f>
        <v>9.1999999999999998E-2</v>
      </c>
      <c r="M60" t="s">
        <v>49</v>
      </c>
      <c r="N60">
        <f>+D31</f>
        <v>9.1999999999999998E-2</v>
      </c>
    </row>
    <row r="61" spans="2:17">
      <c r="B61" t="s">
        <v>57</v>
      </c>
      <c r="C61">
        <f>+F37</f>
        <v>3</v>
      </c>
    </row>
    <row r="62" spans="2:17">
      <c r="B62" t="s">
        <v>58</v>
      </c>
      <c r="C62">
        <f>+F40</f>
        <v>1</v>
      </c>
      <c r="F62" s="11" t="s">
        <v>59</v>
      </c>
      <c r="G62" s="11">
        <f>+G64+((G63-G66)/G65)*G67</f>
        <v>2.4455</v>
      </c>
      <c r="I62" s="12" t="s">
        <v>60</v>
      </c>
      <c r="J62" s="12">
        <f>+J64+((J63-J66)/J65)*J67</f>
        <v>2.6410000000000005</v>
      </c>
    </row>
    <row r="63" spans="2:17">
      <c r="B63" t="s">
        <v>47</v>
      </c>
      <c r="C63">
        <f>+D31</f>
        <v>9.1999999999999998E-2</v>
      </c>
      <c r="F63" t="s">
        <v>33</v>
      </c>
      <c r="G63">
        <f>+(3*15)/4</f>
        <v>11.25</v>
      </c>
      <c r="I63" t="s">
        <v>34</v>
      </c>
      <c r="J63">
        <f>+(95*F41)/100</f>
        <v>14.25</v>
      </c>
    </row>
    <row r="64" spans="2:17">
      <c r="F64" t="s">
        <v>38</v>
      </c>
      <c r="G64">
        <f>+C38</f>
        <v>2.4340000000000002</v>
      </c>
      <c r="I64" t="s">
        <v>38</v>
      </c>
      <c r="J64">
        <f>+C40</f>
        <v>2.6180000000000003</v>
      </c>
    </row>
    <row r="65" spans="6:21">
      <c r="F65" t="s">
        <v>41</v>
      </c>
      <c r="G65">
        <f>+F38</f>
        <v>2</v>
      </c>
      <c r="I65" t="s">
        <v>41</v>
      </c>
      <c r="J65">
        <f>+F40</f>
        <v>1</v>
      </c>
    </row>
    <row r="66" spans="6:21">
      <c r="F66" t="s">
        <v>45</v>
      </c>
      <c r="G66">
        <f>+H37</f>
        <v>11</v>
      </c>
      <c r="I66" t="s">
        <v>45</v>
      </c>
      <c r="J66">
        <f>+H39</f>
        <v>14</v>
      </c>
    </row>
    <row r="67" spans="6:21">
      <c r="F67" t="s">
        <v>47</v>
      </c>
      <c r="G67">
        <f>+D31</f>
        <v>9.1999999999999998E-2</v>
      </c>
      <c r="I67" t="s">
        <v>48</v>
      </c>
      <c r="J67">
        <f>+D31</f>
        <v>9.1999999999999998E-2</v>
      </c>
    </row>
    <row r="71" spans="6:21">
      <c r="O71" s="34" t="s">
        <v>61</v>
      </c>
      <c r="P71" s="34"/>
      <c r="Q71" s="34"/>
      <c r="R71" s="34"/>
    </row>
    <row r="73" spans="6:21">
      <c r="O73" s="22"/>
      <c r="Q73" s="23"/>
      <c r="R73" s="24"/>
      <c r="S73" s="24"/>
      <c r="U73" s="25"/>
    </row>
    <row r="74" spans="6:21">
      <c r="O74" s="26"/>
      <c r="P74" s="27"/>
      <c r="Q74" s="22"/>
      <c r="R74" s="25"/>
      <c r="S74" s="25"/>
      <c r="T74" s="26"/>
      <c r="U74" s="27"/>
    </row>
    <row r="75" spans="6:21">
      <c r="O75" s="22"/>
      <c r="Q75" s="22"/>
      <c r="R75" s="25"/>
      <c r="S75" s="25"/>
      <c r="U75" s="25"/>
    </row>
    <row r="76" spans="6:21">
      <c r="O76" s="22"/>
      <c r="Q76" s="26"/>
      <c r="R76" s="27"/>
      <c r="S76" s="27"/>
      <c r="U76" s="25"/>
    </row>
    <row r="77" spans="6:21">
      <c r="O77" s="26"/>
      <c r="P77" s="28"/>
      <c r="Q77" s="28"/>
      <c r="R77" s="28"/>
      <c r="S77" s="28"/>
      <c r="T77" s="28"/>
      <c r="U77" s="27"/>
    </row>
    <row r="78" spans="6:21">
      <c r="O78">
        <f>+P83</f>
        <v>2.0645624999999996</v>
      </c>
      <c r="Q78">
        <f>+G48</f>
        <v>2.2931249999999999</v>
      </c>
      <c r="R78">
        <f>+C46</f>
        <v>2.3818666666666672</v>
      </c>
      <c r="S78">
        <f>+G62</f>
        <v>2.4455</v>
      </c>
      <c r="U78">
        <f>+P84</f>
        <v>2.6740625000000002</v>
      </c>
    </row>
    <row r="79" spans="6:21">
      <c r="Q79" s="1" t="s">
        <v>28</v>
      </c>
      <c r="R79" s="1" t="s">
        <v>62</v>
      </c>
      <c r="S79" s="21" t="s">
        <v>59</v>
      </c>
    </row>
    <row r="81" spans="15:17">
      <c r="O81" t="s">
        <v>63</v>
      </c>
      <c r="Q81">
        <f>+G62-G48</f>
        <v>0.15237500000000015</v>
      </c>
    </row>
    <row r="83" spans="15:17">
      <c r="O83" t="s">
        <v>38</v>
      </c>
      <c r="P83">
        <f>+Q78-1.5*(Q81)</f>
        <v>2.0645624999999996</v>
      </c>
    </row>
    <row r="84" spans="15:17">
      <c r="O84" t="s">
        <v>64</v>
      </c>
      <c r="P84">
        <f>+S78+1.5*(Q81)</f>
        <v>2.6740625000000002</v>
      </c>
    </row>
  </sheetData>
  <mergeCells count="8">
    <mergeCell ref="M4:O4"/>
    <mergeCell ref="O71:R71"/>
    <mergeCell ref="B25:L25"/>
    <mergeCell ref="B44:D44"/>
    <mergeCell ref="F46:G46"/>
    <mergeCell ref="I46:J46"/>
    <mergeCell ref="M46:N46"/>
    <mergeCell ref="P46:T4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5EA21-B623-2549-92D6-10FC2A68866F}">
  <dimension ref="B2:F15"/>
  <sheetViews>
    <sheetView tabSelected="1" zoomScale="140" workbookViewId="0">
      <selection activeCell="E14" sqref="E14"/>
    </sheetView>
  </sheetViews>
  <sheetFormatPr baseColWidth="10" defaultRowHeight="16"/>
  <cols>
    <col min="1" max="1" width="25.6640625" customWidth="1"/>
    <col min="5" max="6" width="23.33203125" customWidth="1"/>
    <col min="7" max="7" width="22.33203125" customWidth="1"/>
    <col min="8" max="8" width="13.5" customWidth="1"/>
  </cols>
  <sheetData>
    <row r="2" spans="2:6">
      <c r="B2" s="32" t="s">
        <v>66</v>
      </c>
      <c r="C2" s="32" t="s">
        <v>67</v>
      </c>
    </row>
    <row r="4" spans="2:6">
      <c r="B4" s="33">
        <v>1360</v>
      </c>
      <c r="C4" s="2">
        <v>278.5</v>
      </c>
    </row>
    <row r="5" spans="2:6">
      <c r="B5" s="33">
        <v>1940</v>
      </c>
      <c r="C5" s="2">
        <v>375.7</v>
      </c>
    </row>
    <row r="6" spans="2:6">
      <c r="B6" s="33">
        <v>1750</v>
      </c>
      <c r="C6" s="2">
        <v>339.5</v>
      </c>
      <c r="E6" s="1" t="s">
        <v>68</v>
      </c>
      <c r="F6" s="1">
        <f>+CORREL(B4:B15,C4:C15)</f>
        <v>0.92414002878207713</v>
      </c>
    </row>
    <row r="7" spans="2:6">
      <c r="B7" s="33">
        <v>1550</v>
      </c>
      <c r="C7" s="2">
        <v>329.8</v>
      </c>
      <c r="E7" s="1" t="s">
        <v>69</v>
      </c>
      <c r="F7" s="1">
        <f>+_xlfn.COVARIANCE.S(B4:B15,C4:C15)</f>
        <v>15545.196969696968</v>
      </c>
    </row>
    <row r="8" spans="2:6">
      <c r="B8" s="33">
        <v>1790</v>
      </c>
      <c r="C8" s="2">
        <v>295.60000000000002</v>
      </c>
    </row>
    <row r="9" spans="2:6">
      <c r="B9" s="33">
        <v>1750</v>
      </c>
      <c r="C9" s="2">
        <v>310.3</v>
      </c>
    </row>
    <row r="10" spans="2:6">
      <c r="B10" s="33">
        <v>2230</v>
      </c>
      <c r="C10" s="2">
        <v>460.5</v>
      </c>
    </row>
    <row r="11" spans="2:6">
      <c r="B11" s="33">
        <v>1600</v>
      </c>
      <c r="C11" s="2">
        <v>305.2</v>
      </c>
    </row>
    <row r="12" spans="2:6">
      <c r="B12" s="33">
        <v>1450</v>
      </c>
      <c r="C12" s="2">
        <v>288.60000000000002</v>
      </c>
    </row>
    <row r="13" spans="2:6">
      <c r="B13" s="33">
        <v>1870</v>
      </c>
      <c r="C13" s="2">
        <v>365.7</v>
      </c>
    </row>
    <row r="14" spans="2:6">
      <c r="B14" s="33">
        <v>2210</v>
      </c>
      <c r="C14" s="2">
        <v>425.3</v>
      </c>
    </row>
    <row r="15" spans="2:6">
      <c r="B15" s="33">
        <v>1480</v>
      </c>
      <c r="C15" s="33">
        <v>268.8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Pregunta 1</vt:lpstr>
      <vt:lpstr>Pregunta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SALVADOR GARCIA GONZALEZ</cp:lastModifiedBy>
  <dcterms:created xsi:type="dcterms:W3CDTF">2022-08-01T16:40:52Z</dcterms:created>
  <dcterms:modified xsi:type="dcterms:W3CDTF">2022-08-03T23:30:33Z</dcterms:modified>
</cp:coreProperties>
</file>