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Ex2.xml" ContentType="application/vnd.ms-office.chartex+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EXCEL PROJECT\"/>
    </mc:Choice>
  </mc:AlternateContent>
  <bookViews>
    <workbookView xWindow="0" yWindow="0" windowWidth="20490" windowHeight="7620" tabRatio="621" activeTab="4"/>
  </bookViews>
  <sheets>
    <sheet name="Master Data" sheetId="1" r:id="rId1"/>
    <sheet name="Input Data" sheetId="2" r:id="rId2"/>
    <sheet name="Sheet1" sheetId="7" r:id="rId3"/>
    <sheet name="Pivot Table" sheetId="5" r:id="rId4"/>
    <sheet name="Dashboard" sheetId="8" r:id="rId5"/>
  </sheets>
  <definedNames>
    <definedName name="_xlchart.v1.0" hidden="1">'Pivot Table'!$AG$3:$AG$7</definedName>
    <definedName name="_xlchart.v1.1" hidden="1">'Pivot Table'!$AH$3:$AH$7</definedName>
    <definedName name="_xlchart.v1.2" hidden="1">'Pivot Table'!$AG$3:$AG$7</definedName>
    <definedName name="_xlchart.v1.3" hidden="1">'Pivot Table'!$AH$3:$AH$7</definedName>
    <definedName name="Category">OFFSET(#REF!,1,0,COUNT(#REF!))</definedName>
    <definedName name="Category01">OFFSET('Pivot Table'!XFA1048576,0,0)</definedName>
    <definedName name="CategoryRange">OFFSET('Pivot Table'!XFA1,0,0)</definedName>
    <definedName name="Slicer_MONTH">#N/A</definedName>
    <definedName name="Slicer_PAYMENT_MODE">#N/A</definedName>
    <definedName name="Slicer_SALE_TYPE">#N/A</definedName>
    <definedName name="Slicer_YEA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 i="5" l="1"/>
  <c r="AG3" i="5"/>
  <c r="AH4" i="5"/>
  <c r="AH5" i="5"/>
  <c r="AH6" i="5"/>
  <c r="AH7" i="5"/>
  <c r="AF7" i="5" s="1"/>
  <c r="AG4" i="5"/>
  <c r="AG5" i="5"/>
  <c r="AG6" i="5"/>
  <c r="AG7" i="5"/>
  <c r="Y5" i="5"/>
  <c r="Y7" i="5"/>
  <c r="Z20" i="5"/>
  <c r="Z18" i="5"/>
  <c r="Z16" i="5"/>
  <c r="Z14" i="5"/>
  <c r="Y4" i="5"/>
  <c r="Y13" i="5"/>
  <c r="Y14" i="5"/>
  <c r="Y15" i="5"/>
  <c r="Y16" i="5"/>
  <c r="Y17" i="5"/>
  <c r="Y18" i="5"/>
  <c r="Y19" i="5"/>
  <c r="Y20" i="5"/>
  <c r="Y21" i="5"/>
  <c r="Y22" i="5"/>
  <c r="Y23" i="5"/>
  <c r="Y12" i="5"/>
  <c r="Y11" i="5"/>
  <c r="Y6" i="5"/>
  <c r="Y8" i="5"/>
  <c r="Y9" i="5"/>
  <c r="Y10" i="5"/>
  <c r="U4" i="5"/>
  <c r="E5" i="5"/>
  <c r="Z8" i="5"/>
  <c r="Z6" i="5"/>
  <c r="Z4" i="5"/>
  <c r="AF5" i="5" l="1"/>
  <c r="AF6" i="5"/>
  <c r="AF4" i="5"/>
  <c r="AF3" i="5"/>
  <c r="AH1" i="5" s="1"/>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V46" i="5"/>
  <c r="W40" i="5"/>
  <c r="V54" i="5"/>
  <c r="V72" i="5"/>
  <c r="W62" i="5"/>
  <c r="V44" i="5"/>
  <c r="V24" i="5"/>
  <c r="W22" i="5"/>
  <c r="W14" i="5"/>
  <c r="W58" i="5"/>
  <c r="W54" i="5"/>
  <c r="V30" i="5"/>
  <c r="V84" i="5"/>
  <c r="W80" i="5"/>
  <c r="W82" i="5"/>
  <c r="V48" i="5"/>
  <c r="W28" i="5"/>
  <c r="W56" i="5"/>
  <c r="V90" i="5"/>
  <c r="W42" i="5"/>
  <c r="W48" i="5"/>
  <c r="V78" i="5"/>
  <c r="V66" i="5"/>
  <c r="W44" i="5"/>
  <c r="W8" i="5"/>
  <c r="W30" i="5"/>
  <c r="V8" i="5"/>
  <c r="V6" i="5"/>
  <c r="W60" i="5"/>
  <c r="W72" i="5"/>
  <c r="V28" i="5"/>
  <c r="V62" i="5"/>
  <c r="W84" i="5"/>
  <c r="W12" i="5"/>
  <c r="V12" i="5"/>
  <c r="W26" i="5"/>
  <c r="W4" i="5"/>
  <c r="W16" i="5"/>
  <c r="V86" i="5"/>
  <c r="V58" i="5"/>
  <c r="W50" i="5"/>
  <c r="W38" i="5"/>
  <c r="V4" i="5"/>
  <c r="V88" i="5"/>
  <c r="W68" i="5"/>
  <c r="W86" i="5"/>
  <c r="W78" i="5"/>
  <c r="W34" i="5"/>
  <c r="V70" i="5"/>
  <c r="V36" i="5"/>
  <c r="V34" i="5"/>
  <c r="V80" i="5"/>
  <c r="V22" i="5"/>
  <c r="V56" i="5"/>
  <c r="W66" i="5"/>
  <c r="W70" i="5"/>
  <c r="V76" i="5"/>
  <c r="W32" i="5"/>
  <c r="V32" i="5"/>
  <c r="W64" i="5"/>
  <c r="W74" i="5"/>
  <c r="V42" i="5"/>
  <c r="V82" i="5"/>
  <c r="W24" i="5"/>
  <c r="V26" i="5"/>
  <c r="W46" i="5"/>
  <c r="W10" i="5"/>
  <c r="V64" i="5"/>
  <c r="W18" i="5"/>
  <c r="V60" i="5"/>
  <c r="V74" i="5"/>
  <c r="V38" i="5"/>
  <c r="V68" i="5"/>
  <c r="W76" i="5"/>
  <c r="W52" i="5"/>
  <c r="V52" i="5"/>
  <c r="W6" i="5"/>
  <c r="W36" i="5"/>
  <c r="V40" i="5"/>
  <c r="W90" i="5"/>
  <c r="W20" i="5"/>
  <c r="V50" i="5"/>
  <c r="W88" i="5"/>
  <c r="V10" i="5"/>
  <c r="AG1" i="5" l="1"/>
  <c r="Z22" i="5"/>
  <c r="T22" i="5"/>
  <c r="T14" i="5"/>
  <c r="T20" i="5"/>
  <c r="T18" i="5"/>
  <c r="T16" i="5"/>
  <c r="T38" i="5"/>
  <c r="T62" i="5"/>
  <c r="T8" i="5"/>
  <c r="T32" i="5"/>
  <c r="T48" i="5"/>
  <c r="T72" i="5"/>
  <c r="Z10" i="5"/>
  <c r="T10" i="5"/>
  <c r="T26" i="5"/>
  <c r="T34" i="5"/>
  <c r="T42" i="5"/>
  <c r="T50" i="5"/>
  <c r="T58" i="5"/>
  <c r="T66" i="5"/>
  <c r="T74" i="5"/>
  <c r="T82" i="5"/>
  <c r="T90" i="5"/>
  <c r="T6" i="5"/>
  <c r="T30" i="5"/>
  <c r="T46" i="5"/>
  <c r="T54" i="5"/>
  <c r="T70" i="5"/>
  <c r="T78" i="5"/>
  <c r="T86" i="5"/>
  <c r="T24" i="5"/>
  <c r="T40" i="5"/>
  <c r="T56" i="5"/>
  <c r="T64" i="5"/>
  <c r="T80" i="5"/>
  <c r="T88" i="5"/>
  <c r="T4" i="5"/>
  <c r="Z12" i="5"/>
  <c r="T12" i="5"/>
  <c r="T28" i="5"/>
  <c r="T36" i="5"/>
  <c r="T44" i="5"/>
  <c r="T52" i="5"/>
  <c r="T60" i="5"/>
  <c r="T68" i="5"/>
  <c r="T76" i="5"/>
  <c r="T84" i="5"/>
  <c r="H3" i="5"/>
  <c r="H4" i="5"/>
  <c r="H5" i="5"/>
  <c r="H6" i="5"/>
  <c r="H7" i="5"/>
  <c r="H8" i="5"/>
  <c r="H9" i="5"/>
  <c r="H10" i="5"/>
  <c r="H11" i="5"/>
  <c r="H12" i="5"/>
  <c r="H13" i="5"/>
  <c r="H14" i="5"/>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342" i="2"/>
  <c r="L70" i="2"/>
  <c r="L202" i="2"/>
  <c r="L330"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I11" i="5"/>
  <c r="I13" i="5"/>
  <c r="E6" i="5"/>
  <c r="I9" i="5"/>
  <c r="I5" i="5"/>
  <c r="I7" i="5"/>
  <c r="I4" i="5"/>
  <c r="I12" i="5"/>
  <c r="I6" i="5"/>
  <c r="I10" i="5"/>
  <c r="I8" i="5"/>
  <c r="I3" i="5"/>
  <c r="I14" i="5"/>
  <c r="U1" i="5" l="1"/>
  <c r="W1" i="5"/>
  <c r="V1" i="5"/>
  <c r="J3" i="5"/>
  <c r="J7" i="5"/>
  <c r="J11" i="5"/>
  <c r="J4" i="5"/>
  <c r="J8" i="5"/>
  <c r="J12" i="5"/>
  <c r="J5" i="5"/>
  <c r="J9" i="5"/>
  <c r="J13" i="5"/>
  <c r="J6" i="5"/>
  <c r="J10" i="5"/>
  <c r="J14" i="5"/>
  <c r="E7" i="5"/>
</calcChain>
</file>

<file path=xl/sharedStrings.xml><?xml version="1.0" encoding="utf-8"?>
<sst xmlns="http://schemas.openxmlformats.org/spreadsheetml/2006/main" count="3926" uniqueCount="146">
  <si>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</si>
  <si>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</si>
  <si>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</si>
  <si>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</si>
  <si>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</si>
  <si>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</si>
  <si>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</si>
  <si>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</si>
  <si>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</si>
  <si>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</si>
  <si>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</si>
  <si>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</si>
  <si>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</si>
  <si>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</si>
  <si>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</si>
  <si>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</si>
  <si>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</si>
  <si>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</si>
  <si>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</si>
  <si>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</si>
  <si>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</si>
  <si>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</si>
  <si>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</si>
  <si>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</si>
  <si>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</si>
  <si>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</si>
  <si>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</si>
  <si>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</si>
  <si>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</si>
  <si>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</si>
  <si>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</si>
  <si>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</si>
  <si>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</si>
  <si>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</si>
  <si>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</si>
  <si>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</si>
  <si>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</si>
  <si>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</si>
  <si>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</si>
  <si>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</si>
  <si>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</si>
  <si>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</si>
  <si>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</si>
  <si>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</si>
  <si>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</si>
  <si>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</si>
  <si>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</si>
  <si>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</si>
  <si>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</si>
  <si>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</si>
  <si>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</si>
  <si>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</si>
  <si>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</si>
  <si>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</si>
  <si>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</si>
  <si>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</si>
  <si>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</si>
  <si>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</si>
  <si>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</si>
  <si>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</si>
  <si>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</si>
  <si>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</si>
  <si>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</si>
  <si>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</si>
  <si>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</si>
  <si>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</si>
  <si>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</si>
  <si>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</si>
  <si>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</si>
  <si>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</si>
  <si>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</si>
  <si>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</si>
  <si>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</si>
  <si>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</si>
  <si>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</si>
  <si>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</si>
  <si>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</si>
  <si>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</si>
  <si>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</si>
  <si>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</si>
  <si>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</si>
  <si>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</si>
  <si>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</si>
  <si>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</si>
  <si>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</si>
  <si>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</si>
  <si>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</si>
  <si>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</si>
  <si>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</si>
  <si>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</si>
  <si>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</si>
  <si>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</si>
  <si>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</si>
  <si>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</si>
  <si>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</si>
  <si>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</si>
  <si>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</si>
  <si>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</si>
  <si>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</si>
  <si>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</si>
  <si>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</si>
  <si>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</si>
  <si>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</si>
  <si>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</si>
  <si>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</si>
  <si>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</si>
  <si>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</si>
  <si>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</si>
  <si>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</si>
  <si>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</si>
  <si>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</si>
  <si>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</si>
  <si>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</si>
  <si>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</si>
  <si>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</si>
  <si>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</si>
  <si>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</si>
  <si>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</si>
  <si>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</si>
  <si>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</si>
  <si>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Jan</t>
  </si>
  <si>
    <t>Feb</t>
  </si>
  <si>
    <t>Mar</t>
  </si>
  <si>
    <t>Apr</t>
  </si>
  <si>
    <t>May</t>
  </si>
  <si>
    <t>Jun</t>
  </si>
  <si>
    <t>Jul</t>
  </si>
  <si>
    <t>Aug</t>
  </si>
  <si>
    <t>Sep</t>
  </si>
  <si>
    <t>Oct</t>
  </si>
  <si>
    <t>Nov</t>
  </si>
  <si>
    <t>Dec</t>
  </si>
  <si>
    <t>Sum of TOTAL SELLING VALUE</t>
  </si>
  <si>
    <t>Sum of TOTAL BUYING VALUE</t>
  </si>
  <si>
    <t>Month</t>
  </si>
  <si>
    <t>Year</t>
  </si>
  <si>
    <t>Sum of QUANTITY</t>
  </si>
  <si>
    <t>Sale Type</t>
  </si>
  <si>
    <t>Category</t>
  </si>
  <si>
    <t>Payment Mode</t>
  </si>
  <si>
    <t>Total Sales</t>
  </si>
  <si>
    <t>Total Profit</t>
  </si>
  <si>
    <t>Profit %</t>
  </si>
  <si>
    <t>Monthly</t>
  </si>
  <si>
    <t>Profit</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</si>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</sst>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0.00"/>
  </numFmts>
  <fonts count="4" x14ac:knownFonts="1">
    <font>
      <sz val="11"/>
      <color theme="1"/>
      <name val="Gill Sans MT"/>
      <family val="2"/>
      <scheme val="minor"/>
    </font>
    <font>
      <b/>
      <sz val="11"/>
      <color rgb="FF7030A0"/>
      <name val="Gill Sans MT"/>
      <family val="2"/>
      <scheme val="minor"/>
    </font>
    <font>
      <b/>
      <sz val="11"/>
      <color rgb="FF7030A0"/>
      <name val="Gill Sans MT"/>
      <scheme val="minor"/>
    </font>
    <font>
      <sz val="11"/>
      <color theme="1"/>
      <name val="Gill Sans MT"/>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2"/>
        <bgColor indexed="64"/>
      </patternFill>
    </fill>
  </fills>
  <borders count="3">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3">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2" fillId="4" borderId="1" xfId="0" applyFont="1" applyFill="1" applyBorder="1" applyAlignment="1">
      <alignment horizontal="center" vertical="center"/>
    </xf>
    <xf numFmtId="0" fontId="0" fillId="0" borderId="0" xfId="0" applyNumberFormat="1"/>
    <xf numFmtId="165" fontId="2"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6" borderId="2" xfId="0" applyFill="1" applyBorder="1"/>
    <xf numFmtId="0" fontId="0" fillId="6" borderId="2" xfId="0" applyFill="1" applyBorder="1" applyAlignment="1">
      <alignment horizontal="left"/>
    </xf>
    <xf numFmtId="165" fontId="0" fillId="6" borderId="2" xfId="0" applyNumberFormat="1" applyFill="1" applyBorder="1"/>
    <xf numFmtId="9" fontId="0" fillId="6" borderId="2" xfId="1" applyFont="1" applyFill="1" applyBorder="1"/>
    <xf numFmtId="14" fontId="0" fillId="0" borderId="0" xfId="0" applyNumberFormat="1"/>
  </cellXfs>
  <cellStyles count="2">
    <cellStyle name="Normal" xfId="0" builtinId="0"/>
    <cellStyle name="Percent" xfId="1" builtinId="5"/>
  </cellStyles>
  <dxfs count="45">
    <dxf>
      <numFmt numFmtId="165" formatCode="[$$-409]#,##0.00"/>
    </dxf>
    <dxf>
      <numFmt numFmtId="165" formatCode="[$$-409]#,##0.00"/>
    </dxf>
    <dxf>
      <numFmt numFmtId="165" formatCode="[$$-409]#,##0.00"/>
    </dxf>
    <dxf>
      <numFmt numFmtId="165" formatCode="[$$-409]#,##0.00"/>
    </dxf>
    <dxf>
      <numFmt numFmtId="165" formatCode="[$$-409]#,##0.00"/>
    </dxf>
    <dxf>
      <numFmt numFmtId="19" formatCode="dd/mm/yyyy"/>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Gill Sans MT"/>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Gill Sans MT"/>
        <scheme val="minor"/>
      </font>
      <fill>
        <patternFill patternType="solid">
          <fgColor indexed="64"/>
          <bgColor rgb="FFE1CCF0"/>
        </patternFill>
      </fill>
      <alignment horizontal="center" vertical="center" textRotation="0" wrapText="0" indent="0" justifyLastLine="0" shrinkToFit="0" readingOrder="0"/>
    </dxf>
    <dxf>
      <font>
        <b/>
        <i val="0"/>
        <sz val="12"/>
        <color theme="0"/>
      </font>
    </dxf>
    <dxf>
      <fill>
        <patternFill>
          <bgColor theme="0" tint="-0.499984740745262"/>
        </patternFill>
      </fill>
      <border diagonalUp="0" diagonalDown="0">
        <left/>
        <right/>
        <top/>
        <bottom/>
        <vertical/>
        <horizontal/>
      </border>
    </dxf>
    <dxf>
      <fill>
        <patternFill>
          <bgColor theme="3" tint="0.39994506668294322"/>
        </patternFill>
      </fill>
    </dxf>
    <dxf>
      <fill>
        <patternFill>
          <bgColor theme="0"/>
        </patternFill>
      </fill>
    </dxf>
    <dxf>
      <fill>
        <patternFill>
          <bgColor theme="0"/>
        </patternFill>
      </fill>
    </dxf>
    <dxf>
      <fill>
        <patternFill>
          <bgColor theme="0"/>
        </patternFill>
      </fill>
    </dxf>
    <dxf>
      <fill>
        <gradientFill degree="90">
          <stop position="0">
            <color theme="0"/>
          </stop>
          <stop position="1">
            <color theme="3" tint="0.59999389629810485"/>
          </stop>
        </gradientFill>
      </fill>
    </dxf>
    <dxf>
      <fill>
        <patternFill patternType="none">
          <bgColor auto="1"/>
        </patternFill>
      </fill>
    </dxf>
    <dxf>
      <font>
        <color theme="4" tint="0.499984740745262"/>
      </font>
      <fill>
        <gradientFill degree="90">
          <stop position="0">
            <color theme="0" tint="-0.49803155613879818"/>
          </stop>
          <stop position="1">
            <color theme="2" tint="-0.74901577806939912"/>
          </stop>
        </gradientFill>
      </fill>
    </dxf>
    <dxf>
      <font>
        <color theme="0"/>
        <name val="Calibri"/>
        <scheme val="none"/>
      </font>
      <fill>
        <gradientFill degree="90">
          <stop position="0">
            <color theme="0" tint="-0.34900967436750391"/>
          </stop>
          <stop position="1">
            <color theme="2" tint="-0.74901577806939912"/>
          </stop>
        </gradient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0" defaultTableStyle="TableStyleMedium2" defaultPivotStyle="PivotStyleLight16">
    <tableStyle name="SLICER" pivot="0" table="0" count="10">
      <tableStyleElement type="wholeTable" dxfId="44"/>
      <tableStyleElement type="headerRow" dxfId="43"/>
    </tableStyle>
    <tableStyle name="Slicer Style 1" pivot="0" table="0" count="3">
      <tableStyleElement type="wholeTable" dxfId="42"/>
      <tableStyleElement type="headerRow" dxfId="41"/>
    </tableStyle>
    <tableStyle name="Slicer Style 2" pivot="0" table="0" count="1">
      <tableStyleElement type="wholeTable" dxfId="40"/>
    </tableStyle>
    <tableStyle name="Slicer Style 3" pivot="0" table="0" count="1">
      <tableStyleElement type="wholeTable" dxfId="39"/>
    </tableStyle>
    <tableStyle name="Slicer Style 4" pivot="0" table="0" count="1">
      <tableStyleElement type="headerRow" dxfId="38"/>
    </tableStyle>
    <tableStyle name="Slicer Style 5" pivot="0" table="0" count="1">
      <tableStyleElement type="headerRow" dxfId="37"/>
    </tableStyle>
    <tableStyle name="Slicer Style 6" pivot="0" table="0" count="1">
      <tableStyleElement type="headerRow" dxfId="36"/>
    </tableStyle>
    <tableStyle name="Slicer Style 7" pivot="0" table="0" count="1"/>
    <tableStyle name="Slicer Style 8" pivot="0" table="0" count="1">
      <tableStyleElement type="wholeTable" dxfId="35"/>
    </tableStyle>
    <tableStyle name="Slicer1" pivot="0" table="0" count="4">
      <tableStyleElement type="wholeTable" dxfId="34"/>
      <tableStyleElement type="headerRow" dxfId="33"/>
    </tableStyle>
  </tableStyles>
  <extLst>
    <ext xmlns:x14="http://schemas.microsoft.com/office/spreadsheetml/2009/9/main" uri="{46F421CA-312F-682f-3DD2-61675219B42D}">
      <x14:dxfs count="12">
        <dxf>
          <fill>
            <gradientFill degree="90">
              <stop position="0">
                <color theme="0" tint="-0.34900967436750391"/>
              </stop>
              <stop position="1">
                <color theme="2" tint="-0.74901577806939912"/>
              </stop>
            </gradientFill>
          </fill>
        </dxf>
        <dxf>
          <fill>
            <patternFill>
              <bgColor theme="4" tint="0.499984740745262"/>
            </patternFill>
          </fill>
        </dxf>
        <dxf>
          <fill>
            <patternFill>
              <bgColor theme="3" tint="0.39994506668294322"/>
            </patternFill>
          </fill>
        </dxf>
        <dxf>
          <fill>
            <patternFill>
              <bgColor theme="4" tint="0.49998474074526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 name="Slicer Style 1">
          <x14:slicerStyleElements>
            <x14:slicerStyleElement type="selectedItemWithData" dxfId="3"/>
          </x14:slicerStyleElements>
        </x14:slicerStyle>
        <x14:slicerStyle name="Slicer Style 2"/>
        <x14:slicerStyle name="Slicer Style 3"/>
        <x14:slicerStyle name="Slicer Style 4"/>
        <x14:slicerStyle name="Slicer Style 5"/>
        <x14:slicerStyle name="Slicer Style 6"/>
        <x14:slicerStyle name="Slicer Style 7">
          <x14:slicerStyleElements>
            <x14:slicerStyleElement type="selectedItemWithData" dxfId="2"/>
          </x14:slicerStyleElements>
        </x14:slicerStyle>
        <x14:slicerStyle name="Slicer Style 8"/>
        <x14:slicerStyle name="Slicer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[Advanced-Sales-Dashboard-practice-file - Sayali.xlsx]Pivot Table!Daily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 Table'!$B$2</c:f>
              <c:strCache>
                <c:ptCount val="1"/>
                <c:pt idx="0">
                  <c:v>Total</c:v>
                </c:pt>
              </c:strCache>
            </c:strRef>
          </c:tx>
          <c:spPr>
            <a:solidFill>
              <a:schemeClr val="accent1"/>
            </a:solidFill>
            <a:ln>
              <a:noFill/>
            </a:ln>
            <a:effectLst/>
          </c:spPr>
          <c:cat>
            <c:strRef>
              <c:f>'Pivot Table'!$A$3:$A$33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780-4070-8EC0-DB64EADA4AB0}"/>
            </c:ext>
          </c:extLst>
        </c:ser>
        <c:dLbls>
          <c:showLegendKey val="0"/>
          <c:showVal val="0"/>
          <c:showCatName val="0"/>
          <c:showSerName val="0"/>
          <c:showPercent val="0"/>
          <c:showBubbleSize val="0"/>
        </c:dLbls>
        <c:axId val="444041856"/>
        <c:axId val="444045792"/>
      </c:areaChart>
      <c:catAx>
        <c:axId val="44404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45792"/>
        <c:crosses val="autoZero"/>
        <c:auto val="1"/>
        <c:lblAlgn val="ctr"/>
        <c:lblOffset val="100"/>
        <c:noMultiLvlLbl val="0"/>
      </c:catAx>
      <c:valAx>
        <c:axId val="444045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4185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clustered"/>
        <c:varyColors val="0"/>
        <c:ser>
          <c:idx val="0"/>
          <c:order val="0"/>
          <c:spPr>
            <a:solidFill>
              <a:schemeClr val="accent1"/>
            </a:solidFill>
            <a:ln>
              <a:noFill/>
            </a:ln>
            <a:effectLst/>
          </c:spPr>
          <c:invertIfNegative val="0"/>
          <c:cat>
            <c:strRef>
              <c:f>'Pivot Table'!$Y$4:$Y$23</c:f>
              <c:strCache>
                <c:ptCount val="20"/>
                <c:pt idx="0">
                  <c:v>Product01</c:v>
                </c:pt>
                <c:pt idx="1">
                  <c:v>Kg</c:v>
                </c:pt>
                <c:pt idx="2">
                  <c:v>Product02</c:v>
                </c:pt>
                <c:pt idx="3">
                  <c:v>Kg</c:v>
                </c:pt>
                <c:pt idx="4">
                  <c:v>Product03</c:v>
                </c:pt>
                <c:pt idx="5">
                  <c:v>Kg</c:v>
                </c:pt>
                <c:pt idx="6">
                  <c:v>Product04</c:v>
                </c:pt>
                <c:pt idx="7">
                  <c:v>Lt</c:v>
                </c:pt>
                <c:pt idx="8">
                  <c:v>Product05</c:v>
                </c:pt>
                <c:pt idx="9">
                  <c:v>Ft</c:v>
                </c:pt>
                <c:pt idx="10">
                  <c:v>Product06</c:v>
                </c:pt>
                <c:pt idx="11">
                  <c:v>Kg</c:v>
                </c:pt>
                <c:pt idx="12">
                  <c:v>Product07</c:v>
                </c:pt>
                <c:pt idx="13">
                  <c:v>Lt</c:v>
                </c:pt>
                <c:pt idx="14">
                  <c:v>Product08</c:v>
                </c:pt>
                <c:pt idx="15">
                  <c:v>Kg</c:v>
                </c:pt>
                <c:pt idx="16">
                  <c:v>Product09</c:v>
                </c:pt>
                <c:pt idx="17">
                  <c:v>No.</c:v>
                </c:pt>
                <c:pt idx="18">
                  <c:v>Product10</c:v>
                </c:pt>
                <c:pt idx="19">
                  <c:v>Ft</c:v>
                </c:pt>
              </c:strCache>
            </c:strRef>
          </c:cat>
          <c:val>
            <c:numRef>
              <c:f>'Pivot Table'!$Z$4:$Z$23</c:f>
              <c:numCache>
                <c:formatCode>[$$-409]#,##0.00</c:formatCode>
                <c:ptCount val="20"/>
                <c:pt idx="0">
                  <c:v>9764.7199999999993</c:v>
                </c:pt>
                <c:pt idx="2">
                  <c:v>13423.199999999999</c:v>
                </c:pt>
                <c:pt idx="4">
                  <c:v>6394.2599999999993</c:v>
                </c:pt>
                <c:pt idx="6">
                  <c:v>6056.1600000000008</c:v>
                </c:pt>
                <c:pt idx="8">
                  <c:v>15716.61</c:v>
                </c:pt>
                <c:pt idx="10">
                  <c:v>4531.5</c:v>
                </c:pt>
                <c:pt idx="12">
                  <c:v>2291.04</c:v>
                </c:pt>
                <c:pt idx="14">
                  <c:v>10502.82</c:v>
                </c:pt>
                <c:pt idx="16">
                  <c:v>581.64</c:v>
                </c:pt>
                <c:pt idx="18">
                  <c:v>16428</c:v>
                </c:pt>
              </c:numCache>
            </c:numRef>
          </c:val>
          <c:extLst>
            <c:ext xmlns:c16="http://schemas.microsoft.com/office/drawing/2014/chart" uri="{C3380CC4-5D6E-409C-BE32-E72D297353CC}">
              <c16:uniqueId val="{00000000-A1AF-4AA2-A3C7-E5B9E8E7CF72}"/>
            </c:ext>
          </c:extLst>
        </c:ser>
        <c:dLbls>
          <c:showLegendKey val="0"/>
          <c:showVal val="0"/>
          <c:showCatName val="0"/>
          <c:showSerName val="0"/>
          <c:showPercent val="0"/>
          <c:showBubbleSize val="0"/>
        </c:dLbls>
        <c:gapWidth val="182"/>
        <c:axId val="448579752"/>
        <c:axId val="448572208"/>
      </c:barChart>
      <c:catAx>
        <c:axId val="448579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572208"/>
        <c:crosses val="autoZero"/>
        <c:auto val="1"/>
        <c:lblAlgn val="ctr"/>
        <c:lblOffset val="100"/>
        <c:noMultiLvlLbl val="0"/>
      </c:catAx>
      <c:valAx>
        <c:axId val="448572208"/>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579752"/>
        <c:crosses val="autoZero"/>
        <c:crossBetween val="between"/>
      </c:valAx>
      <c:spPr>
        <a:noFill/>
        <a:ln>
          <a:noFill/>
        </a:ln>
        <a:effectLst/>
      </c:spPr>
    </c:plotArea>
    <c:plotVisOnly val="1"/>
    <c:dispBlanksAs val="gap"/>
    <c:showDLblsOverMax val="0"/>
  </c:chart>
  <c:spPr>
    <a:solidFill>
      <a:sysClr val="window" lastClr="FFFFFF">
        <a:lumMod val="50000"/>
      </a:sys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297088953007561"/>
          <c:y val="7.7543210324515902E-2"/>
          <c:w val="0.75447502946429212"/>
          <c:h val="0.7982403084570181"/>
        </c:manualLayout>
      </c:layout>
      <c:barChart>
        <c:barDir val="col"/>
        <c:grouping val="stacked"/>
        <c:varyColors val="0"/>
        <c:ser>
          <c:idx val="0"/>
          <c:order val="0"/>
          <c:tx>
            <c:strRef>
              <c:f>'Pivot Table'!$H$2</c:f>
              <c:strCache>
                <c:ptCount val="1"/>
                <c:pt idx="0">
                  <c:v>Sales</c:v>
                </c:pt>
              </c:strCache>
            </c:strRef>
          </c:tx>
          <c:spPr>
            <a:solidFill>
              <a:schemeClr val="accent1"/>
            </a:solidFill>
            <a:ln>
              <a:noFill/>
            </a:ln>
            <a:effectLst/>
          </c:spPr>
          <c:invertIfNegative val="0"/>
          <c:dPt>
            <c:idx val="7"/>
            <c:invertIfNegative val="0"/>
            <c:bubble3D val="0"/>
            <c:spPr>
              <a:solidFill>
                <a:schemeClr val="accent1"/>
              </a:solidFill>
              <a:ln>
                <a:noFill/>
              </a:ln>
              <a:effectLst/>
            </c:spPr>
            <c:extLst>
              <c:ext xmlns:c16="http://schemas.microsoft.com/office/drawing/2014/chart" uri="{C3380CC4-5D6E-409C-BE32-E72D297353CC}">
                <c16:uniqueId val="{00000002-5C60-4141-9CF9-0B362BDE1234}"/>
              </c:ext>
            </c:extLst>
          </c:dPt>
          <c:dLbls>
            <c:dLbl>
              <c:idx val="0"/>
              <c:layout/>
              <c:tx>
                <c:rich>
                  <a:bodyPr/>
                  <a:lstStyle/>
                  <a:p>
                    <a:fld id="{04C2F41F-EBE1-4224-8541-98CDEE25281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5C60-4141-9CF9-0B362BDE1234}"/>
                </c:ext>
              </c:extLst>
            </c:dLbl>
            <c:dLbl>
              <c:idx val="1"/>
              <c:layout/>
              <c:tx>
                <c:rich>
                  <a:bodyPr/>
                  <a:lstStyle/>
                  <a:p>
                    <a:fld id="{27D5813A-98E2-4B5A-A096-85311E2AF87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5C60-4141-9CF9-0B362BDE1234}"/>
                </c:ext>
              </c:extLst>
            </c:dLbl>
            <c:dLbl>
              <c:idx val="2"/>
              <c:layout/>
              <c:tx>
                <c:rich>
                  <a:bodyPr/>
                  <a:lstStyle/>
                  <a:p>
                    <a:fld id="{8DFEB41B-074B-4AEE-BFE1-503B066586B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C60-4141-9CF9-0B362BDE1234}"/>
                </c:ext>
              </c:extLst>
            </c:dLbl>
            <c:dLbl>
              <c:idx val="3"/>
              <c:layout/>
              <c:tx>
                <c:rich>
                  <a:bodyPr/>
                  <a:lstStyle/>
                  <a:p>
                    <a:fld id="{38BC6EC3-304A-47E3-8842-6297E0B5813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5C60-4141-9CF9-0B362BDE1234}"/>
                </c:ext>
              </c:extLst>
            </c:dLbl>
            <c:dLbl>
              <c:idx val="4"/>
              <c:layout/>
              <c:tx>
                <c:rich>
                  <a:bodyPr/>
                  <a:lstStyle/>
                  <a:p>
                    <a:fld id="{03CA8DE1-FCDB-4D89-B6D7-A59ECAFB8B9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5C60-4141-9CF9-0B362BDE1234}"/>
                </c:ext>
              </c:extLst>
            </c:dLbl>
            <c:dLbl>
              <c:idx val="5"/>
              <c:layout/>
              <c:tx>
                <c:rich>
                  <a:bodyPr/>
                  <a:lstStyle/>
                  <a:p>
                    <a:fld id="{E09E0197-9569-4064-AA23-D9C76886F15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5C60-4141-9CF9-0B362BDE1234}"/>
                </c:ext>
              </c:extLst>
            </c:dLbl>
            <c:dLbl>
              <c:idx val="6"/>
              <c:layout/>
              <c:tx>
                <c:rich>
                  <a:bodyPr/>
                  <a:lstStyle/>
                  <a:p>
                    <a:fld id="{6E1BA1DE-F109-4852-B1FD-0FA6B7F336E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5C60-4141-9CF9-0B362BDE1234}"/>
                </c:ext>
              </c:extLst>
            </c:dLbl>
            <c:dLbl>
              <c:idx val="7"/>
              <c:layout/>
              <c:tx>
                <c:rich>
                  <a:bodyPr/>
                  <a:lstStyle/>
                  <a:p>
                    <a:fld id="{E9EC8BCD-5D5A-42F2-824A-2F537496A4D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5C60-4141-9CF9-0B362BDE1234}"/>
                </c:ext>
              </c:extLst>
            </c:dLbl>
            <c:dLbl>
              <c:idx val="8"/>
              <c:layout/>
              <c:tx>
                <c:rich>
                  <a:bodyPr/>
                  <a:lstStyle/>
                  <a:p>
                    <a:fld id="{47193734-877E-47E4-967A-52A00F7CDA7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5C60-4141-9CF9-0B362BDE1234}"/>
                </c:ext>
              </c:extLst>
            </c:dLbl>
            <c:dLbl>
              <c:idx val="9"/>
              <c:layout/>
              <c:tx>
                <c:rich>
                  <a:bodyPr/>
                  <a:lstStyle/>
                  <a:p>
                    <a:fld id="{A74F3F52-2A75-4459-92A9-3BD236C621B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5C60-4141-9CF9-0B362BDE1234}"/>
                </c:ext>
              </c:extLst>
            </c:dLbl>
            <c:dLbl>
              <c:idx val="10"/>
              <c:layout/>
              <c:tx>
                <c:rich>
                  <a:bodyPr/>
                  <a:lstStyle/>
                  <a:p>
                    <a:fld id="{D4BAAA86-274A-4BC0-883C-13A4BDC10C2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5C60-4141-9CF9-0B362BDE1234}"/>
                </c:ext>
              </c:extLst>
            </c:dLbl>
            <c:dLbl>
              <c:idx val="11"/>
              <c:layout/>
              <c:tx>
                <c:rich>
                  <a:bodyPr/>
                  <a:lstStyle/>
                  <a:p>
                    <a:fld id="{66606406-250D-4C62-A1BD-5EF42A0F387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5C60-4141-9CF9-0B362BDE1234}"/>
                </c:ext>
              </c:extLst>
            </c:dLbl>
            <c:spPr>
              <a:noFill/>
              <a:ln>
                <a:noFill/>
              </a:ln>
              <a:effectLst/>
            </c:spPr>
            <c:txPr>
              <a:bodyPr rot="0" spcFirstLastPara="1" vertOverflow="ellipsis" vert="horz" wrap="square" lIns="38100" tIns="19050" rIns="38100" bIns="19050" anchor="ctr" anchorCtr="1">
                <a:spAutoFit/>
              </a:bodyPr>
              <a:lstStyle/>
              <a:p>
                <a:pPr>
                  <a:defRPr sz="850" b="0" i="1" u="none" strike="noStrike" kern="1200" baseline="0">
                    <a:solidFill>
                      <a:schemeClr val="accent5">
                        <a:lumMod val="25000"/>
                        <a:lumOff val="75000"/>
                      </a:schemeClr>
                    </a:solidFill>
                    <a:latin typeface="Arial" panose="020B06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Table'!$H$3:$H$14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'Pivot Table'!$J$3:$J$14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5C60-4141-9CF9-0B362BDE1234}"/>
            </c:ext>
          </c:extLst>
        </c:ser>
        <c:ser>
          <c:idx val="1"/>
          <c:order val="1"/>
          <c:tx>
            <c:strRef>
              <c:f>'Pivot Table'!$I$2</c:f>
              <c:strCache>
                <c:ptCount val="1"/>
                <c:pt idx="0">
                  <c:v>Profit</c:v>
                </c:pt>
              </c:strCache>
            </c:strRef>
          </c:tx>
          <c:spPr>
            <a:solidFill>
              <a:schemeClr val="accent2"/>
            </a:solidFill>
            <a:ln>
              <a:noFill/>
            </a:ln>
            <a:effectLst/>
          </c:spPr>
          <c:invertIfNegative val="0"/>
          <c:cat>
            <c:strRef>
              <c:f>'Pivot Table'!$G$3:$G$14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Table'!$I$3:$I$14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5C60-4141-9CF9-0B362BDE1234}"/>
            </c:ext>
          </c:extLst>
        </c:ser>
        <c:dLbls>
          <c:showLegendKey val="0"/>
          <c:showVal val="0"/>
          <c:showCatName val="0"/>
          <c:showSerName val="0"/>
          <c:showPercent val="0"/>
          <c:showBubbleSize val="0"/>
        </c:dLbls>
        <c:gapWidth val="50"/>
        <c:overlap val="100"/>
        <c:axId val="402698448"/>
        <c:axId val="402698776"/>
      </c:barChart>
      <c:catAx>
        <c:axId val="40269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98776"/>
        <c:crosses val="autoZero"/>
        <c:auto val="1"/>
        <c:lblAlgn val="ctr"/>
        <c:lblOffset val="100"/>
        <c:noMultiLvlLbl val="0"/>
      </c:catAx>
      <c:valAx>
        <c:axId val="402698776"/>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98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[Advanced-Sales-Dashboard-practice-file - Sayali.xlsx]Pivot Table!Sale Type</c:name>
    <c:fmtId val="1"/>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Table'!$AK$2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19-447B-87D3-FA0151F47B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519-447B-87D3-FA0151F47B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8519-447B-87D3-FA0151F47B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Table'!$AJ$3:$AJ$5</c:f>
              <c:strCache>
                <c:ptCount val="3"/>
                <c:pt idx="0">
                  <c:v>Direct Sales</c:v>
                </c:pt>
                <c:pt idx="1">
                  <c:v>Online</c:v>
                </c:pt>
                <c:pt idx="2">
                  <c:v>Wholesaler</c:v>
                </c:pt>
              </c:strCache>
            </c:strRef>
          </c:cat>
          <c:val>
            <c:numRef>
              <c:f>'Pivot Table'!$AK$3:$AK$5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8519-447B-87D3-FA0151F47B93}"/>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[Advanced-Sales-Dashboard-practice-file - Sayali.xlsx]Pivot Table!Payment Mode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a:outerShdw blurRad="50800" dist="50800" dir="5400000" algn="ctr" rotWithShape="0">
                <a:schemeClr val="tx1">
                  <a:alpha val="41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Table'!$AN$2</c:f>
              <c:strCache>
                <c:ptCount val="1"/>
                <c:pt idx="0">
                  <c:v>Sum of TOTAL SELLING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E6-451A-B853-FC08631834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E6-451A-B853-FC0863183403}"/>
              </c:ext>
            </c:extLst>
          </c:dPt>
          <c:dLbls>
            <c:spPr>
              <a:noFill/>
              <a:ln>
                <a:noFill/>
              </a:ln>
              <a:effectLst>
                <a:outerShdw blurRad="50800" dist="50800" dir="5400000" algn="ctr" rotWithShape="0">
                  <a:schemeClr val="tx1">
                    <a:alpha val="41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Table'!$AM$3:$AM$4</c:f>
              <c:strCache>
                <c:ptCount val="2"/>
                <c:pt idx="0">
                  <c:v>Cash</c:v>
                </c:pt>
                <c:pt idx="1">
                  <c:v>Online</c:v>
                </c:pt>
              </c:strCache>
            </c:strRef>
          </c:cat>
          <c:val>
            <c:numRef>
              <c:f>'Pivot Table'!$AN$3:$AN$4</c:f>
              <c:numCache>
                <c:formatCode>General</c:formatCode>
                <c:ptCount val="2"/>
                <c:pt idx="0">
                  <c:v>199516.90000000008</c:v>
                </c:pt>
                <c:pt idx="1">
                  <c:v>201895.01999999993</c:v>
                </c:pt>
              </c:numCache>
            </c:numRef>
          </c:val>
          <c:extLst>
            <c:ext xmlns:c16="http://schemas.microsoft.com/office/drawing/2014/chart" uri="{C3380CC4-5D6E-409C-BE32-E72D297353CC}">
              <c16:uniqueId val="{00000000-6B19-423E-BE0B-8FFB0963E565}"/>
            </c:ext>
          </c:extLst>
        </c:ser>
        <c:ser>
          <c:idx val="1"/>
          <c:order val="1"/>
          <c:tx>
            <c:strRef>
              <c:f>'Pivot Table'!$AO$2</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85E6-451A-B853-FC08631834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85E6-451A-B853-FC0863183403}"/>
              </c:ext>
            </c:extLst>
          </c:dPt>
          <c:cat>
            <c:strRef>
              <c:f>'Pivot Table'!$AM$3:$AM$4</c:f>
              <c:strCache>
                <c:ptCount val="2"/>
                <c:pt idx="0">
                  <c:v>Cash</c:v>
                </c:pt>
                <c:pt idx="1">
                  <c:v>Online</c:v>
                </c:pt>
              </c:strCache>
            </c:strRef>
          </c:cat>
          <c:val>
            <c:numRef>
              <c:f>'Pivot Table'!$AO$3:$AO$4</c:f>
              <c:numCache>
                <c:formatCode>General</c:formatCode>
                <c:ptCount val="2"/>
                <c:pt idx="0">
                  <c:v>2053</c:v>
                </c:pt>
                <c:pt idx="1">
                  <c:v>2227</c:v>
                </c:pt>
              </c:numCache>
            </c:numRef>
          </c:val>
          <c:extLst>
            <c:ext xmlns:c16="http://schemas.microsoft.com/office/drawing/2014/chart" uri="{C3380CC4-5D6E-409C-BE32-E72D297353CC}">
              <c16:uniqueId val="{00000001-6B19-423E-BE0B-8FFB0963E5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'Pivot Table'!$Y$4:$Y$23</c:f>
              <c:strCache>
                <c:ptCount val="20"/>
                <c:pt idx="0">
                  <c:v>Product01</c:v>
                </c:pt>
                <c:pt idx="1">
                  <c:v>Kg</c:v>
                </c:pt>
                <c:pt idx="2">
                  <c:v>Product02</c:v>
                </c:pt>
                <c:pt idx="3">
                  <c:v>Kg</c:v>
                </c:pt>
                <c:pt idx="4">
                  <c:v>Product03</c:v>
                </c:pt>
                <c:pt idx="5">
                  <c:v>Kg</c:v>
                </c:pt>
                <c:pt idx="6">
                  <c:v>Product04</c:v>
                </c:pt>
                <c:pt idx="7">
                  <c:v>Lt</c:v>
                </c:pt>
                <c:pt idx="8">
                  <c:v>Product05</c:v>
                </c:pt>
                <c:pt idx="9">
                  <c:v>Ft</c:v>
                </c:pt>
                <c:pt idx="10">
                  <c:v>Product06</c:v>
                </c:pt>
                <c:pt idx="11">
                  <c:v>Kg</c:v>
                </c:pt>
                <c:pt idx="12">
                  <c:v>Product07</c:v>
                </c:pt>
                <c:pt idx="13">
                  <c:v>Lt</c:v>
                </c:pt>
                <c:pt idx="14">
                  <c:v>Product08</c:v>
                </c:pt>
                <c:pt idx="15">
                  <c:v>Kg</c:v>
                </c:pt>
                <c:pt idx="16">
                  <c:v>Product09</c:v>
                </c:pt>
                <c:pt idx="17">
                  <c:v>No.</c:v>
                </c:pt>
                <c:pt idx="18">
                  <c:v>Product10</c:v>
                </c:pt>
                <c:pt idx="19">
                  <c:v>Ft</c:v>
                </c:pt>
              </c:strCache>
            </c:strRef>
          </c:cat>
          <c:val>
            <c:numRef>
              <c:f>'Pivot Table'!$Z$4:$Z$23</c:f>
              <c:numCache>
                <c:formatCode>[$$-409]#,##0.00</c:formatCode>
                <c:ptCount val="20"/>
                <c:pt idx="0">
                  <c:v>9764.7199999999993</c:v>
                </c:pt>
                <c:pt idx="2">
                  <c:v>13423.199999999999</c:v>
                </c:pt>
                <c:pt idx="4">
                  <c:v>6394.2599999999993</c:v>
                </c:pt>
                <c:pt idx="6">
                  <c:v>6056.1600000000008</c:v>
                </c:pt>
                <c:pt idx="8">
                  <c:v>15716.61</c:v>
                </c:pt>
                <c:pt idx="10">
                  <c:v>4531.5</c:v>
                </c:pt>
                <c:pt idx="12">
                  <c:v>2291.04</c:v>
                </c:pt>
                <c:pt idx="14">
                  <c:v>10502.82</c:v>
                </c:pt>
                <c:pt idx="16">
                  <c:v>581.64</c:v>
                </c:pt>
                <c:pt idx="18">
                  <c:v>16428</c:v>
                </c:pt>
              </c:numCache>
            </c:numRef>
          </c:val>
          <c:extLst>
            <c:ext xmlns:c16="http://schemas.microsoft.com/office/drawing/2014/chart" uri="{C3380CC4-5D6E-409C-BE32-E72D297353CC}">
              <c16:uniqueId val="{00000000-D4C0-4A32-A208-22E8231963D8}"/>
            </c:ext>
          </c:extLst>
        </c:ser>
        <c:dLbls>
          <c:showLegendKey val="0"/>
          <c:showVal val="0"/>
          <c:showCatName val="0"/>
          <c:showSerName val="0"/>
          <c:showPercent val="0"/>
          <c:showBubbleSize val="0"/>
        </c:dLbls>
        <c:gapWidth val="182"/>
        <c:axId val="448579752"/>
        <c:axId val="448572208"/>
      </c:barChart>
      <c:catAx>
        <c:axId val="448579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72208"/>
        <c:crosses val="autoZero"/>
        <c:auto val="1"/>
        <c:lblAlgn val="ctr"/>
        <c:lblOffset val="100"/>
        <c:noMultiLvlLbl val="0"/>
      </c:catAx>
      <c:valAx>
        <c:axId val="448572208"/>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79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[Advanced-Sales-Dashboard-practice-file - Sayali.xlsx]Pivot Table!Daily</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Daily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areaChart>
        <c:grouping val="standard"/>
        <c:varyColors val="0"/>
        <c:ser>
          <c:idx val="0"/>
          <c:order val="0"/>
          <c:tx>
            <c:strRef>
              <c:f>'Pivot Table'!$B$2</c:f>
              <c:strCache>
                <c:ptCount val="1"/>
                <c:pt idx="0">
                  <c:v>Total</c:v>
                </c:pt>
              </c:strCache>
            </c:strRef>
          </c:tx>
          <c:spPr>
            <a:solidFill>
              <a:schemeClr val="accent1"/>
            </a:solidFill>
            <a:ln>
              <a:noFill/>
            </a:ln>
            <a:effectLst/>
          </c:spPr>
          <c:cat>
            <c:strRef>
              <c:f>'Pivot Table'!$A$3:$A$33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C0D-465F-A1C8-1BBB7C660E8E}"/>
            </c:ext>
          </c:extLst>
        </c:ser>
        <c:dLbls>
          <c:showLegendKey val="0"/>
          <c:showVal val="0"/>
          <c:showCatName val="0"/>
          <c:showSerName val="0"/>
          <c:showPercent val="0"/>
          <c:showBubbleSize val="0"/>
        </c:dLbls>
        <c:axId val="444041856"/>
        <c:axId val="444045792"/>
      </c:areaChart>
      <c:catAx>
        <c:axId val="44404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Day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4045792"/>
        <c:crosses val="autoZero"/>
        <c:auto val="1"/>
        <c:lblAlgn val="ctr"/>
        <c:lblOffset val="100"/>
        <c:noMultiLvlLbl val="0"/>
      </c:catAx>
      <c:valAx>
        <c:axId val="444045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Total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4041856"/>
        <c:crosses val="autoZero"/>
        <c:crossBetween val="midCat"/>
      </c:valAx>
      <c:spPr>
        <a:noFill/>
        <a:ln>
          <a:noFill/>
        </a:ln>
        <a:effectLst/>
      </c:spPr>
    </c:plotArea>
    <c:plotVisOnly val="1"/>
    <c:dispBlanksAs val="zero"/>
    <c:showDLblsOverMax val="0"/>
  </c:chart>
  <c:spPr>
    <a:gradFill>
      <a:gsLst>
        <a:gs pos="30000">
          <a:schemeClr val="accent4">
            <a:lumMod val="89000"/>
            <a:alpha val="0"/>
          </a:schemeClr>
        </a:gs>
        <a:gs pos="4000">
          <a:schemeClr val="accent4">
            <a:lumMod val="75000"/>
          </a:schemeClr>
        </a:gs>
        <a:gs pos="100000">
          <a:schemeClr val="accent4">
            <a:alpha val="35000"/>
            <a:lumMod val="63000"/>
          </a:schemeClr>
        </a:gs>
      </a:gsLst>
      <a:path path="circle">
        <a:fillToRect r="100000" b="100000"/>
      </a:path>
    </a:gra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Monthly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0297088953007561"/>
          <c:y val="7.7543210324515902E-2"/>
          <c:w val="0.75447502946429212"/>
          <c:h val="0.7982403084570181"/>
        </c:manualLayout>
      </c:layout>
      <c:barChart>
        <c:barDir val="col"/>
        <c:grouping val="stacked"/>
        <c:varyColors val="0"/>
        <c:ser>
          <c:idx val="0"/>
          <c:order val="0"/>
          <c:tx>
            <c:strRef>
              <c:f>'Pivot Table'!$H$2</c:f>
              <c:strCache>
                <c:ptCount val="1"/>
                <c:pt idx="0">
                  <c:v>Sales</c:v>
                </c:pt>
              </c:strCache>
            </c:strRef>
          </c:tx>
          <c:spPr>
            <a:solidFill>
              <a:schemeClr val="accent1"/>
            </a:solidFill>
            <a:ln>
              <a:noFill/>
            </a:ln>
            <a:effectLst/>
          </c:spPr>
          <c:invertIfNegative val="0"/>
          <c:dPt>
            <c:idx val="7"/>
            <c:invertIfNegative val="0"/>
            <c:bubble3D val="0"/>
            <c:spPr>
              <a:solidFill>
                <a:schemeClr val="accent1"/>
              </a:solidFill>
              <a:ln>
                <a:noFill/>
              </a:ln>
              <a:effectLst/>
            </c:spPr>
            <c:extLst>
              <c:ext xmlns:c16="http://schemas.microsoft.com/office/drawing/2014/chart" uri="{C3380CC4-5D6E-409C-BE32-E72D297353CC}">
                <c16:uniqueId val="{00000001-ABD8-4D9F-BAB2-27B8B6718927}"/>
              </c:ext>
            </c:extLst>
          </c:dPt>
          <c:dLbls>
            <c:dLbl>
              <c:idx val="0"/>
              <c:layout/>
              <c:tx>
                <c:rich>
                  <a:bodyPr/>
                  <a:lstStyle/>
                  <a:p>
                    <a:fld id="{F4A8A63D-4881-46D2-8BB5-4FD751A8767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ABD8-4D9F-BAB2-27B8B6718927}"/>
                </c:ext>
              </c:extLst>
            </c:dLbl>
            <c:dLbl>
              <c:idx val="1"/>
              <c:layout/>
              <c:tx>
                <c:rich>
                  <a:bodyPr/>
                  <a:lstStyle/>
                  <a:p>
                    <a:fld id="{A4C7EC92-ECD8-413F-942D-34FC5D29E5D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ABD8-4D9F-BAB2-27B8B6718927}"/>
                </c:ext>
              </c:extLst>
            </c:dLbl>
            <c:dLbl>
              <c:idx val="2"/>
              <c:layout/>
              <c:tx>
                <c:rich>
                  <a:bodyPr/>
                  <a:lstStyle/>
                  <a:p>
                    <a:fld id="{42BABD40-3EFE-4DFB-B842-A4208A03584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ABD8-4D9F-BAB2-27B8B6718927}"/>
                </c:ext>
              </c:extLst>
            </c:dLbl>
            <c:dLbl>
              <c:idx val="3"/>
              <c:layout/>
              <c:tx>
                <c:rich>
                  <a:bodyPr/>
                  <a:lstStyle/>
                  <a:p>
                    <a:fld id="{CFC772B9-5FBC-45A1-B7CB-4BDD24D4514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ABD8-4D9F-BAB2-27B8B6718927}"/>
                </c:ext>
              </c:extLst>
            </c:dLbl>
            <c:dLbl>
              <c:idx val="4"/>
              <c:layout/>
              <c:tx>
                <c:rich>
                  <a:bodyPr/>
                  <a:lstStyle/>
                  <a:p>
                    <a:fld id="{0D911D62-CB11-4E7B-8342-DC03B74FDC1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ABD8-4D9F-BAB2-27B8B6718927}"/>
                </c:ext>
              </c:extLst>
            </c:dLbl>
            <c:dLbl>
              <c:idx val="5"/>
              <c:layout/>
              <c:tx>
                <c:rich>
                  <a:bodyPr/>
                  <a:lstStyle/>
                  <a:p>
                    <a:fld id="{3D31F0B3-08A5-4C46-A95E-717A9CF9E3A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ABD8-4D9F-BAB2-27B8B6718927}"/>
                </c:ext>
              </c:extLst>
            </c:dLbl>
            <c:dLbl>
              <c:idx val="6"/>
              <c:layout/>
              <c:tx>
                <c:rich>
                  <a:bodyPr/>
                  <a:lstStyle/>
                  <a:p>
                    <a:fld id="{7F6BBA64-D80A-46C0-BF5F-2A0B37C9F9A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ABD8-4D9F-BAB2-27B8B6718927}"/>
                </c:ext>
              </c:extLst>
            </c:dLbl>
            <c:dLbl>
              <c:idx val="7"/>
              <c:layout/>
              <c:tx>
                <c:rich>
                  <a:bodyPr/>
                  <a:lstStyle/>
                  <a:p>
                    <a:fld id="{4B89AC26-CD99-4848-BE0D-BC85FED7AC5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ABD8-4D9F-BAB2-27B8B6718927}"/>
                </c:ext>
              </c:extLst>
            </c:dLbl>
            <c:dLbl>
              <c:idx val="8"/>
              <c:layout/>
              <c:tx>
                <c:rich>
                  <a:bodyPr/>
                  <a:lstStyle/>
                  <a:p>
                    <a:fld id="{C0838355-C482-4A41-BBE5-2DA1573A80F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ABD8-4D9F-BAB2-27B8B6718927}"/>
                </c:ext>
              </c:extLst>
            </c:dLbl>
            <c:dLbl>
              <c:idx val="9"/>
              <c:layout/>
              <c:tx>
                <c:rich>
                  <a:bodyPr/>
                  <a:lstStyle/>
                  <a:p>
                    <a:fld id="{738A644D-F9E7-4CF4-9CB1-F7CE079B4C3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ABD8-4D9F-BAB2-27B8B6718927}"/>
                </c:ext>
              </c:extLst>
            </c:dLbl>
            <c:dLbl>
              <c:idx val="10"/>
              <c:layout/>
              <c:tx>
                <c:rich>
                  <a:bodyPr/>
                  <a:lstStyle/>
                  <a:p>
                    <a:fld id="{F4FDE9ED-7051-4FEE-B47D-EEC18E36094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ABD8-4D9F-BAB2-27B8B6718927}"/>
                </c:ext>
              </c:extLst>
            </c:dLbl>
            <c:dLbl>
              <c:idx val="11"/>
              <c:layout/>
              <c:tx>
                <c:rich>
                  <a:bodyPr/>
                  <a:lstStyle/>
                  <a:p>
                    <a:fld id="{F5E04800-07D5-42BE-864B-B277DB4BA40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ABD8-4D9F-BAB2-27B8B6718927}"/>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Table'!$H$3:$H$14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'Pivot Table'!$J$3:$J$14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ABD8-4D9F-BAB2-27B8B6718927}"/>
            </c:ext>
          </c:extLst>
        </c:ser>
        <c:ser>
          <c:idx val="1"/>
          <c:order val="1"/>
          <c:tx>
            <c:strRef>
              <c:f>'Pivot Table'!$I$2</c:f>
              <c:strCache>
                <c:ptCount val="1"/>
                <c:pt idx="0">
                  <c:v>Profit</c:v>
                </c:pt>
              </c:strCache>
            </c:strRef>
          </c:tx>
          <c:spPr>
            <a:solidFill>
              <a:schemeClr val="accent2"/>
            </a:solidFill>
            <a:ln>
              <a:noFill/>
            </a:ln>
            <a:effectLst/>
          </c:spPr>
          <c:invertIfNegative val="0"/>
          <c:cat>
            <c:strRef>
              <c:f>'Pivot Table'!$G$3:$G$14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Table'!$I$3:$I$14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E-ABD8-4D9F-BAB2-27B8B6718927}"/>
            </c:ext>
          </c:extLst>
        </c:ser>
        <c:dLbls>
          <c:showLegendKey val="0"/>
          <c:showVal val="0"/>
          <c:showCatName val="0"/>
          <c:showSerName val="0"/>
          <c:showPercent val="0"/>
          <c:showBubbleSize val="0"/>
        </c:dLbls>
        <c:gapWidth val="50"/>
        <c:overlap val="100"/>
        <c:axId val="402698448"/>
        <c:axId val="402698776"/>
      </c:barChart>
      <c:catAx>
        <c:axId val="40269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2698776"/>
        <c:crosses val="autoZero"/>
        <c:auto val="1"/>
        <c:lblAlgn val="ctr"/>
        <c:lblOffset val="100"/>
        <c:noMultiLvlLbl val="0"/>
      </c:catAx>
      <c:valAx>
        <c:axId val="402698776"/>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2698448"/>
        <c:crosses val="autoZero"/>
        <c:crossBetween val="between"/>
      </c:valAx>
      <c:spPr>
        <a:gradFill>
          <a:gsLst>
            <a:gs pos="100000">
              <a:sysClr val="window" lastClr="FFFFFF">
                <a:alpha val="61000"/>
                <a:lumMod val="57000"/>
              </a:sysClr>
            </a:gs>
            <a:gs pos="4000">
              <a:srgbClr val="969FA7">
                <a:lumMod val="75000"/>
              </a:srgbClr>
            </a:gs>
            <a:gs pos="100000">
              <a:srgbClr val="969FA7">
                <a:lumMod val="0"/>
              </a:srgbClr>
            </a:gs>
          </a:gsLst>
          <a:path path="circle">
            <a:fillToRect r="100000" b="100000"/>
          </a:path>
        </a:gradFill>
        <a:ln>
          <a:noFill/>
        </a:ln>
        <a:effectLst/>
      </c:spPr>
    </c:plotArea>
    <c:plotVisOnly val="1"/>
    <c:dispBlanksAs val="gap"/>
    <c:showDLblsOverMax val="0"/>
  </c:chart>
  <c:spPr>
    <a:gradFill>
      <a:gsLst>
        <a:gs pos="100000">
          <a:sysClr val="window" lastClr="FFFFFF">
            <a:alpha val="61000"/>
            <a:lumMod val="57000"/>
          </a:sysClr>
        </a:gs>
        <a:gs pos="100000">
          <a:srgbClr val="969FA7">
            <a:alpha val="49000"/>
            <a:lumMod val="68000"/>
            <a:lumOff val="32000"/>
          </a:srgbClr>
        </a:gs>
        <a:gs pos="100000">
          <a:srgbClr val="969FA7">
            <a:lumMod val="0"/>
          </a:srgbClr>
        </a:gs>
      </a:gsLst>
      <a:path path="circle">
        <a:fillToRect r="100000" b="100000"/>
      </a:path>
    </a:gra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[Advanced-Sales-Dashboard-practice-file - Sayali.xlsx]Pivot Table!Sale Type</c:name>
    <c:fmtId val="4"/>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Table'!$AK$2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A83-4D0F-8C06-35B87C42451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A83-4D0F-8C06-35B87C42451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A83-4D0F-8C06-35B87C424513}"/>
              </c:ext>
            </c:extLst>
          </c:dPt>
          <c:dLbls>
            <c:delete val="1"/>
          </c:dLbls>
          <c:cat>
            <c:strRef>
              <c:f>'Pivot Table'!$AJ$3:$AJ$5</c:f>
              <c:strCache>
                <c:ptCount val="3"/>
                <c:pt idx="0">
                  <c:v>Direct Sales</c:v>
                </c:pt>
                <c:pt idx="1">
                  <c:v>Online</c:v>
                </c:pt>
                <c:pt idx="2">
                  <c:v>Wholesaler</c:v>
                </c:pt>
              </c:strCache>
            </c:strRef>
          </c:cat>
          <c:val>
            <c:numRef>
              <c:f>'Pivot Table'!$AK$3:$AK$5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5A83-4D0F-8C06-35B87C424513}"/>
            </c:ext>
          </c:extLst>
        </c:ser>
        <c:dLbls>
          <c:dLblPos val="inEnd"/>
          <c:showLegendKey val="0"/>
          <c:showVal val="1"/>
          <c:showCatName val="0"/>
          <c:showSerName val="0"/>
          <c:showPercent val="0"/>
          <c:showBubbleSize val="0"/>
          <c:showLeaderLines val="1"/>
        </c:dLbls>
        <c:firstSliceAng val="0"/>
      </c:pieChart>
      <c:spPr>
        <a:noFill/>
        <a:ln>
          <a:noFill/>
        </a:ln>
        <a:effectLst>
          <a:innerShdw blurRad="63500" dist="50800" dir="5400000">
            <a:schemeClr val="bg1">
              <a:lumMod val="65000"/>
              <a:alpha val="50000"/>
            </a:schemeClr>
          </a:inn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100000">
          <a:schemeClr val="bg1">
            <a:alpha val="14000"/>
            <a:lumMod val="28000"/>
          </a:schemeClr>
        </a:gs>
        <a:gs pos="4000">
          <a:schemeClr val="accent4">
            <a:lumMod val="75000"/>
          </a:schemeClr>
        </a:gs>
        <a:gs pos="100000">
          <a:schemeClr val="accent4">
            <a:alpha val="35000"/>
            <a:lumMod val="63000"/>
          </a:schemeClr>
        </a:gs>
      </a:gsLst>
      <a:path path="circle">
        <a:fillToRect r="100000" b="100000"/>
      </a:path>
    </a:gra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[Advanced-Sales-Dashboard-practice-file - Sayali.xlsx]Pivot Table!Payment Mode</c:name>
    <c:fmtId val="5"/>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Table'!$AN$2</c:f>
              <c:strCache>
                <c:ptCount val="1"/>
                <c:pt idx="0">
                  <c:v>Sum of TOTAL SELLING VALUE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C59-4375-AAC9-AA77963E2FC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C59-4375-AAC9-AA77963E2FC8}"/>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Table'!$AM$3:$AM$4</c:f>
              <c:strCache>
                <c:ptCount val="2"/>
                <c:pt idx="0">
                  <c:v>Cash</c:v>
                </c:pt>
                <c:pt idx="1">
                  <c:v>Online</c:v>
                </c:pt>
              </c:strCache>
            </c:strRef>
          </c:cat>
          <c:val>
            <c:numRef>
              <c:f>'Pivot Table'!$AN$3:$AN$4</c:f>
              <c:numCache>
                <c:formatCode>General</c:formatCode>
                <c:ptCount val="2"/>
                <c:pt idx="0">
                  <c:v>199516.90000000008</c:v>
                </c:pt>
                <c:pt idx="1">
                  <c:v>201895.01999999993</c:v>
                </c:pt>
              </c:numCache>
            </c:numRef>
          </c:val>
          <c:extLst>
            <c:ext xmlns:c16="http://schemas.microsoft.com/office/drawing/2014/chart" uri="{C3380CC4-5D6E-409C-BE32-E72D297353CC}">
              <c16:uniqueId val="{00000004-5C59-4375-AAC9-AA77963E2FC8}"/>
            </c:ext>
          </c:extLst>
        </c:ser>
        <c:ser>
          <c:idx val="1"/>
          <c:order val="1"/>
          <c:tx>
            <c:strRef>
              <c:f>'Pivot Table'!$AO$2</c:f>
              <c:strCache>
                <c:ptCount val="1"/>
                <c:pt idx="0">
                  <c:v>Sum of QUANTITY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5C59-4375-AAC9-AA77963E2FC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5C59-4375-AAC9-AA77963E2FC8}"/>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Table'!$AM$3:$AM$4</c:f>
              <c:strCache>
                <c:ptCount val="2"/>
                <c:pt idx="0">
                  <c:v>Cash</c:v>
                </c:pt>
                <c:pt idx="1">
                  <c:v>Online</c:v>
                </c:pt>
              </c:strCache>
            </c:strRef>
          </c:cat>
          <c:val>
            <c:numRef>
              <c:f>'Pivot Table'!$AO$3:$AO$4</c:f>
              <c:numCache>
                <c:formatCode>General</c:formatCode>
                <c:ptCount val="2"/>
                <c:pt idx="0">
                  <c:v>2053</c:v>
                </c:pt>
                <c:pt idx="1">
                  <c:v>2227</c:v>
                </c:pt>
              </c:numCache>
            </c:numRef>
          </c:val>
          <c:extLst>
            <c:ext xmlns:c16="http://schemas.microsoft.com/office/drawing/2014/chart" uri="{C3380CC4-5D6E-409C-BE32-E72D297353CC}">
              <c16:uniqueId val="{00000009-5C59-4375-AAC9-AA77963E2FC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30000">
          <a:schemeClr val="accent4">
            <a:lumMod val="89000"/>
            <a:alpha val="22000"/>
          </a:schemeClr>
        </a:gs>
        <a:gs pos="4000">
          <a:schemeClr val="accent4">
            <a:lumMod val="75000"/>
          </a:schemeClr>
        </a:gs>
        <a:gs pos="100000">
          <a:schemeClr val="accent4">
            <a:lumMod val="0"/>
          </a:schemeClr>
        </a:gs>
      </a:gsLst>
      <a:path path="circle">
        <a:fillToRect r="100000" b="100000"/>
      </a:path>
      <a:tileRect l="-100000" t="-100000"/>
    </a:gra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12BDB1A-9E11-42C5-B165-0E382346CF1F}" formatIdx="0">
          <cx:dataLabels pos="inEnd">
            <cx:visibility seriesName="0" categoryName="1" value="0"/>
            <cx:dataLabel idx="0" pos="inEnd">
              <cx:visibility seriesName="0" categoryName="1" value="1"/>
              <cx:separator>
</cx:separator>
            </cx:dataLabel>
            <cx:dataLabel idx="1" pos="inEnd">
              <cx:visibility seriesName="0" categoryName="1" value="1"/>
              <cx:separator>, </cx:separator>
            </cx:dataLabel>
            <cx:dataLabel idx="2" pos="inEnd">
              <cx:visibility seriesName="0" categoryName="1" value="1"/>
              <cx:separator>
</cx:separator>
            </cx:dataLabel>
            <cx:dataLabel idx="3" pos="inEnd">
              <cx:visibility seriesName="0" categoryName="1" value="1"/>
              <cx:separator>
</cx:separator>
            </cx:dataLabel>
            <cx:dataLabel idx="4" pos="inEnd">
              <cx:visibility seriesName="0" categoryName="1" value="1"/>
              <cx:separator>
</cx:separator>
            </cx:dataLabel>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F12BDB1A-9E11-42C5-B165-0E382346CF1F}" formatIdx="0">
          <cx:dataLabels pos="inEnd">
            <cx:txPr>
              <a:bodyPr spcFirstLastPara="1" vertOverflow="ellipsis" wrap="square" lIns="0" tIns="0" rIns="0" bIns="0" anchor="ctr" anchorCtr="1">
                <a:spAutoFit/>
              </a:bodyPr>
              <a:lstStyle/>
              <a:p>
                <a:pPr>
                  <a:defRPr sz="970" baseline="0"/>
                </a:pPr>
                <a:endParaRPr lang="en-US" sz="970" baseline="0"/>
              </a:p>
            </cx:txPr>
            <cx:visibility seriesName="0" categoryName="1" value="0"/>
            <cx:dataLabel idx="0" pos="inEnd">
              <cx:visibility seriesName="0" categoryName="1" value="1"/>
              <cx:separator>
</cx:separator>
            </cx:dataLabel>
            <cx:dataLabel idx="1" pos="inEnd">
              <cx:visibility seriesName="0" categoryName="1" value="1"/>
              <cx:separator>, </cx:separator>
            </cx:dataLabel>
            <cx:dataLabel idx="2" pos="inEnd">
              <cx:visibility seriesName="0" categoryName="1" value="1"/>
              <cx:separator>
</cx:separator>
            </cx:dataLabel>
            <cx:dataLabel idx="3" pos="inEnd">
              <cx:visibility seriesName="0" categoryName="1" value="1"/>
              <cx:separator>
</cx:separator>
            </cx:dataLabel>
            <cx:dataLabel idx="4" pos="inEnd">
              <cx:visibility seriesName="0" categoryName="1" value="1"/>
              <cx:separator>
</cx:separator>
            </cx:dataLabel>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6.xml"/><Relationship Id="rId7" Type="http://schemas.openxmlformats.org/officeDocument/2006/relationships/chart" Target="../charts/chart9.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 Id="rId9"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3</xdr:col>
      <xdr:colOff>609600</xdr:colOff>
      <xdr:row>12</xdr:row>
      <xdr:rowOff>38101</xdr:rowOff>
    </xdr:from>
    <xdr:to>
      <xdr:col>3</xdr:col>
      <xdr:colOff>1590675</xdr:colOff>
      <xdr:row>18</xdr:row>
      <xdr:rowOff>19051</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543300" y="2324101"/>
              <a:ext cx="981075"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1628774</xdr:colOff>
      <xdr:row>12</xdr:row>
      <xdr:rowOff>28575</xdr:rowOff>
    </xdr:from>
    <xdr:to>
      <xdr:col>4</xdr:col>
      <xdr:colOff>285750</xdr:colOff>
      <xdr:row>16</xdr:row>
      <xdr:rowOff>142875</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248274" y="2657475"/>
              <a:ext cx="1009651"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847725</xdr:colOff>
      <xdr:row>11</xdr:row>
      <xdr:rowOff>180975</xdr:rowOff>
    </xdr:from>
    <xdr:to>
      <xdr:col>4</xdr:col>
      <xdr:colOff>1638300</xdr:colOff>
      <xdr:row>23</xdr:row>
      <xdr:rowOff>28575</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619750" y="2276475"/>
              <a:ext cx="790575"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1676399</xdr:colOff>
      <xdr:row>12</xdr:row>
      <xdr:rowOff>19051</xdr:rowOff>
    </xdr:from>
    <xdr:to>
      <xdr:col>5</xdr:col>
      <xdr:colOff>209549</xdr:colOff>
      <xdr:row>16</xdr:row>
      <xdr:rowOff>200025</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48424" y="2305051"/>
              <a:ext cx="923925" cy="1057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21</xdr:row>
      <xdr:rowOff>76200</xdr:rowOff>
    </xdr:from>
    <xdr:to>
      <xdr:col>3</xdr:col>
      <xdr:colOff>247650</xdr:colOff>
      <xdr:row>31</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781051</xdr:colOff>
      <xdr:row>16</xdr:row>
      <xdr:rowOff>142875</xdr:rowOff>
    </xdr:from>
    <xdr:to>
      <xdr:col>12</xdr:col>
      <xdr:colOff>114300</xdr:colOff>
      <xdr:row>27</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323851</xdr:colOff>
      <xdr:row>7</xdr:row>
      <xdr:rowOff>123825</xdr:rowOff>
    </xdr:from>
    <xdr:to>
      <xdr:col>34</xdr:col>
      <xdr:colOff>495300</xdr:colOff>
      <xdr:row>20</xdr:row>
      <xdr:rowOff>114299</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85726</xdr:colOff>
      <xdr:row>5</xdr:row>
      <xdr:rowOff>95250</xdr:rowOff>
    </xdr:from>
    <xdr:to>
      <xdr:col>36</xdr:col>
      <xdr:colOff>1590675</xdr:colOff>
      <xdr:row>13</xdr:row>
      <xdr:rowOff>142876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338138</xdr:colOff>
      <xdr:row>4</xdr:row>
      <xdr:rowOff>76201</xdr:rowOff>
    </xdr:from>
    <xdr:to>
      <xdr:col>39</xdr:col>
      <xdr:colOff>1476375</xdr:colOff>
      <xdr:row>13</xdr:row>
      <xdr:rowOff>114301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209549</xdr:colOff>
      <xdr:row>23</xdr:row>
      <xdr:rowOff>123825</xdr:rowOff>
    </xdr:from>
    <xdr:to>
      <xdr:col>28</xdr:col>
      <xdr:colOff>476250</xdr:colOff>
      <xdr:row>34</xdr:row>
      <xdr:rowOff>47625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365124</xdr:colOff>
      <xdr:row>0</xdr:row>
      <xdr:rowOff>0</xdr:rowOff>
    </xdr:from>
    <xdr:to>
      <xdr:col>22</xdr:col>
      <xdr:colOff>257211</xdr:colOff>
      <xdr:row>38</xdr:row>
      <xdr:rowOff>50603</xdr:rowOff>
    </xdr:to>
    <xdr:pic>
      <xdr:nvPicPr>
        <xdr:cNvPr id="2" name="Picture 1"/>
        <xdr:cNvPicPr>
          <a:picLocks noChangeAspect="1"/>
        </xdr:cNvPicPr>
      </xdr:nvPicPr>
      <xdr:blipFill>
        <a:blip xmlns:r="http://schemas.openxmlformats.org/officeDocument/2006/relationships" r:embed="rId1">
          <a:duotone>
            <a:prstClr val="black"/>
            <a:schemeClr val="accent4">
              <a:tint val="45000"/>
              <a:satMod val="400000"/>
            </a:schemeClr>
          </a:duotone>
          <a:extLst>
            <a:ext uri="{BEBA8EAE-BF5A-486C-A8C5-ECC9F3942E4B}">
              <a14:imgProps xmlns:a14="http://schemas.microsoft.com/office/drawing/2010/main">
                <a14:imgLayer r:embed="rId2">
                  <a14:imgEffect>
                    <a14:colorTemperature colorTemp="7200"/>
                  </a14:imgEffect>
                </a14:imgLayer>
              </a14:imgProps>
            </a:ext>
          </a:extLst>
        </a:blip>
        <a:stretch>
          <a:fillRect/>
        </a:stretch>
      </xdr:blipFill>
      <xdr:spPr>
        <a:xfrm>
          <a:off x="365124" y="0"/>
          <a:ext cx="14878087" cy="8254803"/>
        </a:xfrm>
        <a:prstGeom prst="rect">
          <a:avLst/>
        </a:prstGeom>
      </xdr:spPr>
    </xdr:pic>
    <xdr:clientData/>
  </xdr:twoCellAnchor>
  <xdr:twoCellAnchor>
    <xdr:from>
      <xdr:col>3</xdr:col>
      <xdr:colOff>111125</xdr:colOff>
      <xdr:row>1</xdr:row>
      <xdr:rowOff>130174</xdr:rowOff>
    </xdr:from>
    <xdr:to>
      <xdr:col>8</xdr:col>
      <xdr:colOff>292100</xdr:colOff>
      <xdr:row>4</xdr:row>
      <xdr:rowOff>63499</xdr:rowOff>
    </xdr:to>
    <xdr:sp macro="" textlink="">
      <xdr:nvSpPr>
        <xdr:cNvPr id="3" name="TextBox 2"/>
        <xdr:cNvSpPr txBox="1"/>
      </xdr:nvSpPr>
      <xdr:spPr>
        <a:xfrm>
          <a:off x="2168525" y="346074"/>
          <a:ext cx="360997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bg1"/>
              </a:solidFill>
              <a:latin typeface="Calibri" panose="020F0502020204030204" pitchFamily="34" charset="0"/>
              <a:cs typeface="Calibri" panose="020F0502020204030204" pitchFamily="34" charset="0"/>
            </a:rPr>
            <a:t>Sales Dashboard</a:t>
          </a:r>
        </a:p>
      </xdr:txBody>
    </xdr:sp>
    <xdr:clientData/>
  </xdr:twoCellAnchor>
  <xdr:twoCellAnchor>
    <xdr:from>
      <xdr:col>3</xdr:col>
      <xdr:colOff>165100</xdr:colOff>
      <xdr:row>3</xdr:row>
      <xdr:rowOff>152400</xdr:rowOff>
    </xdr:from>
    <xdr:to>
      <xdr:col>6</xdr:col>
      <xdr:colOff>488949</xdr:colOff>
      <xdr:row>5</xdr:row>
      <xdr:rowOff>95250</xdr:rowOff>
    </xdr:to>
    <xdr:sp macro="" textlink="">
      <xdr:nvSpPr>
        <xdr:cNvPr id="5" name="TextBox 4"/>
        <xdr:cNvSpPr txBox="1"/>
      </xdr:nvSpPr>
      <xdr:spPr>
        <a:xfrm>
          <a:off x="2222500" y="800100"/>
          <a:ext cx="2381249"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latin typeface="Calibri" panose="020F0502020204030204" pitchFamily="34" charset="0"/>
              <a:cs typeface="Calibri" panose="020F0502020204030204" pitchFamily="34" charset="0"/>
            </a:rPr>
            <a:t>Supermarket</a:t>
          </a:r>
          <a:r>
            <a:rPr lang="en-IN" sz="2000" b="1">
              <a:solidFill>
                <a:schemeClr val="bg1"/>
              </a:solidFill>
              <a:latin typeface="+mn-lt"/>
            </a:rPr>
            <a:t> </a:t>
          </a:r>
          <a:r>
            <a:rPr lang="en-IN" sz="2000" b="1">
              <a:solidFill>
                <a:srgbClr val="FFC000"/>
              </a:solidFill>
              <a:latin typeface="Calibri" panose="020F0502020204030204" pitchFamily="34" charset="0"/>
              <a:cs typeface="Calibri" panose="020F0502020204030204" pitchFamily="34" charset="0"/>
            </a:rPr>
            <a:t>Shop</a:t>
          </a:r>
        </a:p>
      </xdr:txBody>
    </xdr:sp>
    <xdr:clientData/>
  </xdr:twoCellAnchor>
  <xdr:twoCellAnchor>
    <xdr:from>
      <xdr:col>2</xdr:col>
      <xdr:colOff>485776</xdr:colOff>
      <xdr:row>9</xdr:row>
      <xdr:rowOff>171450</xdr:rowOff>
    </xdr:from>
    <xdr:to>
      <xdr:col>5</xdr:col>
      <xdr:colOff>0</xdr:colOff>
      <xdr:row>11</xdr:row>
      <xdr:rowOff>0</xdr:rowOff>
    </xdr:to>
    <xdr:sp macro="" textlink="">
      <xdr:nvSpPr>
        <xdr:cNvPr id="6" name="TextBox 5"/>
        <xdr:cNvSpPr txBox="1"/>
      </xdr:nvSpPr>
      <xdr:spPr>
        <a:xfrm>
          <a:off x="1857376" y="2114550"/>
          <a:ext cx="1571624"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u="none" strike="noStrike">
              <a:solidFill>
                <a:schemeClr val="bg1"/>
              </a:solidFill>
              <a:effectLst/>
              <a:latin typeface="Calibri" panose="020F0502020204030204" pitchFamily="34" charset="0"/>
              <a:ea typeface="+mn-ea"/>
              <a:cs typeface="Calibri" panose="020F0502020204030204" pitchFamily="34" charset="0"/>
            </a:rPr>
            <a:t>$4,01,411.92</a:t>
          </a:r>
          <a:r>
            <a:rPr lang="en-IN" sz="1800" b="1">
              <a:solidFill>
                <a:schemeClr val="bg1"/>
              </a:solidFill>
              <a:latin typeface="Calibri" panose="020F0502020204030204" pitchFamily="34" charset="0"/>
              <a:cs typeface="Calibri" panose="020F0502020204030204" pitchFamily="34" charset="0"/>
            </a:rPr>
            <a:t> </a:t>
          </a:r>
        </a:p>
      </xdr:txBody>
    </xdr:sp>
    <xdr:clientData/>
  </xdr:twoCellAnchor>
  <xdr:twoCellAnchor>
    <xdr:from>
      <xdr:col>2</xdr:col>
      <xdr:colOff>504826</xdr:colOff>
      <xdr:row>8</xdr:row>
      <xdr:rowOff>53974</xdr:rowOff>
    </xdr:from>
    <xdr:to>
      <xdr:col>4</xdr:col>
      <xdr:colOff>552450</xdr:colOff>
      <xdr:row>9</xdr:row>
      <xdr:rowOff>177799</xdr:rowOff>
    </xdr:to>
    <xdr:sp macro="" textlink="">
      <xdr:nvSpPr>
        <xdr:cNvPr id="7" name="TextBox 6"/>
        <xdr:cNvSpPr txBox="1"/>
      </xdr:nvSpPr>
      <xdr:spPr>
        <a:xfrm>
          <a:off x="1876426" y="1781174"/>
          <a:ext cx="1419224" cy="339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a:solidFill>
                <a:srgbClr val="FFC000"/>
              </a:solidFill>
              <a:latin typeface="Calibri" panose="020F0502020204030204" pitchFamily="34" charset="0"/>
              <a:ea typeface="+mn-ea"/>
              <a:cs typeface="Calibri" panose="020F0502020204030204" pitchFamily="34" charset="0"/>
            </a:rPr>
            <a:t>Total</a:t>
          </a:r>
          <a:r>
            <a:rPr lang="en-IN" sz="1400" b="1">
              <a:solidFill>
                <a:srgbClr val="FFC000"/>
              </a:solidFill>
              <a:latin typeface="Calibri" panose="020F0502020204030204" pitchFamily="34" charset="0"/>
              <a:ea typeface="+mn-ea"/>
              <a:cs typeface="Calibri" panose="020F0502020204030204" pitchFamily="34" charset="0"/>
            </a:rPr>
            <a:t> </a:t>
          </a:r>
          <a:r>
            <a:rPr lang="en-IN" sz="2000" b="1">
              <a:solidFill>
                <a:srgbClr val="FFC000"/>
              </a:solidFill>
              <a:latin typeface="Calibri" panose="020F0502020204030204" pitchFamily="34" charset="0"/>
              <a:ea typeface="+mn-ea"/>
              <a:cs typeface="Calibri" panose="020F0502020204030204" pitchFamily="34" charset="0"/>
            </a:rPr>
            <a:t>Sales</a:t>
          </a:r>
        </a:p>
      </xdr:txBody>
    </xdr:sp>
    <xdr:clientData/>
  </xdr:twoCellAnchor>
  <xdr:twoCellAnchor>
    <xdr:from>
      <xdr:col>7</xdr:col>
      <xdr:colOff>419100</xdr:colOff>
      <xdr:row>8</xdr:row>
      <xdr:rowOff>28574</xdr:rowOff>
    </xdr:from>
    <xdr:to>
      <xdr:col>9</xdr:col>
      <xdr:colOff>647699</xdr:colOff>
      <xdr:row>9</xdr:row>
      <xdr:rowOff>158749</xdr:rowOff>
    </xdr:to>
    <xdr:sp macro="" textlink="">
      <xdr:nvSpPr>
        <xdr:cNvPr id="9" name="TextBox 8"/>
        <xdr:cNvSpPr txBox="1"/>
      </xdr:nvSpPr>
      <xdr:spPr>
        <a:xfrm>
          <a:off x="5219700" y="1755774"/>
          <a:ext cx="1600199" cy="346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latin typeface="Calibri" panose="020F0502020204030204" pitchFamily="34" charset="0"/>
              <a:cs typeface="Calibri" panose="020F0502020204030204" pitchFamily="34" charset="0"/>
            </a:rPr>
            <a:t>Total Profit</a:t>
          </a:r>
        </a:p>
      </xdr:txBody>
    </xdr:sp>
    <xdr:clientData/>
  </xdr:twoCellAnchor>
  <xdr:twoCellAnchor>
    <xdr:from>
      <xdr:col>12</xdr:col>
      <xdr:colOff>346076</xdr:colOff>
      <xdr:row>9</xdr:row>
      <xdr:rowOff>104775</xdr:rowOff>
    </xdr:from>
    <xdr:to>
      <xdr:col>13</xdr:col>
      <xdr:colOff>479425</xdr:colOff>
      <xdr:row>10</xdr:row>
      <xdr:rowOff>142875</xdr:rowOff>
    </xdr:to>
    <xdr:sp macro="" textlink="">
      <xdr:nvSpPr>
        <xdr:cNvPr id="10" name="TextBox 9"/>
        <xdr:cNvSpPr txBox="1"/>
      </xdr:nvSpPr>
      <xdr:spPr>
        <a:xfrm>
          <a:off x="8575676" y="2047875"/>
          <a:ext cx="819149"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latin typeface="Calibri" panose="020F0502020204030204" pitchFamily="34" charset="0"/>
              <a:cs typeface="Calibri" panose="020F0502020204030204" pitchFamily="34" charset="0"/>
            </a:rPr>
            <a:t>21</a:t>
          </a:r>
          <a:r>
            <a:rPr lang="en-IN" sz="1800" b="1" baseline="0">
              <a:solidFill>
                <a:schemeClr val="bg1"/>
              </a:solidFill>
              <a:latin typeface="Calibri" panose="020F0502020204030204" pitchFamily="34" charset="0"/>
              <a:cs typeface="Calibri" panose="020F0502020204030204" pitchFamily="34" charset="0"/>
            </a:rPr>
            <a:t> %</a:t>
          </a:r>
          <a:endParaRPr lang="en-IN" sz="18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12</xdr:col>
      <xdr:colOff>250826</xdr:colOff>
      <xdr:row>8</xdr:row>
      <xdr:rowOff>6350</xdr:rowOff>
    </xdr:from>
    <xdr:to>
      <xdr:col>14</xdr:col>
      <xdr:colOff>88900</xdr:colOff>
      <xdr:row>9</xdr:row>
      <xdr:rowOff>127000</xdr:rowOff>
    </xdr:to>
    <xdr:sp macro="" textlink="">
      <xdr:nvSpPr>
        <xdr:cNvPr id="11" name="TextBox 10"/>
        <xdr:cNvSpPr txBox="1"/>
      </xdr:nvSpPr>
      <xdr:spPr>
        <a:xfrm>
          <a:off x="8480426" y="1733550"/>
          <a:ext cx="1209674"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Calibri" panose="020F0502020204030204" pitchFamily="34" charset="0"/>
              <a:cs typeface="Calibri" panose="020F0502020204030204" pitchFamily="34" charset="0"/>
            </a:rPr>
            <a:t> </a:t>
          </a:r>
          <a:r>
            <a:rPr lang="en-IN" sz="2000" b="1">
              <a:solidFill>
                <a:srgbClr val="FFC000"/>
              </a:solidFill>
              <a:latin typeface="Calibri" panose="020F0502020204030204" pitchFamily="34" charset="0"/>
              <a:cs typeface="Calibri" panose="020F0502020204030204" pitchFamily="34" charset="0"/>
            </a:rPr>
            <a:t>Profit %</a:t>
          </a:r>
        </a:p>
      </xdr:txBody>
    </xdr:sp>
    <xdr:clientData/>
  </xdr:twoCellAnchor>
  <xdr:twoCellAnchor>
    <xdr:from>
      <xdr:col>7</xdr:col>
      <xdr:colOff>425451</xdr:colOff>
      <xdr:row>9</xdr:row>
      <xdr:rowOff>123824</xdr:rowOff>
    </xdr:from>
    <xdr:to>
      <xdr:col>9</xdr:col>
      <xdr:colOff>520700</xdr:colOff>
      <xdr:row>11</xdr:row>
      <xdr:rowOff>12699</xdr:rowOff>
    </xdr:to>
    <xdr:sp macro="" textlink="">
      <xdr:nvSpPr>
        <xdr:cNvPr id="12" name="TextBox 11"/>
        <xdr:cNvSpPr txBox="1"/>
      </xdr:nvSpPr>
      <xdr:spPr>
        <a:xfrm>
          <a:off x="5226051" y="2066924"/>
          <a:ext cx="1466849" cy="320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u="none" strike="noStrike">
              <a:solidFill>
                <a:schemeClr val="bg1"/>
              </a:solidFill>
              <a:effectLst/>
              <a:latin typeface="Calibri" panose="020F0502020204030204" pitchFamily="34" charset="0"/>
              <a:ea typeface="+mn-ea"/>
              <a:cs typeface="Calibri" panose="020F0502020204030204" pitchFamily="34" charset="0"/>
            </a:rPr>
            <a:t>$68,907.92</a:t>
          </a:r>
          <a:r>
            <a:rPr lang="en-IN" sz="1800" b="1">
              <a:solidFill>
                <a:schemeClr val="bg1"/>
              </a:solidFill>
              <a:latin typeface="Calibri" panose="020F0502020204030204" pitchFamily="34" charset="0"/>
              <a:cs typeface="Calibri" panose="020F0502020204030204" pitchFamily="34" charset="0"/>
            </a:rPr>
            <a:t> </a:t>
          </a:r>
        </a:p>
      </xdr:txBody>
    </xdr:sp>
    <xdr:clientData/>
  </xdr:twoCellAnchor>
  <xdr:twoCellAnchor>
    <xdr:from>
      <xdr:col>2</xdr:col>
      <xdr:colOff>628651</xdr:colOff>
      <xdr:row>12</xdr:row>
      <xdr:rowOff>190500</xdr:rowOff>
    </xdr:from>
    <xdr:to>
      <xdr:col>4</xdr:col>
      <xdr:colOff>609600</xdr:colOff>
      <xdr:row>14</xdr:row>
      <xdr:rowOff>133350</xdr:rowOff>
    </xdr:to>
    <xdr:sp macro="" textlink="">
      <xdr:nvSpPr>
        <xdr:cNvPr id="13" name="TextBox 12"/>
        <xdr:cNvSpPr txBox="1"/>
      </xdr:nvSpPr>
      <xdr:spPr>
        <a:xfrm>
          <a:off x="2000251" y="2933700"/>
          <a:ext cx="1352549"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latin typeface="Calibri" panose="020F0502020204030204" pitchFamily="34" charset="0"/>
              <a:cs typeface="Calibri" panose="020F0502020204030204" pitchFamily="34" charset="0"/>
            </a:rPr>
            <a:t>Monthly</a:t>
          </a:r>
        </a:p>
      </xdr:txBody>
    </xdr:sp>
    <xdr:clientData/>
  </xdr:twoCellAnchor>
  <xdr:twoCellAnchor>
    <xdr:from>
      <xdr:col>13</xdr:col>
      <xdr:colOff>371476</xdr:colOff>
      <xdr:row>12</xdr:row>
      <xdr:rowOff>206374</xdr:rowOff>
    </xdr:from>
    <xdr:to>
      <xdr:col>15</xdr:col>
      <xdr:colOff>304800</xdr:colOff>
      <xdr:row>14</xdr:row>
      <xdr:rowOff>139699</xdr:rowOff>
    </xdr:to>
    <xdr:sp macro="" textlink="">
      <xdr:nvSpPr>
        <xdr:cNvPr id="14" name="TextBox 13"/>
        <xdr:cNvSpPr txBox="1"/>
      </xdr:nvSpPr>
      <xdr:spPr>
        <a:xfrm>
          <a:off x="9286876" y="2797174"/>
          <a:ext cx="1304924" cy="36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latin typeface="Calibri" panose="020F0502020204030204" pitchFamily="34" charset="0"/>
              <a:cs typeface="Calibri" panose="020F0502020204030204" pitchFamily="34" charset="0"/>
            </a:rPr>
            <a:t>Product</a:t>
          </a:r>
        </a:p>
      </xdr:txBody>
    </xdr:sp>
    <xdr:clientData/>
  </xdr:twoCellAnchor>
  <xdr:twoCellAnchor>
    <xdr:from>
      <xdr:col>8</xdr:col>
      <xdr:colOff>571500</xdr:colOff>
      <xdr:row>13</xdr:row>
      <xdr:rowOff>6547</xdr:rowOff>
    </xdr:from>
    <xdr:to>
      <xdr:col>11</xdr:col>
      <xdr:colOff>0</xdr:colOff>
      <xdr:row>14</xdr:row>
      <xdr:rowOff>190501</xdr:rowOff>
    </xdr:to>
    <xdr:sp macro="" textlink="">
      <xdr:nvSpPr>
        <xdr:cNvPr id="15" name="TextBox 14"/>
        <xdr:cNvSpPr txBox="1"/>
      </xdr:nvSpPr>
      <xdr:spPr>
        <a:xfrm>
          <a:off x="6057900" y="2978347"/>
          <a:ext cx="1485900" cy="412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latin typeface="Calibri" panose="020F0502020204030204" pitchFamily="34" charset="0"/>
              <a:cs typeface="Calibri" panose="020F0502020204030204" pitchFamily="34" charset="0"/>
            </a:rPr>
            <a:t>Sales</a:t>
          </a:r>
          <a:r>
            <a:rPr lang="en-IN" sz="2000" b="1" baseline="0">
              <a:solidFill>
                <a:srgbClr val="FFC000"/>
              </a:solidFill>
              <a:latin typeface="Calibri" panose="020F0502020204030204" pitchFamily="34" charset="0"/>
              <a:cs typeface="Calibri" panose="020F0502020204030204" pitchFamily="34" charset="0"/>
            </a:rPr>
            <a:t> </a:t>
          </a:r>
          <a:r>
            <a:rPr lang="en-IN" sz="2000" b="1">
              <a:solidFill>
                <a:srgbClr val="FFC000"/>
              </a:solidFill>
              <a:latin typeface="Calibri" panose="020F0502020204030204" pitchFamily="34" charset="0"/>
              <a:ea typeface="+mn-ea"/>
              <a:cs typeface="Calibri" panose="020F0502020204030204" pitchFamily="34" charset="0"/>
            </a:rPr>
            <a:t>Type</a:t>
          </a:r>
        </a:p>
      </xdr:txBody>
    </xdr:sp>
    <xdr:clientData/>
  </xdr:twoCellAnchor>
  <xdr:twoCellAnchor>
    <xdr:from>
      <xdr:col>3</xdr:col>
      <xdr:colOff>28575</xdr:colOff>
      <xdr:row>25</xdr:row>
      <xdr:rowOff>111322</xdr:rowOff>
    </xdr:from>
    <xdr:to>
      <xdr:col>4</xdr:col>
      <xdr:colOff>381000</xdr:colOff>
      <xdr:row>27</xdr:row>
      <xdr:rowOff>57150</xdr:rowOff>
    </xdr:to>
    <xdr:sp macro="" textlink="">
      <xdr:nvSpPr>
        <xdr:cNvPr id="16" name="TextBox 15"/>
        <xdr:cNvSpPr txBox="1"/>
      </xdr:nvSpPr>
      <xdr:spPr>
        <a:xfrm>
          <a:off x="2085975" y="5826322"/>
          <a:ext cx="1038225" cy="40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latin typeface="Calibri" panose="020F0502020204030204" pitchFamily="34" charset="0"/>
              <a:cs typeface="Calibri" panose="020F0502020204030204" pitchFamily="34" charset="0"/>
            </a:rPr>
            <a:t>Daily</a:t>
          </a:r>
        </a:p>
      </xdr:txBody>
    </xdr:sp>
    <xdr:clientData/>
  </xdr:twoCellAnchor>
  <xdr:twoCellAnchor>
    <xdr:from>
      <xdr:col>13</xdr:col>
      <xdr:colOff>317499</xdr:colOff>
      <xdr:row>25</xdr:row>
      <xdr:rowOff>38296</xdr:rowOff>
    </xdr:from>
    <xdr:to>
      <xdr:col>16</xdr:col>
      <xdr:colOff>203200</xdr:colOff>
      <xdr:row>26</xdr:row>
      <xdr:rowOff>190500</xdr:rowOff>
    </xdr:to>
    <xdr:sp macro="" textlink="">
      <xdr:nvSpPr>
        <xdr:cNvPr id="17" name="TextBox 16"/>
        <xdr:cNvSpPr txBox="1"/>
      </xdr:nvSpPr>
      <xdr:spPr>
        <a:xfrm>
          <a:off x="9232899" y="5435796"/>
          <a:ext cx="1943101" cy="368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latin typeface="Calibri" panose="020F0502020204030204" pitchFamily="34" charset="0"/>
              <a:ea typeface="+mn-ea"/>
              <a:cs typeface="Calibri" panose="020F0502020204030204" pitchFamily="34" charset="0"/>
            </a:rPr>
            <a:t>Payment</a:t>
          </a:r>
          <a:r>
            <a:rPr lang="en-IN" sz="2000" b="1" baseline="0">
              <a:solidFill>
                <a:schemeClr val="bg1"/>
              </a:solidFill>
              <a:latin typeface="Calibri" panose="020F0502020204030204" pitchFamily="34" charset="0"/>
              <a:cs typeface="Calibri" panose="020F0502020204030204" pitchFamily="34" charset="0"/>
            </a:rPr>
            <a:t> </a:t>
          </a:r>
          <a:r>
            <a:rPr lang="en-IN" sz="2000" b="1" baseline="0">
              <a:solidFill>
                <a:srgbClr val="FFC000"/>
              </a:solidFill>
              <a:latin typeface="Calibri" panose="020F0502020204030204" pitchFamily="34" charset="0"/>
              <a:cs typeface="Calibri" panose="020F0502020204030204" pitchFamily="34" charset="0"/>
            </a:rPr>
            <a:t>Mode</a:t>
          </a:r>
          <a:endParaRPr lang="en-IN" sz="2000" b="1">
            <a:solidFill>
              <a:srgbClr val="FFC000"/>
            </a:solidFill>
            <a:latin typeface="Calibri" panose="020F0502020204030204" pitchFamily="34" charset="0"/>
            <a:cs typeface="Calibri" panose="020F0502020204030204" pitchFamily="34" charset="0"/>
          </a:endParaRPr>
        </a:p>
      </xdr:txBody>
    </xdr:sp>
    <xdr:clientData/>
  </xdr:twoCellAnchor>
  <xdr:twoCellAnchor>
    <xdr:from>
      <xdr:col>18</xdr:col>
      <xdr:colOff>114300</xdr:colOff>
      <xdr:row>19</xdr:row>
      <xdr:rowOff>89097</xdr:rowOff>
    </xdr:from>
    <xdr:to>
      <xdr:col>20</xdr:col>
      <xdr:colOff>190500</xdr:colOff>
      <xdr:row>21</xdr:row>
      <xdr:rowOff>25400</xdr:rowOff>
    </xdr:to>
    <xdr:sp macro="" textlink="">
      <xdr:nvSpPr>
        <xdr:cNvPr id="18" name="TextBox 17"/>
        <xdr:cNvSpPr txBox="1"/>
      </xdr:nvSpPr>
      <xdr:spPr>
        <a:xfrm>
          <a:off x="12458700" y="4191197"/>
          <a:ext cx="1346200" cy="368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latin typeface="Calibri" panose="020F0502020204030204" pitchFamily="34" charset="0"/>
              <a:cs typeface="Calibri" panose="020F0502020204030204" pitchFamily="34" charset="0"/>
            </a:rPr>
            <a:t>Category</a:t>
          </a:r>
        </a:p>
      </xdr:txBody>
    </xdr:sp>
    <xdr:clientData/>
  </xdr:twoCellAnchor>
  <xdr:twoCellAnchor>
    <xdr:from>
      <xdr:col>17</xdr:col>
      <xdr:colOff>269876</xdr:colOff>
      <xdr:row>19</xdr:row>
      <xdr:rowOff>152400</xdr:rowOff>
    </xdr:from>
    <xdr:to>
      <xdr:col>18</xdr:col>
      <xdr:colOff>298450</xdr:colOff>
      <xdr:row>21</xdr:row>
      <xdr:rowOff>133349</xdr:rowOff>
    </xdr:to>
    <xdr:grpSp>
      <xdr:nvGrpSpPr>
        <xdr:cNvPr id="20" name="Group 19"/>
        <xdr:cNvGrpSpPr/>
      </xdr:nvGrpSpPr>
      <xdr:grpSpPr>
        <a:xfrm>
          <a:off x="11928476" y="4254500"/>
          <a:ext cx="714374" cy="412749"/>
          <a:chOff x="4114801" y="3438525"/>
          <a:chExt cx="285750" cy="219073"/>
        </a:xfrm>
        <a:solidFill>
          <a:schemeClr val="bg2">
            <a:lumMod val="50000"/>
          </a:schemeClr>
        </a:solidFill>
      </xdr:grpSpPr>
      <xdr:sp macro="" textlink="">
        <xdr:nvSpPr>
          <xdr:cNvPr id="21" name="Freeform 20"/>
          <xdr:cNvSpPr/>
        </xdr:nvSpPr>
        <xdr:spPr>
          <a:xfrm>
            <a:off x="4186238" y="3438525"/>
            <a:ext cx="142875" cy="109537"/>
          </a:xfrm>
          <a:custGeom>
            <a:avLst/>
            <a:gdLst>
              <a:gd name="connsiteX0" fmla="*/ 0 w 142875"/>
              <a:gd name="connsiteY0" fmla="*/ 109537 h 109537"/>
              <a:gd name="connsiteX1" fmla="*/ 71438 w 142875"/>
              <a:gd name="connsiteY1" fmla="*/ 0 h 109537"/>
              <a:gd name="connsiteX2" fmla="*/ 71438 w 142875"/>
              <a:gd name="connsiteY2" fmla="*/ 0 h 109537"/>
              <a:gd name="connsiteX3" fmla="*/ 142875 w 142875"/>
              <a:gd name="connsiteY3" fmla="*/ 109537 h 109537"/>
              <a:gd name="connsiteX4" fmla="*/ 0 w 142875"/>
              <a:gd name="connsiteY4" fmla="*/ 109537 h 1095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5" h="109537">
                <a:moveTo>
                  <a:pt x="0" y="109537"/>
                </a:moveTo>
                <a:lnTo>
                  <a:pt x="71438" y="0"/>
                </a:lnTo>
                <a:lnTo>
                  <a:pt x="71438" y="0"/>
                </a:lnTo>
                <a:lnTo>
                  <a:pt x="142875" y="109537"/>
                </a:lnTo>
                <a:lnTo>
                  <a:pt x="0" y="109537"/>
                </a:lnTo>
                <a:close/>
              </a:path>
            </a:pathLst>
          </a:cu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6350" tIns="6350" rIns="6350" bIns="6350" numCol="1" spcCol="1270" anchor="ctr" anchorCtr="0">
            <a:noAutofit/>
          </a:bodyPr>
          <a:lstStyle/>
          <a:p>
            <a:pPr lvl="0" algn="ctr" defTabSz="222250">
              <a:lnSpc>
                <a:spcPct val="90000"/>
              </a:lnSpc>
              <a:spcBef>
                <a:spcPct val="0"/>
              </a:spcBef>
              <a:spcAft>
                <a:spcPct val="35000"/>
              </a:spcAft>
            </a:pPr>
            <a:endParaRPr lang="en-US" sz="2000" kern="1200"/>
          </a:p>
        </xdr:txBody>
      </xdr:sp>
      <xdr:sp macro="" textlink="">
        <xdr:nvSpPr>
          <xdr:cNvPr id="22" name="Freeform 21"/>
          <xdr:cNvSpPr/>
        </xdr:nvSpPr>
        <xdr:spPr>
          <a:xfrm>
            <a:off x="4114801" y="3548061"/>
            <a:ext cx="285750" cy="109537"/>
          </a:xfrm>
          <a:custGeom>
            <a:avLst/>
            <a:gdLst>
              <a:gd name="connsiteX0" fmla="*/ 0 w 285750"/>
              <a:gd name="connsiteY0" fmla="*/ 109537 h 109537"/>
              <a:gd name="connsiteX1" fmla="*/ 71438 w 285750"/>
              <a:gd name="connsiteY1" fmla="*/ 0 h 109537"/>
              <a:gd name="connsiteX2" fmla="*/ 214312 w 285750"/>
              <a:gd name="connsiteY2" fmla="*/ 0 h 109537"/>
              <a:gd name="connsiteX3" fmla="*/ 285750 w 285750"/>
              <a:gd name="connsiteY3" fmla="*/ 109537 h 109537"/>
              <a:gd name="connsiteX4" fmla="*/ 0 w 285750"/>
              <a:gd name="connsiteY4" fmla="*/ 109537 h 1095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85750" h="109537">
                <a:moveTo>
                  <a:pt x="0" y="109537"/>
                </a:moveTo>
                <a:lnTo>
                  <a:pt x="71438" y="0"/>
                </a:lnTo>
                <a:lnTo>
                  <a:pt x="214312" y="0"/>
                </a:lnTo>
                <a:lnTo>
                  <a:pt x="285750" y="109537"/>
                </a:lnTo>
                <a:lnTo>
                  <a:pt x="0" y="109537"/>
                </a:lnTo>
                <a:close/>
              </a:path>
            </a:pathLst>
          </a:cu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7626" tIns="7620" rIns="57627" bIns="7620" numCol="1" spcCol="1270" anchor="ctr" anchorCtr="0">
            <a:noAutofit/>
          </a:bodyPr>
          <a:lstStyle/>
          <a:p>
            <a:pPr lvl="0" algn="ctr" defTabSz="266700">
              <a:lnSpc>
                <a:spcPct val="90000"/>
              </a:lnSpc>
              <a:spcBef>
                <a:spcPct val="0"/>
              </a:spcBef>
              <a:spcAft>
                <a:spcPct val="35000"/>
              </a:spcAft>
            </a:pPr>
            <a:endParaRPr lang="en-US" sz="2400" kern="1200"/>
          </a:p>
        </xdr:txBody>
      </xdr:sp>
    </xdr:grpSp>
    <xdr:clientData/>
  </xdr:twoCellAnchor>
  <xdr:twoCellAnchor>
    <xdr:from>
      <xdr:col>19</xdr:col>
      <xdr:colOff>450850</xdr:colOff>
      <xdr:row>9</xdr:row>
      <xdr:rowOff>196</xdr:rowOff>
    </xdr:from>
    <xdr:to>
      <xdr:col>21</xdr:col>
      <xdr:colOff>355599</xdr:colOff>
      <xdr:row>12</xdr:row>
      <xdr:rowOff>50800</xdr:rowOff>
    </xdr:to>
    <xdr:sp macro="" textlink="">
      <xdr:nvSpPr>
        <xdr:cNvPr id="25" name="TextBox 24"/>
        <xdr:cNvSpPr txBox="1"/>
      </xdr:nvSpPr>
      <xdr:spPr>
        <a:xfrm>
          <a:off x="13481050" y="1943296"/>
          <a:ext cx="1174749" cy="698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rgbClr val="FFC000"/>
              </a:solidFill>
              <a:latin typeface="Calibri" panose="020F0502020204030204" pitchFamily="34" charset="0"/>
              <a:ea typeface="+mn-ea"/>
              <a:cs typeface="Calibri" panose="020F0502020204030204" pitchFamily="34" charset="0"/>
            </a:rPr>
            <a:t>Top</a:t>
          </a:r>
          <a:r>
            <a:rPr lang="en-IN" sz="1800" b="1" baseline="0">
              <a:solidFill>
                <a:srgbClr val="FFC000"/>
              </a:solidFill>
              <a:latin typeface="Calibri" panose="020F0502020204030204" pitchFamily="34" charset="0"/>
              <a:ea typeface="+mn-ea"/>
              <a:cs typeface="Calibri" panose="020F0502020204030204" pitchFamily="34" charset="0"/>
            </a:rPr>
            <a:t> </a:t>
          </a:r>
          <a:r>
            <a:rPr lang="en-IN" sz="1800" b="1">
              <a:solidFill>
                <a:srgbClr val="FFC000"/>
              </a:solidFill>
              <a:latin typeface="Calibri" panose="020F0502020204030204" pitchFamily="34" charset="0"/>
              <a:ea typeface="+mn-ea"/>
              <a:cs typeface="Calibri" panose="020F0502020204030204" pitchFamily="34" charset="0"/>
            </a:rPr>
            <a:t>Category</a:t>
          </a:r>
          <a:endParaRPr lang="en-IN" sz="1600" b="1">
            <a:solidFill>
              <a:srgbClr val="FFC000"/>
            </a:solidFill>
            <a:latin typeface="Calibri" panose="020F0502020204030204" pitchFamily="34" charset="0"/>
            <a:ea typeface="+mn-ea"/>
            <a:cs typeface="Calibri" panose="020F0502020204030204" pitchFamily="34" charset="0"/>
          </a:endParaRPr>
        </a:p>
      </xdr:txBody>
    </xdr:sp>
    <xdr:clientData/>
  </xdr:twoCellAnchor>
  <xdr:twoCellAnchor>
    <xdr:from>
      <xdr:col>17</xdr:col>
      <xdr:colOff>390526</xdr:colOff>
      <xdr:row>8</xdr:row>
      <xdr:rowOff>203397</xdr:rowOff>
    </xdr:from>
    <xdr:to>
      <xdr:col>19</xdr:col>
      <xdr:colOff>57150</xdr:colOff>
      <xdr:row>12</xdr:row>
      <xdr:rowOff>0</xdr:rowOff>
    </xdr:to>
    <xdr:sp macro="" textlink="">
      <xdr:nvSpPr>
        <xdr:cNvPr id="26" name="TextBox 25"/>
        <xdr:cNvSpPr txBox="1"/>
      </xdr:nvSpPr>
      <xdr:spPr>
        <a:xfrm>
          <a:off x="12049126" y="1930597"/>
          <a:ext cx="1038224" cy="660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FFC000"/>
              </a:solidFill>
              <a:latin typeface="Calibri" panose="020F0502020204030204" pitchFamily="34" charset="0"/>
              <a:cs typeface="Calibri" panose="020F0502020204030204" pitchFamily="34" charset="0"/>
            </a:rPr>
            <a:t>Top Product</a:t>
          </a:r>
          <a:endParaRPr lang="en-IN" sz="1800" b="1">
            <a:solidFill>
              <a:srgbClr val="FFC000"/>
            </a:solidFill>
            <a:latin typeface="Calibri" panose="020F0502020204030204" pitchFamily="34" charset="0"/>
            <a:ea typeface="+mn-ea"/>
            <a:cs typeface="Calibri" panose="020F0502020204030204" pitchFamily="34" charset="0"/>
          </a:endParaRPr>
        </a:p>
      </xdr:txBody>
    </xdr:sp>
    <xdr:clientData/>
  </xdr:twoCellAnchor>
  <xdr:twoCellAnchor>
    <xdr:from>
      <xdr:col>17</xdr:col>
      <xdr:colOff>311150</xdr:colOff>
      <xdr:row>11</xdr:row>
      <xdr:rowOff>31750</xdr:rowOff>
    </xdr:from>
    <xdr:to>
      <xdr:col>19</xdr:col>
      <xdr:colOff>101600</xdr:colOff>
      <xdr:row>15</xdr:row>
      <xdr:rowOff>146049</xdr:rowOff>
    </xdr:to>
    <xdr:sp macro="" textlink="">
      <xdr:nvSpPr>
        <xdr:cNvPr id="27" name="TextBox 26"/>
        <xdr:cNvSpPr txBox="1"/>
      </xdr:nvSpPr>
      <xdr:spPr>
        <a:xfrm>
          <a:off x="11969750" y="2406650"/>
          <a:ext cx="11620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latin typeface="Calibri" panose="020F0502020204030204" pitchFamily="34" charset="0"/>
              <a:ea typeface="+mn-ea"/>
              <a:cs typeface="Calibri" panose="020F0502020204030204" pitchFamily="34" charset="0"/>
            </a:rPr>
            <a:t>Product</a:t>
          </a:r>
          <a:r>
            <a:rPr lang="en-IN" sz="1600" b="1" baseline="0">
              <a:solidFill>
                <a:schemeClr val="bg1"/>
              </a:solidFill>
              <a:latin typeface="Calibri" panose="020F0502020204030204" pitchFamily="34" charset="0"/>
              <a:ea typeface="+mn-ea"/>
              <a:cs typeface="Calibri" panose="020F0502020204030204" pitchFamily="34" charset="0"/>
            </a:rPr>
            <a:t>41</a:t>
          </a:r>
          <a:endParaRPr lang="en-IN" sz="2400" b="1" baseline="0">
            <a:solidFill>
              <a:schemeClr val="bg1"/>
            </a:solidFill>
            <a:latin typeface="Calibri" panose="020F0502020204030204" pitchFamily="34" charset="0"/>
            <a:ea typeface="+mn-ea"/>
            <a:cs typeface="Calibri" panose="020F0502020204030204" pitchFamily="34" charset="0"/>
          </a:endParaRPr>
        </a:p>
        <a:p>
          <a:pPr algn="ctr"/>
          <a:r>
            <a:rPr lang="en-IN" sz="1800" b="1" baseline="0">
              <a:solidFill>
                <a:schemeClr val="bg1"/>
              </a:solidFill>
              <a:latin typeface="Calibri" panose="020F0502020204030204" pitchFamily="34" charset="0"/>
              <a:ea typeface="+mn-ea"/>
              <a:cs typeface="Calibri" panose="020F0502020204030204" pitchFamily="34" charset="0"/>
            </a:rPr>
            <a:t>$22952</a:t>
          </a:r>
          <a:endParaRPr lang="en-IN" sz="1800" b="1">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19</xdr:col>
      <xdr:colOff>225426</xdr:colOff>
      <xdr:row>11</xdr:row>
      <xdr:rowOff>196850</xdr:rowOff>
    </xdr:from>
    <xdr:to>
      <xdr:col>21</xdr:col>
      <xdr:colOff>539750</xdr:colOff>
      <xdr:row>15</xdr:row>
      <xdr:rowOff>19050</xdr:rowOff>
    </xdr:to>
    <xdr:sp macro="" textlink="">
      <xdr:nvSpPr>
        <xdr:cNvPr id="29" name="TextBox 28"/>
        <xdr:cNvSpPr txBox="1"/>
      </xdr:nvSpPr>
      <xdr:spPr>
        <a:xfrm>
          <a:off x="13255626" y="2571750"/>
          <a:ext cx="1584324"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latin typeface="Calibri" panose="020F0502020204030204" pitchFamily="34" charset="0"/>
              <a:ea typeface="+mn-ea"/>
              <a:cs typeface="Calibri" panose="020F0502020204030204" pitchFamily="34" charset="0"/>
            </a:rPr>
            <a:t>Category</a:t>
          </a:r>
          <a:r>
            <a:rPr lang="en-IN" sz="1600" b="1" baseline="0">
              <a:solidFill>
                <a:schemeClr val="bg1"/>
              </a:solidFill>
              <a:latin typeface="Calibri" panose="020F0502020204030204" pitchFamily="34" charset="0"/>
              <a:ea typeface="+mn-ea"/>
              <a:cs typeface="Calibri" panose="020F0502020204030204" pitchFamily="34" charset="0"/>
            </a:rPr>
            <a:t> 04  </a:t>
          </a:r>
        </a:p>
        <a:p>
          <a:pPr algn="ctr"/>
          <a:r>
            <a:rPr lang="en-IN" sz="1600" b="1" baseline="0">
              <a:solidFill>
                <a:schemeClr val="bg1"/>
              </a:solidFill>
              <a:latin typeface="Calibri" panose="020F0502020204030204" pitchFamily="34" charset="0"/>
              <a:ea typeface="+mn-ea"/>
              <a:cs typeface="Calibri" panose="020F0502020204030204" pitchFamily="34" charset="0"/>
            </a:rPr>
            <a:t>$95269</a:t>
          </a:r>
          <a:endParaRPr lang="en-IN" sz="1600" b="1">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3</xdr:col>
      <xdr:colOff>184150</xdr:colOff>
      <xdr:row>27</xdr:row>
      <xdr:rowOff>63500</xdr:rowOff>
    </xdr:from>
    <xdr:to>
      <xdr:col>11</xdr:col>
      <xdr:colOff>165100</xdr:colOff>
      <xdr:row>35</xdr:row>
      <xdr:rowOff>196851</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361948</xdr:colOff>
      <xdr:row>2</xdr:row>
      <xdr:rowOff>95250</xdr:rowOff>
    </xdr:from>
    <xdr:to>
      <xdr:col>14</xdr:col>
      <xdr:colOff>76199</xdr:colOff>
      <xdr:row>5</xdr:row>
      <xdr:rowOff>158750</xdr:rowOff>
    </xdr:to>
    <mc:AlternateContent xmlns:mc="http://schemas.openxmlformats.org/markup-compatibility/2006" xmlns:a14="http://schemas.microsoft.com/office/drawing/2010/main">
      <mc:Choice Requires="a14">
        <xdr:graphicFrame macro="">
          <xdr:nvGraphicFramePr>
            <xdr:cNvPr id="31"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7219948" y="527050"/>
              <a:ext cx="2457451" cy="71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615950</xdr:colOff>
      <xdr:row>14</xdr:row>
      <xdr:rowOff>171450</xdr:rowOff>
    </xdr:from>
    <xdr:to>
      <xdr:col>2</xdr:col>
      <xdr:colOff>254000</xdr:colOff>
      <xdr:row>31</xdr:row>
      <xdr:rowOff>127000</xdr:rowOff>
    </xdr:to>
    <mc:AlternateContent xmlns:mc="http://schemas.openxmlformats.org/markup-compatibility/2006" xmlns:a14="http://schemas.microsoft.com/office/drawing/2010/main">
      <mc:Choice Requires="a14">
        <xdr:graphicFrame macro="">
          <xdr:nvGraphicFramePr>
            <xdr:cNvPr id="3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15950" y="3194050"/>
              <a:ext cx="1009650" cy="362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590548</xdr:colOff>
      <xdr:row>8</xdr:row>
      <xdr:rowOff>155575</xdr:rowOff>
    </xdr:from>
    <xdr:to>
      <xdr:col>2</xdr:col>
      <xdr:colOff>292100</xdr:colOff>
      <xdr:row>12</xdr:row>
      <xdr:rowOff>177800</xdr:rowOff>
    </xdr:to>
    <mc:AlternateContent xmlns:mc="http://schemas.openxmlformats.org/markup-compatibility/2006" xmlns:a14="http://schemas.microsoft.com/office/drawing/2010/main">
      <mc:Choice Requires="a14">
        <xdr:graphicFrame macro="">
          <xdr:nvGraphicFramePr>
            <xdr:cNvPr id="3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90548" y="1882775"/>
              <a:ext cx="1073152"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1</xdr:row>
      <xdr:rowOff>190500</xdr:rowOff>
    </xdr:from>
    <xdr:to>
      <xdr:col>17</xdr:col>
      <xdr:colOff>50800</xdr:colOff>
      <xdr:row>6</xdr:row>
      <xdr:rowOff>25400</xdr:rowOff>
    </xdr:to>
    <mc:AlternateContent xmlns:mc="http://schemas.openxmlformats.org/markup-compatibility/2006" xmlns:a14="http://schemas.microsoft.com/office/drawing/2010/main">
      <mc:Choice Requires="a14">
        <xdr:graphicFrame macro="">
          <xdr:nvGraphicFramePr>
            <xdr:cNvPr id="38" name="PAYMENT MODE 2"/>
            <xdr:cNvGraphicFramePr/>
          </xdr:nvGraphicFramePr>
          <xdr:xfrm>
            <a:off x="0" y="0"/>
            <a:ext cx="0" cy="0"/>
          </xdr:xfrm>
          <a:graphic>
            <a:graphicData uri="http://schemas.microsoft.com/office/drawing/2010/slicer">
              <sle:slicer xmlns:sle="http://schemas.microsoft.com/office/drawing/2010/slicer" name="PAYMENT MODE 2"/>
            </a:graphicData>
          </a:graphic>
        </xdr:graphicFrame>
      </mc:Choice>
      <mc:Fallback xmlns="">
        <xdr:sp macro="" textlink="">
          <xdr:nvSpPr>
            <xdr:cNvPr id="0" name=""/>
            <xdr:cNvSpPr>
              <a:spLocks noTextEdit="1"/>
            </xdr:cNvSpPr>
          </xdr:nvSpPr>
          <xdr:spPr>
            <a:xfrm>
              <a:off x="10020300" y="406400"/>
              <a:ext cx="16891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660400</xdr:colOff>
      <xdr:row>15</xdr:row>
      <xdr:rowOff>0</xdr:rowOff>
    </xdr:from>
    <xdr:to>
      <xdr:col>8</xdr:col>
      <xdr:colOff>76200</xdr:colOff>
      <xdr:row>23</xdr:row>
      <xdr:rowOff>76200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381001</xdr:colOff>
      <xdr:row>21</xdr:row>
      <xdr:rowOff>203200</xdr:rowOff>
    </xdr:from>
    <xdr:to>
      <xdr:col>21</xdr:col>
      <xdr:colOff>304800</xdr:colOff>
      <xdr:row>35</xdr:row>
      <xdr:rowOff>139700</xdr:rowOff>
    </xdr:to>
    <mc:AlternateContent xmlns:mc="http://schemas.openxmlformats.org/markup-compatibility/2006">
      <mc:Choice xmlns:cx1="http://schemas.microsoft.com/office/drawing/2015/9/8/chartex" Requires="cx1">
        <xdr:graphicFrame macro="">
          <xdr:nvGraphicFramePr>
            <xdr:cNvPr id="42" name="Chart 4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63500</xdr:colOff>
      <xdr:row>15</xdr:row>
      <xdr:rowOff>12700</xdr:rowOff>
    </xdr:from>
    <xdr:to>
      <xdr:col>12</xdr:col>
      <xdr:colOff>304799</xdr:colOff>
      <xdr:row>23</xdr:row>
      <xdr:rowOff>85726</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520701</xdr:colOff>
      <xdr:row>27</xdr:row>
      <xdr:rowOff>165100</xdr:rowOff>
    </xdr:from>
    <xdr:to>
      <xdr:col>16</xdr:col>
      <xdr:colOff>304800</xdr:colOff>
      <xdr:row>35</xdr:row>
      <xdr:rowOff>139700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254001</xdr:colOff>
      <xdr:row>15</xdr:row>
      <xdr:rowOff>25401</xdr:rowOff>
    </xdr:from>
    <xdr:to>
      <xdr:col>16</xdr:col>
      <xdr:colOff>520700</xdr:colOff>
      <xdr:row>23</xdr:row>
      <xdr:rowOff>177800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0</xdr:colOff>
      <xdr:row>55</xdr:row>
      <xdr:rowOff>0</xdr:rowOff>
    </xdr:from>
    <xdr:to>
      <xdr:col>20</xdr:col>
      <xdr:colOff>279400</xdr:colOff>
      <xdr:row>74</xdr:row>
      <xdr:rowOff>190500</xdr:rowOff>
    </xdr:to>
    <xdr:pic>
      <xdr:nvPicPr>
        <xdr:cNvPr id="4" name="Picture 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601200" y="11874500"/>
          <a:ext cx="4292600" cy="4292600"/>
        </a:xfrm>
        <a:prstGeom prst="rect">
          <a:avLst/>
        </a:prstGeom>
      </xdr:spPr>
    </xdr:pic>
    <xdr:clientData/>
  </xdr:twoCellAnchor>
  <xdr:twoCellAnchor editAs="oneCell">
    <xdr:from>
      <xdr:col>1</xdr:col>
      <xdr:colOff>393700</xdr:colOff>
      <xdr:row>1</xdr:row>
      <xdr:rowOff>139700</xdr:rowOff>
    </xdr:from>
    <xdr:to>
      <xdr:col>3</xdr:col>
      <xdr:colOff>396158</xdr:colOff>
      <xdr:row>6</xdr:row>
      <xdr:rowOff>50800</xdr:rowOff>
    </xdr:to>
    <xdr:pic>
      <xdr:nvPicPr>
        <xdr:cNvPr id="8" name="Picture 7"/>
        <xdr:cNvPicPr>
          <a:picLocks noChangeAspect="1"/>
        </xdr:cNvPicPr>
      </xdr:nvPicPr>
      <xdr:blipFill>
        <a:blip xmlns:r="http://schemas.openxmlformats.org/officeDocument/2006/relationships" r:embed="rId9" cstate="print">
          <a:clrChange>
            <a:clrFrom>
              <a:srgbClr val="FFFFFF"/>
            </a:clrFrom>
            <a:clrTo>
              <a:srgbClr val="FFFFFF">
                <a:alpha val="0"/>
              </a:srgbClr>
            </a:clrTo>
          </a:clrChange>
          <a:biLevel thresh="50000"/>
          <a:extLst>
            <a:ext uri="{28A0092B-C50C-407E-A947-70E740481C1C}">
              <a14:useLocalDpi xmlns:a14="http://schemas.microsoft.com/office/drawing/2010/main" val="0"/>
            </a:ext>
          </a:extLst>
        </a:blip>
        <a:stretch>
          <a:fillRect/>
        </a:stretch>
      </xdr:blipFill>
      <xdr:spPr>
        <a:xfrm>
          <a:off x="1079500" y="355600"/>
          <a:ext cx="1374058" cy="990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yali" refreshedDate="44789.647324999998" createdVersion="6" refreshedVersion="6" minRefreshableVersion="3" recordCount="527">
  <cacheSource type="worksheet">
    <worksheetSource name="InputData"/>
  </cacheSource>
  <cacheFields count="18">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7" base="0">
        <rangePr groupBy="months" startDate="2021-01-01T00:00:00" endDate="2023-01-01T00:00:00"/>
        <groupItems count="14">
          <s v="&lt;01-01-2021"/>
          <s v="Jan"/>
          <s v="Feb"/>
          <s v="Mar"/>
          <s v="Apr"/>
          <s v="May"/>
          <s v="Jun"/>
          <s v="Jul"/>
          <s v="Aug"/>
          <s v="Sep"/>
          <s v="Oct"/>
          <s v="Nov"/>
          <s v="Dec"/>
          <s v="&gt;01-01-2023"/>
        </groupItems>
      </fieldGroup>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Quarters" numFmtId="0" databaseField="0">
      <fieldGroup base="0">
        <rangePr groupBy="quarters" startDate="2021-01-01T00:00:00" endDate="2023-01-01T00:00:00"/>
        <groupItems count="6">
          <s v="&lt;01-01-2021"/>
          <s v="Qtr1"/>
          <s v="Qtr2"/>
          <s v="Qtr3"/>
          <s v="Qtr4"/>
          <s v="&gt;01-01-2023"/>
        </groupItems>
      </fieldGroup>
    </cacheField>
    <cacheField name="Years" numFmtId="0" databaseField="0">
      <fieldGroup base="0">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x v="0"/>
    <x v="0"/>
    <n v="9"/>
    <x v="0"/>
    <x v="0"/>
    <n v="0"/>
    <x v="0"/>
    <x v="0"/>
    <x v="0"/>
    <n v="144"/>
    <n v="156.96"/>
    <n v="1296"/>
    <n v="1412.64"/>
    <x v="0"/>
    <x v="0"/>
    <x v="0"/>
  </r>
  <r>
    <x v="1"/>
    <x v="1"/>
    <n v="15"/>
    <x v="1"/>
    <x v="1"/>
    <n v="0"/>
    <x v="1"/>
    <x v="1"/>
    <x v="1"/>
    <n v="72"/>
    <n v="79.92"/>
    <n v="1080"/>
    <n v="1198.8"/>
    <x v="1"/>
    <x v="0"/>
    <x v="0"/>
  </r>
  <r>
    <x v="1"/>
    <x v="2"/>
    <n v="6"/>
    <x v="2"/>
    <x v="1"/>
    <n v="0"/>
    <x v="2"/>
    <x v="2"/>
    <x v="1"/>
    <n v="112"/>
    <n v="122.08"/>
    <n v="672"/>
    <n v="732.48"/>
    <x v="1"/>
    <x v="0"/>
    <x v="0"/>
  </r>
  <r>
    <x v="2"/>
    <x v="3"/>
    <n v="5"/>
    <x v="2"/>
    <x v="0"/>
    <n v="0"/>
    <x v="3"/>
    <x v="3"/>
    <x v="2"/>
    <n v="44"/>
    <n v="48.84"/>
    <n v="220"/>
    <n v="244.20000000000002"/>
    <x v="2"/>
    <x v="0"/>
    <x v="0"/>
  </r>
  <r>
    <x v="3"/>
    <x v="4"/>
    <n v="12"/>
    <x v="1"/>
    <x v="0"/>
    <n v="0"/>
    <x v="4"/>
    <x v="4"/>
    <x v="3"/>
    <n v="5"/>
    <n v="6.7"/>
    <n v="60"/>
    <n v="80.400000000000006"/>
    <x v="3"/>
    <x v="0"/>
    <x v="0"/>
  </r>
  <r>
    <x v="4"/>
    <x v="5"/>
    <n v="1"/>
    <x v="2"/>
    <x v="1"/>
    <n v="0"/>
    <x v="5"/>
    <x v="4"/>
    <x v="1"/>
    <n v="93"/>
    <n v="104.16"/>
    <n v="93"/>
    <n v="104.16"/>
    <x v="4"/>
    <x v="0"/>
    <x v="0"/>
  </r>
  <r>
    <x v="4"/>
    <x v="6"/>
    <n v="8"/>
    <x v="2"/>
    <x v="1"/>
    <n v="0"/>
    <x v="6"/>
    <x v="3"/>
    <x v="1"/>
    <n v="71"/>
    <n v="80.94"/>
    <n v="568"/>
    <n v="647.52"/>
    <x v="4"/>
    <x v="0"/>
    <x v="0"/>
  </r>
  <r>
    <x v="4"/>
    <x v="7"/>
    <n v="4"/>
    <x v="2"/>
    <x v="0"/>
    <n v="0"/>
    <x v="7"/>
    <x v="0"/>
    <x v="3"/>
    <n v="7"/>
    <n v="8.33"/>
    <n v="28"/>
    <n v="33.32"/>
    <x v="4"/>
    <x v="0"/>
    <x v="0"/>
  </r>
  <r>
    <x v="5"/>
    <x v="8"/>
    <n v="3"/>
    <x v="2"/>
    <x v="1"/>
    <n v="0"/>
    <x v="8"/>
    <x v="1"/>
    <x v="1"/>
    <n v="67"/>
    <n v="85.76"/>
    <n v="201"/>
    <n v="257.28000000000003"/>
    <x v="5"/>
    <x v="0"/>
    <x v="0"/>
  </r>
  <r>
    <x v="5"/>
    <x v="9"/>
    <n v="4"/>
    <x v="0"/>
    <x v="0"/>
    <n v="0"/>
    <x v="9"/>
    <x v="2"/>
    <x v="1"/>
    <n v="112"/>
    <n v="146.72"/>
    <n v="448"/>
    <n v="586.88"/>
    <x v="5"/>
    <x v="0"/>
    <x v="0"/>
  </r>
  <r>
    <x v="5"/>
    <x v="10"/>
    <n v="4"/>
    <x v="2"/>
    <x v="0"/>
    <n v="0"/>
    <x v="10"/>
    <x v="1"/>
    <x v="0"/>
    <n v="120"/>
    <n v="162"/>
    <n v="480"/>
    <n v="648"/>
    <x v="5"/>
    <x v="0"/>
    <x v="0"/>
  </r>
  <r>
    <x v="6"/>
    <x v="10"/>
    <n v="10"/>
    <x v="1"/>
    <x v="1"/>
    <n v="0"/>
    <x v="10"/>
    <x v="1"/>
    <x v="0"/>
    <n v="120"/>
    <n v="162"/>
    <n v="1200"/>
    <n v="1620"/>
    <x v="6"/>
    <x v="0"/>
    <x v="0"/>
  </r>
  <r>
    <x v="7"/>
    <x v="11"/>
    <n v="13"/>
    <x v="2"/>
    <x v="0"/>
    <n v="0"/>
    <x v="11"/>
    <x v="1"/>
    <x v="1"/>
    <n v="76"/>
    <n v="82.08"/>
    <n v="988"/>
    <n v="1067.04"/>
    <x v="7"/>
    <x v="0"/>
    <x v="0"/>
  </r>
  <r>
    <x v="7"/>
    <x v="12"/>
    <n v="3"/>
    <x v="1"/>
    <x v="1"/>
    <n v="0"/>
    <x v="12"/>
    <x v="0"/>
    <x v="0"/>
    <n v="141"/>
    <n v="149.46"/>
    <n v="423"/>
    <n v="448.38"/>
    <x v="7"/>
    <x v="0"/>
    <x v="0"/>
  </r>
  <r>
    <x v="8"/>
    <x v="4"/>
    <n v="6"/>
    <x v="2"/>
    <x v="1"/>
    <n v="0"/>
    <x v="4"/>
    <x v="4"/>
    <x v="3"/>
    <n v="5"/>
    <n v="6.7"/>
    <n v="30"/>
    <n v="40.200000000000003"/>
    <x v="8"/>
    <x v="0"/>
    <x v="0"/>
  </r>
  <r>
    <x v="9"/>
    <x v="13"/>
    <n v="4"/>
    <x v="2"/>
    <x v="1"/>
    <n v="0"/>
    <x v="13"/>
    <x v="4"/>
    <x v="2"/>
    <n v="55"/>
    <n v="58.3"/>
    <n v="220"/>
    <n v="233.2"/>
    <x v="9"/>
    <x v="0"/>
    <x v="0"/>
  </r>
  <r>
    <x v="9"/>
    <x v="14"/>
    <n v="4"/>
    <x v="2"/>
    <x v="1"/>
    <n v="0"/>
    <x v="14"/>
    <x v="0"/>
    <x v="2"/>
    <n v="61"/>
    <n v="76.25"/>
    <n v="244"/>
    <n v="305"/>
    <x v="9"/>
    <x v="0"/>
    <x v="0"/>
  </r>
  <r>
    <x v="10"/>
    <x v="3"/>
    <n v="15"/>
    <x v="0"/>
    <x v="1"/>
    <n v="0"/>
    <x v="3"/>
    <x v="3"/>
    <x v="2"/>
    <n v="44"/>
    <n v="48.84"/>
    <n v="660"/>
    <n v="732.6"/>
    <x v="10"/>
    <x v="0"/>
    <x v="0"/>
  </r>
  <r>
    <x v="10"/>
    <x v="6"/>
    <n v="9"/>
    <x v="2"/>
    <x v="0"/>
    <n v="0"/>
    <x v="6"/>
    <x v="3"/>
    <x v="1"/>
    <n v="71"/>
    <n v="80.94"/>
    <n v="639"/>
    <n v="728.46"/>
    <x v="10"/>
    <x v="0"/>
    <x v="0"/>
  </r>
  <r>
    <x v="10"/>
    <x v="10"/>
    <n v="6"/>
    <x v="2"/>
    <x v="0"/>
    <n v="0"/>
    <x v="10"/>
    <x v="1"/>
    <x v="0"/>
    <n v="120"/>
    <n v="162"/>
    <n v="720"/>
    <n v="972"/>
    <x v="10"/>
    <x v="0"/>
    <x v="0"/>
  </r>
  <r>
    <x v="11"/>
    <x v="13"/>
    <n v="6"/>
    <x v="2"/>
    <x v="1"/>
    <n v="0"/>
    <x v="13"/>
    <x v="4"/>
    <x v="2"/>
    <n v="55"/>
    <n v="58.3"/>
    <n v="330"/>
    <n v="349.79999999999995"/>
    <x v="11"/>
    <x v="0"/>
    <x v="0"/>
  </r>
  <r>
    <x v="11"/>
    <x v="4"/>
    <n v="7"/>
    <x v="2"/>
    <x v="0"/>
    <n v="0"/>
    <x v="4"/>
    <x v="4"/>
    <x v="3"/>
    <n v="5"/>
    <n v="6.7"/>
    <n v="35"/>
    <n v="46.9"/>
    <x v="11"/>
    <x v="0"/>
    <x v="0"/>
  </r>
  <r>
    <x v="11"/>
    <x v="5"/>
    <n v="14"/>
    <x v="2"/>
    <x v="0"/>
    <n v="0"/>
    <x v="5"/>
    <x v="4"/>
    <x v="1"/>
    <n v="93"/>
    <n v="104.16"/>
    <n v="1302"/>
    <n v="1458.24"/>
    <x v="11"/>
    <x v="0"/>
    <x v="0"/>
  </r>
  <r>
    <x v="12"/>
    <x v="11"/>
    <n v="9"/>
    <x v="0"/>
    <x v="1"/>
    <n v="0"/>
    <x v="11"/>
    <x v="1"/>
    <x v="1"/>
    <n v="76"/>
    <n v="82.08"/>
    <n v="684"/>
    <n v="738.72"/>
    <x v="12"/>
    <x v="0"/>
    <x v="0"/>
  </r>
  <r>
    <x v="12"/>
    <x v="15"/>
    <n v="7"/>
    <x v="1"/>
    <x v="1"/>
    <n v="0"/>
    <x v="15"/>
    <x v="3"/>
    <x v="1"/>
    <n v="75"/>
    <n v="85.5"/>
    <n v="525"/>
    <n v="598.5"/>
    <x v="12"/>
    <x v="0"/>
    <x v="0"/>
  </r>
  <r>
    <x v="12"/>
    <x v="16"/>
    <n v="7"/>
    <x v="1"/>
    <x v="0"/>
    <n v="0"/>
    <x v="16"/>
    <x v="3"/>
    <x v="1"/>
    <n v="98"/>
    <n v="103.88"/>
    <n v="686"/>
    <n v="727.16"/>
    <x v="12"/>
    <x v="0"/>
    <x v="0"/>
  </r>
  <r>
    <x v="13"/>
    <x v="17"/>
    <n v="7"/>
    <x v="0"/>
    <x v="0"/>
    <n v="0"/>
    <x v="17"/>
    <x v="1"/>
    <x v="1"/>
    <n v="90"/>
    <n v="115.2"/>
    <n v="630"/>
    <n v="806.4"/>
    <x v="13"/>
    <x v="0"/>
    <x v="0"/>
  </r>
  <r>
    <x v="13"/>
    <x v="18"/>
    <n v="3"/>
    <x v="0"/>
    <x v="0"/>
    <n v="0"/>
    <x v="18"/>
    <x v="4"/>
    <x v="1"/>
    <n v="89"/>
    <n v="117.48"/>
    <n v="267"/>
    <n v="352.44"/>
    <x v="13"/>
    <x v="0"/>
    <x v="0"/>
  </r>
  <r>
    <x v="14"/>
    <x v="3"/>
    <n v="10"/>
    <x v="1"/>
    <x v="1"/>
    <n v="0"/>
    <x v="3"/>
    <x v="3"/>
    <x v="2"/>
    <n v="44"/>
    <n v="48.84"/>
    <n v="440"/>
    <n v="488.40000000000003"/>
    <x v="14"/>
    <x v="0"/>
    <x v="0"/>
  </r>
  <r>
    <x v="14"/>
    <x v="19"/>
    <n v="2"/>
    <x v="2"/>
    <x v="1"/>
    <n v="0"/>
    <x v="19"/>
    <x v="4"/>
    <x v="2"/>
    <n v="47"/>
    <n v="53.11"/>
    <n v="94"/>
    <n v="106.22"/>
    <x v="14"/>
    <x v="0"/>
    <x v="0"/>
  </r>
  <r>
    <x v="15"/>
    <x v="20"/>
    <n v="7"/>
    <x v="1"/>
    <x v="0"/>
    <n v="0"/>
    <x v="20"/>
    <x v="2"/>
    <x v="0"/>
    <n v="148"/>
    <n v="164.28"/>
    <n v="1036"/>
    <n v="1149.96"/>
    <x v="1"/>
    <x v="1"/>
    <x v="0"/>
  </r>
  <r>
    <x v="16"/>
    <x v="21"/>
    <n v="13"/>
    <x v="2"/>
    <x v="0"/>
    <n v="0"/>
    <x v="21"/>
    <x v="2"/>
    <x v="3"/>
    <n v="13"/>
    <n v="16.64"/>
    <n v="169"/>
    <n v="216.32"/>
    <x v="2"/>
    <x v="1"/>
    <x v="0"/>
  </r>
  <r>
    <x v="16"/>
    <x v="22"/>
    <n v="2"/>
    <x v="0"/>
    <x v="1"/>
    <n v="0"/>
    <x v="22"/>
    <x v="0"/>
    <x v="0"/>
    <n v="121"/>
    <n v="141.57"/>
    <n v="242"/>
    <n v="283.14"/>
    <x v="2"/>
    <x v="1"/>
    <x v="0"/>
  </r>
  <r>
    <x v="17"/>
    <x v="8"/>
    <n v="4"/>
    <x v="1"/>
    <x v="0"/>
    <n v="0"/>
    <x v="8"/>
    <x v="1"/>
    <x v="1"/>
    <n v="67"/>
    <n v="85.76"/>
    <n v="268"/>
    <n v="343.04"/>
    <x v="3"/>
    <x v="1"/>
    <x v="0"/>
  </r>
  <r>
    <x v="18"/>
    <x v="23"/>
    <n v="7"/>
    <x v="1"/>
    <x v="1"/>
    <n v="0"/>
    <x v="23"/>
    <x v="1"/>
    <x v="1"/>
    <n v="67"/>
    <n v="83.08"/>
    <n v="469"/>
    <n v="581.55999999999995"/>
    <x v="15"/>
    <x v="1"/>
    <x v="0"/>
  </r>
  <r>
    <x v="18"/>
    <x v="24"/>
    <n v="1"/>
    <x v="2"/>
    <x v="1"/>
    <n v="0"/>
    <x v="24"/>
    <x v="3"/>
    <x v="0"/>
    <n v="133"/>
    <n v="155.61000000000001"/>
    <n v="133"/>
    <n v="155.61000000000001"/>
    <x v="15"/>
    <x v="1"/>
    <x v="0"/>
  </r>
  <r>
    <x v="18"/>
    <x v="23"/>
    <n v="9"/>
    <x v="2"/>
    <x v="1"/>
    <n v="0"/>
    <x v="23"/>
    <x v="1"/>
    <x v="1"/>
    <n v="67"/>
    <n v="83.08"/>
    <n v="603"/>
    <n v="747.72"/>
    <x v="15"/>
    <x v="1"/>
    <x v="0"/>
  </r>
  <r>
    <x v="19"/>
    <x v="4"/>
    <n v="1"/>
    <x v="2"/>
    <x v="1"/>
    <n v="0"/>
    <x v="4"/>
    <x v="4"/>
    <x v="3"/>
    <n v="5"/>
    <n v="6.7"/>
    <n v="5"/>
    <n v="6.7"/>
    <x v="16"/>
    <x v="1"/>
    <x v="0"/>
  </r>
  <r>
    <x v="20"/>
    <x v="13"/>
    <n v="14"/>
    <x v="2"/>
    <x v="0"/>
    <n v="0"/>
    <x v="13"/>
    <x v="4"/>
    <x v="2"/>
    <n v="55"/>
    <n v="58.3"/>
    <n v="770"/>
    <n v="816.19999999999993"/>
    <x v="4"/>
    <x v="1"/>
    <x v="0"/>
  </r>
  <r>
    <x v="21"/>
    <x v="25"/>
    <n v="7"/>
    <x v="2"/>
    <x v="1"/>
    <n v="0"/>
    <x v="25"/>
    <x v="3"/>
    <x v="1"/>
    <n v="83"/>
    <n v="94.62"/>
    <n v="581"/>
    <n v="662.34"/>
    <x v="6"/>
    <x v="1"/>
    <x v="0"/>
  </r>
  <r>
    <x v="21"/>
    <x v="12"/>
    <n v="9"/>
    <x v="1"/>
    <x v="1"/>
    <n v="0"/>
    <x v="12"/>
    <x v="0"/>
    <x v="0"/>
    <n v="141"/>
    <n v="149.46"/>
    <n v="1269"/>
    <n v="1345.14"/>
    <x v="6"/>
    <x v="1"/>
    <x v="0"/>
  </r>
  <r>
    <x v="22"/>
    <x v="26"/>
    <n v="4"/>
    <x v="2"/>
    <x v="0"/>
    <n v="0"/>
    <x v="26"/>
    <x v="4"/>
    <x v="2"/>
    <n v="48"/>
    <n v="57.120000000000005"/>
    <n v="192"/>
    <n v="228.48000000000002"/>
    <x v="17"/>
    <x v="1"/>
    <x v="0"/>
  </r>
  <r>
    <x v="23"/>
    <x v="27"/>
    <n v="6"/>
    <x v="1"/>
    <x v="1"/>
    <n v="0"/>
    <x v="27"/>
    <x v="2"/>
    <x v="3"/>
    <n v="12"/>
    <n v="15.719999999999999"/>
    <n v="72"/>
    <n v="94.32"/>
    <x v="7"/>
    <x v="1"/>
    <x v="0"/>
  </r>
  <r>
    <x v="24"/>
    <x v="28"/>
    <n v="11"/>
    <x v="1"/>
    <x v="1"/>
    <n v="0"/>
    <x v="28"/>
    <x v="4"/>
    <x v="0"/>
    <n v="148"/>
    <n v="201.28"/>
    <n v="1628"/>
    <n v="2214.08"/>
    <x v="9"/>
    <x v="1"/>
    <x v="0"/>
  </r>
  <r>
    <x v="25"/>
    <x v="2"/>
    <n v="5"/>
    <x v="1"/>
    <x v="1"/>
    <n v="0"/>
    <x v="2"/>
    <x v="2"/>
    <x v="1"/>
    <n v="112"/>
    <n v="122.08"/>
    <n v="560"/>
    <n v="610.4"/>
    <x v="18"/>
    <x v="1"/>
    <x v="0"/>
  </r>
  <r>
    <x v="26"/>
    <x v="7"/>
    <n v="3"/>
    <x v="2"/>
    <x v="1"/>
    <n v="0"/>
    <x v="7"/>
    <x v="0"/>
    <x v="3"/>
    <n v="7"/>
    <n v="8.33"/>
    <n v="21"/>
    <n v="24.990000000000002"/>
    <x v="19"/>
    <x v="1"/>
    <x v="0"/>
  </r>
  <r>
    <x v="26"/>
    <x v="24"/>
    <n v="2"/>
    <x v="2"/>
    <x v="0"/>
    <n v="0"/>
    <x v="24"/>
    <x v="3"/>
    <x v="0"/>
    <n v="133"/>
    <n v="155.61000000000001"/>
    <n v="266"/>
    <n v="311.22000000000003"/>
    <x v="19"/>
    <x v="1"/>
    <x v="0"/>
  </r>
  <r>
    <x v="27"/>
    <x v="29"/>
    <n v="4"/>
    <x v="0"/>
    <x v="0"/>
    <n v="0"/>
    <x v="29"/>
    <x v="3"/>
    <x v="1"/>
    <n v="105"/>
    <n v="142.80000000000001"/>
    <n v="420"/>
    <n v="571.20000000000005"/>
    <x v="11"/>
    <x v="1"/>
    <x v="0"/>
  </r>
  <r>
    <x v="27"/>
    <x v="18"/>
    <n v="11"/>
    <x v="1"/>
    <x v="1"/>
    <n v="0"/>
    <x v="18"/>
    <x v="4"/>
    <x v="1"/>
    <n v="89"/>
    <n v="117.48"/>
    <n v="979"/>
    <n v="1292.28"/>
    <x v="11"/>
    <x v="1"/>
    <x v="0"/>
  </r>
  <r>
    <x v="27"/>
    <x v="28"/>
    <n v="2"/>
    <x v="2"/>
    <x v="0"/>
    <n v="0"/>
    <x v="28"/>
    <x v="4"/>
    <x v="0"/>
    <n v="148"/>
    <n v="201.28"/>
    <n v="296"/>
    <n v="402.56"/>
    <x v="11"/>
    <x v="1"/>
    <x v="0"/>
  </r>
  <r>
    <x v="28"/>
    <x v="30"/>
    <n v="11"/>
    <x v="0"/>
    <x v="0"/>
    <n v="0"/>
    <x v="30"/>
    <x v="2"/>
    <x v="3"/>
    <n v="37"/>
    <n v="49.21"/>
    <n v="407"/>
    <n v="541.31000000000006"/>
    <x v="13"/>
    <x v="1"/>
    <x v="0"/>
  </r>
  <r>
    <x v="29"/>
    <x v="31"/>
    <n v="1"/>
    <x v="2"/>
    <x v="0"/>
    <n v="0"/>
    <x v="31"/>
    <x v="2"/>
    <x v="2"/>
    <n v="44"/>
    <n v="48.4"/>
    <n v="44"/>
    <n v="48.4"/>
    <x v="2"/>
    <x v="2"/>
    <x v="0"/>
  </r>
  <r>
    <x v="30"/>
    <x v="32"/>
    <n v="9"/>
    <x v="2"/>
    <x v="1"/>
    <n v="0"/>
    <x v="32"/>
    <x v="0"/>
    <x v="0"/>
    <n v="126"/>
    <n v="162.54"/>
    <n v="1134"/>
    <n v="1462.86"/>
    <x v="20"/>
    <x v="2"/>
    <x v="0"/>
  </r>
  <r>
    <x v="31"/>
    <x v="26"/>
    <n v="6"/>
    <x v="1"/>
    <x v="1"/>
    <n v="0"/>
    <x v="26"/>
    <x v="4"/>
    <x v="2"/>
    <n v="48"/>
    <n v="57.120000000000005"/>
    <n v="288"/>
    <n v="342.72"/>
    <x v="21"/>
    <x v="2"/>
    <x v="0"/>
  </r>
  <r>
    <x v="31"/>
    <x v="11"/>
    <n v="9"/>
    <x v="1"/>
    <x v="0"/>
    <n v="0"/>
    <x v="11"/>
    <x v="1"/>
    <x v="1"/>
    <n v="76"/>
    <n v="82.08"/>
    <n v="684"/>
    <n v="738.72"/>
    <x v="21"/>
    <x v="2"/>
    <x v="0"/>
  </r>
  <r>
    <x v="32"/>
    <x v="19"/>
    <n v="6"/>
    <x v="0"/>
    <x v="0"/>
    <n v="0"/>
    <x v="19"/>
    <x v="4"/>
    <x v="2"/>
    <n v="47"/>
    <n v="53.11"/>
    <n v="282"/>
    <n v="318.65999999999997"/>
    <x v="4"/>
    <x v="2"/>
    <x v="0"/>
  </r>
  <r>
    <x v="33"/>
    <x v="7"/>
    <n v="11"/>
    <x v="2"/>
    <x v="1"/>
    <n v="0"/>
    <x v="7"/>
    <x v="0"/>
    <x v="3"/>
    <n v="7"/>
    <n v="8.33"/>
    <n v="77"/>
    <n v="91.63"/>
    <x v="5"/>
    <x v="2"/>
    <x v="0"/>
  </r>
  <r>
    <x v="34"/>
    <x v="33"/>
    <n v="10"/>
    <x v="0"/>
    <x v="1"/>
    <n v="0"/>
    <x v="33"/>
    <x v="4"/>
    <x v="3"/>
    <n v="37"/>
    <n v="41.81"/>
    <n v="370"/>
    <n v="418.1"/>
    <x v="22"/>
    <x v="2"/>
    <x v="0"/>
  </r>
  <r>
    <x v="35"/>
    <x v="34"/>
    <n v="11"/>
    <x v="1"/>
    <x v="1"/>
    <n v="0"/>
    <x v="34"/>
    <x v="1"/>
    <x v="3"/>
    <n v="37"/>
    <n v="42.55"/>
    <n v="407"/>
    <n v="468.04999999999995"/>
    <x v="17"/>
    <x v="2"/>
    <x v="0"/>
  </r>
  <r>
    <x v="36"/>
    <x v="35"/>
    <n v="14"/>
    <x v="2"/>
    <x v="1"/>
    <n v="0"/>
    <x v="35"/>
    <x v="2"/>
    <x v="1"/>
    <n v="73"/>
    <n v="94.17"/>
    <n v="1022"/>
    <n v="1318.38"/>
    <x v="23"/>
    <x v="2"/>
    <x v="0"/>
  </r>
  <r>
    <x v="37"/>
    <x v="10"/>
    <n v="8"/>
    <x v="0"/>
    <x v="1"/>
    <n v="0"/>
    <x v="10"/>
    <x v="1"/>
    <x v="0"/>
    <n v="120"/>
    <n v="162"/>
    <n v="960"/>
    <n v="1296"/>
    <x v="7"/>
    <x v="2"/>
    <x v="0"/>
  </r>
  <r>
    <x v="38"/>
    <x v="33"/>
    <n v="9"/>
    <x v="1"/>
    <x v="1"/>
    <n v="0"/>
    <x v="33"/>
    <x v="4"/>
    <x v="3"/>
    <n v="37"/>
    <n v="41.81"/>
    <n v="333"/>
    <n v="376.29"/>
    <x v="8"/>
    <x v="2"/>
    <x v="0"/>
  </r>
  <r>
    <x v="39"/>
    <x v="14"/>
    <n v="13"/>
    <x v="1"/>
    <x v="0"/>
    <n v="0"/>
    <x v="14"/>
    <x v="0"/>
    <x v="2"/>
    <n v="61"/>
    <n v="76.25"/>
    <n v="793"/>
    <n v="991.25"/>
    <x v="10"/>
    <x v="2"/>
    <x v="0"/>
  </r>
  <r>
    <x v="39"/>
    <x v="34"/>
    <n v="7"/>
    <x v="2"/>
    <x v="0"/>
    <n v="0"/>
    <x v="34"/>
    <x v="1"/>
    <x v="3"/>
    <n v="37"/>
    <n v="42.55"/>
    <n v="259"/>
    <n v="297.84999999999997"/>
    <x v="10"/>
    <x v="2"/>
    <x v="0"/>
  </r>
  <r>
    <x v="40"/>
    <x v="29"/>
    <n v="8"/>
    <x v="1"/>
    <x v="0"/>
    <n v="0"/>
    <x v="29"/>
    <x v="3"/>
    <x v="1"/>
    <n v="105"/>
    <n v="142.80000000000001"/>
    <n v="840"/>
    <n v="1142.4000000000001"/>
    <x v="18"/>
    <x v="2"/>
    <x v="0"/>
  </r>
  <r>
    <x v="40"/>
    <x v="35"/>
    <n v="4"/>
    <x v="1"/>
    <x v="0"/>
    <n v="0"/>
    <x v="35"/>
    <x v="2"/>
    <x v="1"/>
    <n v="73"/>
    <n v="94.17"/>
    <n v="292"/>
    <n v="376.68"/>
    <x v="18"/>
    <x v="2"/>
    <x v="0"/>
  </r>
  <r>
    <x v="41"/>
    <x v="0"/>
    <n v="14"/>
    <x v="1"/>
    <x v="1"/>
    <n v="0"/>
    <x v="0"/>
    <x v="0"/>
    <x v="0"/>
    <n v="144"/>
    <n v="156.96"/>
    <n v="2016"/>
    <n v="2197.44"/>
    <x v="11"/>
    <x v="2"/>
    <x v="0"/>
  </r>
  <r>
    <x v="41"/>
    <x v="15"/>
    <n v="4"/>
    <x v="2"/>
    <x v="1"/>
    <n v="0"/>
    <x v="15"/>
    <x v="3"/>
    <x v="1"/>
    <n v="75"/>
    <n v="85.5"/>
    <n v="300"/>
    <n v="342"/>
    <x v="11"/>
    <x v="2"/>
    <x v="0"/>
  </r>
  <r>
    <x v="41"/>
    <x v="19"/>
    <n v="8"/>
    <x v="2"/>
    <x v="1"/>
    <n v="0"/>
    <x v="19"/>
    <x v="4"/>
    <x v="2"/>
    <n v="47"/>
    <n v="53.11"/>
    <n v="376"/>
    <n v="424.88"/>
    <x v="11"/>
    <x v="2"/>
    <x v="0"/>
  </r>
  <r>
    <x v="41"/>
    <x v="1"/>
    <n v="2"/>
    <x v="2"/>
    <x v="0"/>
    <n v="0"/>
    <x v="1"/>
    <x v="1"/>
    <x v="1"/>
    <n v="72"/>
    <n v="79.92"/>
    <n v="144"/>
    <n v="159.84"/>
    <x v="11"/>
    <x v="2"/>
    <x v="0"/>
  </r>
  <r>
    <x v="42"/>
    <x v="16"/>
    <n v="4"/>
    <x v="2"/>
    <x v="1"/>
    <n v="0"/>
    <x v="16"/>
    <x v="3"/>
    <x v="1"/>
    <n v="98"/>
    <n v="103.88"/>
    <n v="392"/>
    <n v="415.52"/>
    <x v="12"/>
    <x v="2"/>
    <x v="0"/>
  </r>
  <r>
    <x v="42"/>
    <x v="10"/>
    <n v="1"/>
    <x v="2"/>
    <x v="1"/>
    <n v="0"/>
    <x v="10"/>
    <x v="1"/>
    <x v="0"/>
    <n v="120"/>
    <n v="162"/>
    <n v="120"/>
    <n v="162"/>
    <x v="12"/>
    <x v="2"/>
    <x v="0"/>
  </r>
  <r>
    <x v="42"/>
    <x v="20"/>
    <n v="9"/>
    <x v="2"/>
    <x v="0"/>
    <n v="0"/>
    <x v="20"/>
    <x v="2"/>
    <x v="0"/>
    <n v="148"/>
    <n v="164.28"/>
    <n v="1332"/>
    <n v="1478.52"/>
    <x v="12"/>
    <x v="2"/>
    <x v="0"/>
  </r>
  <r>
    <x v="43"/>
    <x v="28"/>
    <n v="3"/>
    <x v="2"/>
    <x v="0"/>
    <n v="0"/>
    <x v="28"/>
    <x v="4"/>
    <x v="0"/>
    <n v="148"/>
    <n v="201.28"/>
    <n v="444"/>
    <n v="603.84"/>
    <x v="13"/>
    <x v="2"/>
    <x v="0"/>
  </r>
  <r>
    <x v="44"/>
    <x v="36"/>
    <n v="8"/>
    <x v="1"/>
    <x v="1"/>
    <n v="0"/>
    <x v="36"/>
    <x v="3"/>
    <x v="2"/>
    <n v="43"/>
    <n v="47.730000000000004"/>
    <n v="344"/>
    <n v="381.84000000000003"/>
    <x v="14"/>
    <x v="2"/>
    <x v="0"/>
  </r>
  <r>
    <x v="45"/>
    <x v="1"/>
    <n v="1"/>
    <x v="1"/>
    <x v="1"/>
    <n v="0"/>
    <x v="1"/>
    <x v="1"/>
    <x v="1"/>
    <n v="72"/>
    <n v="79.92"/>
    <n v="72"/>
    <n v="79.92"/>
    <x v="24"/>
    <x v="2"/>
    <x v="0"/>
  </r>
  <r>
    <x v="46"/>
    <x v="10"/>
    <n v="3"/>
    <x v="2"/>
    <x v="1"/>
    <n v="0"/>
    <x v="10"/>
    <x v="1"/>
    <x v="0"/>
    <n v="120"/>
    <n v="162"/>
    <n v="360"/>
    <n v="486"/>
    <x v="25"/>
    <x v="2"/>
    <x v="0"/>
  </r>
  <r>
    <x v="47"/>
    <x v="17"/>
    <n v="4"/>
    <x v="2"/>
    <x v="1"/>
    <n v="0"/>
    <x v="17"/>
    <x v="1"/>
    <x v="1"/>
    <n v="90"/>
    <n v="115.2"/>
    <n v="360"/>
    <n v="460.8"/>
    <x v="3"/>
    <x v="3"/>
    <x v="0"/>
  </r>
  <r>
    <x v="47"/>
    <x v="37"/>
    <n v="9"/>
    <x v="1"/>
    <x v="1"/>
    <n v="0"/>
    <x v="37"/>
    <x v="3"/>
    <x v="3"/>
    <n v="6"/>
    <n v="7.8599999999999994"/>
    <n v="54"/>
    <n v="70.739999999999995"/>
    <x v="3"/>
    <x v="3"/>
    <x v="0"/>
  </r>
  <r>
    <x v="48"/>
    <x v="5"/>
    <n v="15"/>
    <x v="1"/>
    <x v="0"/>
    <n v="0"/>
    <x v="5"/>
    <x v="4"/>
    <x v="1"/>
    <n v="93"/>
    <n v="104.16"/>
    <n v="1395"/>
    <n v="1562.3999999999999"/>
    <x v="15"/>
    <x v="3"/>
    <x v="0"/>
  </r>
  <r>
    <x v="49"/>
    <x v="24"/>
    <n v="3"/>
    <x v="1"/>
    <x v="0"/>
    <n v="0"/>
    <x v="24"/>
    <x v="3"/>
    <x v="0"/>
    <n v="133"/>
    <n v="155.61000000000001"/>
    <n v="399"/>
    <n v="466.83000000000004"/>
    <x v="4"/>
    <x v="3"/>
    <x v="0"/>
  </r>
  <r>
    <x v="50"/>
    <x v="22"/>
    <n v="14"/>
    <x v="2"/>
    <x v="0"/>
    <n v="0"/>
    <x v="22"/>
    <x v="0"/>
    <x v="0"/>
    <n v="121"/>
    <n v="141.57"/>
    <n v="1694"/>
    <n v="1981.98"/>
    <x v="26"/>
    <x v="3"/>
    <x v="0"/>
  </r>
  <r>
    <x v="51"/>
    <x v="8"/>
    <n v="3"/>
    <x v="2"/>
    <x v="1"/>
    <n v="0"/>
    <x v="8"/>
    <x v="1"/>
    <x v="1"/>
    <n v="67"/>
    <n v="85.76"/>
    <n v="201"/>
    <n v="257.28000000000003"/>
    <x v="6"/>
    <x v="3"/>
    <x v="0"/>
  </r>
  <r>
    <x v="51"/>
    <x v="19"/>
    <n v="4"/>
    <x v="2"/>
    <x v="0"/>
    <n v="0"/>
    <x v="19"/>
    <x v="4"/>
    <x v="2"/>
    <n v="47"/>
    <n v="53.11"/>
    <n v="188"/>
    <n v="212.44"/>
    <x v="6"/>
    <x v="3"/>
    <x v="0"/>
  </r>
  <r>
    <x v="51"/>
    <x v="26"/>
    <n v="9"/>
    <x v="2"/>
    <x v="0"/>
    <n v="0"/>
    <x v="26"/>
    <x v="4"/>
    <x v="2"/>
    <n v="48"/>
    <n v="57.120000000000005"/>
    <n v="432"/>
    <n v="514.08000000000004"/>
    <x v="6"/>
    <x v="3"/>
    <x v="0"/>
  </r>
  <r>
    <x v="51"/>
    <x v="38"/>
    <n v="13"/>
    <x v="2"/>
    <x v="1"/>
    <n v="0"/>
    <x v="38"/>
    <x v="4"/>
    <x v="1"/>
    <n v="95"/>
    <n v="119.7"/>
    <n v="1235"/>
    <n v="1556.1000000000001"/>
    <x v="6"/>
    <x v="3"/>
    <x v="0"/>
  </r>
  <r>
    <x v="52"/>
    <x v="39"/>
    <n v="3"/>
    <x v="2"/>
    <x v="0"/>
    <n v="0"/>
    <x v="39"/>
    <x v="2"/>
    <x v="0"/>
    <n v="134"/>
    <n v="156.78"/>
    <n v="402"/>
    <n v="470.34000000000003"/>
    <x v="17"/>
    <x v="3"/>
    <x v="0"/>
  </r>
  <r>
    <x v="53"/>
    <x v="30"/>
    <n v="15"/>
    <x v="2"/>
    <x v="1"/>
    <n v="0"/>
    <x v="30"/>
    <x v="2"/>
    <x v="3"/>
    <n v="37"/>
    <n v="49.21"/>
    <n v="555"/>
    <n v="738.15"/>
    <x v="23"/>
    <x v="3"/>
    <x v="0"/>
  </r>
  <r>
    <x v="54"/>
    <x v="1"/>
    <n v="9"/>
    <x v="0"/>
    <x v="0"/>
    <n v="0"/>
    <x v="1"/>
    <x v="1"/>
    <x v="1"/>
    <n v="72"/>
    <n v="79.92"/>
    <n v="648"/>
    <n v="719.28"/>
    <x v="7"/>
    <x v="3"/>
    <x v="0"/>
  </r>
  <r>
    <x v="54"/>
    <x v="40"/>
    <n v="13"/>
    <x v="2"/>
    <x v="1"/>
    <n v="0"/>
    <x v="40"/>
    <x v="2"/>
    <x v="0"/>
    <n v="150"/>
    <n v="210"/>
    <n v="1950"/>
    <n v="2730"/>
    <x v="7"/>
    <x v="3"/>
    <x v="0"/>
  </r>
  <r>
    <x v="55"/>
    <x v="10"/>
    <n v="6"/>
    <x v="2"/>
    <x v="0"/>
    <n v="0"/>
    <x v="10"/>
    <x v="1"/>
    <x v="0"/>
    <n v="120"/>
    <n v="162"/>
    <n v="720"/>
    <n v="972"/>
    <x v="19"/>
    <x v="3"/>
    <x v="0"/>
  </r>
  <r>
    <x v="55"/>
    <x v="33"/>
    <n v="10"/>
    <x v="2"/>
    <x v="0"/>
    <n v="0"/>
    <x v="33"/>
    <x v="4"/>
    <x v="3"/>
    <n v="37"/>
    <n v="41.81"/>
    <n v="370"/>
    <n v="418.1"/>
    <x v="19"/>
    <x v="3"/>
    <x v="0"/>
  </r>
  <r>
    <x v="56"/>
    <x v="28"/>
    <n v="2"/>
    <x v="1"/>
    <x v="0"/>
    <n v="0"/>
    <x v="28"/>
    <x v="4"/>
    <x v="0"/>
    <n v="148"/>
    <n v="201.28"/>
    <n v="296"/>
    <n v="402.56"/>
    <x v="27"/>
    <x v="3"/>
    <x v="0"/>
  </r>
  <r>
    <x v="57"/>
    <x v="8"/>
    <n v="3"/>
    <x v="2"/>
    <x v="0"/>
    <n v="0"/>
    <x v="8"/>
    <x v="1"/>
    <x v="1"/>
    <n v="67"/>
    <n v="85.76"/>
    <n v="201"/>
    <n v="257.28000000000003"/>
    <x v="12"/>
    <x v="3"/>
    <x v="0"/>
  </r>
  <r>
    <x v="58"/>
    <x v="28"/>
    <n v="7"/>
    <x v="2"/>
    <x v="0"/>
    <n v="0"/>
    <x v="28"/>
    <x v="4"/>
    <x v="0"/>
    <n v="148"/>
    <n v="201.28"/>
    <n v="1036"/>
    <n v="1408.96"/>
    <x v="28"/>
    <x v="3"/>
    <x v="0"/>
  </r>
  <r>
    <x v="59"/>
    <x v="19"/>
    <n v="1"/>
    <x v="2"/>
    <x v="0"/>
    <n v="0"/>
    <x v="19"/>
    <x v="4"/>
    <x v="2"/>
    <n v="47"/>
    <n v="53.11"/>
    <n v="47"/>
    <n v="53.11"/>
    <x v="24"/>
    <x v="3"/>
    <x v="0"/>
  </r>
  <r>
    <x v="60"/>
    <x v="30"/>
    <n v="3"/>
    <x v="1"/>
    <x v="1"/>
    <n v="0"/>
    <x v="30"/>
    <x v="2"/>
    <x v="3"/>
    <n v="37"/>
    <n v="49.21"/>
    <n v="111"/>
    <n v="147.63"/>
    <x v="0"/>
    <x v="4"/>
    <x v="0"/>
  </r>
  <r>
    <x v="60"/>
    <x v="10"/>
    <n v="1"/>
    <x v="1"/>
    <x v="1"/>
    <n v="0"/>
    <x v="10"/>
    <x v="1"/>
    <x v="0"/>
    <n v="120"/>
    <n v="162"/>
    <n v="120"/>
    <n v="162"/>
    <x v="0"/>
    <x v="4"/>
    <x v="0"/>
  </r>
  <r>
    <x v="61"/>
    <x v="13"/>
    <n v="3"/>
    <x v="1"/>
    <x v="0"/>
    <n v="0"/>
    <x v="13"/>
    <x v="4"/>
    <x v="2"/>
    <n v="55"/>
    <n v="58.3"/>
    <n v="165"/>
    <n v="174.89999999999998"/>
    <x v="2"/>
    <x v="4"/>
    <x v="0"/>
  </r>
  <r>
    <x v="62"/>
    <x v="27"/>
    <n v="13"/>
    <x v="1"/>
    <x v="0"/>
    <n v="0"/>
    <x v="27"/>
    <x v="2"/>
    <x v="3"/>
    <n v="12"/>
    <n v="15.719999999999999"/>
    <n v="156"/>
    <n v="204.35999999999999"/>
    <x v="3"/>
    <x v="4"/>
    <x v="0"/>
  </r>
  <r>
    <x v="62"/>
    <x v="9"/>
    <n v="4"/>
    <x v="2"/>
    <x v="1"/>
    <n v="0"/>
    <x v="9"/>
    <x v="2"/>
    <x v="1"/>
    <n v="112"/>
    <n v="146.72"/>
    <n v="448"/>
    <n v="586.88"/>
    <x v="3"/>
    <x v="4"/>
    <x v="0"/>
  </r>
  <r>
    <x v="63"/>
    <x v="37"/>
    <n v="13"/>
    <x v="2"/>
    <x v="1"/>
    <n v="0"/>
    <x v="37"/>
    <x v="3"/>
    <x v="3"/>
    <n v="6"/>
    <n v="7.8599999999999994"/>
    <n v="78"/>
    <n v="102.17999999999999"/>
    <x v="15"/>
    <x v="4"/>
    <x v="0"/>
  </r>
  <r>
    <x v="64"/>
    <x v="25"/>
    <n v="15"/>
    <x v="2"/>
    <x v="0"/>
    <n v="0"/>
    <x v="25"/>
    <x v="3"/>
    <x v="1"/>
    <n v="83"/>
    <n v="94.62"/>
    <n v="1245"/>
    <n v="1419.3000000000002"/>
    <x v="16"/>
    <x v="4"/>
    <x v="0"/>
  </r>
  <r>
    <x v="64"/>
    <x v="37"/>
    <n v="6"/>
    <x v="1"/>
    <x v="0"/>
    <n v="0"/>
    <x v="37"/>
    <x v="3"/>
    <x v="3"/>
    <n v="6"/>
    <n v="7.8599999999999994"/>
    <n v="36"/>
    <n v="47.16"/>
    <x v="16"/>
    <x v="4"/>
    <x v="0"/>
  </r>
  <r>
    <x v="65"/>
    <x v="30"/>
    <n v="1"/>
    <x v="2"/>
    <x v="1"/>
    <n v="0"/>
    <x v="30"/>
    <x v="2"/>
    <x v="3"/>
    <n v="37"/>
    <n v="49.21"/>
    <n v="37"/>
    <n v="49.21"/>
    <x v="20"/>
    <x v="4"/>
    <x v="0"/>
  </r>
  <r>
    <x v="66"/>
    <x v="21"/>
    <n v="6"/>
    <x v="1"/>
    <x v="0"/>
    <n v="0"/>
    <x v="21"/>
    <x v="2"/>
    <x v="3"/>
    <n v="13"/>
    <n v="16.64"/>
    <n v="78"/>
    <n v="99.84"/>
    <x v="4"/>
    <x v="4"/>
    <x v="0"/>
  </r>
  <r>
    <x v="66"/>
    <x v="33"/>
    <n v="8"/>
    <x v="2"/>
    <x v="1"/>
    <n v="0"/>
    <x v="33"/>
    <x v="4"/>
    <x v="3"/>
    <n v="37"/>
    <n v="41.81"/>
    <n v="296"/>
    <n v="334.48"/>
    <x v="4"/>
    <x v="4"/>
    <x v="0"/>
  </r>
  <r>
    <x v="67"/>
    <x v="21"/>
    <n v="3"/>
    <x v="2"/>
    <x v="0"/>
    <n v="0"/>
    <x v="21"/>
    <x v="2"/>
    <x v="3"/>
    <n v="13"/>
    <n v="16.64"/>
    <n v="39"/>
    <n v="49.92"/>
    <x v="6"/>
    <x v="4"/>
    <x v="0"/>
  </r>
  <r>
    <x v="67"/>
    <x v="4"/>
    <n v="15"/>
    <x v="2"/>
    <x v="0"/>
    <n v="0"/>
    <x v="4"/>
    <x v="4"/>
    <x v="3"/>
    <n v="5"/>
    <n v="6.7"/>
    <n v="75"/>
    <n v="100.5"/>
    <x v="6"/>
    <x v="4"/>
    <x v="0"/>
  </r>
  <r>
    <x v="68"/>
    <x v="19"/>
    <n v="4"/>
    <x v="2"/>
    <x v="0"/>
    <n v="0"/>
    <x v="19"/>
    <x v="4"/>
    <x v="2"/>
    <n v="47"/>
    <n v="53.11"/>
    <n v="188"/>
    <n v="212.44"/>
    <x v="22"/>
    <x v="4"/>
    <x v="0"/>
  </r>
  <r>
    <x v="69"/>
    <x v="10"/>
    <n v="2"/>
    <x v="1"/>
    <x v="1"/>
    <n v="0"/>
    <x v="10"/>
    <x v="1"/>
    <x v="0"/>
    <n v="120"/>
    <n v="162"/>
    <n v="240"/>
    <n v="324"/>
    <x v="9"/>
    <x v="4"/>
    <x v="0"/>
  </r>
  <r>
    <x v="70"/>
    <x v="17"/>
    <n v="11"/>
    <x v="2"/>
    <x v="0"/>
    <n v="0"/>
    <x v="17"/>
    <x v="1"/>
    <x v="1"/>
    <n v="90"/>
    <n v="115.2"/>
    <n v="990"/>
    <n v="1267.2"/>
    <x v="19"/>
    <x v="4"/>
    <x v="0"/>
  </r>
  <r>
    <x v="71"/>
    <x v="12"/>
    <n v="13"/>
    <x v="1"/>
    <x v="0"/>
    <n v="0"/>
    <x v="12"/>
    <x v="0"/>
    <x v="0"/>
    <n v="141"/>
    <n v="149.46"/>
    <n v="1833"/>
    <n v="1942.98"/>
    <x v="24"/>
    <x v="4"/>
    <x v="0"/>
  </r>
  <r>
    <x v="71"/>
    <x v="2"/>
    <n v="6"/>
    <x v="1"/>
    <x v="1"/>
    <n v="0"/>
    <x v="2"/>
    <x v="2"/>
    <x v="1"/>
    <n v="112"/>
    <n v="122.08"/>
    <n v="672"/>
    <n v="732.48"/>
    <x v="24"/>
    <x v="4"/>
    <x v="0"/>
  </r>
  <r>
    <x v="72"/>
    <x v="32"/>
    <n v="10"/>
    <x v="2"/>
    <x v="1"/>
    <n v="0"/>
    <x v="32"/>
    <x v="0"/>
    <x v="0"/>
    <n v="126"/>
    <n v="162.54"/>
    <n v="1260"/>
    <n v="1625.3999999999999"/>
    <x v="2"/>
    <x v="5"/>
    <x v="0"/>
  </r>
  <r>
    <x v="73"/>
    <x v="14"/>
    <n v="8"/>
    <x v="0"/>
    <x v="0"/>
    <n v="0"/>
    <x v="14"/>
    <x v="0"/>
    <x v="2"/>
    <n v="61"/>
    <n v="76.25"/>
    <n v="488"/>
    <n v="610"/>
    <x v="3"/>
    <x v="5"/>
    <x v="0"/>
  </r>
  <r>
    <x v="73"/>
    <x v="14"/>
    <n v="12"/>
    <x v="1"/>
    <x v="1"/>
    <n v="0"/>
    <x v="14"/>
    <x v="0"/>
    <x v="2"/>
    <n v="61"/>
    <n v="76.25"/>
    <n v="732"/>
    <n v="915"/>
    <x v="3"/>
    <x v="5"/>
    <x v="0"/>
  </r>
  <r>
    <x v="74"/>
    <x v="22"/>
    <n v="15"/>
    <x v="0"/>
    <x v="0"/>
    <n v="0"/>
    <x v="22"/>
    <x v="0"/>
    <x v="0"/>
    <n v="121"/>
    <n v="141.57"/>
    <n v="1815"/>
    <n v="2123.5499999999997"/>
    <x v="15"/>
    <x v="5"/>
    <x v="0"/>
  </r>
  <r>
    <x v="74"/>
    <x v="4"/>
    <n v="10"/>
    <x v="2"/>
    <x v="0"/>
    <n v="0"/>
    <x v="4"/>
    <x v="4"/>
    <x v="3"/>
    <n v="5"/>
    <n v="6.7"/>
    <n v="50"/>
    <n v="67"/>
    <x v="15"/>
    <x v="5"/>
    <x v="0"/>
  </r>
  <r>
    <x v="75"/>
    <x v="38"/>
    <n v="6"/>
    <x v="2"/>
    <x v="0"/>
    <n v="0"/>
    <x v="38"/>
    <x v="4"/>
    <x v="1"/>
    <n v="95"/>
    <n v="119.7"/>
    <n v="570"/>
    <n v="718.2"/>
    <x v="16"/>
    <x v="5"/>
    <x v="0"/>
  </r>
  <r>
    <x v="76"/>
    <x v="33"/>
    <n v="11"/>
    <x v="2"/>
    <x v="0"/>
    <n v="0"/>
    <x v="33"/>
    <x v="4"/>
    <x v="3"/>
    <n v="37"/>
    <n v="41.81"/>
    <n v="407"/>
    <n v="459.91"/>
    <x v="21"/>
    <x v="5"/>
    <x v="0"/>
  </r>
  <r>
    <x v="76"/>
    <x v="3"/>
    <n v="11"/>
    <x v="0"/>
    <x v="1"/>
    <n v="0"/>
    <x v="3"/>
    <x v="3"/>
    <x v="2"/>
    <n v="44"/>
    <n v="48.84"/>
    <n v="484"/>
    <n v="537.24"/>
    <x v="21"/>
    <x v="5"/>
    <x v="0"/>
  </r>
  <r>
    <x v="77"/>
    <x v="16"/>
    <n v="7"/>
    <x v="2"/>
    <x v="0"/>
    <n v="0"/>
    <x v="16"/>
    <x v="3"/>
    <x v="1"/>
    <n v="98"/>
    <n v="103.88"/>
    <n v="686"/>
    <n v="727.16"/>
    <x v="4"/>
    <x v="5"/>
    <x v="0"/>
  </r>
  <r>
    <x v="78"/>
    <x v="18"/>
    <n v="12"/>
    <x v="0"/>
    <x v="1"/>
    <n v="0"/>
    <x v="18"/>
    <x v="4"/>
    <x v="1"/>
    <n v="89"/>
    <n v="117.48"/>
    <n v="1068"/>
    <n v="1409.76"/>
    <x v="5"/>
    <x v="5"/>
    <x v="0"/>
  </r>
  <r>
    <x v="79"/>
    <x v="41"/>
    <n v="6"/>
    <x v="2"/>
    <x v="0"/>
    <n v="0"/>
    <x v="41"/>
    <x v="1"/>
    <x v="0"/>
    <n v="138"/>
    <n v="173.88"/>
    <n v="828"/>
    <n v="1043.28"/>
    <x v="6"/>
    <x v="5"/>
    <x v="0"/>
  </r>
  <r>
    <x v="80"/>
    <x v="7"/>
    <n v="10"/>
    <x v="1"/>
    <x v="1"/>
    <n v="0"/>
    <x v="7"/>
    <x v="0"/>
    <x v="3"/>
    <n v="7"/>
    <n v="8.33"/>
    <n v="70"/>
    <n v="83.3"/>
    <x v="29"/>
    <x v="5"/>
    <x v="0"/>
  </r>
  <r>
    <x v="81"/>
    <x v="40"/>
    <n v="5"/>
    <x v="0"/>
    <x v="1"/>
    <n v="0"/>
    <x v="40"/>
    <x v="2"/>
    <x v="0"/>
    <n v="150"/>
    <n v="210"/>
    <n v="750"/>
    <n v="1050"/>
    <x v="23"/>
    <x v="5"/>
    <x v="0"/>
  </r>
  <r>
    <x v="81"/>
    <x v="27"/>
    <n v="12"/>
    <x v="1"/>
    <x v="1"/>
    <n v="0"/>
    <x v="27"/>
    <x v="2"/>
    <x v="3"/>
    <n v="12"/>
    <n v="15.719999999999999"/>
    <n v="144"/>
    <n v="188.64"/>
    <x v="23"/>
    <x v="5"/>
    <x v="0"/>
  </r>
  <r>
    <x v="81"/>
    <x v="34"/>
    <n v="11"/>
    <x v="2"/>
    <x v="1"/>
    <n v="0"/>
    <x v="34"/>
    <x v="1"/>
    <x v="3"/>
    <n v="37"/>
    <n v="42.55"/>
    <n v="407"/>
    <n v="468.04999999999995"/>
    <x v="23"/>
    <x v="5"/>
    <x v="0"/>
  </r>
  <r>
    <x v="82"/>
    <x v="7"/>
    <n v="13"/>
    <x v="2"/>
    <x v="1"/>
    <n v="0"/>
    <x v="7"/>
    <x v="0"/>
    <x v="3"/>
    <n v="7"/>
    <n v="8.33"/>
    <n v="91"/>
    <n v="108.29"/>
    <x v="7"/>
    <x v="5"/>
    <x v="0"/>
  </r>
  <r>
    <x v="83"/>
    <x v="41"/>
    <n v="5"/>
    <x v="2"/>
    <x v="0"/>
    <n v="0"/>
    <x v="41"/>
    <x v="1"/>
    <x v="0"/>
    <n v="138"/>
    <n v="173.88"/>
    <n v="690"/>
    <n v="869.4"/>
    <x v="8"/>
    <x v="5"/>
    <x v="0"/>
  </r>
  <r>
    <x v="84"/>
    <x v="21"/>
    <n v="1"/>
    <x v="0"/>
    <x v="1"/>
    <n v="0"/>
    <x v="21"/>
    <x v="2"/>
    <x v="3"/>
    <n v="13"/>
    <n v="16.64"/>
    <n v="13"/>
    <n v="16.64"/>
    <x v="9"/>
    <x v="5"/>
    <x v="0"/>
  </r>
  <r>
    <x v="85"/>
    <x v="21"/>
    <n v="4"/>
    <x v="2"/>
    <x v="0"/>
    <n v="0"/>
    <x v="21"/>
    <x v="2"/>
    <x v="3"/>
    <n v="13"/>
    <n v="16.64"/>
    <n v="52"/>
    <n v="66.56"/>
    <x v="19"/>
    <x v="5"/>
    <x v="0"/>
  </r>
  <r>
    <x v="86"/>
    <x v="31"/>
    <n v="13"/>
    <x v="2"/>
    <x v="0"/>
    <n v="0"/>
    <x v="31"/>
    <x v="2"/>
    <x v="2"/>
    <n v="44"/>
    <n v="48.4"/>
    <n v="572"/>
    <n v="629.19999999999993"/>
    <x v="27"/>
    <x v="5"/>
    <x v="0"/>
  </r>
  <r>
    <x v="87"/>
    <x v="37"/>
    <n v="7"/>
    <x v="1"/>
    <x v="0"/>
    <n v="0"/>
    <x v="37"/>
    <x v="3"/>
    <x v="3"/>
    <n v="6"/>
    <n v="7.8599999999999994"/>
    <n v="42"/>
    <n v="55.019999999999996"/>
    <x v="12"/>
    <x v="5"/>
    <x v="0"/>
  </r>
  <r>
    <x v="88"/>
    <x v="24"/>
    <n v="11"/>
    <x v="2"/>
    <x v="1"/>
    <n v="0"/>
    <x v="24"/>
    <x v="3"/>
    <x v="0"/>
    <n v="133"/>
    <n v="155.61000000000001"/>
    <n v="1463"/>
    <n v="1711.71"/>
    <x v="13"/>
    <x v="5"/>
    <x v="0"/>
  </r>
  <r>
    <x v="89"/>
    <x v="32"/>
    <n v="2"/>
    <x v="1"/>
    <x v="1"/>
    <n v="0"/>
    <x v="32"/>
    <x v="0"/>
    <x v="0"/>
    <n v="126"/>
    <n v="162.54"/>
    <n v="252"/>
    <n v="325.08"/>
    <x v="14"/>
    <x v="5"/>
    <x v="0"/>
  </r>
  <r>
    <x v="89"/>
    <x v="4"/>
    <n v="7"/>
    <x v="1"/>
    <x v="0"/>
    <n v="0"/>
    <x v="4"/>
    <x v="4"/>
    <x v="3"/>
    <n v="5"/>
    <n v="6.7"/>
    <n v="35"/>
    <n v="46.9"/>
    <x v="14"/>
    <x v="5"/>
    <x v="0"/>
  </r>
  <r>
    <x v="90"/>
    <x v="9"/>
    <n v="4"/>
    <x v="2"/>
    <x v="0"/>
    <n v="0"/>
    <x v="9"/>
    <x v="2"/>
    <x v="1"/>
    <n v="112"/>
    <n v="146.72"/>
    <n v="448"/>
    <n v="586.88"/>
    <x v="28"/>
    <x v="5"/>
    <x v="0"/>
  </r>
  <r>
    <x v="91"/>
    <x v="24"/>
    <n v="11"/>
    <x v="2"/>
    <x v="1"/>
    <n v="0"/>
    <x v="24"/>
    <x v="3"/>
    <x v="0"/>
    <n v="133"/>
    <n v="155.61000000000001"/>
    <n v="1463"/>
    <n v="1711.71"/>
    <x v="0"/>
    <x v="6"/>
    <x v="0"/>
  </r>
  <r>
    <x v="92"/>
    <x v="20"/>
    <n v="11"/>
    <x v="2"/>
    <x v="1"/>
    <n v="0"/>
    <x v="20"/>
    <x v="2"/>
    <x v="0"/>
    <n v="148"/>
    <n v="164.28"/>
    <n v="1628"/>
    <n v="1807.08"/>
    <x v="1"/>
    <x v="6"/>
    <x v="0"/>
  </r>
  <r>
    <x v="93"/>
    <x v="38"/>
    <n v="9"/>
    <x v="1"/>
    <x v="1"/>
    <n v="0"/>
    <x v="38"/>
    <x v="4"/>
    <x v="1"/>
    <n v="95"/>
    <n v="119.7"/>
    <n v="855"/>
    <n v="1077.3"/>
    <x v="2"/>
    <x v="6"/>
    <x v="0"/>
  </r>
  <r>
    <x v="93"/>
    <x v="6"/>
    <n v="8"/>
    <x v="1"/>
    <x v="1"/>
    <n v="0"/>
    <x v="6"/>
    <x v="3"/>
    <x v="1"/>
    <n v="71"/>
    <n v="80.94"/>
    <n v="568"/>
    <n v="647.52"/>
    <x v="2"/>
    <x v="6"/>
    <x v="0"/>
  </r>
  <r>
    <x v="94"/>
    <x v="29"/>
    <n v="8"/>
    <x v="2"/>
    <x v="0"/>
    <n v="0"/>
    <x v="29"/>
    <x v="3"/>
    <x v="1"/>
    <n v="105"/>
    <n v="142.80000000000001"/>
    <n v="840"/>
    <n v="1142.4000000000001"/>
    <x v="15"/>
    <x v="6"/>
    <x v="0"/>
  </r>
  <r>
    <x v="95"/>
    <x v="41"/>
    <n v="15"/>
    <x v="2"/>
    <x v="1"/>
    <n v="0"/>
    <x v="41"/>
    <x v="1"/>
    <x v="0"/>
    <n v="138"/>
    <n v="173.88"/>
    <n v="2070"/>
    <n v="2608.1999999999998"/>
    <x v="16"/>
    <x v="6"/>
    <x v="0"/>
  </r>
  <r>
    <x v="96"/>
    <x v="3"/>
    <n v="10"/>
    <x v="2"/>
    <x v="0"/>
    <n v="0"/>
    <x v="3"/>
    <x v="3"/>
    <x v="2"/>
    <n v="44"/>
    <n v="48.84"/>
    <n v="440"/>
    <n v="488.40000000000003"/>
    <x v="21"/>
    <x v="6"/>
    <x v="0"/>
  </r>
  <r>
    <x v="97"/>
    <x v="13"/>
    <n v="6"/>
    <x v="0"/>
    <x v="1"/>
    <n v="0"/>
    <x v="13"/>
    <x v="4"/>
    <x v="2"/>
    <n v="55"/>
    <n v="58.3"/>
    <n v="330"/>
    <n v="349.79999999999995"/>
    <x v="26"/>
    <x v="6"/>
    <x v="0"/>
  </r>
  <r>
    <x v="98"/>
    <x v="37"/>
    <n v="4"/>
    <x v="0"/>
    <x v="0"/>
    <n v="0"/>
    <x v="37"/>
    <x v="3"/>
    <x v="3"/>
    <n v="6"/>
    <n v="7.8599999999999994"/>
    <n v="24"/>
    <n v="31.439999999999998"/>
    <x v="5"/>
    <x v="6"/>
    <x v="0"/>
  </r>
  <r>
    <x v="99"/>
    <x v="40"/>
    <n v="1"/>
    <x v="2"/>
    <x v="1"/>
    <n v="0"/>
    <x v="40"/>
    <x v="2"/>
    <x v="0"/>
    <n v="150"/>
    <n v="210"/>
    <n v="150"/>
    <n v="210"/>
    <x v="22"/>
    <x v="6"/>
    <x v="0"/>
  </r>
  <r>
    <x v="100"/>
    <x v="12"/>
    <n v="8"/>
    <x v="0"/>
    <x v="1"/>
    <n v="0"/>
    <x v="12"/>
    <x v="0"/>
    <x v="0"/>
    <n v="141"/>
    <n v="149.46"/>
    <n v="1128"/>
    <n v="1195.68"/>
    <x v="23"/>
    <x v="6"/>
    <x v="0"/>
  </r>
  <r>
    <x v="101"/>
    <x v="26"/>
    <n v="14"/>
    <x v="1"/>
    <x v="0"/>
    <n v="0"/>
    <x v="26"/>
    <x v="4"/>
    <x v="2"/>
    <n v="48"/>
    <n v="57.120000000000005"/>
    <n v="672"/>
    <n v="799.68000000000006"/>
    <x v="7"/>
    <x v="6"/>
    <x v="0"/>
  </r>
  <r>
    <x v="102"/>
    <x v="1"/>
    <n v="11"/>
    <x v="1"/>
    <x v="0"/>
    <n v="0"/>
    <x v="1"/>
    <x v="1"/>
    <x v="1"/>
    <n v="72"/>
    <n v="79.92"/>
    <n v="792"/>
    <n v="879.12"/>
    <x v="9"/>
    <x v="6"/>
    <x v="0"/>
  </r>
  <r>
    <x v="102"/>
    <x v="23"/>
    <n v="5"/>
    <x v="2"/>
    <x v="0"/>
    <n v="0"/>
    <x v="23"/>
    <x v="1"/>
    <x v="1"/>
    <n v="67"/>
    <n v="83.08"/>
    <n v="335"/>
    <n v="415.4"/>
    <x v="9"/>
    <x v="6"/>
    <x v="0"/>
  </r>
  <r>
    <x v="103"/>
    <x v="19"/>
    <n v="15"/>
    <x v="2"/>
    <x v="0"/>
    <n v="0"/>
    <x v="19"/>
    <x v="4"/>
    <x v="2"/>
    <n v="47"/>
    <n v="53.11"/>
    <n v="705"/>
    <n v="796.65"/>
    <x v="10"/>
    <x v="6"/>
    <x v="0"/>
  </r>
  <r>
    <x v="104"/>
    <x v="42"/>
    <n v="3"/>
    <x v="0"/>
    <x v="1"/>
    <n v="0"/>
    <x v="42"/>
    <x v="4"/>
    <x v="3"/>
    <n v="18"/>
    <n v="24.66"/>
    <n v="54"/>
    <n v="73.98"/>
    <x v="18"/>
    <x v="6"/>
    <x v="0"/>
  </r>
  <r>
    <x v="104"/>
    <x v="0"/>
    <n v="14"/>
    <x v="1"/>
    <x v="1"/>
    <n v="0"/>
    <x v="0"/>
    <x v="0"/>
    <x v="0"/>
    <n v="144"/>
    <n v="156.96"/>
    <n v="2016"/>
    <n v="2197.44"/>
    <x v="18"/>
    <x v="6"/>
    <x v="0"/>
  </r>
  <r>
    <x v="105"/>
    <x v="43"/>
    <n v="7"/>
    <x v="0"/>
    <x v="0"/>
    <n v="0"/>
    <x v="43"/>
    <x v="4"/>
    <x v="1"/>
    <n v="90"/>
    <n v="96.3"/>
    <n v="630"/>
    <n v="674.1"/>
    <x v="19"/>
    <x v="6"/>
    <x v="0"/>
  </r>
  <r>
    <x v="105"/>
    <x v="8"/>
    <n v="8"/>
    <x v="2"/>
    <x v="0"/>
    <n v="0"/>
    <x v="8"/>
    <x v="1"/>
    <x v="1"/>
    <n v="67"/>
    <n v="85.76"/>
    <n v="536"/>
    <n v="686.08"/>
    <x v="19"/>
    <x v="6"/>
    <x v="0"/>
  </r>
  <r>
    <x v="106"/>
    <x v="37"/>
    <n v="4"/>
    <x v="1"/>
    <x v="1"/>
    <n v="0"/>
    <x v="37"/>
    <x v="3"/>
    <x v="3"/>
    <n v="6"/>
    <n v="7.8599999999999994"/>
    <n v="24"/>
    <n v="31.439999999999998"/>
    <x v="27"/>
    <x v="6"/>
    <x v="0"/>
  </r>
  <r>
    <x v="107"/>
    <x v="11"/>
    <n v="15"/>
    <x v="1"/>
    <x v="1"/>
    <n v="0"/>
    <x v="11"/>
    <x v="1"/>
    <x v="1"/>
    <n v="76"/>
    <n v="82.08"/>
    <n v="1140"/>
    <n v="1231.2"/>
    <x v="28"/>
    <x v="6"/>
    <x v="0"/>
  </r>
  <r>
    <x v="108"/>
    <x v="16"/>
    <n v="11"/>
    <x v="2"/>
    <x v="1"/>
    <n v="0"/>
    <x v="16"/>
    <x v="3"/>
    <x v="1"/>
    <n v="98"/>
    <n v="103.88"/>
    <n v="1078"/>
    <n v="1142.6799999999998"/>
    <x v="0"/>
    <x v="7"/>
    <x v="0"/>
  </r>
  <r>
    <x v="109"/>
    <x v="12"/>
    <n v="3"/>
    <x v="2"/>
    <x v="0"/>
    <n v="0"/>
    <x v="12"/>
    <x v="0"/>
    <x v="0"/>
    <n v="141"/>
    <n v="149.46"/>
    <n v="423"/>
    <n v="448.38"/>
    <x v="1"/>
    <x v="7"/>
    <x v="0"/>
  </r>
  <r>
    <x v="110"/>
    <x v="22"/>
    <n v="13"/>
    <x v="1"/>
    <x v="0"/>
    <n v="0"/>
    <x v="22"/>
    <x v="0"/>
    <x v="0"/>
    <n v="121"/>
    <n v="141.57"/>
    <n v="1573"/>
    <n v="1840.4099999999999"/>
    <x v="2"/>
    <x v="7"/>
    <x v="0"/>
  </r>
  <r>
    <x v="110"/>
    <x v="13"/>
    <n v="12"/>
    <x v="1"/>
    <x v="0"/>
    <n v="0"/>
    <x v="13"/>
    <x v="4"/>
    <x v="2"/>
    <n v="55"/>
    <n v="58.3"/>
    <n v="660"/>
    <n v="699.59999999999991"/>
    <x v="2"/>
    <x v="7"/>
    <x v="0"/>
  </r>
  <r>
    <x v="111"/>
    <x v="33"/>
    <n v="14"/>
    <x v="2"/>
    <x v="1"/>
    <n v="0"/>
    <x v="33"/>
    <x v="4"/>
    <x v="3"/>
    <n v="37"/>
    <n v="41.81"/>
    <n v="518"/>
    <n v="585.34"/>
    <x v="15"/>
    <x v="7"/>
    <x v="0"/>
  </r>
  <r>
    <x v="112"/>
    <x v="8"/>
    <n v="1"/>
    <x v="0"/>
    <x v="1"/>
    <n v="0"/>
    <x v="8"/>
    <x v="1"/>
    <x v="1"/>
    <n v="67"/>
    <n v="85.76"/>
    <n v="67"/>
    <n v="85.76"/>
    <x v="16"/>
    <x v="7"/>
    <x v="0"/>
  </r>
  <r>
    <x v="113"/>
    <x v="24"/>
    <n v="4"/>
    <x v="0"/>
    <x v="1"/>
    <n v="0"/>
    <x v="24"/>
    <x v="3"/>
    <x v="0"/>
    <n v="133"/>
    <n v="155.61000000000001"/>
    <n v="532"/>
    <n v="622.44000000000005"/>
    <x v="26"/>
    <x v="7"/>
    <x v="0"/>
  </r>
  <r>
    <x v="113"/>
    <x v="11"/>
    <n v="10"/>
    <x v="1"/>
    <x v="1"/>
    <n v="0"/>
    <x v="11"/>
    <x v="1"/>
    <x v="1"/>
    <n v="76"/>
    <n v="82.08"/>
    <n v="760"/>
    <n v="820.8"/>
    <x v="26"/>
    <x v="7"/>
    <x v="0"/>
  </r>
  <r>
    <x v="113"/>
    <x v="15"/>
    <n v="6"/>
    <x v="2"/>
    <x v="1"/>
    <n v="0"/>
    <x v="15"/>
    <x v="3"/>
    <x v="1"/>
    <n v="75"/>
    <n v="85.5"/>
    <n v="450"/>
    <n v="513"/>
    <x v="26"/>
    <x v="7"/>
    <x v="0"/>
  </r>
  <r>
    <x v="114"/>
    <x v="12"/>
    <n v="4"/>
    <x v="2"/>
    <x v="0"/>
    <n v="0"/>
    <x v="12"/>
    <x v="0"/>
    <x v="0"/>
    <n v="141"/>
    <n v="149.46"/>
    <n v="564"/>
    <n v="597.84"/>
    <x v="5"/>
    <x v="7"/>
    <x v="0"/>
  </r>
  <r>
    <x v="115"/>
    <x v="31"/>
    <n v="13"/>
    <x v="2"/>
    <x v="0"/>
    <n v="0"/>
    <x v="31"/>
    <x v="2"/>
    <x v="2"/>
    <n v="44"/>
    <n v="48.4"/>
    <n v="572"/>
    <n v="629.19999999999993"/>
    <x v="22"/>
    <x v="7"/>
    <x v="0"/>
  </r>
  <r>
    <x v="115"/>
    <x v="26"/>
    <n v="9"/>
    <x v="2"/>
    <x v="0"/>
    <n v="0"/>
    <x v="26"/>
    <x v="4"/>
    <x v="2"/>
    <n v="48"/>
    <n v="57.120000000000005"/>
    <n v="432"/>
    <n v="514.08000000000004"/>
    <x v="22"/>
    <x v="7"/>
    <x v="0"/>
  </r>
  <r>
    <x v="116"/>
    <x v="6"/>
    <n v="3"/>
    <x v="1"/>
    <x v="0"/>
    <n v="0"/>
    <x v="6"/>
    <x v="3"/>
    <x v="1"/>
    <n v="71"/>
    <n v="80.94"/>
    <n v="213"/>
    <n v="242.82"/>
    <x v="23"/>
    <x v="7"/>
    <x v="0"/>
  </r>
  <r>
    <x v="117"/>
    <x v="7"/>
    <n v="6"/>
    <x v="2"/>
    <x v="0"/>
    <n v="0"/>
    <x v="7"/>
    <x v="0"/>
    <x v="3"/>
    <n v="7"/>
    <n v="8.33"/>
    <n v="42"/>
    <n v="49.980000000000004"/>
    <x v="7"/>
    <x v="7"/>
    <x v="0"/>
  </r>
  <r>
    <x v="118"/>
    <x v="14"/>
    <n v="15"/>
    <x v="2"/>
    <x v="1"/>
    <n v="0"/>
    <x v="14"/>
    <x v="0"/>
    <x v="2"/>
    <n v="61"/>
    <n v="76.25"/>
    <n v="915"/>
    <n v="1143.75"/>
    <x v="9"/>
    <x v="7"/>
    <x v="0"/>
  </r>
  <r>
    <x v="118"/>
    <x v="5"/>
    <n v="9"/>
    <x v="2"/>
    <x v="0"/>
    <n v="0"/>
    <x v="5"/>
    <x v="4"/>
    <x v="1"/>
    <n v="93"/>
    <n v="104.16"/>
    <n v="837"/>
    <n v="937.43999999999994"/>
    <x v="9"/>
    <x v="7"/>
    <x v="0"/>
  </r>
  <r>
    <x v="118"/>
    <x v="33"/>
    <n v="13"/>
    <x v="2"/>
    <x v="0"/>
    <n v="0"/>
    <x v="33"/>
    <x v="4"/>
    <x v="3"/>
    <n v="37"/>
    <n v="41.81"/>
    <n v="481"/>
    <n v="543.53"/>
    <x v="9"/>
    <x v="7"/>
    <x v="0"/>
  </r>
  <r>
    <x v="119"/>
    <x v="34"/>
    <n v="4"/>
    <x v="2"/>
    <x v="0"/>
    <n v="0"/>
    <x v="34"/>
    <x v="1"/>
    <x v="3"/>
    <n v="37"/>
    <n v="42.55"/>
    <n v="148"/>
    <n v="170.2"/>
    <x v="12"/>
    <x v="7"/>
    <x v="0"/>
  </r>
  <r>
    <x v="120"/>
    <x v="13"/>
    <n v="12"/>
    <x v="0"/>
    <x v="0"/>
    <n v="0"/>
    <x v="13"/>
    <x v="4"/>
    <x v="2"/>
    <n v="55"/>
    <n v="58.3"/>
    <n v="660"/>
    <n v="699.59999999999991"/>
    <x v="28"/>
    <x v="7"/>
    <x v="0"/>
  </r>
  <r>
    <x v="121"/>
    <x v="2"/>
    <n v="13"/>
    <x v="2"/>
    <x v="0"/>
    <n v="0"/>
    <x v="2"/>
    <x v="2"/>
    <x v="1"/>
    <n v="112"/>
    <n v="122.08"/>
    <n v="1456"/>
    <n v="1587.04"/>
    <x v="24"/>
    <x v="7"/>
    <x v="0"/>
  </r>
  <r>
    <x v="122"/>
    <x v="16"/>
    <n v="2"/>
    <x v="2"/>
    <x v="0"/>
    <n v="0"/>
    <x v="16"/>
    <x v="3"/>
    <x v="1"/>
    <n v="98"/>
    <n v="103.88"/>
    <n v="196"/>
    <n v="207.76"/>
    <x v="25"/>
    <x v="7"/>
    <x v="0"/>
  </r>
  <r>
    <x v="122"/>
    <x v="4"/>
    <n v="11"/>
    <x v="2"/>
    <x v="0"/>
    <n v="0"/>
    <x v="4"/>
    <x v="4"/>
    <x v="3"/>
    <n v="5"/>
    <n v="6.7"/>
    <n v="55"/>
    <n v="73.7"/>
    <x v="25"/>
    <x v="7"/>
    <x v="0"/>
  </r>
  <r>
    <x v="123"/>
    <x v="0"/>
    <n v="1"/>
    <x v="0"/>
    <x v="1"/>
    <n v="0"/>
    <x v="0"/>
    <x v="0"/>
    <x v="0"/>
    <n v="144"/>
    <n v="156.96"/>
    <n v="144"/>
    <n v="156.96"/>
    <x v="0"/>
    <x v="8"/>
    <x v="0"/>
  </r>
  <r>
    <x v="123"/>
    <x v="6"/>
    <n v="14"/>
    <x v="1"/>
    <x v="0"/>
    <n v="0"/>
    <x v="6"/>
    <x v="3"/>
    <x v="1"/>
    <n v="71"/>
    <n v="80.94"/>
    <n v="994"/>
    <n v="1133.1599999999999"/>
    <x v="0"/>
    <x v="8"/>
    <x v="0"/>
  </r>
  <r>
    <x v="124"/>
    <x v="41"/>
    <n v="8"/>
    <x v="2"/>
    <x v="0"/>
    <n v="0"/>
    <x v="41"/>
    <x v="1"/>
    <x v="0"/>
    <n v="138"/>
    <n v="173.88"/>
    <n v="1104"/>
    <n v="1391.04"/>
    <x v="2"/>
    <x v="8"/>
    <x v="0"/>
  </r>
  <r>
    <x v="125"/>
    <x v="33"/>
    <n v="7"/>
    <x v="2"/>
    <x v="0"/>
    <n v="0"/>
    <x v="33"/>
    <x v="4"/>
    <x v="3"/>
    <n v="37"/>
    <n v="41.81"/>
    <n v="259"/>
    <n v="292.67"/>
    <x v="3"/>
    <x v="8"/>
    <x v="0"/>
  </r>
  <r>
    <x v="125"/>
    <x v="12"/>
    <n v="15"/>
    <x v="2"/>
    <x v="0"/>
    <n v="0"/>
    <x v="12"/>
    <x v="0"/>
    <x v="0"/>
    <n v="141"/>
    <n v="149.46"/>
    <n v="2115"/>
    <n v="2241.9"/>
    <x v="3"/>
    <x v="8"/>
    <x v="0"/>
  </r>
  <r>
    <x v="126"/>
    <x v="18"/>
    <n v="1"/>
    <x v="2"/>
    <x v="1"/>
    <n v="0"/>
    <x v="18"/>
    <x v="4"/>
    <x v="1"/>
    <n v="89"/>
    <n v="117.48"/>
    <n v="89"/>
    <n v="117.48"/>
    <x v="15"/>
    <x v="8"/>
    <x v="0"/>
  </r>
  <r>
    <x v="127"/>
    <x v="40"/>
    <n v="5"/>
    <x v="2"/>
    <x v="0"/>
    <n v="0"/>
    <x v="40"/>
    <x v="2"/>
    <x v="0"/>
    <n v="150"/>
    <n v="210"/>
    <n v="750"/>
    <n v="1050"/>
    <x v="20"/>
    <x v="8"/>
    <x v="0"/>
  </r>
  <r>
    <x v="128"/>
    <x v="11"/>
    <n v="4"/>
    <x v="2"/>
    <x v="0"/>
    <n v="0"/>
    <x v="11"/>
    <x v="1"/>
    <x v="1"/>
    <n v="76"/>
    <n v="82.08"/>
    <n v="304"/>
    <n v="328.32"/>
    <x v="4"/>
    <x v="8"/>
    <x v="0"/>
  </r>
  <r>
    <x v="129"/>
    <x v="28"/>
    <n v="6"/>
    <x v="2"/>
    <x v="0"/>
    <n v="0"/>
    <x v="28"/>
    <x v="4"/>
    <x v="0"/>
    <n v="148"/>
    <n v="201.28"/>
    <n v="888"/>
    <n v="1207.68"/>
    <x v="26"/>
    <x v="8"/>
    <x v="0"/>
  </r>
  <r>
    <x v="129"/>
    <x v="16"/>
    <n v="9"/>
    <x v="0"/>
    <x v="0"/>
    <n v="0"/>
    <x v="16"/>
    <x v="3"/>
    <x v="1"/>
    <n v="98"/>
    <n v="103.88"/>
    <n v="882"/>
    <n v="934.92"/>
    <x v="26"/>
    <x v="8"/>
    <x v="0"/>
  </r>
  <r>
    <x v="129"/>
    <x v="42"/>
    <n v="2"/>
    <x v="2"/>
    <x v="0"/>
    <n v="0"/>
    <x v="42"/>
    <x v="4"/>
    <x v="3"/>
    <n v="18"/>
    <n v="24.66"/>
    <n v="36"/>
    <n v="49.32"/>
    <x v="26"/>
    <x v="8"/>
    <x v="0"/>
  </r>
  <r>
    <x v="130"/>
    <x v="16"/>
    <n v="6"/>
    <x v="0"/>
    <x v="0"/>
    <n v="0"/>
    <x v="16"/>
    <x v="3"/>
    <x v="1"/>
    <n v="98"/>
    <n v="103.88"/>
    <n v="588"/>
    <n v="623.28"/>
    <x v="5"/>
    <x v="8"/>
    <x v="0"/>
  </r>
  <r>
    <x v="131"/>
    <x v="41"/>
    <n v="7"/>
    <x v="2"/>
    <x v="1"/>
    <n v="0"/>
    <x v="41"/>
    <x v="1"/>
    <x v="0"/>
    <n v="138"/>
    <n v="173.88"/>
    <n v="966"/>
    <n v="1217.1599999999999"/>
    <x v="22"/>
    <x v="8"/>
    <x v="0"/>
  </r>
  <r>
    <x v="132"/>
    <x v="10"/>
    <n v="6"/>
    <x v="2"/>
    <x v="0"/>
    <n v="0"/>
    <x v="10"/>
    <x v="1"/>
    <x v="0"/>
    <n v="120"/>
    <n v="162"/>
    <n v="720"/>
    <n v="972"/>
    <x v="17"/>
    <x v="8"/>
    <x v="0"/>
  </r>
  <r>
    <x v="132"/>
    <x v="10"/>
    <n v="14"/>
    <x v="2"/>
    <x v="0"/>
    <n v="0"/>
    <x v="10"/>
    <x v="1"/>
    <x v="0"/>
    <n v="120"/>
    <n v="162"/>
    <n v="1680"/>
    <n v="2268"/>
    <x v="17"/>
    <x v="8"/>
    <x v="0"/>
  </r>
  <r>
    <x v="133"/>
    <x v="14"/>
    <n v="7"/>
    <x v="0"/>
    <x v="1"/>
    <n v="0"/>
    <x v="14"/>
    <x v="0"/>
    <x v="2"/>
    <n v="61"/>
    <n v="76.25"/>
    <n v="427"/>
    <n v="533.75"/>
    <x v="10"/>
    <x v="8"/>
    <x v="0"/>
  </r>
  <r>
    <x v="134"/>
    <x v="17"/>
    <n v="2"/>
    <x v="1"/>
    <x v="1"/>
    <n v="0"/>
    <x v="17"/>
    <x v="1"/>
    <x v="1"/>
    <n v="90"/>
    <n v="115.2"/>
    <n v="180"/>
    <n v="230.4"/>
    <x v="18"/>
    <x v="8"/>
    <x v="0"/>
  </r>
  <r>
    <x v="134"/>
    <x v="29"/>
    <n v="4"/>
    <x v="2"/>
    <x v="1"/>
    <n v="0"/>
    <x v="29"/>
    <x v="3"/>
    <x v="1"/>
    <n v="105"/>
    <n v="142.80000000000001"/>
    <n v="420"/>
    <n v="571.20000000000005"/>
    <x v="18"/>
    <x v="8"/>
    <x v="0"/>
  </r>
  <r>
    <x v="135"/>
    <x v="30"/>
    <n v="12"/>
    <x v="2"/>
    <x v="1"/>
    <n v="0"/>
    <x v="30"/>
    <x v="2"/>
    <x v="3"/>
    <n v="37"/>
    <n v="49.21"/>
    <n v="444"/>
    <n v="590.52"/>
    <x v="19"/>
    <x v="8"/>
    <x v="0"/>
  </r>
  <r>
    <x v="135"/>
    <x v="32"/>
    <n v="7"/>
    <x v="1"/>
    <x v="0"/>
    <n v="0"/>
    <x v="32"/>
    <x v="0"/>
    <x v="0"/>
    <n v="126"/>
    <n v="162.54"/>
    <n v="882"/>
    <n v="1137.78"/>
    <x v="19"/>
    <x v="8"/>
    <x v="0"/>
  </r>
  <r>
    <x v="136"/>
    <x v="13"/>
    <n v="1"/>
    <x v="2"/>
    <x v="1"/>
    <n v="0"/>
    <x v="13"/>
    <x v="4"/>
    <x v="2"/>
    <n v="55"/>
    <n v="58.3"/>
    <n v="55"/>
    <n v="58.3"/>
    <x v="13"/>
    <x v="8"/>
    <x v="0"/>
  </r>
  <r>
    <x v="137"/>
    <x v="9"/>
    <n v="9"/>
    <x v="1"/>
    <x v="0"/>
    <n v="0"/>
    <x v="9"/>
    <x v="2"/>
    <x v="1"/>
    <n v="112"/>
    <n v="146.72"/>
    <n v="1008"/>
    <n v="1320.48"/>
    <x v="24"/>
    <x v="8"/>
    <x v="0"/>
  </r>
  <r>
    <x v="137"/>
    <x v="15"/>
    <n v="5"/>
    <x v="1"/>
    <x v="0"/>
    <n v="0"/>
    <x v="15"/>
    <x v="3"/>
    <x v="1"/>
    <n v="75"/>
    <n v="85.5"/>
    <n v="375"/>
    <n v="427.5"/>
    <x v="24"/>
    <x v="8"/>
    <x v="0"/>
  </r>
  <r>
    <x v="138"/>
    <x v="28"/>
    <n v="14"/>
    <x v="1"/>
    <x v="1"/>
    <n v="0"/>
    <x v="28"/>
    <x v="4"/>
    <x v="0"/>
    <n v="148"/>
    <n v="201.28"/>
    <n v="2072"/>
    <n v="2817.92"/>
    <x v="0"/>
    <x v="9"/>
    <x v="0"/>
  </r>
  <r>
    <x v="139"/>
    <x v="9"/>
    <n v="15"/>
    <x v="2"/>
    <x v="0"/>
    <n v="0"/>
    <x v="9"/>
    <x v="2"/>
    <x v="1"/>
    <n v="112"/>
    <n v="146.72"/>
    <n v="1680"/>
    <n v="2200.8000000000002"/>
    <x v="1"/>
    <x v="9"/>
    <x v="0"/>
  </r>
  <r>
    <x v="140"/>
    <x v="40"/>
    <n v="9"/>
    <x v="2"/>
    <x v="0"/>
    <n v="0"/>
    <x v="40"/>
    <x v="2"/>
    <x v="0"/>
    <n v="150"/>
    <n v="210"/>
    <n v="1350"/>
    <n v="1890"/>
    <x v="2"/>
    <x v="9"/>
    <x v="0"/>
  </r>
  <r>
    <x v="141"/>
    <x v="4"/>
    <n v="1"/>
    <x v="2"/>
    <x v="0"/>
    <n v="0"/>
    <x v="4"/>
    <x v="4"/>
    <x v="3"/>
    <n v="5"/>
    <n v="6.7"/>
    <n v="5"/>
    <n v="6.7"/>
    <x v="16"/>
    <x v="9"/>
    <x v="0"/>
  </r>
  <r>
    <x v="141"/>
    <x v="43"/>
    <n v="12"/>
    <x v="1"/>
    <x v="0"/>
    <n v="0"/>
    <x v="43"/>
    <x v="4"/>
    <x v="1"/>
    <n v="90"/>
    <n v="96.3"/>
    <n v="1080"/>
    <n v="1155.5999999999999"/>
    <x v="16"/>
    <x v="9"/>
    <x v="0"/>
  </r>
  <r>
    <x v="142"/>
    <x v="42"/>
    <n v="6"/>
    <x v="2"/>
    <x v="1"/>
    <n v="0"/>
    <x v="42"/>
    <x v="4"/>
    <x v="3"/>
    <n v="18"/>
    <n v="24.66"/>
    <n v="108"/>
    <n v="147.96"/>
    <x v="20"/>
    <x v="9"/>
    <x v="0"/>
  </r>
  <r>
    <x v="143"/>
    <x v="1"/>
    <n v="5"/>
    <x v="2"/>
    <x v="1"/>
    <n v="0"/>
    <x v="1"/>
    <x v="1"/>
    <x v="1"/>
    <n v="72"/>
    <n v="79.92"/>
    <n v="360"/>
    <n v="399.6"/>
    <x v="4"/>
    <x v="9"/>
    <x v="0"/>
  </r>
  <r>
    <x v="143"/>
    <x v="18"/>
    <n v="11"/>
    <x v="1"/>
    <x v="1"/>
    <n v="0"/>
    <x v="18"/>
    <x v="4"/>
    <x v="1"/>
    <n v="89"/>
    <n v="117.48"/>
    <n v="979"/>
    <n v="1292.28"/>
    <x v="4"/>
    <x v="9"/>
    <x v="0"/>
  </r>
  <r>
    <x v="144"/>
    <x v="4"/>
    <n v="14"/>
    <x v="2"/>
    <x v="1"/>
    <n v="0"/>
    <x v="4"/>
    <x v="4"/>
    <x v="3"/>
    <n v="5"/>
    <n v="6.7"/>
    <n v="70"/>
    <n v="93.8"/>
    <x v="26"/>
    <x v="9"/>
    <x v="0"/>
  </r>
  <r>
    <x v="145"/>
    <x v="31"/>
    <n v="15"/>
    <x v="2"/>
    <x v="1"/>
    <n v="0"/>
    <x v="31"/>
    <x v="2"/>
    <x v="2"/>
    <n v="44"/>
    <n v="48.4"/>
    <n v="660"/>
    <n v="726"/>
    <x v="5"/>
    <x v="9"/>
    <x v="0"/>
  </r>
  <r>
    <x v="146"/>
    <x v="26"/>
    <n v="8"/>
    <x v="1"/>
    <x v="0"/>
    <n v="0"/>
    <x v="26"/>
    <x v="4"/>
    <x v="2"/>
    <n v="48"/>
    <n v="57.120000000000005"/>
    <n v="384"/>
    <n v="456.96000000000004"/>
    <x v="6"/>
    <x v="9"/>
    <x v="0"/>
  </r>
  <r>
    <x v="147"/>
    <x v="16"/>
    <n v="13"/>
    <x v="2"/>
    <x v="0"/>
    <n v="0"/>
    <x v="16"/>
    <x v="3"/>
    <x v="1"/>
    <n v="98"/>
    <n v="103.88"/>
    <n v="1274"/>
    <n v="1350.44"/>
    <x v="30"/>
    <x v="9"/>
    <x v="0"/>
  </r>
  <r>
    <x v="148"/>
    <x v="7"/>
    <n v="6"/>
    <x v="1"/>
    <x v="1"/>
    <n v="0"/>
    <x v="7"/>
    <x v="0"/>
    <x v="3"/>
    <n v="7"/>
    <n v="8.33"/>
    <n v="42"/>
    <n v="49.980000000000004"/>
    <x v="7"/>
    <x v="9"/>
    <x v="0"/>
  </r>
  <r>
    <x v="148"/>
    <x v="32"/>
    <n v="13"/>
    <x v="1"/>
    <x v="1"/>
    <n v="0"/>
    <x v="32"/>
    <x v="0"/>
    <x v="0"/>
    <n v="126"/>
    <n v="162.54"/>
    <n v="1638"/>
    <n v="2113.02"/>
    <x v="7"/>
    <x v="9"/>
    <x v="0"/>
  </r>
  <r>
    <x v="149"/>
    <x v="31"/>
    <n v="7"/>
    <x v="2"/>
    <x v="1"/>
    <n v="0"/>
    <x v="31"/>
    <x v="2"/>
    <x v="2"/>
    <n v="44"/>
    <n v="48.4"/>
    <n v="308"/>
    <n v="338.8"/>
    <x v="18"/>
    <x v="9"/>
    <x v="0"/>
  </r>
  <r>
    <x v="149"/>
    <x v="0"/>
    <n v="13"/>
    <x v="1"/>
    <x v="1"/>
    <n v="0"/>
    <x v="0"/>
    <x v="0"/>
    <x v="0"/>
    <n v="144"/>
    <n v="156.96"/>
    <n v="1872"/>
    <n v="2040.48"/>
    <x v="18"/>
    <x v="9"/>
    <x v="0"/>
  </r>
  <r>
    <x v="149"/>
    <x v="37"/>
    <n v="1"/>
    <x v="2"/>
    <x v="1"/>
    <n v="0"/>
    <x v="37"/>
    <x v="3"/>
    <x v="3"/>
    <n v="6"/>
    <n v="7.8599999999999994"/>
    <n v="6"/>
    <n v="7.8599999999999994"/>
    <x v="18"/>
    <x v="9"/>
    <x v="0"/>
  </r>
  <r>
    <x v="150"/>
    <x v="31"/>
    <n v="3"/>
    <x v="0"/>
    <x v="1"/>
    <n v="0"/>
    <x v="31"/>
    <x v="2"/>
    <x v="2"/>
    <n v="44"/>
    <n v="48.4"/>
    <n v="132"/>
    <n v="145.19999999999999"/>
    <x v="27"/>
    <x v="9"/>
    <x v="0"/>
  </r>
  <r>
    <x v="151"/>
    <x v="11"/>
    <n v="9"/>
    <x v="1"/>
    <x v="1"/>
    <n v="0"/>
    <x v="11"/>
    <x v="1"/>
    <x v="1"/>
    <n v="76"/>
    <n v="82.08"/>
    <n v="684"/>
    <n v="738.72"/>
    <x v="11"/>
    <x v="9"/>
    <x v="0"/>
  </r>
  <r>
    <x v="152"/>
    <x v="3"/>
    <n v="6"/>
    <x v="0"/>
    <x v="1"/>
    <n v="0"/>
    <x v="3"/>
    <x v="3"/>
    <x v="2"/>
    <n v="44"/>
    <n v="48.84"/>
    <n v="264"/>
    <n v="293.04000000000002"/>
    <x v="12"/>
    <x v="9"/>
    <x v="0"/>
  </r>
  <r>
    <x v="153"/>
    <x v="25"/>
    <n v="1"/>
    <x v="2"/>
    <x v="1"/>
    <n v="0"/>
    <x v="25"/>
    <x v="3"/>
    <x v="1"/>
    <n v="83"/>
    <n v="94.62"/>
    <n v="83"/>
    <n v="94.62"/>
    <x v="14"/>
    <x v="9"/>
    <x v="0"/>
  </r>
  <r>
    <x v="154"/>
    <x v="1"/>
    <n v="14"/>
    <x v="1"/>
    <x v="0"/>
    <n v="0"/>
    <x v="1"/>
    <x v="1"/>
    <x v="1"/>
    <n v="72"/>
    <n v="79.92"/>
    <n v="1008"/>
    <n v="1118.8800000000001"/>
    <x v="28"/>
    <x v="9"/>
    <x v="0"/>
  </r>
  <r>
    <x v="155"/>
    <x v="32"/>
    <n v="6"/>
    <x v="1"/>
    <x v="1"/>
    <n v="0"/>
    <x v="32"/>
    <x v="0"/>
    <x v="0"/>
    <n v="126"/>
    <n v="162.54"/>
    <n v="756"/>
    <n v="975.24"/>
    <x v="25"/>
    <x v="9"/>
    <x v="0"/>
  </r>
  <r>
    <x v="156"/>
    <x v="2"/>
    <n v="12"/>
    <x v="2"/>
    <x v="1"/>
    <n v="0"/>
    <x v="2"/>
    <x v="2"/>
    <x v="1"/>
    <n v="112"/>
    <n v="122.08"/>
    <n v="1344"/>
    <n v="1464.96"/>
    <x v="2"/>
    <x v="10"/>
    <x v="0"/>
  </r>
  <r>
    <x v="157"/>
    <x v="43"/>
    <n v="10"/>
    <x v="2"/>
    <x v="0"/>
    <n v="0"/>
    <x v="43"/>
    <x v="4"/>
    <x v="1"/>
    <n v="90"/>
    <n v="96.3"/>
    <n v="900"/>
    <n v="963"/>
    <x v="16"/>
    <x v="10"/>
    <x v="0"/>
  </r>
  <r>
    <x v="158"/>
    <x v="36"/>
    <n v="15"/>
    <x v="2"/>
    <x v="0"/>
    <n v="0"/>
    <x v="36"/>
    <x v="3"/>
    <x v="2"/>
    <n v="43"/>
    <n v="47.730000000000004"/>
    <n v="645"/>
    <n v="715.95"/>
    <x v="21"/>
    <x v="10"/>
    <x v="0"/>
  </r>
  <r>
    <x v="159"/>
    <x v="10"/>
    <n v="6"/>
    <x v="1"/>
    <x v="1"/>
    <n v="0"/>
    <x v="10"/>
    <x v="1"/>
    <x v="0"/>
    <n v="120"/>
    <n v="162"/>
    <n v="720"/>
    <n v="972"/>
    <x v="26"/>
    <x v="10"/>
    <x v="0"/>
  </r>
  <r>
    <x v="160"/>
    <x v="17"/>
    <n v="12"/>
    <x v="0"/>
    <x v="0"/>
    <n v="0"/>
    <x v="17"/>
    <x v="1"/>
    <x v="1"/>
    <n v="90"/>
    <n v="115.2"/>
    <n v="1080"/>
    <n v="1382.4"/>
    <x v="5"/>
    <x v="10"/>
    <x v="0"/>
  </r>
  <r>
    <x v="161"/>
    <x v="20"/>
    <n v="3"/>
    <x v="1"/>
    <x v="1"/>
    <n v="0"/>
    <x v="20"/>
    <x v="2"/>
    <x v="0"/>
    <n v="148"/>
    <n v="164.28"/>
    <n v="444"/>
    <n v="492.84000000000003"/>
    <x v="6"/>
    <x v="10"/>
    <x v="0"/>
  </r>
  <r>
    <x v="162"/>
    <x v="13"/>
    <n v="14"/>
    <x v="1"/>
    <x v="0"/>
    <n v="0"/>
    <x v="13"/>
    <x v="4"/>
    <x v="2"/>
    <n v="55"/>
    <n v="58.3"/>
    <n v="770"/>
    <n v="816.19999999999993"/>
    <x v="9"/>
    <x v="10"/>
    <x v="0"/>
  </r>
  <r>
    <x v="162"/>
    <x v="25"/>
    <n v="11"/>
    <x v="1"/>
    <x v="1"/>
    <n v="0"/>
    <x v="25"/>
    <x v="3"/>
    <x v="1"/>
    <n v="83"/>
    <n v="94.62"/>
    <n v="913"/>
    <n v="1040.8200000000002"/>
    <x v="9"/>
    <x v="10"/>
    <x v="0"/>
  </r>
  <r>
    <x v="163"/>
    <x v="9"/>
    <n v="1"/>
    <x v="0"/>
    <x v="0"/>
    <n v="0"/>
    <x v="9"/>
    <x v="2"/>
    <x v="1"/>
    <n v="112"/>
    <n v="146.72"/>
    <n v="112"/>
    <n v="146.72"/>
    <x v="10"/>
    <x v="10"/>
    <x v="0"/>
  </r>
  <r>
    <x v="163"/>
    <x v="15"/>
    <n v="1"/>
    <x v="1"/>
    <x v="1"/>
    <n v="0"/>
    <x v="15"/>
    <x v="3"/>
    <x v="1"/>
    <n v="75"/>
    <n v="85.5"/>
    <n v="75"/>
    <n v="85.5"/>
    <x v="10"/>
    <x v="10"/>
    <x v="0"/>
  </r>
  <r>
    <x v="164"/>
    <x v="35"/>
    <n v="8"/>
    <x v="1"/>
    <x v="0"/>
    <n v="0"/>
    <x v="35"/>
    <x v="2"/>
    <x v="1"/>
    <n v="73"/>
    <n v="94.17"/>
    <n v="584"/>
    <n v="753.36"/>
    <x v="13"/>
    <x v="10"/>
    <x v="0"/>
  </r>
  <r>
    <x v="165"/>
    <x v="17"/>
    <n v="2"/>
    <x v="2"/>
    <x v="1"/>
    <n v="0"/>
    <x v="17"/>
    <x v="1"/>
    <x v="1"/>
    <n v="90"/>
    <n v="115.2"/>
    <n v="180"/>
    <n v="230.4"/>
    <x v="14"/>
    <x v="10"/>
    <x v="0"/>
  </r>
  <r>
    <x v="166"/>
    <x v="34"/>
    <n v="15"/>
    <x v="2"/>
    <x v="0"/>
    <n v="0"/>
    <x v="34"/>
    <x v="1"/>
    <x v="3"/>
    <n v="37"/>
    <n v="42.55"/>
    <n v="555"/>
    <n v="638.25"/>
    <x v="24"/>
    <x v="10"/>
    <x v="0"/>
  </r>
  <r>
    <x v="167"/>
    <x v="21"/>
    <n v="10"/>
    <x v="2"/>
    <x v="1"/>
    <n v="0"/>
    <x v="21"/>
    <x v="2"/>
    <x v="3"/>
    <n v="13"/>
    <n v="16.64"/>
    <n v="130"/>
    <n v="166.4"/>
    <x v="1"/>
    <x v="11"/>
    <x v="0"/>
  </r>
  <r>
    <x v="168"/>
    <x v="13"/>
    <n v="2"/>
    <x v="1"/>
    <x v="1"/>
    <n v="0"/>
    <x v="13"/>
    <x v="4"/>
    <x v="2"/>
    <n v="55"/>
    <n v="58.3"/>
    <n v="110"/>
    <n v="116.6"/>
    <x v="2"/>
    <x v="11"/>
    <x v="0"/>
  </r>
  <r>
    <x v="168"/>
    <x v="40"/>
    <n v="8"/>
    <x v="1"/>
    <x v="0"/>
    <n v="0"/>
    <x v="40"/>
    <x v="2"/>
    <x v="0"/>
    <n v="150"/>
    <n v="210"/>
    <n v="1200"/>
    <n v="1680"/>
    <x v="2"/>
    <x v="11"/>
    <x v="0"/>
  </r>
  <r>
    <x v="169"/>
    <x v="3"/>
    <n v="15"/>
    <x v="2"/>
    <x v="1"/>
    <n v="0"/>
    <x v="3"/>
    <x v="3"/>
    <x v="2"/>
    <n v="44"/>
    <n v="48.84"/>
    <n v="660"/>
    <n v="732.6"/>
    <x v="15"/>
    <x v="11"/>
    <x v="0"/>
  </r>
  <r>
    <x v="169"/>
    <x v="20"/>
    <n v="1"/>
    <x v="2"/>
    <x v="0"/>
    <n v="0"/>
    <x v="20"/>
    <x v="2"/>
    <x v="0"/>
    <n v="148"/>
    <n v="164.28"/>
    <n v="148"/>
    <n v="164.28"/>
    <x v="15"/>
    <x v="11"/>
    <x v="0"/>
  </r>
  <r>
    <x v="170"/>
    <x v="2"/>
    <n v="8"/>
    <x v="2"/>
    <x v="0"/>
    <n v="0"/>
    <x v="2"/>
    <x v="2"/>
    <x v="1"/>
    <n v="112"/>
    <n v="122.08"/>
    <n v="896"/>
    <n v="976.64"/>
    <x v="20"/>
    <x v="11"/>
    <x v="0"/>
  </r>
  <r>
    <x v="171"/>
    <x v="11"/>
    <n v="14"/>
    <x v="2"/>
    <x v="0"/>
    <n v="0"/>
    <x v="11"/>
    <x v="1"/>
    <x v="1"/>
    <n v="76"/>
    <n v="82.08"/>
    <n v="1064"/>
    <n v="1149.1199999999999"/>
    <x v="21"/>
    <x v="11"/>
    <x v="0"/>
  </r>
  <r>
    <x v="172"/>
    <x v="10"/>
    <n v="4"/>
    <x v="2"/>
    <x v="0"/>
    <n v="0"/>
    <x v="10"/>
    <x v="1"/>
    <x v="0"/>
    <n v="120"/>
    <n v="162"/>
    <n v="480"/>
    <n v="648"/>
    <x v="29"/>
    <x v="11"/>
    <x v="0"/>
  </r>
  <r>
    <x v="173"/>
    <x v="6"/>
    <n v="2"/>
    <x v="2"/>
    <x v="1"/>
    <n v="0"/>
    <x v="6"/>
    <x v="3"/>
    <x v="1"/>
    <n v="71"/>
    <n v="80.94"/>
    <n v="142"/>
    <n v="161.88"/>
    <x v="7"/>
    <x v="11"/>
    <x v="0"/>
  </r>
  <r>
    <x v="173"/>
    <x v="22"/>
    <n v="8"/>
    <x v="1"/>
    <x v="1"/>
    <n v="0"/>
    <x v="22"/>
    <x v="0"/>
    <x v="0"/>
    <n v="121"/>
    <n v="141.57"/>
    <n v="968"/>
    <n v="1132.56"/>
    <x v="7"/>
    <x v="11"/>
    <x v="0"/>
  </r>
  <r>
    <x v="174"/>
    <x v="12"/>
    <n v="12"/>
    <x v="2"/>
    <x v="0"/>
    <n v="0"/>
    <x v="12"/>
    <x v="0"/>
    <x v="0"/>
    <n v="141"/>
    <n v="149.46"/>
    <n v="1692"/>
    <n v="1793.52"/>
    <x v="8"/>
    <x v="11"/>
    <x v="0"/>
  </r>
  <r>
    <x v="174"/>
    <x v="19"/>
    <n v="3"/>
    <x v="0"/>
    <x v="0"/>
    <n v="0"/>
    <x v="19"/>
    <x v="4"/>
    <x v="2"/>
    <n v="47"/>
    <n v="53.11"/>
    <n v="141"/>
    <n v="159.32999999999998"/>
    <x v="8"/>
    <x v="11"/>
    <x v="0"/>
  </r>
  <r>
    <x v="174"/>
    <x v="31"/>
    <n v="10"/>
    <x v="1"/>
    <x v="0"/>
    <n v="0"/>
    <x v="31"/>
    <x v="2"/>
    <x v="2"/>
    <n v="44"/>
    <n v="48.4"/>
    <n v="440"/>
    <n v="484"/>
    <x v="8"/>
    <x v="11"/>
    <x v="0"/>
  </r>
  <r>
    <x v="175"/>
    <x v="35"/>
    <n v="14"/>
    <x v="2"/>
    <x v="0"/>
    <n v="0"/>
    <x v="35"/>
    <x v="2"/>
    <x v="1"/>
    <n v="73"/>
    <n v="94.17"/>
    <n v="1022"/>
    <n v="1318.38"/>
    <x v="9"/>
    <x v="11"/>
    <x v="0"/>
  </r>
  <r>
    <x v="176"/>
    <x v="42"/>
    <n v="10"/>
    <x v="1"/>
    <x v="1"/>
    <n v="0"/>
    <x v="42"/>
    <x v="4"/>
    <x v="3"/>
    <n v="18"/>
    <n v="24.66"/>
    <n v="180"/>
    <n v="246.6"/>
    <x v="10"/>
    <x v="11"/>
    <x v="0"/>
  </r>
  <r>
    <x v="177"/>
    <x v="10"/>
    <n v="8"/>
    <x v="0"/>
    <x v="1"/>
    <n v="0"/>
    <x v="10"/>
    <x v="1"/>
    <x v="0"/>
    <n v="120"/>
    <n v="162"/>
    <n v="960"/>
    <n v="1296"/>
    <x v="27"/>
    <x v="11"/>
    <x v="0"/>
  </r>
  <r>
    <x v="177"/>
    <x v="43"/>
    <n v="8"/>
    <x v="0"/>
    <x v="0"/>
    <n v="0"/>
    <x v="43"/>
    <x v="4"/>
    <x v="1"/>
    <n v="90"/>
    <n v="96.3"/>
    <n v="720"/>
    <n v="770.4"/>
    <x v="27"/>
    <x v="11"/>
    <x v="0"/>
  </r>
  <r>
    <x v="178"/>
    <x v="41"/>
    <n v="14"/>
    <x v="1"/>
    <x v="1"/>
    <n v="0"/>
    <x v="41"/>
    <x v="1"/>
    <x v="0"/>
    <n v="138"/>
    <n v="173.88"/>
    <n v="1932"/>
    <n v="2434.3199999999997"/>
    <x v="12"/>
    <x v="11"/>
    <x v="0"/>
  </r>
  <r>
    <x v="179"/>
    <x v="19"/>
    <n v="14"/>
    <x v="2"/>
    <x v="1"/>
    <n v="0"/>
    <x v="19"/>
    <x v="4"/>
    <x v="2"/>
    <n v="47"/>
    <n v="53.11"/>
    <n v="658"/>
    <n v="743.54"/>
    <x v="13"/>
    <x v="11"/>
    <x v="0"/>
  </r>
  <r>
    <x v="180"/>
    <x v="19"/>
    <n v="6"/>
    <x v="2"/>
    <x v="1"/>
    <n v="0"/>
    <x v="19"/>
    <x v="4"/>
    <x v="2"/>
    <n v="47"/>
    <n v="53.11"/>
    <n v="282"/>
    <n v="318.65999999999997"/>
    <x v="14"/>
    <x v="11"/>
    <x v="0"/>
  </r>
  <r>
    <x v="181"/>
    <x v="20"/>
    <n v="13"/>
    <x v="1"/>
    <x v="0"/>
    <n v="0"/>
    <x v="20"/>
    <x v="2"/>
    <x v="0"/>
    <n v="148"/>
    <n v="164.28"/>
    <n v="1924"/>
    <n v="2135.64"/>
    <x v="24"/>
    <x v="11"/>
    <x v="0"/>
  </r>
  <r>
    <x v="182"/>
    <x v="22"/>
    <n v="1"/>
    <x v="0"/>
    <x v="1"/>
    <n v="0"/>
    <x v="22"/>
    <x v="0"/>
    <x v="0"/>
    <n v="121"/>
    <n v="141.57"/>
    <n v="121"/>
    <n v="141.57"/>
    <x v="0"/>
    <x v="0"/>
    <x v="1"/>
  </r>
  <r>
    <x v="183"/>
    <x v="20"/>
    <n v="7"/>
    <x v="2"/>
    <x v="1"/>
    <n v="0"/>
    <x v="20"/>
    <x v="2"/>
    <x v="0"/>
    <n v="148"/>
    <n v="164.28"/>
    <n v="1036"/>
    <n v="1149.96"/>
    <x v="1"/>
    <x v="0"/>
    <x v="1"/>
  </r>
  <r>
    <x v="183"/>
    <x v="27"/>
    <n v="2"/>
    <x v="1"/>
    <x v="1"/>
    <n v="0"/>
    <x v="27"/>
    <x v="2"/>
    <x v="3"/>
    <n v="12"/>
    <n v="15.719999999999999"/>
    <n v="24"/>
    <n v="31.439999999999998"/>
    <x v="1"/>
    <x v="0"/>
    <x v="1"/>
  </r>
  <r>
    <x v="183"/>
    <x v="38"/>
    <n v="1"/>
    <x v="2"/>
    <x v="1"/>
    <n v="0"/>
    <x v="38"/>
    <x v="4"/>
    <x v="1"/>
    <n v="95"/>
    <n v="119.7"/>
    <n v="95"/>
    <n v="119.7"/>
    <x v="1"/>
    <x v="0"/>
    <x v="1"/>
  </r>
  <r>
    <x v="184"/>
    <x v="23"/>
    <n v="9"/>
    <x v="2"/>
    <x v="1"/>
    <n v="0"/>
    <x v="23"/>
    <x v="1"/>
    <x v="1"/>
    <n v="67"/>
    <n v="83.08"/>
    <n v="603"/>
    <n v="747.72"/>
    <x v="2"/>
    <x v="0"/>
    <x v="1"/>
  </r>
  <r>
    <x v="185"/>
    <x v="35"/>
    <n v="8"/>
    <x v="2"/>
    <x v="0"/>
    <n v="0"/>
    <x v="35"/>
    <x v="2"/>
    <x v="1"/>
    <n v="73"/>
    <n v="94.17"/>
    <n v="584"/>
    <n v="753.36"/>
    <x v="3"/>
    <x v="0"/>
    <x v="1"/>
  </r>
  <r>
    <x v="185"/>
    <x v="19"/>
    <n v="1"/>
    <x v="1"/>
    <x v="0"/>
    <n v="0"/>
    <x v="19"/>
    <x v="4"/>
    <x v="2"/>
    <n v="47"/>
    <n v="53.11"/>
    <n v="47"/>
    <n v="53.11"/>
    <x v="3"/>
    <x v="0"/>
    <x v="1"/>
  </r>
  <r>
    <x v="186"/>
    <x v="18"/>
    <n v="12"/>
    <x v="2"/>
    <x v="0"/>
    <n v="0"/>
    <x v="18"/>
    <x v="4"/>
    <x v="1"/>
    <n v="89"/>
    <n v="117.48"/>
    <n v="1068"/>
    <n v="1409.76"/>
    <x v="4"/>
    <x v="0"/>
    <x v="1"/>
  </r>
  <r>
    <x v="187"/>
    <x v="13"/>
    <n v="14"/>
    <x v="1"/>
    <x v="0"/>
    <n v="0"/>
    <x v="13"/>
    <x v="4"/>
    <x v="2"/>
    <n v="55"/>
    <n v="58.3"/>
    <n v="770"/>
    <n v="816.19999999999993"/>
    <x v="26"/>
    <x v="0"/>
    <x v="1"/>
  </r>
  <r>
    <x v="188"/>
    <x v="18"/>
    <n v="2"/>
    <x v="2"/>
    <x v="0"/>
    <n v="0"/>
    <x v="18"/>
    <x v="4"/>
    <x v="1"/>
    <n v="89"/>
    <n v="117.48"/>
    <n v="178"/>
    <n v="234.96"/>
    <x v="5"/>
    <x v="0"/>
    <x v="1"/>
  </r>
  <r>
    <x v="189"/>
    <x v="40"/>
    <n v="6"/>
    <x v="1"/>
    <x v="0"/>
    <n v="0"/>
    <x v="40"/>
    <x v="2"/>
    <x v="0"/>
    <n v="150"/>
    <n v="210"/>
    <n v="900"/>
    <n v="1260"/>
    <x v="22"/>
    <x v="0"/>
    <x v="1"/>
  </r>
  <r>
    <x v="190"/>
    <x v="31"/>
    <n v="14"/>
    <x v="2"/>
    <x v="0"/>
    <n v="0"/>
    <x v="31"/>
    <x v="2"/>
    <x v="2"/>
    <n v="44"/>
    <n v="48.4"/>
    <n v="616"/>
    <n v="677.6"/>
    <x v="29"/>
    <x v="0"/>
    <x v="1"/>
  </r>
  <r>
    <x v="191"/>
    <x v="22"/>
    <n v="10"/>
    <x v="2"/>
    <x v="1"/>
    <n v="0"/>
    <x v="22"/>
    <x v="0"/>
    <x v="0"/>
    <n v="121"/>
    <n v="141.57"/>
    <n v="1210"/>
    <n v="1415.6999999999998"/>
    <x v="17"/>
    <x v="0"/>
    <x v="1"/>
  </r>
  <r>
    <x v="192"/>
    <x v="9"/>
    <n v="11"/>
    <x v="1"/>
    <x v="1"/>
    <n v="0"/>
    <x v="9"/>
    <x v="2"/>
    <x v="1"/>
    <n v="112"/>
    <n v="146.72"/>
    <n v="1232"/>
    <n v="1613.92"/>
    <x v="23"/>
    <x v="0"/>
    <x v="1"/>
  </r>
  <r>
    <x v="193"/>
    <x v="17"/>
    <n v="4"/>
    <x v="1"/>
    <x v="0"/>
    <n v="0"/>
    <x v="17"/>
    <x v="1"/>
    <x v="1"/>
    <n v="90"/>
    <n v="115.2"/>
    <n v="360"/>
    <n v="460.8"/>
    <x v="30"/>
    <x v="0"/>
    <x v="1"/>
  </r>
  <r>
    <x v="194"/>
    <x v="25"/>
    <n v="9"/>
    <x v="0"/>
    <x v="1"/>
    <n v="0"/>
    <x v="25"/>
    <x v="3"/>
    <x v="1"/>
    <n v="83"/>
    <n v="94.62"/>
    <n v="747"/>
    <n v="851.58"/>
    <x v="7"/>
    <x v="0"/>
    <x v="1"/>
  </r>
  <r>
    <x v="195"/>
    <x v="32"/>
    <n v="2"/>
    <x v="2"/>
    <x v="1"/>
    <n v="0"/>
    <x v="32"/>
    <x v="0"/>
    <x v="0"/>
    <n v="126"/>
    <n v="162.54"/>
    <n v="252"/>
    <n v="325.08"/>
    <x v="9"/>
    <x v="0"/>
    <x v="1"/>
  </r>
  <r>
    <x v="195"/>
    <x v="9"/>
    <n v="7"/>
    <x v="1"/>
    <x v="0"/>
    <n v="0"/>
    <x v="9"/>
    <x v="2"/>
    <x v="1"/>
    <n v="112"/>
    <n v="146.72"/>
    <n v="784"/>
    <n v="1027.04"/>
    <x v="9"/>
    <x v="0"/>
    <x v="1"/>
  </r>
  <r>
    <x v="196"/>
    <x v="16"/>
    <n v="6"/>
    <x v="1"/>
    <x v="1"/>
    <n v="0"/>
    <x v="16"/>
    <x v="3"/>
    <x v="1"/>
    <n v="98"/>
    <n v="103.88"/>
    <n v="588"/>
    <n v="623.28"/>
    <x v="18"/>
    <x v="0"/>
    <x v="1"/>
  </r>
  <r>
    <x v="197"/>
    <x v="29"/>
    <n v="5"/>
    <x v="0"/>
    <x v="1"/>
    <n v="0"/>
    <x v="29"/>
    <x v="3"/>
    <x v="1"/>
    <n v="105"/>
    <n v="142.80000000000001"/>
    <n v="525"/>
    <n v="714"/>
    <x v="19"/>
    <x v="0"/>
    <x v="1"/>
  </r>
  <r>
    <x v="197"/>
    <x v="10"/>
    <n v="8"/>
    <x v="2"/>
    <x v="0"/>
    <n v="0"/>
    <x v="10"/>
    <x v="1"/>
    <x v="0"/>
    <n v="120"/>
    <n v="162"/>
    <n v="960"/>
    <n v="1296"/>
    <x v="19"/>
    <x v="0"/>
    <x v="1"/>
  </r>
  <r>
    <x v="198"/>
    <x v="28"/>
    <n v="15"/>
    <x v="1"/>
    <x v="0"/>
    <n v="0"/>
    <x v="28"/>
    <x v="4"/>
    <x v="0"/>
    <n v="148"/>
    <n v="201.28"/>
    <n v="2220"/>
    <n v="3019.2"/>
    <x v="27"/>
    <x v="0"/>
    <x v="1"/>
  </r>
  <r>
    <x v="199"/>
    <x v="39"/>
    <n v="14"/>
    <x v="2"/>
    <x v="1"/>
    <n v="0"/>
    <x v="39"/>
    <x v="2"/>
    <x v="0"/>
    <n v="134"/>
    <n v="156.78"/>
    <n v="1876"/>
    <n v="2194.92"/>
    <x v="11"/>
    <x v="0"/>
    <x v="1"/>
  </r>
  <r>
    <x v="200"/>
    <x v="21"/>
    <n v="11"/>
    <x v="2"/>
    <x v="0"/>
    <n v="0"/>
    <x v="21"/>
    <x v="2"/>
    <x v="3"/>
    <n v="13"/>
    <n v="16.64"/>
    <n v="143"/>
    <n v="183.04000000000002"/>
    <x v="14"/>
    <x v="0"/>
    <x v="1"/>
  </r>
  <r>
    <x v="201"/>
    <x v="12"/>
    <n v="6"/>
    <x v="1"/>
    <x v="1"/>
    <n v="0"/>
    <x v="12"/>
    <x v="0"/>
    <x v="0"/>
    <n v="141"/>
    <n v="149.46"/>
    <n v="846"/>
    <n v="896.76"/>
    <x v="25"/>
    <x v="0"/>
    <x v="1"/>
  </r>
  <r>
    <x v="201"/>
    <x v="41"/>
    <n v="9"/>
    <x v="2"/>
    <x v="1"/>
    <n v="0"/>
    <x v="41"/>
    <x v="1"/>
    <x v="0"/>
    <n v="138"/>
    <n v="173.88"/>
    <n v="1242"/>
    <n v="1564.92"/>
    <x v="25"/>
    <x v="0"/>
    <x v="1"/>
  </r>
  <r>
    <x v="202"/>
    <x v="24"/>
    <n v="9"/>
    <x v="2"/>
    <x v="1"/>
    <n v="0"/>
    <x v="24"/>
    <x v="3"/>
    <x v="0"/>
    <n v="133"/>
    <n v="155.61000000000001"/>
    <n v="1197"/>
    <n v="1400.4900000000002"/>
    <x v="0"/>
    <x v="1"/>
    <x v="1"/>
  </r>
  <r>
    <x v="203"/>
    <x v="9"/>
    <n v="8"/>
    <x v="2"/>
    <x v="0"/>
    <n v="0"/>
    <x v="9"/>
    <x v="2"/>
    <x v="1"/>
    <n v="112"/>
    <n v="146.72"/>
    <n v="896"/>
    <n v="1173.76"/>
    <x v="2"/>
    <x v="1"/>
    <x v="1"/>
  </r>
  <r>
    <x v="204"/>
    <x v="30"/>
    <n v="6"/>
    <x v="2"/>
    <x v="1"/>
    <n v="0"/>
    <x v="30"/>
    <x v="2"/>
    <x v="3"/>
    <n v="37"/>
    <n v="49.21"/>
    <n v="222"/>
    <n v="295.26"/>
    <x v="15"/>
    <x v="1"/>
    <x v="1"/>
  </r>
  <r>
    <x v="205"/>
    <x v="29"/>
    <n v="6"/>
    <x v="2"/>
    <x v="1"/>
    <n v="0"/>
    <x v="29"/>
    <x v="3"/>
    <x v="1"/>
    <n v="105"/>
    <n v="142.80000000000001"/>
    <n v="630"/>
    <n v="856.80000000000007"/>
    <x v="16"/>
    <x v="1"/>
    <x v="1"/>
  </r>
  <r>
    <x v="206"/>
    <x v="24"/>
    <n v="11"/>
    <x v="1"/>
    <x v="1"/>
    <n v="0"/>
    <x v="24"/>
    <x v="3"/>
    <x v="0"/>
    <n v="133"/>
    <n v="155.61000000000001"/>
    <n v="1463"/>
    <n v="1711.71"/>
    <x v="21"/>
    <x v="1"/>
    <x v="1"/>
  </r>
  <r>
    <x v="206"/>
    <x v="3"/>
    <n v="3"/>
    <x v="1"/>
    <x v="1"/>
    <n v="0"/>
    <x v="3"/>
    <x v="3"/>
    <x v="2"/>
    <n v="44"/>
    <n v="48.84"/>
    <n v="132"/>
    <n v="146.52000000000001"/>
    <x v="21"/>
    <x v="1"/>
    <x v="1"/>
  </r>
  <r>
    <x v="207"/>
    <x v="18"/>
    <n v="14"/>
    <x v="1"/>
    <x v="0"/>
    <n v="0"/>
    <x v="18"/>
    <x v="4"/>
    <x v="1"/>
    <n v="89"/>
    <n v="117.48"/>
    <n v="1246"/>
    <n v="1644.72"/>
    <x v="4"/>
    <x v="1"/>
    <x v="1"/>
  </r>
  <r>
    <x v="208"/>
    <x v="20"/>
    <n v="13"/>
    <x v="2"/>
    <x v="1"/>
    <n v="0"/>
    <x v="20"/>
    <x v="2"/>
    <x v="0"/>
    <n v="148"/>
    <n v="164.28"/>
    <n v="1924"/>
    <n v="2135.64"/>
    <x v="6"/>
    <x v="1"/>
    <x v="1"/>
  </r>
  <r>
    <x v="209"/>
    <x v="42"/>
    <n v="8"/>
    <x v="1"/>
    <x v="1"/>
    <n v="0"/>
    <x v="42"/>
    <x v="4"/>
    <x v="3"/>
    <n v="18"/>
    <n v="24.66"/>
    <n v="144"/>
    <n v="197.28"/>
    <x v="29"/>
    <x v="1"/>
    <x v="1"/>
  </r>
  <r>
    <x v="209"/>
    <x v="33"/>
    <n v="3"/>
    <x v="2"/>
    <x v="1"/>
    <n v="0"/>
    <x v="33"/>
    <x v="4"/>
    <x v="3"/>
    <n v="37"/>
    <n v="41.81"/>
    <n v="111"/>
    <n v="125.43"/>
    <x v="29"/>
    <x v="1"/>
    <x v="1"/>
  </r>
  <r>
    <x v="210"/>
    <x v="18"/>
    <n v="1"/>
    <x v="1"/>
    <x v="1"/>
    <n v="0"/>
    <x v="18"/>
    <x v="4"/>
    <x v="1"/>
    <n v="89"/>
    <n v="117.48"/>
    <n v="89"/>
    <n v="117.48"/>
    <x v="23"/>
    <x v="1"/>
    <x v="1"/>
  </r>
  <r>
    <x v="211"/>
    <x v="29"/>
    <n v="13"/>
    <x v="1"/>
    <x v="1"/>
    <n v="0"/>
    <x v="29"/>
    <x v="3"/>
    <x v="1"/>
    <n v="105"/>
    <n v="142.80000000000001"/>
    <n v="1365"/>
    <n v="1856.4"/>
    <x v="8"/>
    <x v="1"/>
    <x v="1"/>
  </r>
  <r>
    <x v="212"/>
    <x v="35"/>
    <n v="6"/>
    <x v="2"/>
    <x v="1"/>
    <n v="0"/>
    <x v="35"/>
    <x v="2"/>
    <x v="1"/>
    <n v="73"/>
    <n v="94.17"/>
    <n v="438"/>
    <n v="565.02"/>
    <x v="9"/>
    <x v="1"/>
    <x v="1"/>
  </r>
  <r>
    <x v="213"/>
    <x v="2"/>
    <n v="6"/>
    <x v="1"/>
    <x v="0"/>
    <n v="0"/>
    <x v="2"/>
    <x v="2"/>
    <x v="1"/>
    <n v="112"/>
    <n v="122.08"/>
    <n v="672"/>
    <n v="732.48"/>
    <x v="19"/>
    <x v="1"/>
    <x v="1"/>
  </r>
  <r>
    <x v="213"/>
    <x v="21"/>
    <n v="15"/>
    <x v="1"/>
    <x v="1"/>
    <n v="0"/>
    <x v="21"/>
    <x v="2"/>
    <x v="3"/>
    <n v="13"/>
    <n v="16.64"/>
    <n v="195"/>
    <n v="249.60000000000002"/>
    <x v="19"/>
    <x v="1"/>
    <x v="1"/>
  </r>
  <r>
    <x v="213"/>
    <x v="43"/>
    <n v="8"/>
    <x v="2"/>
    <x v="0"/>
    <n v="0"/>
    <x v="43"/>
    <x v="4"/>
    <x v="1"/>
    <n v="90"/>
    <n v="96.3"/>
    <n v="720"/>
    <n v="770.4"/>
    <x v="19"/>
    <x v="1"/>
    <x v="1"/>
  </r>
  <r>
    <x v="214"/>
    <x v="35"/>
    <n v="7"/>
    <x v="2"/>
    <x v="1"/>
    <n v="0"/>
    <x v="35"/>
    <x v="2"/>
    <x v="1"/>
    <n v="73"/>
    <n v="94.17"/>
    <n v="511"/>
    <n v="659.19"/>
    <x v="13"/>
    <x v="1"/>
    <x v="1"/>
  </r>
  <r>
    <x v="214"/>
    <x v="24"/>
    <n v="15"/>
    <x v="2"/>
    <x v="0"/>
    <n v="0"/>
    <x v="24"/>
    <x v="3"/>
    <x v="0"/>
    <n v="133"/>
    <n v="155.61000000000001"/>
    <n v="1995"/>
    <n v="2334.15"/>
    <x v="13"/>
    <x v="1"/>
    <x v="1"/>
  </r>
  <r>
    <x v="215"/>
    <x v="8"/>
    <n v="15"/>
    <x v="2"/>
    <x v="1"/>
    <n v="0"/>
    <x v="8"/>
    <x v="1"/>
    <x v="1"/>
    <n v="67"/>
    <n v="85.76"/>
    <n v="1005"/>
    <n v="1286.4000000000001"/>
    <x v="14"/>
    <x v="1"/>
    <x v="1"/>
  </r>
  <r>
    <x v="216"/>
    <x v="42"/>
    <n v="13"/>
    <x v="0"/>
    <x v="0"/>
    <n v="0"/>
    <x v="42"/>
    <x v="4"/>
    <x v="3"/>
    <n v="18"/>
    <n v="24.66"/>
    <n v="234"/>
    <n v="320.58"/>
    <x v="3"/>
    <x v="2"/>
    <x v="1"/>
  </r>
  <r>
    <x v="217"/>
    <x v="3"/>
    <n v="2"/>
    <x v="2"/>
    <x v="1"/>
    <n v="0"/>
    <x v="3"/>
    <x v="3"/>
    <x v="2"/>
    <n v="44"/>
    <n v="48.84"/>
    <n v="88"/>
    <n v="97.68"/>
    <x v="16"/>
    <x v="2"/>
    <x v="1"/>
  </r>
  <r>
    <x v="218"/>
    <x v="6"/>
    <n v="1"/>
    <x v="2"/>
    <x v="1"/>
    <n v="0"/>
    <x v="6"/>
    <x v="3"/>
    <x v="1"/>
    <n v="71"/>
    <n v="80.94"/>
    <n v="71"/>
    <n v="80.94"/>
    <x v="20"/>
    <x v="2"/>
    <x v="1"/>
  </r>
  <r>
    <x v="219"/>
    <x v="11"/>
    <n v="6"/>
    <x v="2"/>
    <x v="0"/>
    <n v="0"/>
    <x v="11"/>
    <x v="1"/>
    <x v="1"/>
    <n v="76"/>
    <n v="82.08"/>
    <n v="456"/>
    <n v="492.48"/>
    <x v="21"/>
    <x v="2"/>
    <x v="1"/>
  </r>
  <r>
    <x v="220"/>
    <x v="28"/>
    <n v="3"/>
    <x v="2"/>
    <x v="0"/>
    <n v="0"/>
    <x v="28"/>
    <x v="4"/>
    <x v="0"/>
    <n v="148"/>
    <n v="201.28"/>
    <n v="444"/>
    <n v="603.84"/>
    <x v="4"/>
    <x v="2"/>
    <x v="1"/>
  </r>
  <r>
    <x v="220"/>
    <x v="3"/>
    <n v="11"/>
    <x v="1"/>
    <x v="1"/>
    <n v="0"/>
    <x v="3"/>
    <x v="3"/>
    <x v="2"/>
    <n v="44"/>
    <n v="48.84"/>
    <n v="484"/>
    <n v="537.24"/>
    <x v="4"/>
    <x v="2"/>
    <x v="1"/>
  </r>
  <r>
    <x v="221"/>
    <x v="38"/>
    <n v="12"/>
    <x v="0"/>
    <x v="0"/>
    <n v="0"/>
    <x v="38"/>
    <x v="4"/>
    <x v="1"/>
    <n v="95"/>
    <n v="119.7"/>
    <n v="1140"/>
    <n v="1436.4"/>
    <x v="26"/>
    <x v="2"/>
    <x v="1"/>
  </r>
  <r>
    <x v="222"/>
    <x v="21"/>
    <n v="2"/>
    <x v="2"/>
    <x v="1"/>
    <n v="0"/>
    <x v="21"/>
    <x v="2"/>
    <x v="3"/>
    <n v="13"/>
    <n v="16.64"/>
    <n v="26"/>
    <n v="33.28"/>
    <x v="29"/>
    <x v="2"/>
    <x v="1"/>
  </r>
  <r>
    <x v="222"/>
    <x v="42"/>
    <n v="13"/>
    <x v="2"/>
    <x v="0"/>
    <n v="0"/>
    <x v="42"/>
    <x v="4"/>
    <x v="3"/>
    <n v="18"/>
    <n v="24.66"/>
    <n v="234"/>
    <n v="320.58"/>
    <x v="29"/>
    <x v="2"/>
    <x v="1"/>
  </r>
  <r>
    <x v="223"/>
    <x v="40"/>
    <n v="2"/>
    <x v="1"/>
    <x v="1"/>
    <n v="0"/>
    <x v="40"/>
    <x v="2"/>
    <x v="0"/>
    <n v="150"/>
    <n v="210"/>
    <n v="300"/>
    <n v="420"/>
    <x v="7"/>
    <x v="2"/>
    <x v="1"/>
  </r>
  <r>
    <x v="223"/>
    <x v="26"/>
    <n v="10"/>
    <x v="2"/>
    <x v="1"/>
    <n v="0"/>
    <x v="26"/>
    <x v="4"/>
    <x v="2"/>
    <n v="48"/>
    <n v="57.120000000000005"/>
    <n v="480"/>
    <n v="571.20000000000005"/>
    <x v="7"/>
    <x v="2"/>
    <x v="1"/>
  </r>
  <r>
    <x v="224"/>
    <x v="41"/>
    <n v="6"/>
    <x v="0"/>
    <x v="1"/>
    <n v="0"/>
    <x v="41"/>
    <x v="1"/>
    <x v="0"/>
    <n v="138"/>
    <n v="173.88"/>
    <n v="828"/>
    <n v="1043.28"/>
    <x v="8"/>
    <x v="2"/>
    <x v="1"/>
  </r>
  <r>
    <x v="225"/>
    <x v="18"/>
    <n v="9"/>
    <x v="2"/>
    <x v="1"/>
    <n v="0"/>
    <x v="18"/>
    <x v="4"/>
    <x v="1"/>
    <n v="89"/>
    <n v="117.48"/>
    <n v="801"/>
    <n v="1057.32"/>
    <x v="19"/>
    <x v="2"/>
    <x v="1"/>
  </r>
  <r>
    <x v="226"/>
    <x v="16"/>
    <n v="2"/>
    <x v="0"/>
    <x v="0"/>
    <n v="0"/>
    <x v="16"/>
    <x v="3"/>
    <x v="1"/>
    <n v="98"/>
    <n v="103.88"/>
    <n v="196"/>
    <n v="207.76"/>
    <x v="11"/>
    <x v="2"/>
    <x v="1"/>
  </r>
  <r>
    <x v="226"/>
    <x v="28"/>
    <n v="11"/>
    <x v="2"/>
    <x v="0"/>
    <n v="0"/>
    <x v="28"/>
    <x v="4"/>
    <x v="0"/>
    <n v="148"/>
    <n v="201.28"/>
    <n v="1628"/>
    <n v="2214.08"/>
    <x v="11"/>
    <x v="2"/>
    <x v="1"/>
  </r>
  <r>
    <x v="227"/>
    <x v="18"/>
    <n v="12"/>
    <x v="1"/>
    <x v="0"/>
    <n v="0"/>
    <x v="18"/>
    <x v="4"/>
    <x v="1"/>
    <n v="89"/>
    <n v="117.48"/>
    <n v="1068"/>
    <n v="1409.76"/>
    <x v="28"/>
    <x v="2"/>
    <x v="1"/>
  </r>
  <r>
    <x v="228"/>
    <x v="16"/>
    <n v="13"/>
    <x v="1"/>
    <x v="1"/>
    <n v="0"/>
    <x v="16"/>
    <x v="3"/>
    <x v="1"/>
    <n v="98"/>
    <n v="103.88"/>
    <n v="1274"/>
    <n v="1350.44"/>
    <x v="24"/>
    <x v="2"/>
    <x v="1"/>
  </r>
  <r>
    <x v="229"/>
    <x v="29"/>
    <n v="2"/>
    <x v="1"/>
    <x v="1"/>
    <n v="0"/>
    <x v="29"/>
    <x v="3"/>
    <x v="1"/>
    <n v="105"/>
    <n v="142.80000000000001"/>
    <n v="210"/>
    <n v="285.60000000000002"/>
    <x v="0"/>
    <x v="3"/>
    <x v="1"/>
  </r>
  <r>
    <x v="230"/>
    <x v="29"/>
    <n v="3"/>
    <x v="2"/>
    <x v="1"/>
    <n v="0"/>
    <x v="29"/>
    <x v="3"/>
    <x v="1"/>
    <n v="105"/>
    <n v="142.80000000000001"/>
    <n v="315"/>
    <n v="428.40000000000003"/>
    <x v="1"/>
    <x v="3"/>
    <x v="1"/>
  </r>
  <r>
    <x v="231"/>
    <x v="17"/>
    <n v="2"/>
    <x v="0"/>
    <x v="1"/>
    <n v="0"/>
    <x v="17"/>
    <x v="1"/>
    <x v="1"/>
    <n v="90"/>
    <n v="115.2"/>
    <n v="180"/>
    <n v="230.4"/>
    <x v="16"/>
    <x v="3"/>
    <x v="1"/>
  </r>
  <r>
    <x v="232"/>
    <x v="42"/>
    <n v="7"/>
    <x v="2"/>
    <x v="0"/>
    <n v="0"/>
    <x v="42"/>
    <x v="4"/>
    <x v="3"/>
    <n v="18"/>
    <n v="24.66"/>
    <n v="126"/>
    <n v="172.62"/>
    <x v="20"/>
    <x v="3"/>
    <x v="1"/>
  </r>
  <r>
    <x v="233"/>
    <x v="34"/>
    <n v="12"/>
    <x v="0"/>
    <x v="1"/>
    <n v="0"/>
    <x v="34"/>
    <x v="1"/>
    <x v="3"/>
    <n v="37"/>
    <n v="42.55"/>
    <n v="444"/>
    <n v="510.59999999999997"/>
    <x v="4"/>
    <x v="3"/>
    <x v="1"/>
  </r>
  <r>
    <x v="233"/>
    <x v="29"/>
    <n v="9"/>
    <x v="1"/>
    <x v="0"/>
    <n v="0"/>
    <x v="29"/>
    <x v="3"/>
    <x v="1"/>
    <n v="105"/>
    <n v="142.80000000000001"/>
    <n v="945"/>
    <n v="1285.2"/>
    <x v="4"/>
    <x v="3"/>
    <x v="1"/>
  </r>
  <r>
    <x v="234"/>
    <x v="21"/>
    <n v="14"/>
    <x v="0"/>
    <x v="0"/>
    <n v="0"/>
    <x v="21"/>
    <x v="2"/>
    <x v="3"/>
    <n v="13"/>
    <n v="16.64"/>
    <n v="182"/>
    <n v="232.96"/>
    <x v="22"/>
    <x v="3"/>
    <x v="1"/>
  </r>
  <r>
    <x v="235"/>
    <x v="41"/>
    <n v="9"/>
    <x v="2"/>
    <x v="1"/>
    <n v="0"/>
    <x v="41"/>
    <x v="1"/>
    <x v="0"/>
    <n v="138"/>
    <n v="173.88"/>
    <n v="1242"/>
    <n v="1564.92"/>
    <x v="7"/>
    <x v="3"/>
    <x v="1"/>
  </r>
  <r>
    <x v="236"/>
    <x v="30"/>
    <n v="2"/>
    <x v="0"/>
    <x v="0"/>
    <n v="0"/>
    <x v="30"/>
    <x v="2"/>
    <x v="3"/>
    <n v="37"/>
    <n v="49.21"/>
    <n v="74"/>
    <n v="98.42"/>
    <x v="9"/>
    <x v="3"/>
    <x v="1"/>
  </r>
  <r>
    <x v="236"/>
    <x v="35"/>
    <n v="4"/>
    <x v="2"/>
    <x v="0"/>
    <n v="0"/>
    <x v="35"/>
    <x v="2"/>
    <x v="1"/>
    <n v="73"/>
    <n v="94.17"/>
    <n v="292"/>
    <n v="376.68"/>
    <x v="9"/>
    <x v="3"/>
    <x v="1"/>
  </r>
  <r>
    <x v="237"/>
    <x v="28"/>
    <n v="2"/>
    <x v="2"/>
    <x v="1"/>
    <n v="0"/>
    <x v="28"/>
    <x v="4"/>
    <x v="0"/>
    <n v="148"/>
    <n v="201.28"/>
    <n v="296"/>
    <n v="402.56"/>
    <x v="10"/>
    <x v="3"/>
    <x v="1"/>
  </r>
  <r>
    <x v="237"/>
    <x v="42"/>
    <n v="14"/>
    <x v="1"/>
    <x v="0"/>
    <n v="0"/>
    <x v="42"/>
    <x v="4"/>
    <x v="3"/>
    <n v="18"/>
    <n v="24.66"/>
    <n v="252"/>
    <n v="345.24"/>
    <x v="10"/>
    <x v="3"/>
    <x v="1"/>
  </r>
  <r>
    <x v="238"/>
    <x v="11"/>
    <n v="15"/>
    <x v="1"/>
    <x v="0"/>
    <n v="0"/>
    <x v="11"/>
    <x v="1"/>
    <x v="1"/>
    <n v="76"/>
    <n v="82.08"/>
    <n v="1140"/>
    <n v="1231.2"/>
    <x v="19"/>
    <x v="3"/>
    <x v="1"/>
  </r>
  <r>
    <x v="239"/>
    <x v="13"/>
    <n v="4"/>
    <x v="2"/>
    <x v="0"/>
    <n v="0"/>
    <x v="13"/>
    <x v="4"/>
    <x v="2"/>
    <n v="55"/>
    <n v="58.3"/>
    <n v="220"/>
    <n v="233.2"/>
    <x v="27"/>
    <x v="3"/>
    <x v="1"/>
  </r>
  <r>
    <x v="240"/>
    <x v="3"/>
    <n v="9"/>
    <x v="2"/>
    <x v="1"/>
    <n v="0"/>
    <x v="3"/>
    <x v="3"/>
    <x v="2"/>
    <n v="44"/>
    <n v="48.84"/>
    <n v="396"/>
    <n v="439.56000000000006"/>
    <x v="11"/>
    <x v="3"/>
    <x v="1"/>
  </r>
  <r>
    <x v="240"/>
    <x v="6"/>
    <n v="8"/>
    <x v="1"/>
    <x v="0"/>
    <n v="0"/>
    <x v="6"/>
    <x v="3"/>
    <x v="1"/>
    <n v="71"/>
    <n v="80.94"/>
    <n v="568"/>
    <n v="647.52"/>
    <x v="11"/>
    <x v="3"/>
    <x v="1"/>
  </r>
  <r>
    <x v="241"/>
    <x v="26"/>
    <n v="2"/>
    <x v="2"/>
    <x v="1"/>
    <n v="0"/>
    <x v="26"/>
    <x v="4"/>
    <x v="2"/>
    <n v="48"/>
    <n v="57.120000000000005"/>
    <n v="96"/>
    <n v="114.24000000000001"/>
    <x v="12"/>
    <x v="3"/>
    <x v="1"/>
  </r>
  <r>
    <x v="242"/>
    <x v="9"/>
    <n v="14"/>
    <x v="2"/>
    <x v="1"/>
    <n v="0"/>
    <x v="9"/>
    <x v="2"/>
    <x v="1"/>
    <n v="112"/>
    <n v="146.72"/>
    <n v="1568"/>
    <n v="2054.08"/>
    <x v="14"/>
    <x v="3"/>
    <x v="1"/>
  </r>
  <r>
    <x v="243"/>
    <x v="21"/>
    <n v="13"/>
    <x v="1"/>
    <x v="0"/>
    <n v="0"/>
    <x v="21"/>
    <x v="2"/>
    <x v="3"/>
    <n v="13"/>
    <n v="16.64"/>
    <n v="169"/>
    <n v="216.32"/>
    <x v="24"/>
    <x v="3"/>
    <x v="1"/>
  </r>
  <r>
    <x v="243"/>
    <x v="26"/>
    <n v="8"/>
    <x v="2"/>
    <x v="0"/>
    <n v="0"/>
    <x v="26"/>
    <x v="4"/>
    <x v="2"/>
    <n v="48"/>
    <n v="57.120000000000005"/>
    <n v="384"/>
    <n v="456.96000000000004"/>
    <x v="24"/>
    <x v="3"/>
    <x v="1"/>
  </r>
  <r>
    <x v="244"/>
    <x v="13"/>
    <n v="9"/>
    <x v="0"/>
    <x v="0"/>
    <n v="0"/>
    <x v="13"/>
    <x v="4"/>
    <x v="2"/>
    <n v="55"/>
    <n v="58.3"/>
    <n v="495"/>
    <n v="524.69999999999993"/>
    <x v="0"/>
    <x v="4"/>
    <x v="1"/>
  </r>
  <r>
    <x v="244"/>
    <x v="38"/>
    <n v="6"/>
    <x v="1"/>
    <x v="0"/>
    <n v="0"/>
    <x v="38"/>
    <x v="4"/>
    <x v="1"/>
    <n v="95"/>
    <n v="119.7"/>
    <n v="570"/>
    <n v="718.2"/>
    <x v="0"/>
    <x v="4"/>
    <x v="1"/>
  </r>
  <r>
    <x v="245"/>
    <x v="2"/>
    <n v="4"/>
    <x v="1"/>
    <x v="1"/>
    <n v="0"/>
    <x v="2"/>
    <x v="2"/>
    <x v="1"/>
    <n v="112"/>
    <n v="122.08"/>
    <n v="448"/>
    <n v="488.32"/>
    <x v="1"/>
    <x v="4"/>
    <x v="1"/>
  </r>
  <r>
    <x v="246"/>
    <x v="14"/>
    <n v="10"/>
    <x v="2"/>
    <x v="0"/>
    <n v="0"/>
    <x v="14"/>
    <x v="0"/>
    <x v="2"/>
    <n v="61"/>
    <n v="76.25"/>
    <n v="610"/>
    <n v="762.5"/>
    <x v="3"/>
    <x v="4"/>
    <x v="1"/>
  </r>
  <r>
    <x v="247"/>
    <x v="13"/>
    <n v="7"/>
    <x v="2"/>
    <x v="0"/>
    <n v="0"/>
    <x v="13"/>
    <x v="4"/>
    <x v="2"/>
    <n v="55"/>
    <n v="58.3"/>
    <n v="385"/>
    <n v="408.09999999999997"/>
    <x v="16"/>
    <x v="4"/>
    <x v="1"/>
  </r>
  <r>
    <x v="248"/>
    <x v="27"/>
    <n v="4"/>
    <x v="1"/>
    <x v="1"/>
    <n v="0"/>
    <x v="27"/>
    <x v="2"/>
    <x v="3"/>
    <n v="12"/>
    <n v="15.719999999999999"/>
    <n v="48"/>
    <n v="62.879999999999995"/>
    <x v="20"/>
    <x v="4"/>
    <x v="1"/>
  </r>
  <r>
    <x v="248"/>
    <x v="26"/>
    <n v="1"/>
    <x v="1"/>
    <x v="0"/>
    <n v="0"/>
    <x v="26"/>
    <x v="4"/>
    <x v="2"/>
    <n v="48"/>
    <n v="57.120000000000005"/>
    <n v="48"/>
    <n v="57.120000000000005"/>
    <x v="20"/>
    <x v="4"/>
    <x v="1"/>
  </r>
  <r>
    <x v="249"/>
    <x v="22"/>
    <n v="7"/>
    <x v="1"/>
    <x v="0"/>
    <n v="0"/>
    <x v="22"/>
    <x v="0"/>
    <x v="0"/>
    <n v="121"/>
    <n v="141.57"/>
    <n v="847"/>
    <n v="990.99"/>
    <x v="21"/>
    <x v="4"/>
    <x v="1"/>
  </r>
  <r>
    <x v="250"/>
    <x v="39"/>
    <n v="12"/>
    <x v="0"/>
    <x v="1"/>
    <n v="0"/>
    <x v="39"/>
    <x v="2"/>
    <x v="0"/>
    <n v="134"/>
    <n v="156.78"/>
    <n v="1608"/>
    <n v="1881.3600000000001"/>
    <x v="4"/>
    <x v="4"/>
    <x v="1"/>
  </r>
  <r>
    <x v="251"/>
    <x v="37"/>
    <n v="6"/>
    <x v="2"/>
    <x v="0"/>
    <n v="0"/>
    <x v="37"/>
    <x v="3"/>
    <x v="3"/>
    <n v="6"/>
    <n v="7.8599999999999994"/>
    <n v="36"/>
    <n v="47.16"/>
    <x v="26"/>
    <x v="4"/>
    <x v="1"/>
  </r>
  <r>
    <x v="252"/>
    <x v="31"/>
    <n v="7"/>
    <x v="1"/>
    <x v="1"/>
    <n v="0"/>
    <x v="31"/>
    <x v="2"/>
    <x v="2"/>
    <n v="44"/>
    <n v="48.4"/>
    <n v="308"/>
    <n v="338.8"/>
    <x v="6"/>
    <x v="4"/>
    <x v="1"/>
  </r>
  <r>
    <x v="253"/>
    <x v="35"/>
    <n v="5"/>
    <x v="2"/>
    <x v="0"/>
    <n v="0"/>
    <x v="35"/>
    <x v="2"/>
    <x v="1"/>
    <n v="73"/>
    <n v="94.17"/>
    <n v="365"/>
    <n v="470.85"/>
    <x v="22"/>
    <x v="4"/>
    <x v="1"/>
  </r>
  <r>
    <x v="254"/>
    <x v="25"/>
    <n v="14"/>
    <x v="2"/>
    <x v="1"/>
    <n v="0"/>
    <x v="25"/>
    <x v="3"/>
    <x v="1"/>
    <n v="83"/>
    <n v="94.62"/>
    <n v="1162"/>
    <n v="1324.68"/>
    <x v="29"/>
    <x v="4"/>
    <x v="1"/>
  </r>
  <r>
    <x v="255"/>
    <x v="14"/>
    <n v="5"/>
    <x v="1"/>
    <x v="0"/>
    <n v="0"/>
    <x v="14"/>
    <x v="0"/>
    <x v="2"/>
    <n v="61"/>
    <n v="76.25"/>
    <n v="305"/>
    <n v="381.25"/>
    <x v="17"/>
    <x v="4"/>
    <x v="1"/>
  </r>
  <r>
    <x v="256"/>
    <x v="20"/>
    <n v="13"/>
    <x v="2"/>
    <x v="1"/>
    <n v="0"/>
    <x v="20"/>
    <x v="2"/>
    <x v="0"/>
    <n v="148"/>
    <n v="164.28"/>
    <n v="1924"/>
    <n v="2135.64"/>
    <x v="23"/>
    <x v="4"/>
    <x v="1"/>
  </r>
  <r>
    <x v="256"/>
    <x v="5"/>
    <n v="13"/>
    <x v="1"/>
    <x v="0"/>
    <n v="0"/>
    <x v="5"/>
    <x v="4"/>
    <x v="1"/>
    <n v="93"/>
    <n v="104.16"/>
    <n v="1209"/>
    <n v="1354.08"/>
    <x v="23"/>
    <x v="4"/>
    <x v="1"/>
  </r>
  <r>
    <x v="257"/>
    <x v="26"/>
    <n v="8"/>
    <x v="2"/>
    <x v="1"/>
    <n v="0"/>
    <x v="26"/>
    <x v="4"/>
    <x v="2"/>
    <n v="48"/>
    <n v="57.120000000000005"/>
    <n v="384"/>
    <n v="456.96000000000004"/>
    <x v="30"/>
    <x v="4"/>
    <x v="1"/>
  </r>
  <r>
    <x v="258"/>
    <x v="26"/>
    <n v="4"/>
    <x v="0"/>
    <x v="0"/>
    <n v="0"/>
    <x v="26"/>
    <x v="4"/>
    <x v="2"/>
    <n v="48"/>
    <n v="57.120000000000005"/>
    <n v="192"/>
    <n v="228.48000000000002"/>
    <x v="7"/>
    <x v="4"/>
    <x v="1"/>
  </r>
  <r>
    <x v="258"/>
    <x v="1"/>
    <n v="8"/>
    <x v="0"/>
    <x v="0"/>
    <n v="0"/>
    <x v="1"/>
    <x v="1"/>
    <x v="1"/>
    <n v="72"/>
    <n v="79.92"/>
    <n v="576"/>
    <n v="639.36"/>
    <x v="7"/>
    <x v="4"/>
    <x v="1"/>
  </r>
  <r>
    <x v="259"/>
    <x v="11"/>
    <n v="15"/>
    <x v="1"/>
    <x v="1"/>
    <n v="0"/>
    <x v="11"/>
    <x v="1"/>
    <x v="1"/>
    <n v="76"/>
    <n v="82.08"/>
    <n v="1140"/>
    <n v="1231.2"/>
    <x v="9"/>
    <x v="4"/>
    <x v="1"/>
  </r>
  <r>
    <x v="260"/>
    <x v="27"/>
    <n v="12"/>
    <x v="2"/>
    <x v="0"/>
    <n v="0"/>
    <x v="27"/>
    <x v="2"/>
    <x v="3"/>
    <n v="12"/>
    <n v="15.719999999999999"/>
    <n v="144"/>
    <n v="188.64"/>
    <x v="18"/>
    <x v="4"/>
    <x v="1"/>
  </r>
  <r>
    <x v="261"/>
    <x v="29"/>
    <n v="7"/>
    <x v="1"/>
    <x v="0"/>
    <n v="0"/>
    <x v="29"/>
    <x v="3"/>
    <x v="1"/>
    <n v="105"/>
    <n v="142.80000000000001"/>
    <n v="735"/>
    <n v="999.60000000000014"/>
    <x v="11"/>
    <x v="4"/>
    <x v="1"/>
  </r>
  <r>
    <x v="262"/>
    <x v="33"/>
    <n v="2"/>
    <x v="2"/>
    <x v="0"/>
    <n v="0"/>
    <x v="33"/>
    <x v="4"/>
    <x v="3"/>
    <n v="37"/>
    <n v="41.81"/>
    <n v="74"/>
    <n v="83.62"/>
    <x v="12"/>
    <x v="4"/>
    <x v="1"/>
  </r>
  <r>
    <x v="262"/>
    <x v="26"/>
    <n v="2"/>
    <x v="1"/>
    <x v="0"/>
    <n v="0"/>
    <x v="26"/>
    <x v="4"/>
    <x v="2"/>
    <n v="48"/>
    <n v="57.120000000000005"/>
    <n v="96"/>
    <n v="114.24000000000001"/>
    <x v="12"/>
    <x v="4"/>
    <x v="1"/>
  </r>
  <r>
    <x v="263"/>
    <x v="41"/>
    <n v="10"/>
    <x v="0"/>
    <x v="1"/>
    <n v="0"/>
    <x v="41"/>
    <x v="1"/>
    <x v="0"/>
    <n v="138"/>
    <n v="173.88"/>
    <n v="1380"/>
    <n v="1738.8"/>
    <x v="14"/>
    <x v="4"/>
    <x v="1"/>
  </r>
  <r>
    <x v="263"/>
    <x v="25"/>
    <n v="5"/>
    <x v="0"/>
    <x v="0"/>
    <n v="0"/>
    <x v="25"/>
    <x v="3"/>
    <x v="1"/>
    <n v="83"/>
    <n v="94.62"/>
    <n v="415"/>
    <n v="473.1"/>
    <x v="14"/>
    <x v="4"/>
    <x v="1"/>
  </r>
  <r>
    <x v="263"/>
    <x v="20"/>
    <n v="9"/>
    <x v="1"/>
    <x v="1"/>
    <n v="0"/>
    <x v="20"/>
    <x v="2"/>
    <x v="0"/>
    <n v="148"/>
    <n v="164.28"/>
    <n v="1332"/>
    <n v="1478.52"/>
    <x v="14"/>
    <x v="4"/>
    <x v="1"/>
  </r>
  <r>
    <x v="263"/>
    <x v="3"/>
    <n v="12"/>
    <x v="1"/>
    <x v="0"/>
    <n v="0"/>
    <x v="3"/>
    <x v="3"/>
    <x v="2"/>
    <n v="44"/>
    <n v="48.84"/>
    <n v="528"/>
    <n v="586.08000000000004"/>
    <x v="14"/>
    <x v="4"/>
    <x v="1"/>
  </r>
  <r>
    <x v="263"/>
    <x v="14"/>
    <n v="14"/>
    <x v="2"/>
    <x v="1"/>
    <n v="0"/>
    <x v="14"/>
    <x v="0"/>
    <x v="2"/>
    <n v="61"/>
    <n v="76.25"/>
    <n v="854"/>
    <n v="1067.5"/>
    <x v="14"/>
    <x v="4"/>
    <x v="1"/>
  </r>
  <r>
    <x v="264"/>
    <x v="11"/>
    <n v="9"/>
    <x v="2"/>
    <x v="0"/>
    <n v="0"/>
    <x v="11"/>
    <x v="1"/>
    <x v="1"/>
    <n v="76"/>
    <n v="82.08"/>
    <n v="684"/>
    <n v="738.72"/>
    <x v="24"/>
    <x v="4"/>
    <x v="1"/>
  </r>
  <r>
    <x v="264"/>
    <x v="24"/>
    <n v="4"/>
    <x v="0"/>
    <x v="1"/>
    <n v="0"/>
    <x v="24"/>
    <x v="3"/>
    <x v="0"/>
    <n v="133"/>
    <n v="155.61000000000001"/>
    <n v="532"/>
    <n v="622.44000000000005"/>
    <x v="24"/>
    <x v="4"/>
    <x v="1"/>
  </r>
  <r>
    <x v="264"/>
    <x v="38"/>
    <n v="3"/>
    <x v="1"/>
    <x v="1"/>
    <n v="0"/>
    <x v="38"/>
    <x v="4"/>
    <x v="1"/>
    <n v="95"/>
    <n v="119.7"/>
    <n v="285"/>
    <n v="359.1"/>
    <x v="24"/>
    <x v="4"/>
    <x v="1"/>
  </r>
  <r>
    <x v="265"/>
    <x v="25"/>
    <n v="14"/>
    <x v="1"/>
    <x v="0"/>
    <n v="0"/>
    <x v="25"/>
    <x v="3"/>
    <x v="1"/>
    <n v="83"/>
    <n v="94.62"/>
    <n v="1162"/>
    <n v="1324.68"/>
    <x v="2"/>
    <x v="5"/>
    <x v="1"/>
  </r>
  <r>
    <x v="266"/>
    <x v="33"/>
    <n v="8"/>
    <x v="0"/>
    <x v="0"/>
    <n v="0"/>
    <x v="33"/>
    <x v="4"/>
    <x v="3"/>
    <n v="37"/>
    <n v="41.81"/>
    <n v="296"/>
    <n v="334.48"/>
    <x v="26"/>
    <x v="5"/>
    <x v="1"/>
  </r>
  <r>
    <x v="267"/>
    <x v="34"/>
    <n v="13"/>
    <x v="1"/>
    <x v="1"/>
    <n v="0"/>
    <x v="34"/>
    <x v="1"/>
    <x v="3"/>
    <n v="37"/>
    <n v="42.55"/>
    <n v="481"/>
    <n v="553.15"/>
    <x v="5"/>
    <x v="5"/>
    <x v="1"/>
  </r>
  <r>
    <x v="267"/>
    <x v="32"/>
    <n v="6"/>
    <x v="2"/>
    <x v="0"/>
    <n v="0"/>
    <x v="32"/>
    <x v="0"/>
    <x v="0"/>
    <n v="126"/>
    <n v="162.54"/>
    <n v="756"/>
    <n v="975.24"/>
    <x v="5"/>
    <x v="5"/>
    <x v="1"/>
  </r>
  <r>
    <x v="268"/>
    <x v="42"/>
    <n v="6"/>
    <x v="2"/>
    <x v="1"/>
    <n v="0"/>
    <x v="42"/>
    <x v="4"/>
    <x v="3"/>
    <n v="18"/>
    <n v="24.66"/>
    <n v="108"/>
    <n v="147.96"/>
    <x v="22"/>
    <x v="5"/>
    <x v="1"/>
  </r>
  <r>
    <x v="269"/>
    <x v="10"/>
    <n v="15"/>
    <x v="0"/>
    <x v="0"/>
    <n v="0"/>
    <x v="10"/>
    <x v="1"/>
    <x v="0"/>
    <n v="120"/>
    <n v="162"/>
    <n v="1800"/>
    <n v="2430"/>
    <x v="17"/>
    <x v="5"/>
    <x v="1"/>
  </r>
  <r>
    <x v="270"/>
    <x v="19"/>
    <n v="15"/>
    <x v="1"/>
    <x v="1"/>
    <n v="0"/>
    <x v="19"/>
    <x v="4"/>
    <x v="2"/>
    <n v="47"/>
    <n v="53.11"/>
    <n v="705"/>
    <n v="796.65"/>
    <x v="23"/>
    <x v="5"/>
    <x v="1"/>
  </r>
  <r>
    <x v="271"/>
    <x v="29"/>
    <n v="8"/>
    <x v="2"/>
    <x v="1"/>
    <n v="0"/>
    <x v="29"/>
    <x v="3"/>
    <x v="1"/>
    <n v="105"/>
    <n v="142.80000000000001"/>
    <n v="840"/>
    <n v="1142.4000000000001"/>
    <x v="8"/>
    <x v="5"/>
    <x v="1"/>
  </r>
  <r>
    <x v="272"/>
    <x v="39"/>
    <n v="14"/>
    <x v="2"/>
    <x v="1"/>
    <n v="0"/>
    <x v="39"/>
    <x v="2"/>
    <x v="0"/>
    <n v="134"/>
    <n v="156.78"/>
    <n v="1876"/>
    <n v="2194.92"/>
    <x v="10"/>
    <x v="5"/>
    <x v="1"/>
  </r>
  <r>
    <x v="273"/>
    <x v="17"/>
    <n v="10"/>
    <x v="1"/>
    <x v="1"/>
    <n v="0"/>
    <x v="17"/>
    <x v="1"/>
    <x v="1"/>
    <n v="90"/>
    <n v="115.2"/>
    <n v="900"/>
    <n v="1152"/>
    <x v="18"/>
    <x v="5"/>
    <x v="1"/>
  </r>
  <r>
    <x v="273"/>
    <x v="16"/>
    <n v="4"/>
    <x v="2"/>
    <x v="1"/>
    <n v="0"/>
    <x v="16"/>
    <x v="3"/>
    <x v="1"/>
    <n v="98"/>
    <n v="103.88"/>
    <n v="392"/>
    <n v="415.52"/>
    <x v="18"/>
    <x v="5"/>
    <x v="1"/>
  </r>
  <r>
    <x v="274"/>
    <x v="3"/>
    <n v="8"/>
    <x v="2"/>
    <x v="0"/>
    <n v="0"/>
    <x v="3"/>
    <x v="3"/>
    <x v="2"/>
    <n v="44"/>
    <n v="48.84"/>
    <n v="352"/>
    <n v="390.72"/>
    <x v="19"/>
    <x v="5"/>
    <x v="1"/>
  </r>
  <r>
    <x v="275"/>
    <x v="30"/>
    <n v="7"/>
    <x v="2"/>
    <x v="1"/>
    <n v="0"/>
    <x v="30"/>
    <x v="2"/>
    <x v="3"/>
    <n v="37"/>
    <n v="49.21"/>
    <n v="259"/>
    <n v="344.47"/>
    <x v="27"/>
    <x v="5"/>
    <x v="1"/>
  </r>
  <r>
    <x v="276"/>
    <x v="35"/>
    <n v="7"/>
    <x v="1"/>
    <x v="0"/>
    <n v="0"/>
    <x v="35"/>
    <x v="2"/>
    <x v="1"/>
    <n v="73"/>
    <n v="94.17"/>
    <n v="511"/>
    <n v="659.19"/>
    <x v="11"/>
    <x v="5"/>
    <x v="1"/>
  </r>
  <r>
    <x v="277"/>
    <x v="13"/>
    <n v="4"/>
    <x v="2"/>
    <x v="1"/>
    <n v="0"/>
    <x v="13"/>
    <x v="4"/>
    <x v="2"/>
    <n v="55"/>
    <n v="58.3"/>
    <n v="220"/>
    <n v="233.2"/>
    <x v="12"/>
    <x v="5"/>
    <x v="1"/>
  </r>
  <r>
    <x v="277"/>
    <x v="23"/>
    <n v="12"/>
    <x v="2"/>
    <x v="0"/>
    <n v="0"/>
    <x v="23"/>
    <x v="1"/>
    <x v="1"/>
    <n v="67"/>
    <n v="83.08"/>
    <n v="804"/>
    <n v="996.96"/>
    <x v="12"/>
    <x v="5"/>
    <x v="1"/>
  </r>
  <r>
    <x v="278"/>
    <x v="38"/>
    <n v="15"/>
    <x v="2"/>
    <x v="1"/>
    <n v="0"/>
    <x v="38"/>
    <x v="4"/>
    <x v="1"/>
    <n v="95"/>
    <n v="119.7"/>
    <n v="1425"/>
    <n v="1795.5"/>
    <x v="2"/>
    <x v="6"/>
    <x v="1"/>
  </r>
  <r>
    <x v="279"/>
    <x v="36"/>
    <n v="7"/>
    <x v="2"/>
    <x v="0"/>
    <n v="0"/>
    <x v="36"/>
    <x v="3"/>
    <x v="2"/>
    <n v="43"/>
    <n v="47.730000000000004"/>
    <n v="301"/>
    <n v="334.11"/>
    <x v="3"/>
    <x v="6"/>
    <x v="1"/>
  </r>
  <r>
    <x v="280"/>
    <x v="7"/>
    <n v="7"/>
    <x v="1"/>
    <x v="1"/>
    <n v="0"/>
    <x v="7"/>
    <x v="0"/>
    <x v="3"/>
    <n v="7"/>
    <n v="8.33"/>
    <n v="49"/>
    <n v="58.31"/>
    <x v="15"/>
    <x v="6"/>
    <x v="1"/>
  </r>
  <r>
    <x v="280"/>
    <x v="27"/>
    <n v="8"/>
    <x v="2"/>
    <x v="0"/>
    <n v="0"/>
    <x v="27"/>
    <x v="2"/>
    <x v="3"/>
    <n v="12"/>
    <n v="15.719999999999999"/>
    <n v="96"/>
    <n v="125.75999999999999"/>
    <x v="15"/>
    <x v="6"/>
    <x v="1"/>
  </r>
  <r>
    <x v="281"/>
    <x v="41"/>
    <n v="2"/>
    <x v="2"/>
    <x v="1"/>
    <n v="0"/>
    <x v="41"/>
    <x v="1"/>
    <x v="0"/>
    <n v="138"/>
    <n v="173.88"/>
    <n v="276"/>
    <n v="347.76"/>
    <x v="16"/>
    <x v="6"/>
    <x v="1"/>
  </r>
  <r>
    <x v="282"/>
    <x v="30"/>
    <n v="2"/>
    <x v="2"/>
    <x v="0"/>
    <n v="0"/>
    <x v="30"/>
    <x v="2"/>
    <x v="3"/>
    <n v="37"/>
    <n v="49.21"/>
    <n v="74"/>
    <n v="98.42"/>
    <x v="21"/>
    <x v="6"/>
    <x v="1"/>
  </r>
  <r>
    <x v="283"/>
    <x v="18"/>
    <n v="12"/>
    <x v="1"/>
    <x v="1"/>
    <n v="0"/>
    <x v="18"/>
    <x v="4"/>
    <x v="1"/>
    <n v="89"/>
    <n v="117.48"/>
    <n v="1068"/>
    <n v="1409.76"/>
    <x v="26"/>
    <x v="6"/>
    <x v="1"/>
  </r>
  <r>
    <x v="284"/>
    <x v="33"/>
    <n v="12"/>
    <x v="2"/>
    <x v="1"/>
    <n v="0"/>
    <x v="33"/>
    <x v="4"/>
    <x v="3"/>
    <n v="37"/>
    <n v="41.81"/>
    <n v="444"/>
    <n v="501.72"/>
    <x v="6"/>
    <x v="6"/>
    <x v="1"/>
  </r>
  <r>
    <x v="285"/>
    <x v="7"/>
    <n v="7"/>
    <x v="2"/>
    <x v="0"/>
    <n v="0"/>
    <x v="7"/>
    <x v="0"/>
    <x v="3"/>
    <n v="7"/>
    <n v="8.33"/>
    <n v="49"/>
    <n v="58.31"/>
    <x v="22"/>
    <x v="6"/>
    <x v="1"/>
  </r>
  <r>
    <x v="286"/>
    <x v="38"/>
    <n v="9"/>
    <x v="2"/>
    <x v="0"/>
    <n v="0"/>
    <x v="38"/>
    <x v="4"/>
    <x v="1"/>
    <n v="95"/>
    <n v="119.7"/>
    <n v="855"/>
    <n v="1077.3"/>
    <x v="29"/>
    <x v="6"/>
    <x v="1"/>
  </r>
  <r>
    <x v="287"/>
    <x v="3"/>
    <n v="2"/>
    <x v="1"/>
    <x v="0"/>
    <n v="0"/>
    <x v="3"/>
    <x v="3"/>
    <x v="2"/>
    <n v="44"/>
    <n v="48.84"/>
    <n v="88"/>
    <n v="97.68"/>
    <x v="17"/>
    <x v="6"/>
    <x v="1"/>
  </r>
  <r>
    <x v="288"/>
    <x v="41"/>
    <n v="8"/>
    <x v="1"/>
    <x v="1"/>
    <n v="0"/>
    <x v="41"/>
    <x v="1"/>
    <x v="0"/>
    <n v="138"/>
    <n v="173.88"/>
    <n v="1104"/>
    <n v="1391.04"/>
    <x v="30"/>
    <x v="6"/>
    <x v="1"/>
  </r>
  <r>
    <x v="289"/>
    <x v="20"/>
    <n v="12"/>
    <x v="2"/>
    <x v="0"/>
    <n v="0"/>
    <x v="20"/>
    <x v="2"/>
    <x v="0"/>
    <n v="148"/>
    <n v="164.28"/>
    <n v="1776"/>
    <n v="1971.3600000000001"/>
    <x v="7"/>
    <x v="6"/>
    <x v="1"/>
  </r>
  <r>
    <x v="290"/>
    <x v="10"/>
    <n v="8"/>
    <x v="0"/>
    <x v="0"/>
    <n v="0"/>
    <x v="10"/>
    <x v="1"/>
    <x v="0"/>
    <n v="120"/>
    <n v="162"/>
    <n v="960"/>
    <n v="1296"/>
    <x v="9"/>
    <x v="6"/>
    <x v="1"/>
  </r>
  <r>
    <x v="291"/>
    <x v="13"/>
    <n v="6"/>
    <x v="2"/>
    <x v="1"/>
    <n v="0"/>
    <x v="13"/>
    <x v="4"/>
    <x v="2"/>
    <n v="55"/>
    <n v="58.3"/>
    <n v="330"/>
    <n v="349.79999999999995"/>
    <x v="18"/>
    <x v="6"/>
    <x v="1"/>
  </r>
  <r>
    <x v="292"/>
    <x v="30"/>
    <n v="2"/>
    <x v="1"/>
    <x v="0"/>
    <n v="0"/>
    <x v="30"/>
    <x v="2"/>
    <x v="3"/>
    <n v="37"/>
    <n v="49.21"/>
    <n v="74"/>
    <n v="98.42"/>
    <x v="19"/>
    <x v="6"/>
    <x v="1"/>
  </r>
  <r>
    <x v="293"/>
    <x v="15"/>
    <n v="14"/>
    <x v="2"/>
    <x v="1"/>
    <n v="0"/>
    <x v="15"/>
    <x v="3"/>
    <x v="1"/>
    <n v="75"/>
    <n v="85.5"/>
    <n v="1050"/>
    <n v="1197"/>
    <x v="27"/>
    <x v="6"/>
    <x v="1"/>
  </r>
  <r>
    <x v="293"/>
    <x v="26"/>
    <n v="1"/>
    <x v="1"/>
    <x v="0"/>
    <n v="0"/>
    <x v="26"/>
    <x v="4"/>
    <x v="2"/>
    <n v="48"/>
    <n v="57.120000000000005"/>
    <n v="48"/>
    <n v="57.120000000000005"/>
    <x v="27"/>
    <x v="6"/>
    <x v="1"/>
  </r>
  <r>
    <x v="294"/>
    <x v="11"/>
    <n v="2"/>
    <x v="2"/>
    <x v="1"/>
    <n v="0"/>
    <x v="11"/>
    <x v="1"/>
    <x v="1"/>
    <n v="76"/>
    <n v="82.08"/>
    <n v="152"/>
    <n v="164.16"/>
    <x v="11"/>
    <x v="6"/>
    <x v="1"/>
  </r>
  <r>
    <x v="294"/>
    <x v="39"/>
    <n v="12"/>
    <x v="2"/>
    <x v="1"/>
    <n v="0"/>
    <x v="39"/>
    <x v="2"/>
    <x v="0"/>
    <n v="134"/>
    <n v="156.78"/>
    <n v="1608"/>
    <n v="1881.3600000000001"/>
    <x v="11"/>
    <x v="6"/>
    <x v="1"/>
  </r>
  <r>
    <x v="294"/>
    <x v="6"/>
    <n v="13"/>
    <x v="1"/>
    <x v="1"/>
    <n v="0"/>
    <x v="6"/>
    <x v="3"/>
    <x v="1"/>
    <n v="71"/>
    <n v="80.94"/>
    <n v="923"/>
    <n v="1052.22"/>
    <x v="11"/>
    <x v="6"/>
    <x v="1"/>
  </r>
  <r>
    <x v="295"/>
    <x v="6"/>
    <n v="10"/>
    <x v="1"/>
    <x v="0"/>
    <n v="0"/>
    <x v="6"/>
    <x v="3"/>
    <x v="1"/>
    <n v="71"/>
    <n v="80.94"/>
    <n v="710"/>
    <n v="809.4"/>
    <x v="12"/>
    <x v="6"/>
    <x v="1"/>
  </r>
  <r>
    <x v="295"/>
    <x v="42"/>
    <n v="1"/>
    <x v="1"/>
    <x v="1"/>
    <n v="0"/>
    <x v="42"/>
    <x v="4"/>
    <x v="3"/>
    <n v="18"/>
    <n v="24.66"/>
    <n v="18"/>
    <n v="24.66"/>
    <x v="12"/>
    <x v="6"/>
    <x v="1"/>
  </r>
  <r>
    <x v="296"/>
    <x v="35"/>
    <n v="5"/>
    <x v="2"/>
    <x v="1"/>
    <n v="0"/>
    <x v="35"/>
    <x v="2"/>
    <x v="1"/>
    <n v="73"/>
    <n v="94.17"/>
    <n v="365"/>
    <n v="470.85"/>
    <x v="2"/>
    <x v="7"/>
    <x v="1"/>
  </r>
  <r>
    <x v="297"/>
    <x v="21"/>
    <n v="9"/>
    <x v="1"/>
    <x v="0"/>
    <n v="0"/>
    <x v="21"/>
    <x v="2"/>
    <x v="3"/>
    <n v="13"/>
    <n v="16.64"/>
    <n v="117"/>
    <n v="149.76"/>
    <x v="16"/>
    <x v="7"/>
    <x v="1"/>
  </r>
  <r>
    <x v="298"/>
    <x v="21"/>
    <n v="2"/>
    <x v="2"/>
    <x v="0"/>
    <n v="0"/>
    <x v="21"/>
    <x v="2"/>
    <x v="3"/>
    <n v="13"/>
    <n v="16.64"/>
    <n v="26"/>
    <n v="33.28"/>
    <x v="21"/>
    <x v="7"/>
    <x v="1"/>
  </r>
  <r>
    <x v="298"/>
    <x v="18"/>
    <n v="12"/>
    <x v="2"/>
    <x v="1"/>
    <n v="0"/>
    <x v="18"/>
    <x v="4"/>
    <x v="1"/>
    <n v="89"/>
    <n v="117.48"/>
    <n v="1068"/>
    <n v="1409.76"/>
    <x v="21"/>
    <x v="7"/>
    <x v="1"/>
  </r>
  <r>
    <x v="298"/>
    <x v="32"/>
    <n v="11"/>
    <x v="2"/>
    <x v="1"/>
    <n v="0"/>
    <x v="32"/>
    <x v="0"/>
    <x v="0"/>
    <n v="126"/>
    <n v="162.54"/>
    <n v="1386"/>
    <n v="1787.9399999999998"/>
    <x v="21"/>
    <x v="7"/>
    <x v="1"/>
  </r>
  <r>
    <x v="299"/>
    <x v="28"/>
    <n v="14"/>
    <x v="2"/>
    <x v="1"/>
    <n v="0"/>
    <x v="28"/>
    <x v="4"/>
    <x v="0"/>
    <n v="148"/>
    <n v="201.28"/>
    <n v="2072"/>
    <n v="2817.92"/>
    <x v="29"/>
    <x v="7"/>
    <x v="1"/>
  </r>
  <r>
    <x v="300"/>
    <x v="31"/>
    <n v="10"/>
    <x v="0"/>
    <x v="1"/>
    <n v="0"/>
    <x v="31"/>
    <x v="2"/>
    <x v="2"/>
    <n v="44"/>
    <n v="48.4"/>
    <n v="440"/>
    <n v="484"/>
    <x v="17"/>
    <x v="7"/>
    <x v="1"/>
  </r>
  <r>
    <x v="300"/>
    <x v="27"/>
    <n v="7"/>
    <x v="2"/>
    <x v="0"/>
    <n v="0"/>
    <x v="27"/>
    <x v="2"/>
    <x v="3"/>
    <n v="12"/>
    <n v="15.719999999999999"/>
    <n v="84"/>
    <n v="110.03999999999999"/>
    <x v="17"/>
    <x v="7"/>
    <x v="1"/>
  </r>
  <r>
    <x v="301"/>
    <x v="19"/>
    <n v="8"/>
    <x v="1"/>
    <x v="0"/>
    <n v="0"/>
    <x v="19"/>
    <x v="4"/>
    <x v="2"/>
    <n v="47"/>
    <n v="53.11"/>
    <n v="376"/>
    <n v="424.88"/>
    <x v="7"/>
    <x v="7"/>
    <x v="1"/>
  </r>
  <r>
    <x v="301"/>
    <x v="20"/>
    <n v="2"/>
    <x v="1"/>
    <x v="1"/>
    <n v="0"/>
    <x v="20"/>
    <x v="2"/>
    <x v="0"/>
    <n v="148"/>
    <n v="164.28"/>
    <n v="296"/>
    <n v="328.56"/>
    <x v="7"/>
    <x v="7"/>
    <x v="1"/>
  </r>
  <r>
    <x v="302"/>
    <x v="36"/>
    <n v="3"/>
    <x v="1"/>
    <x v="0"/>
    <n v="0"/>
    <x v="36"/>
    <x v="3"/>
    <x v="2"/>
    <n v="43"/>
    <n v="47.730000000000004"/>
    <n v="129"/>
    <n v="143.19"/>
    <x v="8"/>
    <x v="7"/>
    <x v="1"/>
  </r>
  <r>
    <x v="303"/>
    <x v="12"/>
    <n v="13"/>
    <x v="2"/>
    <x v="0"/>
    <n v="0"/>
    <x v="12"/>
    <x v="0"/>
    <x v="0"/>
    <n v="141"/>
    <n v="149.46"/>
    <n v="1833"/>
    <n v="1942.98"/>
    <x v="9"/>
    <x v="7"/>
    <x v="1"/>
  </r>
  <r>
    <x v="303"/>
    <x v="38"/>
    <n v="14"/>
    <x v="2"/>
    <x v="0"/>
    <n v="0"/>
    <x v="38"/>
    <x v="4"/>
    <x v="1"/>
    <n v="95"/>
    <n v="119.7"/>
    <n v="1330"/>
    <n v="1675.8"/>
    <x v="9"/>
    <x v="7"/>
    <x v="1"/>
  </r>
  <r>
    <x v="304"/>
    <x v="21"/>
    <n v="4"/>
    <x v="2"/>
    <x v="0"/>
    <n v="0"/>
    <x v="21"/>
    <x v="2"/>
    <x v="3"/>
    <n v="13"/>
    <n v="16.64"/>
    <n v="52"/>
    <n v="66.56"/>
    <x v="10"/>
    <x v="7"/>
    <x v="1"/>
  </r>
  <r>
    <x v="305"/>
    <x v="11"/>
    <n v="11"/>
    <x v="1"/>
    <x v="0"/>
    <n v="0"/>
    <x v="11"/>
    <x v="1"/>
    <x v="1"/>
    <n v="76"/>
    <n v="82.08"/>
    <n v="836"/>
    <n v="902.88"/>
    <x v="19"/>
    <x v="7"/>
    <x v="1"/>
  </r>
  <r>
    <x v="305"/>
    <x v="19"/>
    <n v="14"/>
    <x v="2"/>
    <x v="1"/>
    <n v="0"/>
    <x v="19"/>
    <x v="4"/>
    <x v="2"/>
    <n v="47"/>
    <n v="53.11"/>
    <n v="658"/>
    <n v="743.54"/>
    <x v="19"/>
    <x v="7"/>
    <x v="1"/>
  </r>
  <r>
    <x v="306"/>
    <x v="24"/>
    <n v="5"/>
    <x v="2"/>
    <x v="1"/>
    <n v="0"/>
    <x v="24"/>
    <x v="3"/>
    <x v="0"/>
    <n v="133"/>
    <n v="155.61000000000001"/>
    <n v="665"/>
    <n v="778.05000000000007"/>
    <x v="27"/>
    <x v="7"/>
    <x v="1"/>
  </r>
  <r>
    <x v="307"/>
    <x v="40"/>
    <n v="13"/>
    <x v="0"/>
    <x v="1"/>
    <n v="0"/>
    <x v="40"/>
    <x v="2"/>
    <x v="0"/>
    <n v="150"/>
    <n v="210"/>
    <n v="1950"/>
    <n v="2730"/>
    <x v="12"/>
    <x v="7"/>
    <x v="1"/>
  </r>
  <r>
    <x v="307"/>
    <x v="8"/>
    <n v="8"/>
    <x v="1"/>
    <x v="0"/>
    <n v="0"/>
    <x v="8"/>
    <x v="1"/>
    <x v="1"/>
    <n v="67"/>
    <n v="85.76"/>
    <n v="536"/>
    <n v="686.08"/>
    <x v="12"/>
    <x v="7"/>
    <x v="1"/>
  </r>
  <r>
    <x v="308"/>
    <x v="34"/>
    <n v="15"/>
    <x v="0"/>
    <x v="0"/>
    <n v="0"/>
    <x v="34"/>
    <x v="1"/>
    <x v="3"/>
    <n v="37"/>
    <n v="42.55"/>
    <n v="555"/>
    <n v="638.25"/>
    <x v="13"/>
    <x v="7"/>
    <x v="1"/>
  </r>
  <r>
    <x v="309"/>
    <x v="24"/>
    <n v="9"/>
    <x v="1"/>
    <x v="0"/>
    <n v="0"/>
    <x v="24"/>
    <x v="3"/>
    <x v="0"/>
    <n v="133"/>
    <n v="155.61000000000001"/>
    <n v="1197"/>
    <n v="1400.4900000000002"/>
    <x v="14"/>
    <x v="7"/>
    <x v="1"/>
  </r>
  <r>
    <x v="309"/>
    <x v="34"/>
    <n v="5"/>
    <x v="2"/>
    <x v="0"/>
    <n v="0"/>
    <x v="34"/>
    <x v="1"/>
    <x v="3"/>
    <n v="37"/>
    <n v="42.55"/>
    <n v="185"/>
    <n v="212.75"/>
    <x v="14"/>
    <x v="7"/>
    <x v="1"/>
  </r>
  <r>
    <x v="310"/>
    <x v="15"/>
    <n v="6"/>
    <x v="1"/>
    <x v="1"/>
    <n v="0"/>
    <x v="15"/>
    <x v="3"/>
    <x v="1"/>
    <n v="75"/>
    <n v="85.5"/>
    <n v="450"/>
    <n v="513"/>
    <x v="24"/>
    <x v="7"/>
    <x v="1"/>
  </r>
  <r>
    <x v="310"/>
    <x v="23"/>
    <n v="6"/>
    <x v="2"/>
    <x v="1"/>
    <n v="0"/>
    <x v="23"/>
    <x v="1"/>
    <x v="1"/>
    <n v="67"/>
    <n v="83.08"/>
    <n v="402"/>
    <n v="498.48"/>
    <x v="24"/>
    <x v="7"/>
    <x v="1"/>
  </r>
  <r>
    <x v="310"/>
    <x v="7"/>
    <n v="5"/>
    <x v="2"/>
    <x v="1"/>
    <n v="0"/>
    <x v="7"/>
    <x v="0"/>
    <x v="3"/>
    <n v="7"/>
    <n v="8.33"/>
    <n v="35"/>
    <n v="41.65"/>
    <x v="24"/>
    <x v="7"/>
    <x v="1"/>
  </r>
  <r>
    <x v="311"/>
    <x v="27"/>
    <n v="13"/>
    <x v="2"/>
    <x v="1"/>
    <n v="0"/>
    <x v="27"/>
    <x v="2"/>
    <x v="3"/>
    <n v="12"/>
    <n v="15.719999999999999"/>
    <n v="156"/>
    <n v="204.35999999999999"/>
    <x v="25"/>
    <x v="7"/>
    <x v="1"/>
  </r>
  <r>
    <x v="312"/>
    <x v="29"/>
    <n v="1"/>
    <x v="2"/>
    <x v="1"/>
    <n v="0"/>
    <x v="29"/>
    <x v="3"/>
    <x v="1"/>
    <n v="105"/>
    <n v="142.80000000000001"/>
    <n v="105"/>
    <n v="142.80000000000001"/>
    <x v="3"/>
    <x v="8"/>
    <x v="1"/>
  </r>
  <r>
    <x v="313"/>
    <x v="24"/>
    <n v="12"/>
    <x v="0"/>
    <x v="0"/>
    <n v="0"/>
    <x v="24"/>
    <x v="3"/>
    <x v="0"/>
    <n v="133"/>
    <n v="155.61000000000001"/>
    <n v="1596"/>
    <n v="1867.3200000000002"/>
    <x v="16"/>
    <x v="8"/>
    <x v="1"/>
  </r>
  <r>
    <x v="314"/>
    <x v="41"/>
    <n v="9"/>
    <x v="2"/>
    <x v="0"/>
    <n v="0"/>
    <x v="41"/>
    <x v="1"/>
    <x v="0"/>
    <n v="138"/>
    <n v="173.88"/>
    <n v="1242"/>
    <n v="1564.92"/>
    <x v="4"/>
    <x v="8"/>
    <x v="1"/>
  </r>
  <r>
    <x v="314"/>
    <x v="6"/>
    <n v="3"/>
    <x v="2"/>
    <x v="0"/>
    <n v="0"/>
    <x v="6"/>
    <x v="3"/>
    <x v="1"/>
    <n v="71"/>
    <n v="80.94"/>
    <n v="213"/>
    <n v="242.82"/>
    <x v="4"/>
    <x v="8"/>
    <x v="1"/>
  </r>
  <r>
    <x v="315"/>
    <x v="4"/>
    <n v="15"/>
    <x v="1"/>
    <x v="1"/>
    <n v="0"/>
    <x v="4"/>
    <x v="4"/>
    <x v="3"/>
    <n v="5"/>
    <n v="6.7"/>
    <n v="75"/>
    <n v="100.5"/>
    <x v="26"/>
    <x v="8"/>
    <x v="1"/>
  </r>
  <r>
    <x v="315"/>
    <x v="1"/>
    <n v="4"/>
    <x v="2"/>
    <x v="1"/>
    <n v="0"/>
    <x v="1"/>
    <x v="1"/>
    <x v="1"/>
    <n v="72"/>
    <n v="79.92"/>
    <n v="288"/>
    <n v="319.68"/>
    <x v="26"/>
    <x v="8"/>
    <x v="1"/>
  </r>
  <r>
    <x v="316"/>
    <x v="19"/>
    <n v="3"/>
    <x v="2"/>
    <x v="1"/>
    <n v="0"/>
    <x v="19"/>
    <x v="4"/>
    <x v="2"/>
    <n v="47"/>
    <n v="53.11"/>
    <n v="141"/>
    <n v="159.32999999999998"/>
    <x v="29"/>
    <x v="8"/>
    <x v="1"/>
  </r>
  <r>
    <x v="317"/>
    <x v="8"/>
    <n v="15"/>
    <x v="1"/>
    <x v="0"/>
    <n v="0"/>
    <x v="8"/>
    <x v="1"/>
    <x v="1"/>
    <n v="67"/>
    <n v="85.76"/>
    <n v="1005"/>
    <n v="1286.4000000000001"/>
    <x v="17"/>
    <x v="8"/>
    <x v="1"/>
  </r>
  <r>
    <x v="318"/>
    <x v="42"/>
    <n v="14"/>
    <x v="1"/>
    <x v="1"/>
    <n v="0"/>
    <x v="42"/>
    <x v="4"/>
    <x v="3"/>
    <n v="18"/>
    <n v="24.66"/>
    <n v="252"/>
    <n v="345.24"/>
    <x v="7"/>
    <x v="8"/>
    <x v="1"/>
  </r>
  <r>
    <x v="319"/>
    <x v="38"/>
    <n v="8"/>
    <x v="0"/>
    <x v="1"/>
    <n v="0"/>
    <x v="38"/>
    <x v="4"/>
    <x v="1"/>
    <n v="95"/>
    <n v="119.7"/>
    <n v="760"/>
    <n v="957.6"/>
    <x v="8"/>
    <x v="8"/>
    <x v="1"/>
  </r>
  <r>
    <x v="320"/>
    <x v="38"/>
    <n v="6"/>
    <x v="2"/>
    <x v="0"/>
    <n v="0"/>
    <x v="38"/>
    <x v="4"/>
    <x v="1"/>
    <n v="95"/>
    <n v="119.7"/>
    <n v="570"/>
    <n v="718.2"/>
    <x v="9"/>
    <x v="8"/>
    <x v="1"/>
  </r>
  <r>
    <x v="320"/>
    <x v="16"/>
    <n v="10"/>
    <x v="2"/>
    <x v="0"/>
    <n v="0"/>
    <x v="16"/>
    <x v="3"/>
    <x v="1"/>
    <n v="98"/>
    <n v="103.88"/>
    <n v="980"/>
    <n v="1038.8"/>
    <x v="9"/>
    <x v="8"/>
    <x v="1"/>
  </r>
  <r>
    <x v="321"/>
    <x v="30"/>
    <n v="14"/>
    <x v="1"/>
    <x v="0"/>
    <n v="0"/>
    <x v="30"/>
    <x v="2"/>
    <x v="3"/>
    <n v="37"/>
    <n v="49.21"/>
    <n v="518"/>
    <n v="688.94"/>
    <x v="10"/>
    <x v="8"/>
    <x v="1"/>
  </r>
  <r>
    <x v="321"/>
    <x v="42"/>
    <n v="5"/>
    <x v="2"/>
    <x v="1"/>
    <n v="0"/>
    <x v="42"/>
    <x v="4"/>
    <x v="3"/>
    <n v="18"/>
    <n v="24.66"/>
    <n v="90"/>
    <n v="123.3"/>
    <x v="10"/>
    <x v="8"/>
    <x v="1"/>
  </r>
  <r>
    <x v="322"/>
    <x v="23"/>
    <n v="12"/>
    <x v="1"/>
    <x v="0"/>
    <n v="0"/>
    <x v="23"/>
    <x v="1"/>
    <x v="1"/>
    <n v="67"/>
    <n v="83.08"/>
    <n v="804"/>
    <n v="996.96"/>
    <x v="18"/>
    <x v="8"/>
    <x v="1"/>
  </r>
  <r>
    <x v="323"/>
    <x v="35"/>
    <n v="12"/>
    <x v="2"/>
    <x v="0"/>
    <n v="0"/>
    <x v="35"/>
    <x v="2"/>
    <x v="1"/>
    <n v="73"/>
    <n v="94.17"/>
    <n v="876"/>
    <n v="1130.04"/>
    <x v="19"/>
    <x v="8"/>
    <x v="1"/>
  </r>
  <r>
    <x v="324"/>
    <x v="18"/>
    <n v="14"/>
    <x v="2"/>
    <x v="0"/>
    <n v="0"/>
    <x v="18"/>
    <x v="4"/>
    <x v="1"/>
    <n v="89"/>
    <n v="117.48"/>
    <n v="1246"/>
    <n v="1644.72"/>
    <x v="27"/>
    <x v="8"/>
    <x v="1"/>
  </r>
  <r>
    <x v="324"/>
    <x v="18"/>
    <n v="8"/>
    <x v="2"/>
    <x v="1"/>
    <n v="0"/>
    <x v="18"/>
    <x v="4"/>
    <x v="1"/>
    <n v="89"/>
    <n v="117.48"/>
    <n v="712"/>
    <n v="939.84"/>
    <x v="27"/>
    <x v="8"/>
    <x v="1"/>
  </r>
  <r>
    <x v="325"/>
    <x v="43"/>
    <n v="4"/>
    <x v="2"/>
    <x v="1"/>
    <n v="0"/>
    <x v="43"/>
    <x v="4"/>
    <x v="1"/>
    <n v="90"/>
    <n v="96.3"/>
    <n v="360"/>
    <n v="385.2"/>
    <x v="13"/>
    <x v="8"/>
    <x v="1"/>
  </r>
  <r>
    <x v="325"/>
    <x v="11"/>
    <n v="9"/>
    <x v="2"/>
    <x v="1"/>
    <n v="0"/>
    <x v="11"/>
    <x v="1"/>
    <x v="1"/>
    <n v="76"/>
    <n v="82.08"/>
    <n v="684"/>
    <n v="738.72"/>
    <x v="13"/>
    <x v="8"/>
    <x v="1"/>
  </r>
  <r>
    <x v="325"/>
    <x v="1"/>
    <n v="3"/>
    <x v="0"/>
    <x v="1"/>
    <n v="0"/>
    <x v="1"/>
    <x v="1"/>
    <x v="1"/>
    <n v="72"/>
    <n v="79.92"/>
    <n v="216"/>
    <n v="239.76"/>
    <x v="13"/>
    <x v="8"/>
    <x v="1"/>
  </r>
  <r>
    <x v="326"/>
    <x v="13"/>
    <n v="13"/>
    <x v="2"/>
    <x v="0"/>
    <n v="0"/>
    <x v="13"/>
    <x v="4"/>
    <x v="2"/>
    <n v="55"/>
    <n v="58.3"/>
    <n v="715"/>
    <n v="757.9"/>
    <x v="28"/>
    <x v="8"/>
    <x v="1"/>
  </r>
  <r>
    <x v="327"/>
    <x v="31"/>
    <n v="5"/>
    <x v="2"/>
    <x v="1"/>
    <n v="0"/>
    <x v="31"/>
    <x v="2"/>
    <x v="2"/>
    <n v="44"/>
    <n v="48.4"/>
    <n v="220"/>
    <n v="242"/>
    <x v="2"/>
    <x v="9"/>
    <x v="1"/>
  </r>
  <r>
    <x v="328"/>
    <x v="36"/>
    <n v="15"/>
    <x v="2"/>
    <x v="0"/>
    <n v="0"/>
    <x v="36"/>
    <x v="3"/>
    <x v="2"/>
    <n v="43"/>
    <n v="47.730000000000004"/>
    <n v="645"/>
    <n v="715.95"/>
    <x v="3"/>
    <x v="9"/>
    <x v="1"/>
  </r>
  <r>
    <x v="329"/>
    <x v="4"/>
    <n v="1"/>
    <x v="2"/>
    <x v="0"/>
    <n v="0"/>
    <x v="4"/>
    <x v="4"/>
    <x v="3"/>
    <n v="5"/>
    <n v="6.7"/>
    <n v="5"/>
    <n v="6.7"/>
    <x v="16"/>
    <x v="9"/>
    <x v="1"/>
  </r>
  <r>
    <x v="330"/>
    <x v="1"/>
    <n v="14"/>
    <x v="1"/>
    <x v="0"/>
    <n v="0"/>
    <x v="1"/>
    <x v="1"/>
    <x v="1"/>
    <n v="72"/>
    <n v="79.92"/>
    <n v="1008"/>
    <n v="1118.8800000000001"/>
    <x v="4"/>
    <x v="9"/>
    <x v="1"/>
  </r>
  <r>
    <x v="331"/>
    <x v="40"/>
    <n v="9"/>
    <x v="2"/>
    <x v="0"/>
    <n v="0"/>
    <x v="40"/>
    <x v="2"/>
    <x v="0"/>
    <n v="150"/>
    <n v="210"/>
    <n v="1350"/>
    <n v="1890"/>
    <x v="26"/>
    <x v="9"/>
    <x v="1"/>
  </r>
  <r>
    <x v="331"/>
    <x v="11"/>
    <n v="12"/>
    <x v="1"/>
    <x v="0"/>
    <n v="0"/>
    <x v="11"/>
    <x v="1"/>
    <x v="1"/>
    <n v="76"/>
    <n v="82.08"/>
    <n v="912"/>
    <n v="984.96"/>
    <x v="26"/>
    <x v="9"/>
    <x v="1"/>
  </r>
  <r>
    <x v="332"/>
    <x v="25"/>
    <n v="10"/>
    <x v="2"/>
    <x v="0"/>
    <n v="0"/>
    <x v="25"/>
    <x v="3"/>
    <x v="1"/>
    <n v="83"/>
    <n v="94.62"/>
    <n v="830"/>
    <n v="946.2"/>
    <x v="5"/>
    <x v="9"/>
    <x v="1"/>
  </r>
  <r>
    <x v="333"/>
    <x v="29"/>
    <n v="15"/>
    <x v="1"/>
    <x v="0"/>
    <n v="0"/>
    <x v="29"/>
    <x v="3"/>
    <x v="1"/>
    <n v="105"/>
    <n v="142.80000000000001"/>
    <n v="1575"/>
    <n v="2142"/>
    <x v="22"/>
    <x v="9"/>
    <x v="1"/>
  </r>
  <r>
    <x v="334"/>
    <x v="11"/>
    <n v="15"/>
    <x v="0"/>
    <x v="0"/>
    <n v="0"/>
    <x v="11"/>
    <x v="1"/>
    <x v="1"/>
    <n v="76"/>
    <n v="82.08"/>
    <n v="1140"/>
    <n v="1231.2"/>
    <x v="29"/>
    <x v="9"/>
    <x v="1"/>
  </r>
  <r>
    <x v="335"/>
    <x v="27"/>
    <n v="10"/>
    <x v="2"/>
    <x v="1"/>
    <n v="0"/>
    <x v="27"/>
    <x v="2"/>
    <x v="3"/>
    <n v="12"/>
    <n v="15.719999999999999"/>
    <n v="120"/>
    <n v="157.19999999999999"/>
    <x v="17"/>
    <x v="9"/>
    <x v="1"/>
  </r>
  <r>
    <x v="336"/>
    <x v="43"/>
    <n v="3"/>
    <x v="1"/>
    <x v="0"/>
    <n v="0"/>
    <x v="43"/>
    <x v="4"/>
    <x v="1"/>
    <n v="90"/>
    <n v="96.3"/>
    <n v="270"/>
    <n v="288.89999999999998"/>
    <x v="23"/>
    <x v="9"/>
    <x v="1"/>
  </r>
  <r>
    <x v="337"/>
    <x v="0"/>
    <n v="14"/>
    <x v="1"/>
    <x v="1"/>
    <n v="0"/>
    <x v="0"/>
    <x v="0"/>
    <x v="0"/>
    <n v="144"/>
    <n v="156.96"/>
    <n v="2016"/>
    <n v="2197.44"/>
    <x v="19"/>
    <x v="9"/>
    <x v="1"/>
  </r>
  <r>
    <x v="338"/>
    <x v="10"/>
    <n v="3"/>
    <x v="2"/>
    <x v="1"/>
    <n v="0"/>
    <x v="10"/>
    <x v="1"/>
    <x v="0"/>
    <n v="120"/>
    <n v="162"/>
    <n v="360"/>
    <n v="486"/>
    <x v="24"/>
    <x v="9"/>
    <x v="1"/>
  </r>
  <r>
    <x v="339"/>
    <x v="1"/>
    <n v="8"/>
    <x v="2"/>
    <x v="0"/>
    <n v="0"/>
    <x v="1"/>
    <x v="1"/>
    <x v="1"/>
    <n v="72"/>
    <n v="79.92"/>
    <n v="576"/>
    <n v="639.36"/>
    <x v="25"/>
    <x v="9"/>
    <x v="1"/>
  </r>
  <r>
    <x v="340"/>
    <x v="35"/>
    <n v="15"/>
    <x v="0"/>
    <x v="0"/>
    <n v="0"/>
    <x v="35"/>
    <x v="2"/>
    <x v="1"/>
    <n v="73"/>
    <n v="94.17"/>
    <n v="1095"/>
    <n v="1412.55"/>
    <x v="0"/>
    <x v="10"/>
    <x v="1"/>
  </r>
  <r>
    <x v="341"/>
    <x v="27"/>
    <n v="15"/>
    <x v="0"/>
    <x v="1"/>
    <n v="0"/>
    <x v="27"/>
    <x v="2"/>
    <x v="3"/>
    <n v="12"/>
    <n v="15.719999999999999"/>
    <n v="180"/>
    <n v="235.79999999999998"/>
    <x v="1"/>
    <x v="10"/>
    <x v="1"/>
  </r>
  <r>
    <x v="341"/>
    <x v="28"/>
    <n v="15"/>
    <x v="2"/>
    <x v="1"/>
    <n v="0"/>
    <x v="28"/>
    <x v="4"/>
    <x v="0"/>
    <n v="148"/>
    <n v="201.28"/>
    <n v="2220"/>
    <n v="3019.2"/>
    <x v="1"/>
    <x v="10"/>
    <x v="1"/>
  </r>
  <r>
    <x v="341"/>
    <x v="4"/>
    <n v="5"/>
    <x v="2"/>
    <x v="1"/>
    <n v="0"/>
    <x v="4"/>
    <x v="4"/>
    <x v="3"/>
    <n v="5"/>
    <n v="6.7"/>
    <n v="25"/>
    <n v="33.5"/>
    <x v="1"/>
    <x v="10"/>
    <x v="1"/>
  </r>
  <r>
    <x v="342"/>
    <x v="14"/>
    <n v="11"/>
    <x v="1"/>
    <x v="0"/>
    <n v="0"/>
    <x v="14"/>
    <x v="0"/>
    <x v="2"/>
    <n v="61"/>
    <n v="76.25"/>
    <n v="671"/>
    <n v="838.75"/>
    <x v="2"/>
    <x v="10"/>
    <x v="1"/>
  </r>
  <r>
    <x v="343"/>
    <x v="25"/>
    <n v="10"/>
    <x v="2"/>
    <x v="0"/>
    <n v="0"/>
    <x v="25"/>
    <x v="3"/>
    <x v="1"/>
    <n v="83"/>
    <n v="94.62"/>
    <n v="830"/>
    <n v="946.2"/>
    <x v="3"/>
    <x v="10"/>
    <x v="1"/>
  </r>
  <r>
    <x v="344"/>
    <x v="40"/>
    <n v="15"/>
    <x v="2"/>
    <x v="1"/>
    <n v="0"/>
    <x v="40"/>
    <x v="2"/>
    <x v="0"/>
    <n v="150"/>
    <n v="210"/>
    <n v="2250"/>
    <n v="3150"/>
    <x v="15"/>
    <x v="10"/>
    <x v="1"/>
  </r>
  <r>
    <x v="345"/>
    <x v="23"/>
    <n v="13"/>
    <x v="2"/>
    <x v="1"/>
    <n v="0"/>
    <x v="23"/>
    <x v="1"/>
    <x v="1"/>
    <n v="67"/>
    <n v="83.08"/>
    <n v="871"/>
    <n v="1080.04"/>
    <x v="16"/>
    <x v="10"/>
    <x v="1"/>
  </r>
  <r>
    <x v="345"/>
    <x v="27"/>
    <n v="13"/>
    <x v="1"/>
    <x v="0"/>
    <n v="0"/>
    <x v="27"/>
    <x v="2"/>
    <x v="3"/>
    <n v="12"/>
    <n v="15.719999999999999"/>
    <n v="156"/>
    <n v="204.35999999999999"/>
    <x v="16"/>
    <x v="10"/>
    <x v="1"/>
  </r>
  <r>
    <x v="345"/>
    <x v="10"/>
    <n v="13"/>
    <x v="2"/>
    <x v="1"/>
    <n v="0"/>
    <x v="10"/>
    <x v="1"/>
    <x v="0"/>
    <n v="120"/>
    <n v="162"/>
    <n v="1560"/>
    <n v="2106"/>
    <x v="16"/>
    <x v="10"/>
    <x v="1"/>
  </r>
  <r>
    <x v="346"/>
    <x v="17"/>
    <n v="13"/>
    <x v="1"/>
    <x v="1"/>
    <n v="0"/>
    <x v="17"/>
    <x v="1"/>
    <x v="1"/>
    <n v="90"/>
    <n v="115.2"/>
    <n v="1170"/>
    <n v="1497.6000000000001"/>
    <x v="20"/>
    <x v="10"/>
    <x v="1"/>
  </r>
  <r>
    <x v="347"/>
    <x v="43"/>
    <n v="11"/>
    <x v="0"/>
    <x v="1"/>
    <n v="0"/>
    <x v="43"/>
    <x v="4"/>
    <x v="1"/>
    <n v="90"/>
    <n v="96.3"/>
    <n v="990"/>
    <n v="1059.3"/>
    <x v="21"/>
    <x v="10"/>
    <x v="1"/>
  </r>
  <r>
    <x v="347"/>
    <x v="40"/>
    <n v="10"/>
    <x v="0"/>
    <x v="0"/>
    <n v="0"/>
    <x v="40"/>
    <x v="2"/>
    <x v="0"/>
    <n v="150"/>
    <n v="210"/>
    <n v="1500"/>
    <n v="2100"/>
    <x v="21"/>
    <x v="10"/>
    <x v="1"/>
  </r>
  <r>
    <x v="348"/>
    <x v="26"/>
    <n v="8"/>
    <x v="1"/>
    <x v="1"/>
    <n v="0"/>
    <x v="26"/>
    <x v="4"/>
    <x v="2"/>
    <n v="48"/>
    <n v="57.120000000000005"/>
    <n v="384"/>
    <n v="456.96000000000004"/>
    <x v="4"/>
    <x v="10"/>
    <x v="1"/>
  </r>
  <r>
    <x v="349"/>
    <x v="30"/>
    <n v="7"/>
    <x v="2"/>
    <x v="0"/>
    <n v="0"/>
    <x v="30"/>
    <x v="2"/>
    <x v="3"/>
    <n v="37"/>
    <n v="49.21"/>
    <n v="259"/>
    <n v="344.47"/>
    <x v="26"/>
    <x v="10"/>
    <x v="1"/>
  </r>
  <r>
    <x v="350"/>
    <x v="26"/>
    <n v="10"/>
    <x v="0"/>
    <x v="1"/>
    <n v="0"/>
    <x v="26"/>
    <x v="4"/>
    <x v="2"/>
    <n v="48"/>
    <n v="57.120000000000005"/>
    <n v="480"/>
    <n v="571.20000000000005"/>
    <x v="22"/>
    <x v="10"/>
    <x v="1"/>
  </r>
  <r>
    <x v="351"/>
    <x v="29"/>
    <n v="1"/>
    <x v="2"/>
    <x v="1"/>
    <n v="0"/>
    <x v="29"/>
    <x v="3"/>
    <x v="1"/>
    <n v="105"/>
    <n v="142.80000000000001"/>
    <n v="105"/>
    <n v="142.80000000000001"/>
    <x v="29"/>
    <x v="10"/>
    <x v="1"/>
  </r>
  <r>
    <x v="352"/>
    <x v="35"/>
    <n v="14"/>
    <x v="2"/>
    <x v="1"/>
    <n v="0"/>
    <x v="35"/>
    <x v="2"/>
    <x v="1"/>
    <n v="73"/>
    <n v="94.17"/>
    <n v="1022"/>
    <n v="1318.38"/>
    <x v="17"/>
    <x v="10"/>
    <x v="1"/>
  </r>
  <r>
    <x v="353"/>
    <x v="39"/>
    <n v="8"/>
    <x v="1"/>
    <x v="0"/>
    <n v="0"/>
    <x v="39"/>
    <x v="2"/>
    <x v="0"/>
    <n v="134"/>
    <n v="156.78"/>
    <n v="1072"/>
    <n v="1254.24"/>
    <x v="23"/>
    <x v="10"/>
    <x v="1"/>
  </r>
  <r>
    <x v="354"/>
    <x v="13"/>
    <n v="8"/>
    <x v="2"/>
    <x v="1"/>
    <n v="0"/>
    <x v="13"/>
    <x v="4"/>
    <x v="2"/>
    <n v="55"/>
    <n v="58.3"/>
    <n v="440"/>
    <n v="466.4"/>
    <x v="7"/>
    <x v="10"/>
    <x v="1"/>
  </r>
  <r>
    <x v="355"/>
    <x v="14"/>
    <n v="6"/>
    <x v="2"/>
    <x v="1"/>
    <n v="0"/>
    <x v="14"/>
    <x v="0"/>
    <x v="2"/>
    <n v="61"/>
    <n v="76.25"/>
    <n v="366"/>
    <n v="457.5"/>
    <x v="10"/>
    <x v="10"/>
    <x v="1"/>
  </r>
  <r>
    <x v="356"/>
    <x v="43"/>
    <n v="12"/>
    <x v="1"/>
    <x v="0"/>
    <n v="0"/>
    <x v="43"/>
    <x v="4"/>
    <x v="1"/>
    <n v="90"/>
    <n v="96.3"/>
    <n v="1080"/>
    <n v="1155.5999999999999"/>
    <x v="19"/>
    <x v="10"/>
    <x v="1"/>
  </r>
  <r>
    <x v="357"/>
    <x v="3"/>
    <n v="5"/>
    <x v="2"/>
    <x v="1"/>
    <n v="0"/>
    <x v="3"/>
    <x v="3"/>
    <x v="2"/>
    <n v="44"/>
    <n v="48.84"/>
    <n v="220"/>
    <n v="244.20000000000002"/>
    <x v="11"/>
    <x v="10"/>
    <x v="1"/>
  </r>
  <r>
    <x v="358"/>
    <x v="18"/>
    <n v="5"/>
    <x v="2"/>
    <x v="0"/>
    <n v="0"/>
    <x v="18"/>
    <x v="4"/>
    <x v="1"/>
    <n v="89"/>
    <n v="117.48"/>
    <n v="445"/>
    <n v="587.4"/>
    <x v="12"/>
    <x v="10"/>
    <x v="1"/>
  </r>
  <r>
    <x v="359"/>
    <x v="13"/>
    <n v="15"/>
    <x v="2"/>
    <x v="0"/>
    <n v="0"/>
    <x v="13"/>
    <x v="4"/>
    <x v="2"/>
    <n v="55"/>
    <n v="58.3"/>
    <n v="825"/>
    <n v="874.5"/>
    <x v="13"/>
    <x v="10"/>
    <x v="1"/>
  </r>
  <r>
    <x v="360"/>
    <x v="5"/>
    <n v="8"/>
    <x v="2"/>
    <x v="1"/>
    <n v="0"/>
    <x v="5"/>
    <x v="4"/>
    <x v="1"/>
    <n v="93"/>
    <n v="104.16"/>
    <n v="744"/>
    <n v="833.28"/>
    <x v="14"/>
    <x v="10"/>
    <x v="1"/>
  </r>
  <r>
    <x v="361"/>
    <x v="27"/>
    <n v="2"/>
    <x v="2"/>
    <x v="0"/>
    <n v="0"/>
    <x v="27"/>
    <x v="2"/>
    <x v="3"/>
    <n v="12"/>
    <n v="15.719999999999999"/>
    <n v="24"/>
    <n v="31.439999999999998"/>
    <x v="24"/>
    <x v="10"/>
    <x v="1"/>
  </r>
  <r>
    <x v="362"/>
    <x v="33"/>
    <n v="5"/>
    <x v="0"/>
    <x v="1"/>
    <n v="0"/>
    <x v="33"/>
    <x v="4"/>
    <x v="3"/>
    <n v="37"/>
    <n v="41.81"/>
    <n v="185"/>
    <n v="209.05"/>
    <x v="2"/>
    <x v="11"/>
    <x v="1"/>
  </r>
  <r>
    <x v="363"/>
    <x v="42"/>
    <n v="10"/>
    <x v="2"/>
    <x v="1"/>
    <n v="0"/>
    <x v="42"/>
    <x v="4"/>
    <x v="3"/>
    <n v="18"/>
    <n v="24.66"/>
    <n v="180"/>
    <n v="246.6"/>
    <x v="3"/>
    <x v="11"/>
    <x v="1"/>
  </r>
  <r>
    <x v="363"/>
    <x v="11"/>
    <n v="15"/>
    <x v="2"/>
    <x v="1"/>
    <n v="0"/>
    <x v="11"/>
    <x v="1"/>
    <x v="1"/>
    <n v="76"/>
    <n v="82.08"/>
    <n v="1140"/>
    <n v="1231.2"/>
    <x v="3"/>
    <x v="11"/>
    <x v="1"/>
  </r>
  <r>
    <x v="364"/>
    <x v="1"/>
    <n v="12"/>
    <x v="2"/>
    <x v="1"/>
    <n v="0"/>
    <x v="1"/>
    <x v="1"/>
    <x v="1"/>
    <n v="72"/>
    <n v="79.92"/>
    <n v="864"/>
    <n v="959.04"/>
    <x v="20"/>
    <x v="11"/>
    <x v="1"/>
  </r>
  <r>
    <x v="364"/>
    <x v="21"/>
    <n v="13"/>
    <x v="2"/>
    <x v="0"/>
    <n v="0"/>
    <x v="21"/>
    <x v="2"/>
    <x v="3"/>
    <n v="13"/>
    <n v="16.64"/>
    <n v="169"/>
    <n v="216.32"/>
    <x v="20"/>
    <x v="11"/>
    <x v="1"/>
  </r>
  <r>
    <x v="364"/>
    <x v="1"/>
    <n v="5"/>
    <x v="2"/>
    <x v="1"/>
    <n v="0"/>
    <x v="1"/>
    <x v="1"/>
    <x v="1"/>
    <n v="72"/>
    <n v="79.92"/>
    <n v="360"/>
    <n v="399.6"/>
    <x v="20"/>
    <x v="11"/>
    <x v="1"/>
  </r>
  <r>
    <x v="365"/>
    <x v="26"/>
    <n v="5"/>
    <x v="2"/>
    <x v="0"/>
    <n v="0"/>
    <x v="26"/>
    <x v="4"/>
    <x v="2"/>
    <n v="48"/>
    <n v="57.120000000000005"/>
    <n v="240"/>
    <n v="285.60000000000002"/>
    <x v="5"/>
    <x v="11"/>
    <x v="1"/>
  </r>
  <r>
    <x v="365"/>
    <x v="2"/>
    <n v="9"/>
    <x v="0"/>
    <x v="0"/>
    <n v="0"/>
    <x v="2"/>
    <x v="2"/>
    <x v="1"/>
    <n v="112"/>
    <n v="122.08"/>
    <n v="1008"/>
    <n v="1098.72"/>
    <x v="5"/>
    <x v="11"/>
    <x v="1"/>
  </r>
  <r>
    <x v="365"/>
    <x v="9"/>
    <n v="10"/>
    <x v="1"/>
    <x v="1"/>
    <n v="0"/>
    <x v="9"/>
    <x v="2"/>
    <x v="1"/>
    <n v="112"/>
    <n v="146.72"/>
    <n v="1120"/>
    <n v="1467.2"/>
    <x v="5"/>
    <x v="11"/>
    <x v="1"/>
  </r>
  <r>
    <x v="366"/>
    <x v="28"/>
    <n v="9"/>
    <x v="0"/>
    <x v="1"/>
    <n v="0"/>
    <x v="28"/>
    <x v="4"/>
    <x v="0"/>
    <n v="148"/>
    <n v="201.28"/>
    <n v="1332"/>
    <n v="1811.52"/>
    <x v="6"/>
    <x v="11"/>
    <x v="1"/>
  </r>
  <r>
    <x v="366"/>
    <x v="41"/>
    <n v="10"/>
    <x v="0"/>
    <x v="0"/>
    <n v="0"/>
    <x v="41"/>
    <x v="1"/>
    <x v="0"/>
    <n v="138"/>
    <n v="173.88"/>
    <n v="1380"/>
    <n v="1738.8"/>
    <x v="6"/>
    <x v="11"/>
    <x v="1"/>
  </r>
  <r>
    <x v="367"/>
    <x v="24"/>
    <n v="4"/>
    <x v="2"/>
    <x v="1"/>
    <n v="0"/>
    <x v="24"/>
    <x v="3"/>
    <x v="0"/>
    <n v="133"/>
    <n v="155.61000000000001"/>
    <n v="532"/>
    <n v="622.44000000000005"/>
    <x v="29"/>
    <x v="11"/>
    <x v="1"/>
  </r>
  <r>
    <x v="368"/>
    <x v="37"/>
    <n v="13"/>
    <x v="2"/>
    <x v="0"/>
    <n v="0"/>
    <x v="37"/>
    <x v="3"/>
    <x v="3"/>
    <n v="6"/>
    <n v="7.8599999999999994"/>
    <n v="78"/>
    <n v="102.17999999999999"/>
    <x v="17"/>
    <x v="11"/>
    <x v="1"/>
  </r>
  <r>
    <x v="369"/>
    <x v="11"/>
    <n v="7"/>
    <x v="2"/>
    <x v="0"/>
    <n v="0"/>
    <x v="11"/>
    <x v="1"/>
    <x v="1"/>
    <n v="76"/>
    <n v="82.08"/>
    <n v="532"/>
    <n v="574.55999999999995"/>
    <x v="8"/>
    <x v="11"/>
    <x v="1"/>
  </r>
  <r>
    <x v="369"/>
    <x v="31"/>
    <n v="14"/>
    <x v="2"/>
    <x v="1"/>
    <n v="0"/>
    <x v="31"/>
    <x v="2"/>
    <x v="2"/>
    <n v="44"/>
    <n v="48.4"/>
    <n v="616"/>
    <n v="677.6"/>
    <x v="8"/>
    <x v="11"/>
    <x v="1"/>
  </r>
  <r>
    <x v="369"/>
    <x v="37"/>
    <n v="11"/>
    <x v="1"/>
    <x v="0"/>
    <n v="0"/>
    <x v="37"/>
    <x v="3"/>
    <x v="3"/>
    <n v="6"/>
    <n v="7.8599999999999994"/>
    <n v="66"/>
    <n v="86.46"/>
    <x v="8"/>
    <x v="11"/>
    <x v="1"/>
  </r>
  <r>
    <x v="370"/>
    <x v="15"/>
    <n v="10"/>
    <x v="2"/>
    <x v="0"/>
    <n v="0"/>
    <x v="15"/>
    <x v="3"/>
    <x v="1"/>
    <n v="75"/>
    <n v="85.5"/>
    <n v="750"/>
    <n v="855"/>
    <x v="10"/>
    <x v="11"/>
    <x v="1"/>
  </r>
  <r>
    <x v="371"/>
    <x v="25"/>
    <n v="15"/>
    <x v="2"/>
    <x v="0"/>
    <n v="0"/>
    <x v="25"/>
    <x v="3"/>
    <x v="1"/>
    <n v="83"/>
    <n v="94.62"/>
    <n v="1245"/>
    <n v="1419.3000000000002"/>
    <x v="28"/>
    <x v="11"/>
    <x v="1"/>
  </r>
  <r>
    <x v="371"/>
    <x v="10"/>
    <n v="1"/>
    <x v="0"/>
    <x v="1"/>
    <n v="0"/>
    <x v="10"/>
    <x v="1"/>
    <x v="0"/>
    <n v="120"/>
    <n v="162"/>
    <n v="120"/>
    <n v="162"/>
    <x v="28"/>
    <x v="11"/>
    <x v="1"/>
  </r>
  <r>
    <x v="372"/>
    <x v="41"/>
    <n v="14"/>
    <x v="2"/>
    <x v="0"/>
    <n v="0"/>
    <x v="41"/>
    <x v="1"/>
    <x v="0"/>
    <n v="138"/>
    <n v="173.88"/>
    <n v="1932"/>
    <n v="2434.3199999999997"/>
    <x v="24"/>
    <x v="11"/>
    <x v="1"/>
  </r>
  <r>
    <x v="373"/>
    <x v="38"/>
    <n v="12"/>
    <x v="1"/>
    <x v="0"/>
    <n v="0"/>
    <x v="38"/>
    <x v="4"/>
    <x v="1"/>
    <n v="95"/>
    <n v="119.7"/>
    <n v="1140"/>
    <n v="1436.4"/>
    <x v="25"/>
    <x v="11"/>
    <x v="1"/>
  </r>
  <r>
    <x v="373"/>
    <x v="31"/>
    <n v="6"/>
    <x v="1"/>
    <x v="0"/>
    <n v="0"/>
    <x v="31"/>
    <x v="2"/>
    <x v="2"/>
    <n v="44"/>
    <n v="48.4"/>
    <n v="264"/>
    <n v="290.39999999999998"/>
    <x v="25"/>
    <x v="11"/>
    <x v="1"/>
  </r>
  <r>
    <x v="373"/>
    <x v="3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Year">
  <location ref="A2:B33" firstHeaderRow="1" firstDataRow="1" firstDataCol="1"/>
  <pivotFields count="18">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defaultSubtotal="0">
      <items count="6">
        <item sd="0" x="0"/>
        <item x="1"/>
        <item x="2"/>
        <item x="3"/>
        <item x="4"/>
        <item sd="0" x="5"/>
      </items>
    </pivotField>
    <pivotField showAll="0" defaultSubtotal="0">
      <items count="5">
        <item sd="0" x="0"/>
        <item x="1"/>
        <item sd="0" x="2"/>
        <item sd="0" x="3"/>
        <item sd="0" x="4"/>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3">
    <format dxfId="2">
      <pivotArea outline="0" collapsedLevelsAreSubtotals="1" fieldPosition="0"/>
    </format>
    <format dxfId="1">
      <pivotArea dataOnly="0" labelOnly="1" outline="0" axis="axisValues" fieldPosition="0"/>
    </format>
    <format dxfId="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ategor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AC2:AD7" firstHeaderRow="1" firstDataRow="1" firstDataCol="1"/>
  <pivotFields count="18">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defaultSubtotal="0"/>
    <pivotField showAll="0" defaultSubtotal="0"/>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E3" firstHeaderRow="0" firstDataRow="1" firstDataCol="0"/>
  <pivotFields count="18">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numFmtId="165"/>
  </dataFields>
  <formats count="2">
    <format dxfId="4">
      <pivotArea outline="0" collapsedLevelsAreSubtotals="1" fieldPosition="0">
        <references count="1">
          <reference field="4294967294" count="1" selected="0">
            <x v="1"/>
          </reference>
        </references>
      </pivotArea>
    </format>
    <format dxfId="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ayment 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Payment Mode">
  <location ref="AM2:AO4" firstHeaderRow="0" firstDataRow="1" firstDataCol="1"/>
  <pivotFields count="18">
    <pivotField numFmtId="14" showAll="0"/>
    <pivotField showAll="0"/>
    <pivotField dataField="1" showAll="0"/>
    <pivotField showAll="0">
      <items count="4">
        <item x="2"/>
        <item x="1"/>
        <item x="0"/>
        <item t="default"/>
      </items>
    </pivotField>
    <pivotField axis="axisRow" showAll="0">
      <items count="3">
        <item sd="0" x="1"/>
        <item sd="0" x="0"/>
        <item t="default" sd="0"/>
      </items>
    </pivotField>
    <pivotField numFmtId="164" showAll="0"/>
    <pivotField showAll="0"/>
    <pivotField showAll="0">
      <items count="6">
        <item x="3"/>
        <item x="2"/>
        <item x="0"/>
        <item x="4"/>
        <item x="1"/>
        <item t="default"/>
      </items>
    </pivotField>
    <pivotField axis="axisRow" showAll="0">
      <items count="5">
        <item x="0"/>
        <item x="1"/>
        <item x="2"/>
        <item x="3"/>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defaultSubtotal="0"/>
    <pivotField showAll="0" defaultSubtotal="0"/>
  </pivotFields>
  <rowFields count="2">
    <field x="4"/>
    <field x="8"/>
  </rowFields>
  <rowItems count="2">
    <i>
      <x/>
    </i>
    <i>
      <x v="1"/>
    </i>
  </rowItems>
  <colFields count="1">
    <field x="-2"/>
  </colFields>
  <colItems count="2">
    <i>
      <x/>
    </i>
    <i i="1">
      <x v="1"/>
    </i>
  </colItems>
  <dataFields count="2">
    <dataField name="Sum of TOTAL SELLING VALUE" fld="12" baseField="0" baseItem="0"/>
    <dataField name="Sum of QUANTITY" fld="2" baseField="0" baseItem="0"/>
  </dataField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1"/>
          </reference>
          <reference field="4" count="1" selected="0">
            <x v="0"/>
          </reference>
        </references>
      </pivotArea>
    </chartFormat>
    <chartFormat chart="2" format="5">
      <pivotArea type="data" outline="0" fieldPosition="0">
        <references count="2">
          <reference field="4294967294" count="1" selected="0">
            <x v="1"/>
          </reference>
          <reference field="4" count="1" selected="0">
            <x v="1"/>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4" count="1" selected="0">
            <x v="0"/>
          </reference>
        </references>
      </pivotArea>
    </chartFormat>
    <chartFormat chart="5" format="28">
      <pivotArea type="data" outline="0" fieldPosition="0">
        <references count="2">
          <reference field="4294967294" count="1" selected="0">
            <x v="0"/>
          </reference>
          <reference field="4" count="1" selected="0">
            <x v="1"/>
          </reference>
        </references>
      </pivotArea>
    </chartFormat>
    <chartFormat chart="5" format="29" series="1">
      <pivotArea type="data" outline="0" fieldPosition="0">
        <references count="1">
          <reference field="4294967294" count="1" selected="0">
            <x v="1"/>
          </reference>
        </references>
      </pivotArea>
    </chartFormat>
    <chartFormat chart="5" format="30">
      <pivotArea type="data" outline="0" fieldPosition="0">
        <references count="2">
          <reference field="4294967294" count="1" selected="0">
            <x v="1"/>
          </reference>
          <reference field="4" count="1" selected="0">
            <x v="0"/>
          </reference>
        </references>
      </pivotArea>
    </chartFormat>
    <chartFormat chart="5" format="31">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 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Sale Type">
  <location ref="AJ2:AK5" firstHeaderRow="1" firstDataRow="1" firstDataCol="1"/>
  <pivotFields count="18">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defaultSubtotal="0"/>
    <pivotField showAll="0" defaultSubtotal="0"/>
  </pivotFields>
  <rowFields count="1">
    <field x="3"/>
  </rowFields>
  <rowItems count="3">
    <i>
      <x/>
    </i>
    <i>
      <x v="1"/>
    </i>
    <i>
      <x v="2"/>
    </i>
  </rowItems>
  <colItems count="1">
    <i/>
  </colItems>
  <dataFields count="1">
    <dataField name="Sum of TOTAL SELLING VALUE" fld="12" baseField="0" baseItem="0"/>
  </dataFields>
  <chartFormats count="8">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1" format="7">
      <pivotArea type="data" outline="0" fieldPosition="0">
        <references count="2">
          <reference field="4294967294" count="1" selected="0">
            <x v="0"/>
          </reference>
          <reference field="3" count="1" selected="0">
            <x v="1"/>
          </reference>
        </references>
      </pivotArea>
    </chartFormat>
    <chartFormat chart="1" format="8">
      <pivotArea type="data" outline="0" fieldPosition="0">
        <references count="2">
          <reference field="4294967294" count="1" selected="0">
            <x v="0"/>
          </reference>
          <reference field="3" count="1" selected="0">
            <x v="2"/>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3" count="1" selected="0">
            <x v="0"/>
          </reference>
        </references>
      </pivotArea>
    </chartFormat>
    <chartFormat chart="4" format="24">
      <pivotArea type="data" outline="0" fieldPosition="0">
        <references count="2">
          <reference field="4294967294" count="1" selected="0">
            <x v="0"/>
          </reference>
          <reference field="3" count="1" selected="0">
            <x v="1"/>
          </reference>
        </references>
      </pivotArea>
    </chartFormat>
    <chartFormat chart="4" format="2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P3:R91" firstHeaderRow="0"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axis="axisRow" multipleItemSelectionAllowed="1" showAll="0" defaultSubtotal="0">
      <items count="4">
        <item sd="0" x="0"/>
        <item sd="0" x="1"/>
        <item sd="0" x="2"/>
        <item sd="0" x="3"/>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2">
    <field x="6"/>
    <field x="8"/>
  </rowFields>
  <rowItems count="88">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3"/>
    </i>
    <i r="1">
      <x/>
    </i>
    <i>
      <x v="24"/>
    </i>
    <i r="1">
      <x v="3"/>
    </i>
    <i>
      <x v="25"/>
    </i>
    <i r="1">
      <x v="3"/>
    </i>
    <i>
      <x v="26"/>
    </i>
    <i r="1">
      <x v="2"/>
    </i>
    <i>
      <x v="27"/>
    </i>
    <i r="1">
      <x v="3"/>
    </i>
    <i>
      <x v="28"/>
    </i>
    <i r="1">
      <x v="2"/>
    </i>
    <i>
      <x v="29"/>
    </i>
    <i r="1">
      <x/>
    </i>
    <i>
      <x v="30"/>
    </i>
    <i r="1">
      <x v="1"/>
    </i>
    <i>
      <x v="31"/>
    </i>
    <i r="1">
      <x v="1"/>
    </i>
    <i>
      <x v="32"/>
    </i>
    <i r="1">
      <x v="1"/>
    </i>
    <i>
      <x v="33"/>
    </i>
    <i r="1">
      <x v="2"/>
    </i>
    <i>
      <x v="34"/>
    </i>
    <i r="1">
      <x v="3"/>
    </i>
    <i>
      <x v="35"/>
    </i>
    <i r="1">
      <x v="1"/>
    </i>
    <i>
      <x v="36"/>
    </i>
    <i r="1">
      <x v="1"/>
    </i>
    <i>
      <x v="37"/>
    </i>
    <i r="1">
      <x v="1"/>
    </i>
    <i>
      <x v="38"/>
    </i>
    <i r="1">
      <x v="3"/>
    </i>
    <i>
      <x v="39"/>
    </i>
    <i r="1">
      <x v="1"/>
    </i>
    <i>
      <x v="40"/>
    </i>
    <i r="1">
      <x/>
    </i>
    <i>
      <x v="41"/>
    </i>
    <i r="1">
      <x/>
    </i>
    <i>
      <x v="42"/>
    </i>
    <i r="1">
      <x v="1"/>
    </i>
    <i>
      <x v="43"/>
    </i>
    <i r="1">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
  <location ref="L2:N14" firstHeaderRow="0" firstDataRow="1" firstDataCol="1"/>
  <pivotFields count="18">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5" name="Daily"/>
    <pivotTable tabId="5" name="Category"/>
    <pivotTable tabId="5" name="Monthly"/>
    <pivotTable tabId="5" name="Payment Mode"/>
    <pivotTable tabId="5" name="Productwise"/>
    <pivotTable tabId="5" name="Sale Type"/>
    <pivotTable tabId="5"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5" name="Daily"/>
    <pivotTable tabId="5" name="Category"/>
    <pivotTable tabId="5" name="Monthly"/>
    <pivotTable tabId="5" name="Payment Mode"/>
    <pivotTable tabId="5" name="Productwise"/>
    <pivotTable tabId="5" name="Sale Type"/>
    <pivotTable tabId="5"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Daily"/>
    <pivotTable tabId="5" name="Category"/>
    <pivotTable tabId="5" name="Monthly"/>
    <pivotTable tabId="5" name="Payment Mode"/>
    <pivotTable tabId="5" name="Productwise"/>
    <pivotTable tabId="5" name="Sale Type"/>
    <pivotTable tabId="5" name="Total Sale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Daily"/>
    <pivotTable tabId="5" name="Category"/>
    <pivotTable tabId="5" name="Monthly"/>
    <pivotTable tabId="5" name="Payment Mode"/>
    <pivotTable tabId="5" name="Productwise"/>
    <pivotTable tabId="5" name="Sale Type"/>
    <pivotTable tabId="5" name="Total Sale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41300"/>
  <slicer name="PAYMENT MODE" cache="Slicer_PAYMENT_MODE" caption="PAYMENT MODE" rowHeight="241300"/>
  <slicer name="MONTH" cache="Slicer_MONTH" caption="MONTH" rowHeight="241300"/>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style="Slicer1" rowHeight="180000"/>
  <slicer name="PAYMENT MODE 2" cache="Slicer_PAYMENT_MODE" caption="PAYMENT MODE" style="Slicer1" rowHeight="241300"/>
  <slicer name="MONTH 1" cache="Slicer_MONTH" caption="MONTH" style="Slicer1" rowHeight="241300"/>
  <slicer name="YEAR 1" cache="Slicer_YEAR" caption="YEAR" style="Slicer1" rowHeight="144000"/>
</slicers>
</file>

<file path=xl/tables/table1.xml><?xml version="1.0" encoding="utf-8"?>
<table xmlns="http://schemas.openxmlformats.org/spreadsheetml/2006/main" id="1" name="MasterData" displayName="MasterData" ref="A1:F46" totalsRowShown="0" headerRowDxfId="32" dataDxfId="30" headerRowBorderDxfId="31">
  <autoFilter ref="A1:F46"/>
  <tableColumns count="6">
    <tableColumn id="1" name="PRODUCT ID" dataDxfId="29"/>
    <tableColumn id="2" name="PRODUCT" dataDxfId="28"/>
    <tableColumn id="3" name="CATEGORY" dataDxfId="27"/>
    <tableColumn id="4" name="UOM" dataDxfId="26"/>
    <tableColumn id="5" name="BUYING PRIZE" dataDxfId="25"/>
    <tableColumn id="6" name="SELLING PRICE" dataDxfId="24"/>
  </tableColumns>
  <tableStyleInfo name="TableStyleLight14" showFirstColumn="0" showLastColumn="0" showRowStripes="1" showColumnStripes="0"/>
</table>
</file>

<file path=xl/tables/table2.xml><?xml version="1.0" encoding="utf-8"?>
<table xmlns="http://schemas.openxmlformats.org/spreadsheetml/2006/main" id="2" name="InputData" displayName="InputData" ref="A1:P528" totalsRowShown="0" headerRowDxfId="23" headerRowBorderDxfId="22">
  <autoFilter ref="A1:P528"/>
  <sortState ref="A2:E527">
    <sortCondition ref="A1:A527"/>
  </sortState>
  <tableColumns count="16">
    <tableColumn id="1" name="DATE" dataDxfId="21"/>
    <tableColumn id="3" name="PRODUCT ID" dataDxfId="20"/>
    <tableColumn id="2" name="QUANTITY" dataDxfId="19"/>
    <tableColumn id="4" name="SALE TYPE" dataDxfId="18"/>
    <tableColumn id="5" name="PAYMENT MODE" dataDxfId="17"/>
    <tableColumn id="6" name="DISCOUNT %" dataDxfId="16"/>
    <tableColumn id="7" name="PRODUCT" dataDxfId="15">
      <calculatedColumnFormula>VLOOKUP(InputData[[#This Row],[PRODUCT ID]],MasterData[],2,0)</calculatedColumnFormula>
    </tableColumn>
    <tableColumn id="8" name="CATEGORY" dataDxfId="14">
      <calculatedColumnFormula>VLOOKUP(InputData[[#This Row],[PRODUCT ID]],MasterData[],3,0)</calculatedColumnFormula>
    </tableColumn>
    <tableColumn id="9" name="UOM" dataDxfId="13">
      <calculatedColumnFormula>VLOOKUP(InputData[[#This Row],[PRODUCT ID]],MasterData[],4,0)</calculatedColumnFormula>
    </tableColumn>
    <tableColumn id="10" name="BUYING PRIZE" dataDxfId="12">
      <calculatedColumnFormula>VLOOKUP(InputData[[#This Row],[PRODUCT ID]],MasterData[],5,0)</calculatedColumnFormula>
    </tableColumn>
    <tableColumn id="11" name="SELLING PRICE" dataDxfId="11">
      <calculatedColumnFormula>VLOOKUP(InputData[[#This Row],[PRODUCT ID]],MasterData[],6,0)</calculatedColumnFormula>
    </tableColumn>
    <tableColumn id="12" name="TOTAL BUYING VALUE" dataDxfId="10">
      <calculatedColumnFormula>InputData[[#This Row],[QUANTITY]]*InputData[[#This Row],[BUYING PRIZE]]</calculatedColumnFormula>
    </tableColumn>
    <tableColumn id="13" name="TOTAL SELLING VALUE" dataDxfId="9">
      <calculatedColumnFormula>InputData[[#This Row],[QUANTITY]]*InputData[[#This Row],[SELLING PRICE]]*(1-InputData[[#This Row],[DISCOUNT %]])</calculatedColumnFormula>
    </tableColumn>
    <tableColumn id="14" name="DAY" dataDxfId="8">
      <calculatedColumnFormula>DAY(InputData[[#This Row],[DATE]])</calculatedColumnFormula>
    </tableColumn>
    <tableColumn id="15" name="MONTH" dataDxfId="7">
      <calculatedColumnFormula>TEXT(InputData[[#This Row],[DATE]],"MMM")</calculatedColumnFormula>
    </tableColumn>
    <tableColumn id="16" name="YEAR" dataDxfId="6">
      <calculatedColumnFormula>YEAR(InputData[[#This Row],[DATE]])</calculatedColumnFormula>
    </tableColumn>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P284" totalsRowShown="0">
  <autoFilter ref="A1:P284"/>
  <tableColumns count="16">
    <tableColumn id="1" name="DATE" dataDxfId="5"/>
    <tableColumn id="2" name="PRODUCT ID"/>
    <tableColumn id="3" name="QUANTITY"/>
    <tableColumn id="4" name="SALE TYPE"/>
    <tableColumn id="5" name="PAYMENT MODE"/>
    <tableColumn id="6" name="DISCOUNT %"/>
    <tableColumn id="7" name="PRODUCT"/>
    <tableColumn id="8" name="CATEGORY"/>
    <tableColumn id="9" name="UOM"/>
    <tableColumn id="10" name="BUYING PRIZE"/>
    <tableColumn id="11" name="SELLING PRICE"/>
    <tableColumn id="12" name="TOTAL BUYING VALUE"/>
    <tableColumn id="13" name="TOTAL SELLING VALUE"/>
    <tableColumn id="14" name="DAY"/>
    <tableColumn id="15" name="MONTH"/>
    <tableColumn id="16" name="YEAR"/>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heme/themeOverride1.xml><?xml version="1.0" encoding="utf-8"?>
<a:themeOverride xmlns:a="http://schemas.openxmlformats.org/drawingml/2006/main">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Override>
</file>

<file path=xl/theme/themeOverride2.xml><?xml version="1.0" encoding="utf-8"?>
<a:themeOverride xmlns:a="http://schemas.openxmlformats.org/drawingml/2006/main">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Override>
</file>

<file path=xl/theme/themeOverride3.xml><?xml version="1.0" encoding="utf-8"?>
<a:themeOverride xmlns:a="http://schemas.openxmlformats.org/drawingml/2006/main">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59999389629810485"/>
  </sheetPr>
  <dimension ref="A1:F46"/>
  <sheetViews>
    <sheetView topLeftCell="A5" workbookViewId="0">
      <selection activeCell="B2" sqref="B2"/>
    </sheetView>
  </sheetViews>
  <sheetFormatPr defaultRowHeight="17.25" x14ac:dyDescent="0.35"/>
  <cols>
    <col min="1" max="1" width="15.75" customWidth="1"/>
    <col min="2" max="2" width="13.625" customWidth="1"/>
    <col min="3" max="3" width="14.375" customWidth="1"/>
    <col min="4" max="4" width="9.75" customWidth="1"/>
    <col min="5" max="5" width="17.25" customWidth="1"/>
    <col min="6" max="6" width="17.625" customWidth="1"/>
  </cols>
  <sheetData>
    <row r="1" spans="1:6" ht="18" thickBot="1" x14ac:dyDescent="0.4">
      <c r="A1" s="1" t="s">
        <v>0</v>
      </c>
      <c r="B1" s="1" t="s">
        <v>1</v>
      </c>
      <c r="C1" s="1" t="s">
        <v>2</v>
      </c>
      <c r="D1" s="1" t="s">
        <v>3</v>
      </c>
      <c r="E1" s="1" t="s">
        <v>4</v>
      </c>
      <c r="F1" s="1" t="s">
        <v>5</v>
      </c>
    </row>
    <row r="2" spans="1:6" x14ac:dyDescent="0.35">
      <c r="A2" s="9" t="s">
        <v>6</v>
      </c>
      <c r="B2" s="9" t="s">
        <v>7</v>
      </c>
      <c r="C2" s="9" t="s">
        <v>8</v>
      </c>
      <c r="D2" s="9" t="s">
        <v>9</v>
      </c>
      <c r="E2" s="9">
        <v>98</v>
      </c>
      <c r="F2" s="9">
        <v>103.88</v>
      </c>
    </row>
    <row r="3" spans="1:6" x14ac:dyDescent="0.35">
      <c r="A3" s="9" t="s">
        <v>10</v>
      </c>
      <c r="B3" s="9" t="s">
        <v>11</v>
      </c>
      <c r="C3" s="9" t="s">
        <v>8</v>
      </c>
      <c r="D3" s="9" t="s">
        <v>9</v>
      </c>
      <c r="E3" s="9">
        <v>105</v>
      </c>
      <c r="F3" s="9">
        <v>142.80000000000001</v>
      </c>
    </row>
    <row r="4" spans="1:6" x14ac:dyDescent="0.35">
      <c r="A4" s="9" t="s">
        <v>12</v>
      </c>
      <c r="B4" s="9" t="s">
        <v>13</v>
      </c>
      <c r="C4" s="9" t="s">
        <v>8</v>
      </c>
      <c r="D4" s="9" t="s">
        <v>9</v>
      </c>
      <c r="E4" s="9">
        <v>71</v>
      </c>
      <c r="F4" s="9">
        <v>80.94</v>
      </c>
    </row>
    <row r="5" spans="1:6" x14ac:dyDescent="0.35">
      <c r="A5" s="9" t="s">
        <v>14</v>
      </c>
      <c r="B5" s="9" t="s">
        <v>15</v>
      </c>
      <c r="C5" s="9" t="s">
        <v>8</v>
      </c>
      <c r="D5" s="9" t="s">
        <v>109</v>
      </c>
      <c r="E5" s="9">
        <v>44</v>
      </c>
      <c r="F5" s="9">
        <v>48.84</v>
      </c>
    </row>
    <row r="6" spans="1:6" x14ac:dyDescent="0.35">
      <c r="A6" s="9" t="s">
        <v>16</v>
      </c>
      <c r="B6" s="9" t="s">
        <v>17</v>
      </c>
      <c r="C6" s="9" t="s">
        <v>8</v>
      </c>
      <c r="D6" s="9" t="s">
        <v>110</v>
      </c>
      <c r="E6" s="9">
        <v>133</v>
      </c>
      <c r="F6" s="9">
        <v>155.61000000000001</v>
      </c>
    </row>
    <row r="7" spans="1:6" x14ac:dyDescent="0.35">
      <c r="A7" s="9" t="s">
        <v>18</v>
      </c>
      <c r="B7" s="9" t="s">
        <v>19</v>
      </c>
      <c r="C7" s="9" t="s">
        <v>8</v>
      </c>
      <c r="D7" s="9" t="s">
        <v>9</v>
      </c>
      <c r="E7" s="9">
        <v>75</v>
      </c>
      <c r="F7" s="9">
        <v>85.5</v>
      </c>
    </row>
    <row r="8" spans="1:6" x14ac:dyDescent="0.35">
      <c r="A8" s="9" t="s">
        <v>20</v>
      </c>
      <c r="B8" s="9" t="s">
        <v>21</v>
      </c>
      <c r="C8" s="9" t="s">
        <v>8</v>
      </c>
      <c r="D8" s="9" t="s">
        <v>109</v>
      </c>
      <c r="E8" s="9">
        <v>43</v>
      </c>
      <c r="F8" s="9">
        <v>47.730000000000004</v>
      </c>
    </row>
    <row r="9" spans="1:6" x14ac:dyDescent="0.35">
      <c r="A9" s="9" t="s">
        <v>22</v>
      </c>
      <c r="B9" s="9" t="s">
        <v>23</v>
      </c>
      <c r="C9" s="9" t="s">
        <v>8</v>
      </c>
      <c r="D9" s="9" t="s">
        <v>9</v>
      </c>
      <c r="E9" s="9">
        <v>83</v>
      </c>
      <c r="F9" s="9">
        <v>94.62</v>
      </c>
    </row>
    <row r="10" spans="1:6" x14ac:dyDescent="0.35">
      <c r="A10" s="9" t="s">
        <v>24</v>
      </c>
      <c r="B10" s="9" t="s">
        <v>25</v>
      </c>
      <c r="C10" s="9" t="s">
        <v>8</v>
      </c>
      <c r="D10" s="9" t="s">
        <v>111</v>
      </c>
      <c r="E10" s="9">
        <v>6</v>
      </c>
      <c r="F10" s="9">
        <v>7.8599999999999994</v>
      </c>
    </row>
    <row r="11" spans="1:6" x14ac:dyDescent="0.35">
      <c r="A11" s="9" t="s">
        <v>26</v>
      </c>
      <c r="B11" s="9" t="s">
        <v>27</v>
      </c>
      <c r="C11" s="9" t="s">
        <v>28</v>
      </c>
      <c r="D11" s="9" t="s">
        <v>110</v>
      </c>
      <c r="E11" s="9">
        <v>148</v>
      </c>
      <c r="F11" s="9">
        <v>164.28</v>
      </c>
    </row>
    <row r="12" spans="1:6" x14ac:dyDescent="0.35">
      <c r="A12" s="9" t="s">
        <v>29</v>
      </c>
      <c r="B12" s="9" t="s">
        <v>30</v>
      </c>
      <c r="C12" s="9" t="s">
        <v>28</v>
      </c>
      <c r="D12" s="9" t="s">
        <v>109</v>
      </c>
      <c r="E12" s="9">
        <v>44</v>
      </c>
      <c r="F12" s="9">
        <v>48.4</v>
      </c>
    </row>
    <row r="13" spans="1:6" x14ac:dyDescent="0.35">
      <c r="A13" s="9" t="s">
        <v>31</v>
      </c>
      <c r="B13" s="9" t="s">
        <v>32</v>
      </c>
      <c r="C13" s="9" t="s">
        <v>28</v>
      </c>
      <c r="D13" s="9" t="s">
        <v>9</v>
      </c>
      <c r="E13" s="9">
        <v>73</v>
      </c>
      <c r="F13" s="9">
        <v>94.17</v>
      </c>
    </row>
    <row r="14" spans="1:6" x14ac:dyDescent="0.35">
      <c r="A14" s="9" t="s">
        <v>33</v>
      </c>
      <c r="B14" s="9" t="s">
        <v>34</v>
      </c>
      <c r="C14" s="9" t="s">
        <v>28</v>
      </c>
      <c r="D14" s="9" t="s">
        <v>9</v>
      </c>
      <c r="E14" s="9">
        <v>112</v>
      </c>
      <c r="F14" s="9">
        <v>122.08</v>
      </c>
    </row>
    <row r="15" spans="1:6" x14ac:dyDescent="0.35">
      <c r="A15" s="9" t="s">
        <v>35</v>
      </c>
      <c r="B15" s="9" t="s">
        <v>36</v>
      </c>
      <c r="C15" s="9" t="s">
        <v>28</v>
      </c>
      <c r="D15" s="9" t="s">
        <v>9</v>
      </c>
      <c r="E15" s="9">
        <v>112</v>
      </c>
      <c r="F15" s="9">
        <v>146.72</v>
      </c>
    </row>
    <row r="16" spans="1:6" x14ac:dyDescent="0.35">
      <c r="A16" s="9" t="s">
        <v>37</v>
      </c>
      <c r="B16" s="9" t="s">
        <v>38</v>
      </c>
      <c r="C16" s="9" t="s">
        <v>28</v>
      </c>
      <c r="D16" s="9" t="s">
        <v>111</v>
      </c>
      <c r="E16" s="9">
        <v>12</v>
      </c>
      <c r="F16" s="9">
        <v>15.719999999999999</v>
      </c>
    </row>
    <row r="17" spans="1:6" x14ac:dyDescent="0.35">
      <c r="A17" s="9" t="s">
        <v>39</v>
      </c>
      <c r="B17" s="9" t="s">
        <v>40</v>
      </c>
      <c r="C17" s="9" t="s">
        <v>28</v>
      </c>
      <c r="D17" s="9" t="s">
        <v>111</v>
      </c>
      <c r="E17" s="9">
        <v>13</v>
      </c>
      <c r="F17" s="9">
        <v>16.64</v>
      </c>
    </row>
    <row r="18" spans="1:6" x14ac:dyDescent="0.35">
      <c r="A18" s="9" t="s">
        <v>41</v>
      </c>
      <c r="B18" s="9" t="s">
        <v>42</v>
      </c>
      <c r="C18" s="9" t="s">
        <v>28</v>
      </c>
      <c r="D18" s="9" t="s">
        <v>110</v>
      </c>
      <c r="E18" s="9">
        <v>134</v>
      </c>
      <c r="F18" s="9">
        <v>156.78</v>
      </c>
    </row>
    <row r="19" spans="1:6" x14ac:dyDescent="0.35">
      <c r="A19" s="9" t="s">
        <v>43</v>
      </c>
      <c r="B19" s="9" t="s">
        <v>44</v>
      </c>
      <c r="C19" s="9" t="s">
        <v>28</v>
      </c>
      <c r="D19" s="9" t="s">
        <v>111</v>
      </c>
      <c r="E19" s="9">
        <v>37</v>
      </c>
      <c r="F19" s="9">
        <v>49.21</v>
      </c>
    </row>
    <row r="20" spans="1:6" x14ac:dyDescent="0.35">
      <c r="A20" s="9" t="s">
        <v>45</v>
      </c>
      <c r="B20" s="9" t="s">
        <v>46</v>
      </c>
      <c r="C20" s="9" t="s">
        <v>28</v>
      </c>
      <c r="D20" s="9" t="s">
        <v>110</v>
      </c>
      <c r="E20" s="9">
        <v>150</v>
      </c>
      <c r="F20" s="9">
        <v>210</v>
      </c>
    </row>
    <row r="21" spans="1:6" x14ac:dyDescent="0.35">
      <c r="A21" s="9" t="s">
        <v>47</v>
      </c>
      <c r="B21" s="9" t="s">
        <v>48</v>
      </c>
      <c r="C21" s="9" t="s">
        <v>49</v>
      </c>
      <c r="D21" s="9" t="s">
        <v>109</v>
      </c>
      <c r="E21" s="9">
        <v>61</v>
      </c>
      <c r="F21" s="9">
        <v>76.25</v>
      </c>
    </row>
    <row r="22" spans="1:6" x14ac:dyDescent="0.35">
      <c r="A22" s="9" t="s">
        <v>50</v>
      </c>
      <c r="B22" s="9" t="s">
        <v>51</v>
      </c>
      <c r="C22" s="9" t="s">
        <v>49</v>
      </c>
      <c r="D22" s="9" t="s">
        <v>110</v>
      </c>
      <c r="E22" s="9">
        <v>126</v>
      </c>
      <c r="F22" s="9">
        <v>162.54</v>
      </c>
    </row>
    <row r="23" spans="1:6" x14ac:dyDescent="0.35">
      <c r="A23" s="9" t="s">
        <v>52</v>
      </c>
      <c r="B23" s="9" t="s">
        <v>53</v>
      </c>
      <c r="C23" s="9" t="s">
        <v>49</v>
      </c>
      <c r="D23" s="9" t="s">
        <v>110</v>
      </c>
      <c r="E23" s="9">
        <v>121</v>
      </c>
      <c r="F23" s="9">
        <v>141.57</v>
      </c>
    </row>
    <row r="24" spans="1:6" x14ac:dyDescent="0.35">
      <c r="A24" s="9" t="s">
        <v>54</v>
      </c>
      <c r="B24" s="9" t="s">
        <v>55</v>
      </c>
      <c r="C24" s="9" t="s">
        <v>49</v>
      </c>
      <c r="D24" s="9" t="s">
        <v>110</v>
      </c>
      <c r="E24" s="9">
        <v>141</v>
      </c>
      <c r="F24" s="9">
        <v>149.46</v>
      </c>
    </row>
    <row r="25" spans="1:6" x14ac:dyDescent="0.35">
      <c r="A25" s="9" t="s">
        <v>56</v>
      </c>
      <c r="B25" s="9" t="s">
        <v>57</v>
      </c>
      <c r="C25" s="9" t="s">
        <v>49</v>
      </c>
      <c r="D25" s="9" t="s">
        <v>110</v>
      </c>
      <c r="E25" s="9">
        <v>144</v>
      </c>
      <c r="F25" s="9">
        <v>156.96</v>
      </c>
    </row>
    <row r="26" spans="1:6" x14ac:dyDescent="0.35">
      <c r="A26" s="9" t="s">
        <v>58</v>
      </c>
      <c r="B26" s="9" t="s">
        <v>59</v>
      </c>
      <c r="C26" s="9" t="s">
        <v>49</v>
      </c>
      <c r="D26" s="9" t="s">
        <v>111</v>
      </c>
      <c r="E26" s="9">
        <v>7</v>
      </c>
      <c r="F26" s="9">
        <v>8.33</v>
      </c>
    </row>
    <row r="27" spans="1:6" x14ac:dyDescent="0.35">
      <c r="A27" s="9" t="s">
        <v>60</v>
      </c>
      <c r="B27" s="9" t="s">
        <v>61</v>
      </c>
      <c r="C27" s="9" t="s">
        <v>62</v>
      </c>
      <c r="D27" s="9" t="s">
        <v>111</v>
      </c>
      <c r="E27" s="9">
        <v>18</v>
      </c>
      <c r="F27" s="9">
        <v>24.66</v>
      </c>
    </row>
    <row r="28" spans="1:6" x14ac:dyDescent="0.35">
      <c r="A28" s="9" t="s">
        <v>63</v>
      </c>
      <c r="B28" s="9" t="s">
        <v>64</v>
      </c>
      <c r="C28" s="9" t="s">
        <v>62</v>
      </c>
      <c r="D28" s="9" t="s">
        <v>109</v>
      </c>
      <c r="E28" s="9">
        <v>48</v>
      </c>
      <c r="F28" s="9">
        <v>57.120000000000005</v>
      </c>
    </row>
    <row r="29" spans="1:6" x14ac:dyDescent="0.35">
      <c r="A29" s="9" t="s">
        <v>65</v>
      </c>
      <c r="B29" s="9" t="s">
        <v>66</v>
      </c>
      <c r="C29" s="9" t="s">
        <v>62</v>
      </c>
      <c r="D29" s="9" t="s">
        <v>111</v>
      </c>
      <c r="E29" s="9">
        <v>37</v>
      </c>
      <c r="F29" s="9">
        <v>41.81</v>
      </c>
    </row>
    <row r="30" spans="1:6" x14ac:dyDescent="0.35">
      <c r="A30" s="9" t="s">
        <v>67</v>
      </c>
      <c r="B30" s="9" t="s">
        <v>68</v>
      </c>
      <c r="C30" s="9" t="s">
        <v>62</v>
      </c>
      <c r="D30" s="9" t="s">
        <v>109</v>
      </c>
      <c r="E30" s="9">
        <v>47</v>
      </c>
      <c r="F30" s="9">
        <v>53.11</v>
      </c>
    </row>
    <row r="31" spans="1:6" x14ac:dyDescent="0.35">
      <c r="A31" s="9" t="s">
        <v>69</v>
      </c>
      <c r="B31" s="9" t="s">
        <v>70</v>
      </c>
      <c r="C31" s="9" t="s">
        <v>62</v>
      </c>
      <c r="D31" s="9" t="s">
        <v>110</v>
      </c>
      <c r="E31" s="9">
        <v>148</v>
      </c>
      <c r="F31" s="9">
        <v>201.28</v>
      </c>
    </row>
    <row r="32" spans="1:6" x14ac:dyDescent="0.35">
      <c r="A32" s="9" t="s">
        <v>71</v>
      </c>
      <c r="B32" s="9" t="s">
        <v>72</v>
      </c>
      <c r="C32" s="9" t="s">
        <v>62</v>
      </c>
      <c r="D32" s="9" t="s">
        <v>9</v>
      </c>
      <c r="E32" s="9">
        <v>93</v>
      </c>
      <c r="F32" s="9">
        <v>104.16</v>
      </c>
    </row>
    <row r="33" spans="1:6" x14ac:dyDescent="0.35">
      <c r="A33" s="9" t="s">
        <v>73</v>
      </c>
      <c r="B33" s="9" t="s">
        <v>74</v>
      </c>
      <c r="C33" s="9" t="s">
        <v>62</v>
      </c>
      <c r="D33" s="9" t="s">
        <v>9</v>
      </c>
      <c r="E33" s="9">
        <v>89</v>
      </c>
      <c r="F33" s="9">
        <v>117.48</v>
      </c>
    </row>
    <row r="34" spans="1:6" x14ac:dyDescent="0.35">
      <c r="A34" s="9" t="s">
        <v>75</v>
      </c>
      <c r="B34" s="9" t="s">
        <v>76</v>
      </c>
      <c r="C34" s="9" t="s">
        <v>62</v>
      </c>
      <c r="D34" s="9" t="s">
        <v>9</v>
      </c>
      <c r="E34" s="9">
        <v>95</v>
      </c>
      <c r="F34" s="9">
        <v>119.7</v>
      </c>
    </row>
    <row r="35" spans="1:6" x14ac:dyDescent="0.35">
      <c r="A35" s="9" t="s">
        <v>77</v>
      </c>
      <c r="B35" s="9" t="s">
        <v>78</v>
      </c>
      <c r="C35" s="9" t="s">
        <v>62</v>
      </c>
      <c r="D35" s="9" t="s">
        <v>109</v>
      </c>
      <c r="E35" s="9">
        <v>55</v>
      </c>
      <c r="F35" s="9">
        <v>58.3</v>
      </c>
    </row>
    <row r="36" spans="1:6" x14ac:dyDescent="0.35">
      <c r="A36" s="9" t="s">
        <v>79</v>
      </c>
      <c r="B36" s="9" t="s">
        <v>80</v>
      </c>
      <c r="C36" s="9" t="s">
        <v>62</v>
      </c>
      <c r="D36" s="9" t="s">
        <v>111</v>
      </c>
      <c r="E36" s="9">
        <v>5</v>
      </c>
      <c r="F36" s="9">
        <v>6.7</v>
      </c>
    </row>
    <row r="37" spans="1:6" x14ac:dyDescent="0.35">
      <c r="A37" s="9" t="s">
        <v>81</v>
      </c>
      <c r="B37" s="9" t="s">
        <v>82</v>
      </c>
      <c r="C37" s="9" t="s">
        <v>62</v>
      </c>
      <c r="D37" s="9" t="s">
        <v>9</v>
      </c>
      <c r="E37" s="9">
        <v>90</v>
      </c>
      <c r="F37" s="9">
        <v>96.3</v>
      </c>
    </row>
    <row r="38" spans="1:6" x14ac:dyDescent="0.35">
      <c r="A38" s="9" t="s">
        <v>83</v>
      </c>
      <c r="B38" s="9" t="s">
        <v>84</v>
      </c>
      <c r="C38" s="9" t="s">
        <v>85</v>
      </c>
      <c r="D38" s="9" t="s">
        <v>9</v>
      </c>
      <c r="E38" s="9">
        <v>67</v>
      </c>
      <c r="F38" s="9">
        <v>85.76</v>
      </c>
    </row>
    <row r="39" spans="1:6" x14ac:dyDescent="0.35">
      <c r="A39" s="9" t="s">
        <v>86</v>
      </c>
      <c r="B39" s="9" t="s">
        <v>87</v>
      </c>
      <c r="C39" s="9" t="s">
        <v>85</v>
      </c>
      <c r="D39" s="9" t="s">
        <v>9</v>
      </c>
      <c r="E39" s="9">
        <v>72</v>
      </c>
      <c r="F39" s="9">
        <v>79.92</v>
      </c>
    </row>
    <row r="40" spans="1:6" x14ac:dyDescent="0.35">
      <c r="A40" s="9" t="s">
        <v>88</v>
      </c>
      <c r="B40" s="9" t="s">
        <v>89</v>
      </c>
      <c r="C40" s="9" t="s">
        <v>85</v>
      </c>
      <c r="D40" s="9" t="s">
        <v>111</v>
      </c>
      <c r="E40" s="9">
        <v>37</v>
      </c>
      <c r="F40" s="9">
        <v>42.55</v>
      </c>
    </row>
    <row r="41" spans="1:6" x14ac:dyDescent="0.35">
      <c r="A41" s="9" t="s">
        <v>90</v>
      </c>
      <c r="B41" s="9" t="s">
        <v>91</v>
      </c>
      <c r="C41" s="9" t="s">
        <v>85</v>
      </c>
      <c r="D41" s="9" t="s">
        <v>9</v>
      </c>
      <c r="E41" s="9">
        <v>90</v>
      </c>
      <c r="F41" s="9">
        <v>115.2</v>
      </c>
    </row>
    <row r="42" spans="1:6" x14ac:dyDescent="0.35">
      <c r="A42" s="9" t="s">
        <v>92</v>
      </c>
      <c r="B42" s="9" t="s">
        <v>93</v>
      </c>
      <c r="C42" s="9" t="s">
        <v>85</v>
      </c>
      <c r="D42" s="9" t="s">
        <v>110</v>
      </c>
      <c r="E42" s="9">
        <v>138</v>
      </c>
      <c r="F42" s="9">
        <v>173.88</v>
      </c>
    </row>
    <row r="43" spans="1:6" x14ac:dyDescent="0.35">
      <c r="A43" s="9" t="s">
        <v>94</v>
      </c>
      <c r="B43" s="9" t="s">
        <v>95</v>
      </c>
      <c r="C43" s="9" t="s">
        <v>85</v>
      </c>
      <c r="D43" s="9" t="s">
        <v>110</v>
      </c>
      <c r="E43" s="9">
        <v>120</v>
      </c>
      <c r="F43" s="9">
        <v>162</v>
      </c>
    </row>
    <row r="44" spans="1:6" x14ac:dyDescent="0.35">
      <c r="A44" s="9" t="s">
        <v>96</v>
      </c>
      <c r="B44" s="9" t="s">
        <v>97</v>
      </c>
      <c r="C44" s="9" t="s">
        <v>85</v>
      </c>
      <c r="D44" s="9" t="s">
        <v>9</v>
      </c>
      <c r="E44" s="9">
        <v>67</v>
      </c>
      <c r="F44" s="9">
        <v>83.08</v>
      </c>
    </row>
    <row r="45" spans="1:6" x14ac:dyDescent="0.35">
      <c r="A45" s="9" t="s">
        <v>98</v>
      </c>
      <c r="B45" s="9" t="s">
        <v>99</v>
      </c>
      <c r="C45" s="9" t="s">
        <v>85</v>
      </c>
      <c r="D45" s="9" t="s">
        <v>9</v>
      </c>
      <c r="E45" s="9">
        <v>76</v>
      </c>
      <c r="F45" s="9">
        <v>82.08</v>
      </c>
    </row>
    <row r="46" spans="1:6" x14ac:dyDescent="0.3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P528"/>
  <sheetViews>
    <sheetView topLeftCell="F507" workbookViewId="0">
      <selection activeCell="H523" sqref="H523"/>
    </sheetView>
  </sheetViews>
  <sheetFormatPr defaultRowHeight="17.25" x14ac:dyDescent="0.35"/>
  <cols>
    <col min="1" max="1" width="10.25" customWidth="1"/>
    <col min="2" max="2" width="15.75" customWidth="1"/>
    <col min="3" max="3" width="14.25" customWidth="1"/>
    <col min="4" max="4" width="14" customWidth="1"/>
    <col min="5" max="5" width="19.625" customWidth="1"/>
    <col min="6" max="6" width="16.25" customWidth="1"/>
    <col min="7" max="7" width="14" customWidth="1"/>
    <col min="8" max="8" width="15" customWidth="1"/>
    <col min="9" max="9" width="10.25" customWidth="1"/>
    <col min="10" max="10" width="18" customWidth="1"/>
    <col min="11" max="11" width="18.25" customWidth="1"/>
    <col min="12" max="12" width="22.5" customWidth="1"/>
    <col min="13" max="13" width="22.375" customWidth="1"/>
    <col min="14" max="14" width="9.25" customWidth="1"/>
    <col min="15" max="15" width="12.5" customWidth="1"/>
    <col min="16" max="16" width="10" customWidth="1"/>
  </cols>
  <sheetData>
    <row r="1" spans="1:16" ht="18" thickBot="1" x14ac:dyDescent="0.4">
      <c r="A1" s="2" t="s">
        <v>100</v>
      </c>
      <c r="B1" s="2" t="s">
        <v>0</v>
      </c>
      <c r="C1" s="2" t="s">
        <v>101</v>
      </c>
      <c r="D1" s="2" t="s">
        <v>102</v>
      </c>
      <c r="E1" s="2" t="s">
        <v>103</v>
      </c>
      <c r="F1" s="2" t="s">
        <v>104</v>
      </c>
      <c r="G1" s="11" t="s">
        <v>1</v>
      </c>
      <c r="H1" s="11" t="s">
        <v>2</v>
      </c>
      <c r="I1" s="11" t="s">
        <v>3</v>
      </c>
      <c r="J1" s="13" t="s">
        <v>4</v>
      </c>
      <c r="K1" s="13" t="s">
        <v>5</v>
      </c>
      <c r="L1" s="13" t="s">
        <v>114</v>
      </c>
      <c r="M1" s="13" t="s">
        <v>115</v>
      </c>
      <c r="N1" s="11" t="s">
        <v>116</v>
      </c>
      <c r="O1" s="11" t="s">
        <v>117</v>
      </c>
      <c r="P1" s="11" t="s">
        <v>118</v>
      </c>
    </row>
    <row r="2" spans="1:16" x14ac:dyDescent="0.3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4">
        <f>VLOOKUP(InputData[[#This Row],[PRODUCT ID]],MasterData[],5,0)</f>
        <v>144</v>
      </c>
      <c r="K2" s="14">
        <f>VLOOKUP(InputData[[#This Row],[PRODUCT ID]],MasterData[],6,0)</f>
        <v>156.96</v>
      </c>
      <c r="L2" s="14">
        <f>InputData[[#This Row],[QUANTITY]]*InputData[[#This Row],[BUYING PRIZE]]</f>
        <v>1296</v>
      </c>
      <c r="M2" s="14">
        <f>InputData[[#This Row],[QUANTITY]]*InputData[[#This Row],[SELLING PRICE]]*(1-InputData[[#This Row],[DISCOUNT %]])</f>
        <v>1412.64</v>
      </c>
      <c r="N2" s="12">
        <f>DAY(InputData[[#This Row],[DATE]])</f>
        <v>1</v>
      </c>
      <c r="O2" s="12" t="str">
        <f>TEXT(InputData[[#This Row],[DATE]],"MMM")</f>
        <v>Jan</v>
      </c>
      <c r="P2" s="12">
        <f>YEAR(InputData[[#This Row],[DATE]])</f>
        <v>2021</v>
      </c>
    </row>
    <row r="3" spans="1:16" x14ac:dyDescent="0.3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4">
        <f>VLOOKUP(InputData[[#This Row],[PRODUCT ID]],MasterData[],5,0)</f>
        <v>72</v>
      </c>
      <c r="K3" s="14">
        <f>VLOOKUP(InputData[[#This Row],[PRODUCT ID]],MasterData[],6,0)</f>
        <v>79.92</v>
      </c>
      <c r="L3" s="14">
        <f>InputData[[#This Row],[QUANTITY]]*InputData[[#This Row],[BUYING PRIZE]]</f>
        <v>1080</v>
      </c>
      <c r="M3" s="14">
        <f>InputData[[#This Row],[QUANTITY]]*InputData[[#This Row],[SELLING PRICE]]*(1-InputData[[#This Row],[DISCOUNT %]])</f>
        <v>1198.8</v>
      </c>
      <c r="N3" s="12">
        <f>DAY(InputData[[#This Row],[DATE]])</f>
        <v>2</v>
      </c>
      <c r="O3" s="12" t="str">
        <f>TEXT(InputData[[#This Row],[DATE]],"MMM")</f>
        <v>Jan</v>
      </c>
      <c r="P3" s="12">
        <f>YEAR(InputData[[#This Row],[DATE]])</f>
        <v>2021</v>
      </c>
    </row>
    <row r="4" spans="1:16" x14ac:dyDescent="0.3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4">
        <f>VLOOKUP(InputData[[#This Row],[PRODUCT ID]],MasterData[],5,0)</f>
        <v>112</v>
      </c>
      <c r="K4" s="14">
        <f>VLOOKUP(InputData[[#This Row],[PRODUCT ID]],MasterData[],6,0)</f>
        <v>122.08</v>
      </c>
      <c r="L4" s="14">
        <f>InputData[[#This Row],[QUANTITY]]*InputData[[#This Row],[BUYING PRIZE]]</f>
        <v>672</v>
      </c>
      <c r="M4" s="14">
        <f>InputData[[#This Row],[QUANTITY]]*InputData[[#This Row],[SELLING PRICE]]*(1-InputData[[#This Row],[DISCOUNT %]])</f>
        <v>732.48</v>
      </c>
      <c r="N4" s="12">
        <f>DAY(InputData[[#This Row],[DATE]])</f>
        <v>2</v>
      </c>
      <c r="O4" s="12" t="str">
        <f>TEXT(InputData[[#This Row],[DATE]],"MMM")</f>
        <v>Jan</v>
      </c>
      <c r="P4" s="12">
        <f>YEAR(InputData[[#This Row],[DATE]])</f>
        <v>2021</v>
      </c>
    </row>
    <row r="5" spans="1:16" x14ac:dyDescent="0.3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4">
        <f>VLOOKUP(InputData[[#This Row],[PRODUCT ID]],MasterData[],5,0)</f>
        <v>44</v>
      </c>
      <c r="K5" s="14">
        <f>VLOOKUP(InputData[[#This Row],[PRODUCT ID]],MasterData[],6,0)</f>
        <v>48.84</v>
      </c>
      <c r="L5" s="14">
        <f>InputData[[#This Row],[QUANTITY]]*InputData[[#This Row],[BUYING PRIZE]]</f>
        <v>220</v>
      </c>
      <c r="M5" s="14">
        <f>InputData[[#This Row],[QUANTITY]]*InputData[[#This Row],[SELLING PRICE]]*(1-InputData[[#This Row],[DISCOUNT %]])</f>
        <v>244.20000000000002</v>
      </c>
      <c r="N5" s="12">
        <f>DAY(InputData[[#This Row],[DATE]])</f>
        <v>3</v>
      </c>
      <c r="O5" s="12" t="str">
        <f>TEXT(InputData[[#This Row],[DATE]],"MMM")</f>
        <v>Jan</v>
      </c>
      <c r="P5" s="12">
        <f>YEAR(InputData[[#This Row],[DATE]])</f>
        <v>2021</v>
      </c>
    </row>
    <row r="6" spans="1:16" x14ac:dyDescent="0.3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4">
        <f>VLOOKUP(InputData[[#This Row],[PRODUCT ID]],MasterData[],5,0)</f>
        <v>5</v>
      </c>
      <c r="K6" s="14">
        <f>VLOOKUP(InputData[[#This Row],[PRODUCT ID]],MasterData[],6,0)</f>
        <v>6.7</v>
      </c>
      <c r="L6" s="14">
        <f>InputData[[#This Row],[QUANTITY]]*InputData[[#This Row],[BUYING PRIZE]]</f>
        <v>60</v>
      </c>
      <c r="M6" s="14">
        <f>InputData[[#This Row],[QUANTITY]]*InputData[[#This Row],[SELLING PRICE]]*(1-InputData[[#This Row],[DISCOUNT %]])</f>
        <v>80.400000000000006</v>
      </c>
      <c r="N6" s="12">
        <f>DAY(InputData[[#This Row],[DATE]])</f>
        <v>4</v>
      </c>
      <c r="O6" s="12" t="str">
        <f>TEXT(InputData[[#This Row],[DATE]],"MMM")</f>
        <v>Jan</v>
      </c>
      <c r="P6" s="12">
        <f>YEAR(InputData[[#This Row],[DATE]])</f>
        <v>2021</v>
      </c>
    </row>
    <row r="7" spans="1:16" x14ac:dyDescent="0.3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4">
        <f>VLOOKUP(InputData[[#This Row],[PRODUCT ID]],MasterData[],5,0)</f>
        <v>93</v>
      </c>
      <c r="K7" s="14">
        <f>VLOOKUP(InputData[[#This Row],[PRODUCT ID]],MasterData[],6,0)</f>
        <v>104.16</v>
      </c>
      <c r="L7" s="14">
        <f>InputData[[#This Row],[QUANTITY]]*InputData[[#This Row],[BUYING PRIZE]]</f>
        <v>93</v>
      </c>
      <c r="M7" s="14">
        <f>InputData[[#This Row],[QUANTITY]]*InputData[[#This Row],[SELLING PRICE]]*(1-InputData[[#This Row],[DISCOUNT %]])</f>
        <v>104.16</v>
      </c>
      <c r="N7" s="12">
        <f>DAY(InputData[[#This Row],[DATE]])</f>
        <v>9</v>
      </c>
      <c r="O7" s="12" t="str">
        <f>TEXT(InputData[[#This Row],[DATE]],"MMM")</f>
        <v>Jan</v>
      </c>
      <c r="P7" s="12">
        <f>YEAR(InputData[[#This Row],[DATE]])</f>
        <v>2021</v>
      </c>
    </row>
    <row r="8" spans="1:16" x14ac:dyDescent="0.3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4">
        <f>VLOOKUP(InputData[[#This Row],[PRODUCT ID]],MasterData[],5,0)</f>
        <v>71</v>
      </c>
      <c r="K8" s="14">
        <f>VLOOKUP(InputData[[#This Row],[PRODUCT ID]],MasterData[],6,0)</f>
        <v>80.94</v>
      </c>
      <c r="L8" s="14">
        <f>InputData[[#This Row],[QUANTITY]]*InputData[[#This Row],[BUYING PRIZE]]</f>
        <v>568</v>
      </c>
      <c r="M8" s="14">
        <f>InputData[[#This Row],[QUANTITY]]*InputData[[#This Row],[SELLING PRICE]]*(1-InputData[[#This Row],[DISCOUNT %]])</f>
        <v>647.52</v>
      </c>
      <c r="N8" s="12">
        <f>DAY(InputData[[#This Row],[DATE]])</f>
        <v>9</v>
      </c>
      <c r="O8" s="12" t="str">
        <f>TEXT(InputData[[#This Row],[DATE]],"MMM")</f>
        <v>Jan</v>
      </c>
      <c r="P8" s="12">
        <f>YEAR(InputData[[#This Row],[DATE]])</f>
        <v>2021</v>
      </c>
    </row>
    <row r="9" spans="1:16" x14ac:dyDescent="0.3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4">
        <f>VLOOKUP(InputData[[#This Row],[PRODUCT ID]],MasterData[],5,0)</f>
        <v>7</v>
      </c>
      <c r="K9" s="14">
        <f>VLOOKUP(InputData[[#This Row],[PRODUCT ID]],MasterData[],6,0)</f>
        <v>8.33</v>
      </c>
      <c r="L9" s="14">
        <f>InputData[[#This Row],[QUANTITY]]*InputData[[#This Row],[BUYING PRIZE]]</f>
        <v>28</v>
      </c>
      <c r="M9" s="14">
        <f>InputData[[#This Row],[QUANTITY]]*InputData[[#This Row],[SELLING PRICE]]*(1-InputData[[#This Row],[DISCOUNT %]])</f>
        <v>33.32</v>
      </c>
      <c r="N9" s="12">
        <f>DAY(InputData[[#This Row],[DATE]])</f>
        <v>9</v>
      </c>
      <c r="O9" s="12" t="str">
        <f>TEXT(InputData[[#This Row],[DATE]],"MMM")</f>
        <v>Jan</v>
      </c>
      <c r="P9" s="12">
        <f>YEAR(InputData[[#This Row],[DATE]])</f>
        <v>2021</v>
      </c>
    </row>
    <row r="10" spans="1:16" x14ac:dyDescent="0.3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4">
        <f>VLOOKUP(InputData[[#This Row],[PRODUCT ID]],MasterData[],5,0)</f>
        <v>67</v>
      </c>
      <c r="K10" s="14">
        <f>VLOOKUP(InputData[[#This Row],[PRODUCT ID]],MasterData[],6,0)</f>
        <v>85.76</v>
      </c>
      <c r="L10" s="14">
        <f>InputData[[#This Row],[QUANTITY]]*InputData[[#This Row],[BUYING PRIZE]]</f>
        <v>201</v>
      </c>
      <c r="M10" s="14">
        <f>InputData[[#This Row],[QUANTITY]]*InputData[[#This Row],[SELLING PRICE]]*(1-InputData[[#This Row],[DISCOUNT %]])</f>
        <v>257.28000000000003</v>
      </c>
      <c r="N10" s="12">
        <f>DAY(InputData[[#This Row],[DATE]])</f>
        <v>11</v>
      </c>
      <c r="O10" s="12" t="str">
        <f>TEXT(InputData[[#This Row],[DATE]],"MMM")</f>
        <v>Jan</v>
      </c>
      <c r="P10" s="12">
        <f>YEAR(InputData[[#This Row],[DATE]])</f>
        <v>2021</v>
      </c>
    </row>
    <row r="11" spans="1:16" x14ac:dyDescent="0.3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4">
        <f>VLOOKUP(InputData[[#This Row],[PRODUCT ID]],MasterData[],5,0)</f>
        <v>112</v>
      </c>
      <c r="K11" s="14">
        <f>VLOOKUP(InputData[[#This Row],[PRODUCT ID]],MasterData[],6,0)</f>
        <v>146.72</v>
      </c>
      <c r="L11" s="14">
        <f>InputData[[#This Row],[QUANTITY]]*InputData[[#This Row],[BUYING PRIZE]]</f>
        <v>448</v>
      </c>
      <c r="M11" s="14">
        <f>InputData[[#This Row],[QUANTITY]]*InputData[[#This Row],[SELLING PRICE]]*(1-InputData[[#This Row],[DISCOUNT %]])</f>
        <v>586.88</v>
      </c>
      <c r="N11" s="12">
        <f>DAY(InputData[[#This Row],[DATE]])</f>
        <v>11</v>
      </c>
      <c r="O11" s="12" t="str">
        <f>TEXT(InputData[[#This Row],[DATE]],"MMM")</f>
        <v>Jan</v>
      </c>
      <c r="P11" s="12">
        <f>YEAR(InputData[[#This Row],[DATE]])</f>
        <v>2021</v>
      </c>
    </row>
    <row r="12" spans="1:16" x14ac:dyDescent="0.3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4">
        <f>VLOOKUP(InputData[[#This Row],[PRODUCT ID]],MasterData[],5,0)</f>
        <v>120</v>
      </c>
      <c r="K12" s="14">
        <f>VLOOKUP(InputData[[#This Row],[PRODUCT ID]],MasterData[],6,0)</f>
        <v>162</v>
      </c>
      <c r="L12" s="14">
        <f>InputData[[#This Row],[QUANTITY]]*InputData[[#This Row],[BUYING PRIZE]]</f>
        <v>480</v>
      </c>
      <c r="M12" s="14">
        <f>InputData[[#This Row],[QUANTITY]]*InputData[[#This Row],[SELLING PRICE]]*(1-InputData[[#This Row],[DISCOUNT %]])</f>
        <v>648</v>
      </c>
      <c r="N12" s="12">
        <f>DAY(InputData[[#This Row],[DATE]])</f>
        <v>11</v>
      </c>
      <c r="O12" s="12" t="str">
        <f>TEXT(InputData[[#This Row],[DATE]],"MMM")</f>
        <v>Jan</v>
      </c>
      <c r="P12" s="12">
        <f>YEAR(InputData[[#This Row],[DATE]])</f>
        <v>2021</v>
      </c>
    </row>
    <row r="13" spans="1:16" x14ac:dyDescent="0.3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4">
        <f>VLOOKUP(InputData[[#This Row],[PRODUCT ID]],MasterData[],5,0)</f>
        <v>120</v>
      </c>
      <c r="K13" s="14">
        <f>VLOOKUP(InputData[[#This Row],[PRODUCT ID]],MasterData[],6,0)</f>
        <v>162</v>
      </c>
      <c r="L13" s="14">
        <f>InputData[[#This Row],[QUANTITY]]*InputData[[#This Row],[BUYING PRIZE]]</f>
        <v>1200</v>
      </c>
      <c r="M13" s="14">
        <f>InputData[[#This Row],[QUANTITY]]*InputData[[#This Row],[SELLING PRICE]]*(1-InputData[[#This Row],[DISCOUNT %]])</f>
        <v>1620</v>
      </c>
      <c r="N13" s="12">
        <f>DAY(InputData[[#This Row],[DATE]])</f>
        <v>12</v>
      </c>
      <c r="O13" s="12" t="str">
        <f>TEXT(InputData[[#This Row],[DATE]],"MMM")</f>
        <v>Jan</v>
      </c>
      <c r="P13" s="12">
        <f>YEAR(InputData[[#This Row],[DATE]])</f>
        <v>2021</v>
      </c>
    </row>
    <row r="14" spans="1:16" x14ac:dyDescent="0.3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4">
        <f>VLOOKUP(InputData[[#This Row],[PRODUCT ID]],MasterData[],5,0)</f>
        <v>76</v>
      </c>
      <c r="K14" s="14">
        <f>VLOOKUP(InputData[[#This Row],[PRODUCT ID]],MasterData[],6,0)</f>
        <v>82.08</v>
      </c>
      <c r="L14" s="14">
        <f>InputData[[#This Row],[QUANTITY]]*InputData[[#This Row],[BUYING PRIZE]]</f>
        <v>988</v>
      </c>
      <c r="M14" s="14">
        <f>InputData[[#This Row],[QUANTITY]]*InputData[[#This Row],[SELLING PRICE]]*(1-InputData[[#This Row],[DISCOUNT %]])</f>
        <v>1067.04</v>
      </c>
      <c r="N14" s="12">
        <f>DAY(InputData[[#This Row],[DATE]])</f>
        <v>18</v>
      </c>
      <c r="O14" s="12" t="str">
        <f>TEXT(InputData[[#This Row],[DATE]],"MMM")</f>
        <v>Jan</v>
      </c>
      <c r="P14" s="12">
        <f>YEAR(InputData[[#This Row],[DATE]])</f>
        <v>2021</v>
      </c>
    </row>
    <row r="15" spans="1:16" x14ac:dyDescent="0.3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4">
        <f>VLOOKUP(InputData[[#This Row],[PRODUCT ID]],MasterData[],5,0)</f>
        <v>141</v>
      </c>
      <c r="K15" s="14">
        <f>VLOOKUP(InputData[[#This Row],[PRODUCT ID]],MasterData[],6,0)</f>
        <v>149.46</v>
      </c>
      <c r="L15" s="14">
        <f>InputData[[#This Row],[QUANTITY]]*InputData[[#This Row],[BUYING PRIZE]]</f>
        <v>423</v>
      </c>
      <c r="M15" s="14">
        <f>InputData[[#This Row],[QUANTITY]]*InputData[[#This Row],[SELLING PRICE]]*(1-InputData[[#This Row],[DISCOUNT %]])</f>
        <v>448.38</v>
      </c>
      <c r="N15" s="12">
        <f>DAY(InputData[[#This Row],[DATE]])</f>
        <v>18</v>
      </c>
      <c r="O15" s="12" t="str">
        <f>TEXT(InputData[[#This Row],[DATE]],"MMM")</f>
        <v>Jan</v>
      </c>
      <c r="P15" s="12">
        <f>YEAR(InputData[[#This Row],[DATE]])</f>
        <v>2021</v>
      </c>
    </row>
    <row r="16" spans="1:16" x14ac:dyDescent="0.3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4">
        <f>VLOOKUP(InputData[[#This Row],[PRODUCT ID]],MasterData[],5,0)</f>
        <v>5</v>
      </c>
      <c r="K16" s="14">
        <f>VLOOKUP(InputData[[#This Row],[PRODUCT ID]],MasterData[],6,0)</f>
        <v>6.7</v>
      </c>
      <c r="L16" s="14">
        <f>InputData[[#This Row],[QUANTITY]]*InputData[[#This Row],[BUYING PRIZE]]</f>
        <v>30</v>
      </c>
      <c r="M16" s="14">
        <f>InputData[[#This Row],[QUANTITY]]*InputData[[#This Row],[SELLING PRICE]]*(1-InputData[[#This Row],[DISCOUNT %]])</f>
        <v>40.200000000000003</v>
      </c>
      <c r="N16" s="12">
        <f>DAY(InputData[[#This Row],[DATE]])</f>
        <v>19</v>
      </c>
      <c r="O16" s="12" t="str">
        <f>TEXT(InputData[[#This Row],[DATE]],"MMM")</f>
        <v>Jan</v>
      </c>
      <c r="P16" s="12">
        <f>YEAR(InputData[[#This Row],[DATE]])</f>
        <v>2021</v>
      </c>
    </row>
    <row r="17" spans="1:16" x14ac:dyDescent="0.3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4">
        <f>VLOOKUP(InputData[[#This Row],[PRODUCT ID]],MasterData[],5,0)</f>
        <v>55</v>
      </c>
      <c r="K17" s="14">
        <f>VLOOKUP(InputData[[#This Row],[PRODUCT ID]],MasterData[],6,0)</f>
        <v>58.3</v>
      </c>
      <c r="L17" s="14">
        <f>InputData[[#This Row],[QUANTITY]]*InputData[[#This Row],[BUYING PRIZE]]</f>
        <v>220</v>
      </c>
      <c r="M17" s="14">
        <f>InputData[[#This Row],[QUANTITY]]*InputData[[#This Row],[SELLING PRICE]]*(1-InputData[[#This Row],[DISCOUNT %]])</f>
        <v>233.2</v>
      </c>
      <c r="N17" s="12">
        <f>DAY(InputData[[#This Row],[DATE]])</f>
        <v>20</v>
      </c>
      <c r="O17" s="12" t="str">
        <f>TEXT(InputData[[#This Row],[DATE]],"MMM")</f>
        <v>Jan</v>
      </c>
      <c r="P17" s="12">
        <f>YEAR(InputData[[#This Row],[DATE]])</f>
        <v>2021</v>
      </c>
    </row>
    <row r="18" spans="1:16" x14ac:dyDescent="0.3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4">
        <f>VLOOKUP(InputData[[#This Row],[PRODUCT ID]],MasterData[],5,0)</f>
        <v>61</v>
      </c>
      <c r="K18" s="14">
        <f>VLOOKUP(InputData[[#This Row],[PRODUCT ID]],MasterData[],6,0)</f>
        <v>76.25</v>
      </c>
      <c r="L18" s="14">
        <f>InputData[[#This Row],[QUANTITY]]*InputData[[#This Row],[BUYING PRIZE]]</f>
        <v>244</v>
      </c>
      <c r="M18" s="14">
        <f>InputData[[#This Row],[QUANTITY]]*InputData[[#This Row],[SELLING PRICE]]*(1-InputData[[#This Row],[DISCOUNT %]])</f>
        <v>305</v>
      </c>
      <c r="N18" s="12">
        <f>DAY(InputData[[#This Row],[DATE]])</f>
        <v>20</v>
      </c>
      <c r="O18" s="12" t="str">
        <f>TEXT(InputData[[#This Row],[DATE]],"MMM")</f>
        <v>Jan</v>
      </c>
      <c r="P18" s="12">
        <f>YEAR(InputData[[#This Row],[DATE]])</f>
        <v>2021</v>
      </c>
    </row>
    <row r="19" spans="1:16" x14ac:dyDescent="0.3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4">
        <f>VLOOKUP(InputData[[#This Row],[PRODUCT ID]],MasterData[],5,0)</f>
        <v>44</v>
      </c>
      <c r="K19" s="14">
        <f>VLOOKUP(InputData[[#This Row],[PRODUCT ID]],MasterData[],6,0)</f>
        <v>48.84</v>
      </c>
      <c r="L19" s="14">
        <f>InputData[[#This Row],[QUANTITY]]*InputData[[#This Row],[BUYING PRIZE]]</f>
        <v>660</v>
      </c>
      <c r="M19" s="14">
        <f>InputData[[#This Row],[QUANTITY]]*InputData[[#This Row],[SELLING PRICE]]*(1-InputData[[#This Row],[DISCOUNT %]])</f>
        <v>732.6</v>
      </c>
      <c r="N19" s="12">
        <f>DAY(InputData[[#This Row],[DATE]])</f>
        <v>21</v>
      </c>
      <c r="O19" s="12" t="str">
        <f>TEXT(InputData[[#This Row],[DATE]],"MMM")</f>
        <v>Jan</v>
      </c>
      <c r="P19" s="12">
        <f>YEAR(InputData[[#This Row],[DATE]])</f>
        <v>2021</v>
      </c>
    </row>
    <row r="20" spans="1:16" x14ac:dyDescent="0.3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4">
        <f>VLOOKUP(InputData[[#This Row],[PRODUCT ID]],MasterData[],5,0)</f>
        <v>71</v>
      </c>
      <c r="K20" s="14">
        <f>VLOOKUP(InputData[[#This Row],[PRODUCT ID]],MasterData[],6,0)</f>
        <v>80.94</v>
      </c>
      <c r="L20" s="14">
        <f>InputData[[#This Row],[QUANTITY]]*InputData[[#This Row],[BUYING PRIZE]]</f>
        <v>639</v>
      </c>
      <c r="M20" s="14">
        <f>InputData[[#This Row],[QUANTITY]]*InputData[[#This Row],[SELLING PRICE]]*(1-InputData[[#This Row],[DISCOUNT %]])</f>
        <v>728.46</v>
      </c>
      <c r="N20" s="12">
        <f>DAY(InputData[[#This Row],[DATE]])</f>
        <v>21</v>
      </c>
      <c r="O20" s="12" t="str">
        <f>TEXT(InputData[[#This Row],[DATE]],"MMM")</f>
        <v>Jan</v>
      </c>
      <c r="P20" s="12">
        <f>YEAR(InputData[[#This Row],[DATE]])</f>
        <v>2021</v>
      </c>
    </row>
    <row r="21" spans="1:16" x14ac:dyDescent="0.3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4">
        <f>VLOOKUP(InputData[[#This Row],[PRODUCT ID]],MasterData[],5,0)</f>
        <v>120</v>
      </c>
      <c r="K21" s="14">
        <f>VLOOKUP(InputData[[#This Row],[PRODUCT ID]],MasterData[],6,0)</f>
        <v>162</v>
      </c>
      <c r="L21" s="14">
        <f>InputData[[#This Row],[QUANTITY]]*InputData[[#This Row],[BUYING PRIZE]]</f>
        <v>720</v>
      </c>
      <c r="M21" s="14">
        <f>InputData[[#This Row],[QUANTITY]]*InputData[[#This Row],[SELLING PRICE]]*(1-InputData[[#This Row],[DISCOUNT %]])</f>
        <v>972</v>
      </c>
      <c r="N21" s="12">
        <f>DAY(InputData[[#This Row],[DATE]])</f>
        <v>21</v>
      </c>
      <c r="O21" s="12" t="str">
        <f>TEXT(InputData[[#This Row],[DATE]],"MMM")</f>
        <v>Jan</v>
      </c>
      <c r="P21" s="12">
        <f>YEAR(InputData[[#This Row],[DATE]])</f>
        <v>2021</v>
      </c>
    </row>
    <row r="22" spans="1:16" x14ac:dyDescent="0.3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4">
        <f>VLOOKUP(InputData[[#This Row],[PRODUCT ID]],MasterData[],5,0)</f>
        <v>55</v>
      </c>
      <c r="K22" s="14">
        <f>VLOOKUP(InputData[[#This Row],[PRODUCT ID]],MasterData[],6,0)</f>
        <v>58.3</v>
      </c>
      <c r="L22" s="14">
        <f>InputData[[#This Row],[QUANTITY]]*InputData[[#This Row],[BUYING PRIZE]]</f>
        <v>330</v>
      </c>
      <c r="M22" s="14">
        <f>InputData[[#This Row],[QUANTITY]]*InputData[[#This Row],[SELLING PRICE]]*(1-InputData[[#This Row],[DISCOUNT %]])</f>
        <v>349.79999999999995</v>
      </c>
      <c r="N22" s="12">
        <f>DAY(InputData[[#This Row],[DATE]])</f>
        <v>25</v>
      </c>
      <c r="O22" s="12" t="str">
        <f>TEXT(InputData[[#This Row],[DATE]],"MMM")</f>
        <v>Jan</v>
      </c>
      <c r="P22" s="12">
        <f>YEAR(InputData[[#This Row],[DATE]])</f>
        <v>2021</v>
      </c>
    </row>
    <row r="23" spans="1:16" x14ac:dyDescent="0.3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4">
        <f>VLOOKUP(InputData[[#This Row],[PRODUCT ID]],MasterData[],5,0)</f>
        <v>5</v>
      </c>
      <c r="K23" s="14">
        <f>VLOOKUP(InputData[[#This Row],[PRODUCT ID]],MasterData[],6,0)</f>
        <v>6.7</v>
      </c>
      <c r="L23" s="14">
        <f>InputData[[#This Row],[QUANTITY]]*InputData[[#This Row],[BUYING PRIZE]]</f>
        <v>35</v>
      </c>
      <c r="M23" s="14">
        <f>InputData[[#This Row],[QUANTITY]]*InputData[[#This Row],[SELLING PRICE]]*(1-InputData[[#This Row],[DISCOUNT %]])</f>
        <v>46.9</v>
      </c>
      <c r="N23" s="12">
        <f>DAY(InputData[[#This Row],[DATE]])</f>
        <v>25</v>
      </c>
      <c r="O23" s="12" t="str">
        <f>TEXT(InputData[[#This Row],[DATE]],"MMM")</f>
        <v>Jan</v>
      </c>
      <c r="P23" s="12">
        <f>YEAR(InputData[[#This Row],[DATE]])</f>
        <v>2021</v>
      </c>
    </row>
    <row r="24" spans="1:16" x14ac:dyDescent="0.3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4">
        <f>VLOOKUP(InputData[[#This Row],[PRODUCT ID]],MasterData[],5,0)</f>
        <v>93</v>
      </c>
      <c r="K24" s="14">
        <f>VLOOKUP(InputData[[#This Row],[PRODUCT ID]],MasterData[],6,0)</f>
        <v>104.16</v>
      </c>
      <c r="L24" s="14">
        <f>InputData[[#This Row],[QUANTITY]]*InputData[[#This Row],[BUYING PRIZE]]</f>
        <v>1302</v>
      </c>
      <c r="M24" s="14">
        <f>InputData[[#This Row],[QUANTITY]]*InputData[[#This Row],[SELLING PRICE]]*(1-InputData[[#This Row],[DISCOUNT %]])</f>
        <v>1458.24</v>
      </c>
      <c r="N24" s="12">
        <f>DAY(InputData[[#This Row],[DATE]])</f>
        <v>25</v>
      </c>
      <c r="O24" s="12" t="str">
        <f>TEXT(InputData[[#This Row],[DATE]],"MMM")</f>
        <v>Jan</v>
      </c>
      <c r="P24" s="12">
        <f>YEAR(InputData[[#This Row],[DATE]])</f>
        <v>2021</v>
      </c>
    </row>
    <row r="25" spans="1:16" x14ac:dyDescent="0.3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4">
        <f>VLOOKUP(InputData[[#This Row],[PRODUCT ID]],MasterData[],5,0)</f>
        <v>76</v>
      </c>
      <c r="K25" s="14">
        <f>VLOOKUP(InputData[[#This Row],[PRODUCT ID]],MasterData[],6,0)</f>
        <v>82.08</v>
      </c>
      <c r="L25" s="14">
        <f>InputData[[#This Row],[QUANTITY]]*InputData[[#This Row],[BUYING PRIZE]]</f>
        <v>684</v>
      </c>
      <c r="M25" s="14">
        <f>InputData[[#This Row],[QUANTITY]]*InputData[[#This Row],[SELLING PRICE]]*(1-InputData[[#This Row],[DISCOUNT %]])</f>
        <v>738.72</v>
      </c>
      <c r="N25" s="12">
        <f>DAY(InputData[[#This Row],[DATE]])</f>
        <v>26</v>
      </c>
      <c r="O25" s="12" t="str">
        <f>TEXT(InputData[[#This Row],[DATE]],"MMM")</f>
        <v>Jan</v>
      </c>
      <c r="P25" s="12">
        <f>YEAR(InputData[[#This Row],[DATE]])</f>
        <v>2021</v>
      </c>
    </row>
    <row r="26" spans="1:16" x14ac:dyDescent="0.3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4">
        <f>VLOOKUP(InputData[[#This Row],[PRODUCT ID]],MasterData[],5,0)</f>
        <v>75</v>
      </c>
      <c r="K26" s="14">
        <f>VLOOKUP(InputData[[#This Row],[PRODUCT ID]],MasterData[],6,0)</f>
        <v>85.5</v>
      </c>
      <c r="L26" s="14">
        <f>InputData[[#This Row],[QUANTITY]]*InputData[[#This Row],[BUYING PRIZE]]</f>
        <v>525</v>
      </c>
      <c r="M26" s="14">
        <f>InputData[[#This Row],[QUANTITY]]*InputData[[#This Row],[SELLING PRICE]]*(1-InputData[[#This Row],[DISCOUNT %]])</f>
        <v>598.5</v>
      </c>
      <c r="N26" s="12">
        <f>DAY(InputData[[#This Row],[DATE]])</f>
        <v>26</v>
      </c>
      <c r="O26" s="12" t="str">
        <f>TEXT(InputData[[#This Row],[DATE]],"MMM")</f>
        <v>Jan</v>
      </c>
      <c r="P26" s="12">
        <f>YEAR(InputData[[#This Row],[DATE]])</f>
        <v>2021</v>
      </c>
    </row>
    <row r="27" spans="1:16" x14ac:dyDescent="0.3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4">
        <f>VLOOKUP(InputData[[#This Row],[PRODUCT ID]],MasterData[],5,0)</f>
        <v>98</v>
      </c>
      <c r="K27" s="14">
        <f>VLOOKUP(InputData[[#This Row],[PRODUCT ID]],MasterData[],6,0)</f>
        <v>103.88</v>
      </c>
      <c r="L27" s="14">
        <f>InputData[[#This Row],[QUANTITY]]*InputData[[#This Row],[BUYING PRIZE]]</f>
        <v>686</v>
      </c>
      <c r="M27" s="14">
        <f>InputData[[#This Row],[QUANTITY]]*InputData[[#This Row],[SELLING PRICE]]*(1-InputData[[#This Row],[DISCOUNT %]])</f>
        <v>727.16</v>
      </c>
      <c r="N27" s="12">
        <f>DAY(InputData[[#This Row],[DATE]])</f>
        <v>26</v>
      </c>
      <c r="O27" s="12" t="str">
        <f>TEXT(InputData[[#This Row],[DATE]],"MMM")</f>
        <v>Jan</v>
      </c>
      <c r="P27" s="12">
        <f>YEAR(InputData[[#This Row],[DATE]])</f>
        <v>2021</v>
      </c>
    </row>
    <row r="28" spans="1:16" x14ac:dyDescent="0.3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4">
        <f>VLOOKUP(InputData[[#This Row],[PRODUCT ID]],MasterData[],5,0)</f>
        <v>90</v>
      </c>
      <c r="K28" s="14">
        <f>VLOOKUP(InputData[[#This Row],[PRODUCT ID]],MasterData[],6,0)</f>
        <v>115.2</v>
      </c>
      <c r="L28" s="14">
        <f>InputData[[#This Row],[QUANTITY]]*InputData[[#This Row],[BUYING PRIZE]]</f>
        <v>630</v>
      </c>
      <c r="M28" s="14">
        <f>InputData[[#This Row],[QUANTITY]]*InputData[[#This Row],[SELLING PRICE]]*(1-InputData[[#This Row],[DISCOUNT %]])</f>
        <v>806.4</v>
      </c>
      <c r="N28" s="12">
        <f>DAY(InputData[[#This Row],[DATE]])</f>
        <v>27</v>
      </c>
      <c r="O28" s="12" t="str">
        <f>TEXT(InputData[[#This Row],[DATE]],"MMM")</f>
        <v>Jan</v>
      </c>
      <c r="P28" s="12">
        <f>YEAR(InputData[[#This Row],[DATE]])</f>
        <v>2021</v>
      </c>
    </row>
    <row r="29" spans="1:16" x14ac:dyDescent="0.3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4">
        <f>VLOOKUP(InputData[[#This Row],[PRODUCT ID]],MasterData[],5,0)</f>
        <v>89</v>
      </c>
      <c r="K29" s="14">
        <f>VLOOKUP(InputData[[#This Row],[PRODUCT ID]],MasterData[],6,0)</f>
        <v>117.48</v>
      </c>
      <c r="L29" s="14">
        <f>InputData[[#This Row],[QUANTITY]]*InputData[[#This Row],[BUYING PRIZE]]</f>
        <v>267</v>
      </c>
      <c r="M29" s="14">
        <f>InputData[[#This Row],[QUANTITY]]*InputData[[#This Row],[SELLING PRICE]]*(1-InputData[[#This Row],[DISCOUNT %]])</f>
        <v>352.44</v>
      </c>
      <c r="N29" s="12">
        <f>DAY(InputData[[#This Row],[DATE]])</f>
        <v>27</v>
      </c>
      <c r="O29" s="12" t="str">
        <f>TEXT(InputData[[#This Row],[DATE]],"MMM")</f>
        <v>Jan</v>
      </c>
      <c r="P29" s="12">
        <f>YEAR(InputData[[#This Row],[DATE]])</f>
        <v>2021</v>
      </c>
    </row>
    <row r="30" spans="1:16" x14ac:dyDescent="0.3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4">
        <f>VLOOKUP(InputData[[#This Row],[PRODUCT ID]],MasterData[],5,0)</f>
        <v>44</v>
      </c>
      <c r="K30" s="14">
        <f>VLOOKUP(InputData[[#This Row],[PRODUCT ID]],MasterData[],6,0)</f>
        <v>48.84</v>
      </c>
      <c r="L30" s="14">
        <f>InputData[[#This Row],[QUANTITY]]*InputData[[#This Row],[BUYING PRIZE]]</f>
        <v>440</v>
      </c>
      <c r="M30" s="14">
        <f>InputData[[#This Row],[QUANTITY]]*InputData[[#This Row],[SELLING PRICE]]*(1-InputData[[#This Row],[DISCOUNT %]])</f>
        <v>488.40000000000003</v>
      </c>
      <c r="N30" s="12">
        <f>DAY(InputData[[#This Row],[DATE]])</f>
        <v>28</v>
      </c>
      <c r="O30" s="12" t="str">
        <f>TEXT(InputData[[#This Row],[DATE]],"MMM")</f>
        <v>Jan</v>
      </c>
      <c r="P30" s="12">
        <f>YEAR(InputData[[#This Row],[DATE]])</f>
        <v>2021</v>
      </c>
    </row>
    <row r="31" spans="1:16" x14ac:dyDescent="0.3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4">
        <f>VLOOKUP(InputData[[#This Row],[PRODUCT ID]],MasterData[],5,0)</f>
        <v>47</v>
      </c>
      <c r="K31" s="14">
        <f>VLOOKUP(InputData[[#This Row],[PRODUCT ID]],MasterData[],6,0)</f>
        <v>53.11</v>
      </c>
      <c r="L31" s="14">
        <f>InputData[[#This Row],[QUANTITY]]*InputData[[#This Row],[BUYING PRIZE]]</f>
        <v>94</v>
      </c>
      <c r="M31" s="14">
        <f>InputData[[#This Row],[QUANTITY]]*InputData[[#This Row],[SELLING PRICE]]*(1-InputData[[#This Row],[DISCOUNT %]])</f>
        <v>106.22</v>
      </c>
      <c r="N31" s="12">
        <f>DAY(InputData[[#This Row],[DATE]])</f>
        <v>28</v>
      </c>
      <c r="O31" s="12" t="str">
        <f>TEXT(InputData[[#This Row],[DATE]],"MMM")</f>
        <v>Jan</v>
      </c>
      <c r="P31" s="12">
        <f>YEAR(InputData[[#This Row],[DATE]])</f>
        <v>2021</v>
      </c>
    </row>
    <row r="32" spans="1:16" x14ac:dyDescent="0.3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4">
        <f>VLOOKUP(InputData[[#This Row],[PRODUCT ID]],MasterData[],5,0)</f>
        <v>148</v>
      </c>
      <c r="K32" s="14">
        <f>VLOOKUP(InputData[[#This Row],[PRODUCT ID]],MasterData[],6,0)</f>
        <v>164.28</v>
      </c>
      <c r="L32" s="14">
        <f>InputData[[#This Row],[QUANTITY]]*InputData[[#This Row],[BUYING PRIZE]]</f>
        <v>1036</v>
      </c>
      <c r="M32" s="14">
        <f>InputData[[#This Row],[QUANTITY]]*InputData[[#This Row],[SELLING PRICE]]*(1-InputData[[#This Row],[DISCOUNT %]])</f>
        <v>1149.96</v>
      </c>
      <c r="N32" s="12">
        <f>DAY(InputData[[#This Row],[DATE]])</f>
        <v>2</v>
      </c>
      <c r="O32" s="12" t="str">
        <f>TEXT(InputData[[#This Row],[DATE]],"MMM")</f>
        <v>Feb</v>
      </c>
      <c r="P32" s="12">
        <f>YEAR(InputData[[#This Row],[DATE]])</f>
        <v>2021</v>
      </c>
    </row>
    <row r="33" spans="1:16" x14ac:dyDescent="0.3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4">
        <f>VLOOKUP(InputData[[#This Row],[PRODUCT ID]],MasterData[],5,0)</f>
        <v>13</v>
      </c>
      <c r="K33" s="14">
        <f>VLOOKUP(InputData[[#This Row],[PRODUCT ID]],MasterData[],6,0)</f>
        <v>16.64</v>
      </c>
      <c r="L33" s="14">
        <f>InputData[[#This Row],[QUANTITY]]*InputData[[#This Row],[BUYING PRIZE]]</f>
        <v>169</v>
      </c>
      <c r="M33" s="14">
        <f>InputData[[#This Row],[QUANTITY]]*InputData[[#This Row],[SELLING PRICE]]*(1-InputData[[#This Row],[DISCOUNT %]])</f>
        <v>216.32</v>
      </c>
      <c r="N33" s="12">
        <f>DAY(InputData[[#This Row],[DATE]])</f>
        <v>3</v>
      </c>
      <c r="O33" s="12" t="str">
        <f>TEXT(InputData[[#This Row],[DATE]],"MMM")</f>
        <v>Feb</v>
      </c>
      <c r="P33" s="12">
        <f>YEAR(InputData[[#This Row],[DATE]])</f>
        <v>2021</v>
      </c>
    </row>
    <row r="34" spans="1:16" x14ac:dyDescent="0.3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4">
        <f>VLOOKUP(InputData[[#This Row],[PRODUCT ID]],MasterData[],5,0)</f>
        <v>121</v>
      </c>
      <c r="K34" s="14">
        <f>VLOOKUP(InputData[[#This Row],[PRODUCT ID]],MasterData[],6,0)</f>
        <v>141.57</v>
      </c>
      <c r="L34" s="14">
        <f>InputData[[#This Row],[QUANTITY]]*InputData[[#This Row],[BUYING PRIZE]]</f>
        <v>242</v>
      </c>
      <c r="M34" s="14">
        <f>InputData[[#This Row],[QUANTITY]]*InputData[[#This Row],[SELLING PRICE]]*(1-InputData[[#This Row],[DISCOUNT %]])</f>
        <v>283.14</v>
      </c>
      <c r="N34" s="12">
        <f>DAY(InputData[[#This Row],[DATE]])</f>
        <v>3</v>
      </c>
      <c r="O34" s="12" t="str">
        <f>TEXT(InputData[[#This Row],[DATE]],"MMM")</f>
        <v>Feb</v>
      </c>
      <c r="P34" s="12">
        <f>YEAR(InputData[[#This Row],[DATE]])</f>
        <v>2021</v>
      </c>
    </row>
    <row r="35" spans="1:16" x14ac:dyDescent="0.3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4">
        <f>VLOOKUP(InputData[[#This Row],[PRODUCT ID]],MasterData[],5,0)</f>
        <v>67</v>
      </c>
      <c r="K35" s="14">
        <f>VLOOKUP(InputData[[#This Row],[PRODUCT ID]],MasterData[],6,0)</f>
        <v>85.76</v>
      </c>
      <c r="L35" s="14">
        <f>InputData[[#This Row],[QUANTITY]]*InputData[[#This Row],[BUYING PRIZE]]</f>
        <v>268</v>
      </c>
      <c r="M35" s="14">
        <f>InputData[[#This Row],[QUANTITY]]*InputData[[#This Row],[SELLING PRICE]]*(1-InputData[[#This Row],[DISCOUNT %]])</f>
        <v>343.04</v>
      </c>
      <c r="N35" s="12">
        <f>DAY(InputData[[#This Row],[DATE]])</f>
        <v>4</v>
      </c>
      <c r="O35" s="12" t="str">
        <f>TEXT(InputData[[#This Row],[DATE]],"MMM")</f>
        <v>Feb</v>
      </c>
      <c r="P35" s="12">
        <f>YEAR(InputData[[#This Row],[DATE]])</f>
        <v>2021</v>
      </c>
    </row>
    <row r="36" spans="1:16" x14ac:dyDescent="0.3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4">
        <f>VLOOKUP(InputData[[#This Row],[PRODUCT ID]],MasterData[],5,0)</f>
        <v>67</v>
      </c>
      <c r="K36" s="14">
        <f>VLOOKUP(InputData[[#This Row],[PRODUCT ID]],MasterData[],6,0)</f>
        <v>83.08</v>
      </c>
      <c r="L36" s="14">
        <f>InputData[[#This Row],[QUANTITY]]*InputData[[#This Row],[BUYING PRIZE]]</f>
        <v>469</v>
      </c>
      <c r="M36" s="14">
        <f>InputData[[#This Row],[QUANTITY]]*InputData[[#This Row],[SELLING PRICE]]*(1-InputData[[#This Row],[DISCOUNT %]])</f>
        <v>581.55999999999995</v>
      </c>
      <c r="N36" s="12">
        <f>DAY(InputData[[#This Row],[DATE]])</f>
        <v>5</v>
      </c>
      <c r="O36" s="12" t="str">
        <f>TEXT(InputData[[#This Row],[DATE]],"MMM")</f>
        <v>Feb</v>
      </c>
      <c r="P36" s="12">
        <f>YEAR(InputData[[#This Row],[DATE]])</f>
        <v>2021</v>
      </c>
    </row>
    <row r="37" spans="1:16" x14ac:dyDescent="0.3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4">
        <f>VLOOKUP(InputData[[#This Row],[PRODUCT ID]],MasterData[],5,0)</f>
        <v>133</v>
      </c>
      <c r="K37" s="14">
        <f>VLOOKUP(InputData[[#This Row],[PRODUCT ID]],MasterData[],6,0)</f>
        <v>155.61000000000001</v>
      </c>
      <c r="L37" s="14">
        <f>InputData[[#This Row],[QUANTITY]]*InputData[[#This Row],[BUYING PRIZE]]</f>
        <v>133</v>
      </c>
      <c r="M37" s="14">
        <f>InputData[[#This Row],[QUANTITY]]*InputData[[#This Row],[SELLING PRICE]]*(1-InputData[[#This Row],[DISCOUNT %]])</f>
        <v>155.61000000000001</v>
      </c>
      <c r="N37" s="12">
        <f>DAY(InputData[[#This Row],[DATE]])</f>
        <v>5</v>
      </c>
      <c r="O37" s="12" t="str">
        <f>TEXT(InputData[[#This Row],[DATE]],"MMM")</f>
        <v>Feb</v>
      </c>
      <c r="P37" s="12">
        <f>YEAR(InputData[[#This Row],[DATE]])</f>
        <v>2021</v>
      </c>
    </row>
    <row r="38" spans="1:16" x14ac:dyDescent="0.3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4">
        <f>VLOOKUP(InputData[[#This Row],[PRODUCT ID]],MasterData[],5,0)</f>
        <v>67</v>
      </c>
      <c r="K38" s="14">
        <f>VLOOKUP(InputData[[#This Row],[PRODUCT ID]],MasterData[],6,0)</f>
        <v>83.08</v>
      </c>
      <c r="L38" s="14">
        <f>InputData[[#This Row],[QUANTITY]]*InputData[[#This Row],[BUYING PRIZE]]</f>
        <v>603</v>
      </c>
      <c r="M38" s="14">
        <f>InputData[[#This Row],[QUANTITY]]*InputData[[#This Row],[SELLING PRICE]]*(1-InputData[[#This Row],[DISCOUNT %]])</f>
        <v>747.72</v>
      </c>
      <c r="N38" s="12">
        <f>DAY(InputData[[#This Row],[DATE]])</f>
        <v>5</v>
      </c>
      <c r="O38" s="12" t="str">
        <f>TEXT(InputData[[#This Row],[DATE]],"MMM")</f>
        <v>Feb</v>
      </c>
      <c r="P38" s="12">
        <f>YEAR(InputData[[#This Row],[DATE]])</f>
        <v>2021</v>
      </c>
    </row>
    <row r="39" spans="1:16" x14ac:dyDescent="0.3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4">
        <f>VLOOKUP(InputData[[#This Row],[PRODUCT ID]],MasterData[],5,0)</f>
        <v>5</v>
      </c>
      <c r="K39" s="14">
        <f>VLOOKUP(InputData[[#This Row],[PRODUCT ID]],MasterData[],6,0)</f>
        <v>6.7</v>
      </c>
      <c r="L39" s="14">
        <f>InputData[[#This Row],[QUANTITY]]*InputData[[#This Row],[BUYING PRIZE]]</f>
        <v>5</v>
      </c>
      <c r="M39" s="14">
        <f>InputData[[#This Row],[QUANTITY]]*InputData[[#This Row],[SELLING PRICE]]*(1-InputData[[#This Row],[DISCOUNT %]])</f>
        <v>6.7</v>
      </c>
      <c r="N39" s="12">
        <f>DAY(InputData[[#This Row],[DATE]])</f>
        <v>6</v>
      </c>
      <c r="O39" s="12" t="str">
        <f>TEXT(InputData[[#This Row],[DATE]],"MMM")</f>
        <v>Feb</v>
      </c>
      <c r="P39" s="12">
        <f>YEAR(InputData[[#This Row],[DATE]])</f>
        <v>2021</v>
      </c>
    </row>
    <row r="40" spans="1:16" x14ac:dyDescent="0.3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4">
        <f>VLOOKUP(InputData[[#This Row],[PRODUCT ID]],MasterData[],5,0)</f>
        <v>55</v>
      </c>
      <c r="K40" s="14">
        <f>VLOOKUP(InputData[[#This Row],[PRODUCT ID]],MasterData[],6,0)</f>
        <v>58.3</v>
      </c>
      <c r="L40" s="14">
        <f>InputData[[#This Row],[QUANTITY]]*InputData[[#This Row],[BUYING PRIZE]]</f>
        <v>770</v>
      </c>
      <c r="M40" s="14">
        <f>InputData[[#This Row],[QUANTITY]]*InputData[[#This Row],[SELLING PRICE]]*(1-InputData[[#This Row],[DISCOUNT %]])</f>
        <v>816.19999999999993</v>
      </c>
      <c r="N40" s="12">
        <f>DAY(InputData[[#This Row],[DATE]])</f>
        <v>9</v>
      </c>
      <c r="O40" s="12" t="str">
        <f>TEXT(InputData[[#This Row],[DATE]],"MMM")</f>
        <v>Feb</v>
      </c>
      <c r="P40" s="12">
        <f>YEAR(InputData[[#This Row],[DATE]])</f>
        <v>2021</v>
      </c>
    </row>
    <row r="41" spans="1:16" x14ac:dyDescent="0.3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4">
        <f>VLOOKUP(InputData[[#This Row],[PRODUCT ID]],MasterData[],5,0)</f>
        <v>83</v>
      </c>
      <c r="K41" s="14">
        <f>VLOOKUP(InputData[[#This Row],[PRODUCT ID]],MasterData[],6,0)</f>
        <v>94.62</v>
      </c>
      <c r="L41" s="14">
        <f>InputData[[#This Row],[QUANTITY]]*InputData[[#This Row],[BUYING PRIZE]]</f>
        <v>581</v>
      </c>
      <c r="M41" s="14">
        <f>InputData[[#This Row],[QUANTITY]]*InputData[[#This Row],[SELLING PRICE]]*(1-InputData[[#This Row],[DISCOUNT %]])</f>
        <v>662.34</v>
      </c>
      <c r="N41" s="12">
        <f>DAY(InputData[[#This Row],[DATE]])</f>
        <v>12</v>
      </c>
      <c r="O41" s="12" t="str">
        <f>TEXT(InputData[[#This Row],[DATE]],"MMM")</f>
        <v>Feb</v>
      </c>
      <c r="P41" s="12">
        <f>YEAR(InputData[[#This Row],[DATE]])</f>
        <v>2021</v>
      </c>
    </row>
    <row r="42" spans="1:16" x14ac:dyDescent="0.3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4">
        <f>VLOOKUP(InputData[[#This Row],[PRODUCT ID]],MasterData[],5,0)</f>
        <v>141</v>
      </c>
      <c r="K42" s="14">
        <f>VLOOKUP(InputData[[#This Row],[PRODUCT ID]],MasterData[],6,0)</f>
        <v>149.46</v>
      </c>
      <c r="L42" s="14">
        <f>InputData[[#This Row],[QUANTITY]]*InputData[[#This Row],[BUYING PRIZE]]</f>
        <v>1269</v>
      </c>
      <c r="M42" s="14">
        <f>InputData[[#This Row],[QUANTITY]]*InputData[[#This Row],[SELLING PRICE]]*(1-InputData[[#This Row],[DISCOUNT %]])</f>
        <v>1345.14</v>
      </c>
      <c r="N42" s="12">
        <f>DAY(InputData[[#This Row],[DATE]])</f>
        <v>12</v>
      </c>
      <c r="O42" s="12" t="str">
        <f>TEXT(InputData[[#This Row],[DATE]],"MMM")</f>
        <v>Feb</v>
      </c>
      <c r="P42" s="12">
        <f>YEAR(InputData[[#This Row],[DATE]])</f>
        <v>2021</v>
      </c>
    </row>
    <row r="43" spans="1:16" x14ac:dyDescent="0.3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4">
        <f>VLOOKUP(InputData[[#This Row],[PRODUCT ID]],MasterData[],5,0)</f>
        <v>48</v>
      </c>
      <c r="K43" s="14">
        <f>VLOOKUP(InputData[[#This Row],[PRODUCT ID]],MasterData[],6,0)</f>
        <v>57.120000000000005</v>
      </c>
      <c r="L43" s="14">
        <f>InputData[[#This Row],[QUANTITY]]*InputData[[#This Row],[BUYING PRIZE]]</f>
        <v>192</v>
      </c>
      <c r="M43" s="14">
        <f>InputData[[#This Row],[QUANTITY]]*InputData[[#This Row],[SELLING PRICE]]*(1-InputData[[#This Row],[DISCOUNT %]])</f>
        <v>228.48000000000002</v>
      </c>
      <c r="N43" s="12">
        <f>DAY(InputData[[#This Row],[DATE]])</f>
        <v>15</v>
      </c>
      <c r="O43" s="12" t="str">
        <f>TEXT(InputData[[#This Row],[DATE]],"MMM")</f>
        <v>Feb</v>
      </c>
      <c r="P43" s="12">
        <f>YEAR(InputData[[#This Row],[DATE]])</f>
        <v>2021</v>
      </c>
    </row>
    <row r="44" spans="1:16" x14ac:dyDescent="0.3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4">
        <f>VLOOKUP(InputData[[#This Row],[PRODUCT ID]],MasterData[],5,0)</f>
        <v>12</v>
      </c>
      <c r="K44" s="14">
        <f>VLOOKUP(InputData[[#This Row],[PRODUCT ID]],MasterData[],6,0)</f>
        <v>15.719999999999999</v>
      </c>
      <c r="L44" s="14">
        <f>InputData[[#This Row],[QUANTITY]]*InputData[[#This Row],[BUYING PRIZE]]</f>
        <v>72</v>
      </c>
      <c r="M44" s="14">
        <f>InputData[[#This Row],[QUANTITY]]*InputData[[#This Row],[SELLING PRICE]]*(1-InputData[[#This Row],[DISCOUNT %]])</f>
        <v>94.32</v>
      </c>
      <c r="N44" s="12">
        <f>DAY(InputData[[#This Row],[DATE]])</f>
        <v>18</v>
      </c>
      <c r="O44" s="12" t="str">
        <f>TEXT(InputData[[#This Row],[DATE]],"MMM")</f>
        <v>Feb</v>
      </c>
      <c r="P44" s="12">
        <f>YEAR(InputData[[#This Row],[DATE]])</f>
        <v>2021</v>
      </c>
    </row>
    <row r="45" spans="1:16" x14ac:dyDescent="0.3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4">
        <f>VLOOKUP(InputData[[#This Row],[PRODUCT ID]],MasterData[],5,0)</f>
        <v>148</v>
      </c>
      <c r="K45" s="14">
        <f>VLOOKUP(InputData[[#This Row],[PRODUCT ID]],MasterData[],6,0)</f>
        <v>201.28</v>
      </c>
      <c r="L45" s="14">
        <f>InputData[[#This Row],[QUANTITY]]*InputData[[#This Row],[BUYING PRIZE]]</f>
        <v>1628</v>
      </c>
      <c r="M45" s="14">
        <f>InputData[[#This Row],[QUANTITY]]*InputData[[#This Row],[SELLING PRICE]]*(1-InputData[[#This Row],[DISCOUNT %]])</f>
        <v>2214.08</v>
      </c>
      <c r="N45" s="12">
        <f>DAY(InputData[[#This Row],[DATE]])</f>
        <v>20</v>
      </c>
      <c r="O45" s="12" t="str">
        <f>TEXT(InputData[[#This Row],[DATE]],"MMM")</f>
        <v>Feb</v>
      </c>
      <c r="P45" s="12">
        <f>YEAR(InputData[[#This Row],[DATE]])</f>
        <v>2021</v>
      </c>
    </row>
    <row r="46" spans="1:16" x14ac:dyDescent="0.3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4">
        <f>VLOOKUP(InputData[[#This Row],[PRODUCT ID]],MasterData[],5,0)</f>
        <v>112</v>
      </c>
      <c r="K46" s="14">
        <f>VLOOKUP(InputData[[#This Row],[PRODUCT ID]],MasterData[],6,0)</f>
        <v>122.08</v>
      </c>
      <c r="L46" s="14">
        <f>InputData[[#This Row],[QUANTITY]]*InputData[[#This Row],[BUYING PRIZE]]</f>
        <v>560</v>
      </c>
      <c r="M46" s="14">
        <f>InputData[[#This Row],[QUANTITY]]*InputData[[#This Row],[SELLING PRICE]]*(1-InputData[[#This Row],[DISCOUNT %]])</f>
        <v>610.4</v>
      </c>
      <c r="N46" s="12">
        <f>DAY(InputData[[#This Row],[DATE]])</f>
        <v>22</v>
      </c>
      <c r="O46" s="12" t="str">
        <f>TEXT(InputData[[#This Row],[DATE]],"MMM")</f>
        <v>Feb</v>
      </c>
      <c r="P46" s="12">
        <f>YEAR(InputData[[#This Row],[DATE]])</f>
        <v>2021</v>
      </c>
    </row>
    <row r="47" spans="1:16" x14ac:dyDescent="0.3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4">
        <f>VLOOKUP(InputData[[#This Row],[PRODUCT ID]],MasterData[],5,0)</f>
        <v>7</v>
      </c>
      <c r="K47" s="14">
        <f>VLOOKUP(InputData[[#This Row],[PRODUCT ID]],MasterData[],6,0)</f>
        <v>8.33</v>
      </c>
      <c r="L47" s="14">
        <f>InputData[[#This Row],[QUANTITY]]*InputData[[#This Row],[BUYING PRIZE]]</f>
        <v>21</v>
      </c>
      <c r="M47" s="14">
        <f>InputData[[#This Row],[QUANTITY]]*InputData[[#This Row],[SELLING PRICE]]*(1-InputData[[#This Row],[DISCOUNT %]])</f>
        <v>24.990000000000002</v>
      </c>
      <c r="N47" s="12">
        <f>DAY(InputData[[#This Row],[DATE]])</f>
        <v>23</v>
      </c>
      <c r="O47" s="12" t="str">
        <f>TEXT(InputData[[#This Row],[DATE]],"MMM")</f>
        <v>Feb</v>
      </c>
      <c r="P47" s="12">
        <f>YEAR(InputData[[#This Row],[DATE]])</f>
        <v>2021</v>
      </c>
    </row>
    <row r="48" spans="1:16" x14ac:dyDescent="0.3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4">
        <f>VLOOKUP(InputData[[#This Row],[PRODUCT ID]],MasterData[],5,0)</f>
        <v>133</v>
      </c>
      <c r="K48" s="14">
        <f>VLOOKUP(InputData[[#This Row],[PRODUCT ID]],MasterData[],6,0)</f>
        <v>155.61000000000001</v>
      </c>
      <c r="L48" s="14">
        <f>InputData[[#This Row],[QUANTITY]]*InputData[[#This Row],[BUYING PRIZE]]</f>
        <v>266</v>
      </c>
      <c r="M48" s="14">
        <f>InputData[[#This Row],[QUANTITY]]*InputData[[#This Row],[SELLING PRICE]]*(1-InputData[[#This Row],[DISCOUNT %]])</f>
        <v>311.22000000000003</v>
      </c>
      <c r="N48" s="12">
        <f>DAY(InputData[[#This Row],[DATE]])</f>
        <v>23</v>
      </c>
      <c r="O48" s="12" t="str">
        <f>TEXT(InputData[[#This Row],[DATE]],"MMM")</f>
        <v>Feb</v>
      </c>
      <c r="P48" s="12">
        <f>YEAR(InputData[[#This Row],[DATE]])</f>
        <v>2021</v>
      </c>
    </row>
    <row r="49" spans="1:16" x14ac:dyDescent="0.3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4">
        <f>VLOOKUP(InputData[[#This Row],[PRODUCT ID]],MasterData[],5,0)</f>
        <v>105</v>
      </c>
      <c r="K49" s="14">
        <f>VLOOKUP(InputData[[#This Row],[PRODUCT ID]],MasterData[],6,0)</f>
        <v>142.80000000000001</v>
      </c>
      <c r="L49" s="14">
        <f>InputData[[#This Row],[QUANTITY]]*InputData[[#This Row],[BUYING PRIZE]]</f>
        <v>420</v>
      </c>
      <c r="M49" s="14">
        <f>InputData[[#This Row],[QUANTITY]]*InputData[[#This Row],[SELLING PRICE]]*(1-InputData[[#This Row],[DISCOUNT %]])</f>
        <v>571.20000000000005</v>
      </c>
      <c r="N49" s="12">
        <f>DAY(InputData[[#This Row],[DATE]])</f>
        <v>25</v>
      </c>
      <c r="O49" s="12" t="str">
        <f>TEXT(InputData[[#This Row],[DATE]],"MMM")</f>
        <v>Feb</v>
      </c>
      <c r="P49" s="12">
        <f>YEAR(InputData[[#This Row],[DATE]])</f>
        <v>2021</v>
      </c>
    </row>
    <row r="50" spans="1:16" x14ac:dyDescent="0.3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4">
        <f>VLOOKUP(InputData[[#This Row],[PRODUCT ID]],MasterData[],5,0)</f>
        <v>89</v>
      </c>
      <c r="K50" s="14">
        <f>VLOOKUP(InputData[[#This Row],[PRODUCT ID]],MasterData[],6,0)</f>
        <v>117.48</v>
      </c>
      <c r="L50" s="14">
        <f>InputData[[#This Row],[QUANTITY]]*InputData[[#This Row],[BUYING PRIZE]]</f>
        <v>979</v>
      </c>
      <c r="M50" s="14">
        <f>InputData[[#This Row],[QUANTITY]]*InputData[[#This Row],[SELLING PRICE]]*(1-InputData[[#This Row],[DISCOUNT %]])</f>
        <v>1292.28</v>
      </c>
      <c r="N50" s="12">
        <f>DAY(InputData[[#This Row],[DATE]])</f>
        <v>25</v>
      </c>
      <c r="O50" s="12" t="str">
        <f>TEXT(InputData[[#This Row],[DATE]],"MMM")</f>
        <v>Feb</v>
      </c>
      <c r="P50" s="12">
        <f>YEAR(InputData[[#This Row],[DATE]])</f>
        <v>2021</v>
      </c>
    </row>
    <row r="51" spans="1:16" x14ac:dyDescent="0.3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4">
        <f>VLOOKUP(InputData[[#This Row],[PRODUCT ID]],MasterData[],5,0)</f>
        <v>148</v>
      </c>
      <c r="K51" s="14">
        <f>VLOOKUP(InputData[[#This Row],[PRODUCT ID]],MasterData[],6,0)</f>
        <v>201.28</v>
      </c>
      <c r="L51" s="14">
        <f>InputData[[#This Row],[QUANTITY]]*InputData[[#This Row],[BUYING PRIZE]]</f>
        <v>296</v>
      </c>
      <c r="M51" s="14">
        <f>InputData[[#This Row],[QUANTITY]]*InputData[[#This Row],[SELLING PRICE]]*(1-InputData[[#This Row],[DISCOUNT %]])</f>
        <v>402.56</v>
      </c>
      <c r="N51" s="12">
        <f>DAY(InputData[[#This Row],[DATE]])</f>
        <v>25</v>
      </c>
      <c r="O51" s="12" t="str">
        <f>TEXT(InputData[[#This Row],[DATE]],"MMM")</f>
        <v>Feb</v>
      </c>
      <c r="P51" s="12">
        <f>YEAR(InputData[[#This Row],[DATE]])</f>
        <v>2021</v>
      </c>
    </row>
    <row r="52" spans="1:16" x14ac:dyDescent="0.3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4">
        <f>VLOOKUP(InputData[[#This Row],[PRODUCT ID]],MasterData[],5,0)</f>
        <v>37</v>
      </c>
      <c r="K52" s="14">
        <f>VLOOKUP(InputData[[#This Row],[PRODUCT ID]],MasterData[],6,0)</f>
        <v>49.21</v>
      </c>
      <c r="L52" s="14">
        <f>InputData[[#This Row],[QUANTITY]]*InputData[[#This Row],[BUYING PRIZE]]</f>
        <v>407</v>
      </c>
      <c r="M52" s="14">
        <f>InputData[[#This Row],[QUANTITY]]*InputData[[#This Row],[SELLING PRICE]]*(1-InputData[[#This Row],[DISCOUNT %]])</f>
        <v>541.31000000000006</v>
      </c>
      <c r="N52" s="12">
        <f>DAY(InputData[[#This Row],[DATE]])</f>
        <v>27</v>
      </c>
      <c r="O52" s="12" t="str">
        <f>TEXT(InputData[[#This Row],[DATE]],"MMM")</f>
        <v>Feb</v>
      </c>
      <c r="P52" s="12">
        <f>YEAR(InputData[[#This Row],[DATE]])</f>
        <v>2021</v>
      </c>
    </row>
    <row r="53" spans="1:16" x14ac:dyDescent="0.3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4">
        <f>VLOOKUP(InputData[[#This Row],[PRODUCT ID]],MasterData[],5,0)</f>
        <v>44</v>
      </c>
      <c r="K53" s="14">
        <f>VLOOKUP(InputData[[#This Row],[PRODUCT ID]],MasterData[],6,0)</f>
        <v>48.4</v>
      </c>
      <c r="L53" s="14">
        <f>InputData[[#This Row],[QUANTITY]]*InputData[[#This Row],[BUYING PRIZE]]</f>
        <v>44</v>
      </c>
      <c r="M53" s="14">
        <f>InputData[[#This Row],[QUANTITY]]*InputData[[#This Row],[SELLING PRICE]]*(1-InputData[[#This Row],[DISCOUNT %]])</f>
        <v>48.4</v>
      </c>
      <c r="N53" s="12">
        <f>DAY(InputData[[#This Row],[DATE]])</f>
        <v>3</v>
      </c>
      <c r="O53" s="12" t="str">
        <f>TEXT(InputData[[#This Row],[DATE]],"MMM")</f>
        <v>Mar</v>
      </c>
      <c r="P53" s="12">
        <f>YEAR(InputData[[#This Row],[DATE]])</f>
        <v>2021</v>
      </c>
    </row>
    <row r="54" spans="1:16" x14ac:dyDescent="0.3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4">
        <f>VLOOKUP(InputData[[#This Row],[PRODUCT ID]],MasterData[],5,0)</f>
        <v>126</v>
      </c>
      <c r="K54" s="14">
        <f>VLOOKUP(InputData[[#This Row],[PRODUCT ID]],MasterData[],6,0)</f>
        <v>162.54</v>
      </c>
      <c r="L54" s="14">
        <f>InputData[[#This Row],[QUANTITY]]*InputData[[#This Row],[BUYING PRIZE]]</f>
        <v>1134</v>
      </c>
      <c r="M54" s="14">
        <f>InputData[[#This Row],[QUANTITY]]*InputData[[#This Row],[SELLING PRICE]]*(1-InputData[[#This Row],[DISCOUNT %]])</f>
        <v>1462.86</v>
      </c>
      <c r="N54" s="12">
        <f>DAY(InputData[[#This Row],[DATE]])</f>
        <v>7</v>
      </c>
      <c r="O54" s="12" t="str">
        <f>TEXT(InputData[[#This Row],[DATE]],"MMM")</f>
        <v>Mar</v>
      </c>
      <c r="P54" s="12">
        <f>YEAR(InputData[[#This Row],[DATE]])</f>
        <v>2021</v>
      </c>
    </row>
    <row r="55" spans="1:16" x14ac:dyDescent="0.3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4">
        <f>VLOOKUP(InputData[[#This Row],[PRODUCT ID]],MasterData[],5,0)</f>
        <v>48</v>
      </c>
      <c r="K55" s="14">
        <f>VLOOKUP(InputData[[#This Row],[PRODUCT ID]],MasterData[],6,0)</f>
        <v>57.120000000000005</v>
      </c>
      <c r="L55" s="14">
        <f>InputData[[#This Row],[QUANTITY]]*InputData[[#This Row],[BUYING PRIZE]]</f>
        <v>288</v>
      </c>
      <c r="M55" s="14">
        <f>InputData[[#This Row],[QUANTITY]]*InputData[[#This Row],[SELLING PRICE]]*(1-InputData[[#This Row],[DISCOUNT %]])</f>
        <v>342.72</v>
      </c>
      <c r="N55" s="12">
        <f>DAY(InputData[[#This Row],[DATE]])</f>
        <v>8</v>
      </c>
      <c r="O55" s="12" t="str">
        <f>TEXT(InputData[[#This Row],[DATE]],"MMM")</f>
        <v>Mar</v>
      </c>
      <c r="P55" s="12">
        <f>YEAR(InputData[[#This Row],[DATE]])</f>
        <v>2021</v>
      </c>
    </row>
    <row r="56" spans="1:16" x14ac:dyDescent="0.3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4">
        <f>VLOOKUP(InputData[[#This Row],[PRODUCT ID]],MasterData[],5,0)</f>
        <v>76</v>
      </c>
      <c r="K56" s="14">
        <f>VLOOKUP(InputData[[#This Row],[PRODUCT ID]],MasterData[],6,0)</f>
        <v>82.08</v>
      </c>
      <c r="L56" s="14">
        <f>InputData[[#This Row],[QUANTITY]]*InputData[[#This Row],[BUYING PRIZE]]</f>
        <v>684</v>
      </c>
      <c r="M56" s="14">
        <f>InputData[[#This Row],[QUANTITY]]*InputData[[#This Row],[SELLING PRICE]]*(1-InputData[[#This Row],[DISCOUNT %]])</f>
        <v>738.72</v>
      </c>
      <c r="N56" s="12">
        <f>DAY(InputData[[#This Row],[DATE]])</f>
        <v>8</v>
      </c>
      <c r="O56" s="12" t="str">
        <f>TEXT(InputData[[#This Row],[DATE]],"MMM")</f>
        <v>Mar</v>
      </c>
      <c r="P56" s="12">
        <f>YEAR(InputData[[#This Row],[DATE]])</f>
        <v>2021</v>
      </c>
    </row>
    <row r="57" spans="1:16" x14ac:dyDescent="0.3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4">
        <f>VLOOKUP(InputData[[#This Row],[PRODUCT ID]],MasterData[],5,0)</f>
        <v>47</v>
      </c>
      <c r="K57" s="14">
        <f>VLOOKUP(InputData[[#This Row],[PRODUCT ID]],MasterData[],6,0)</f>
        <v>53.11</v>
      </c>
      <c r="L57" s="14">
        <f>InputData[[#This Row],[QUANTITY]]*InputData[[#This Row],[BUYING PRIZE]]</f>
        <v>282</v>
      </c>
      <c r="M57" s="14">
        <f>InputData[[#This Row],[QUANTITY]]*InputData[[#This Row],[SELLING PRICE]]*(1-InputData[[#This Row],[DISCOUNT %]])</f>
        <v>318.65999999999997</v>
      </c>
      <c r="N57" s="12">
        <f>DAY(InputData[[#This Row],[DATE]])</f>
        <v>9</v>
      </c>
      <c r="O57" s="12" t="str">
        <f>TEXT(InputData[[#This Row],[DATE]],"MMM")</f>
        <v>Mar</v>
      </c>
      <c r="P57" s="12">
        <f>YEAR(InputData[[#This Row],[DATE]])</f>
        <v>2021</v>
      </c>
    </row>
    <row r="58" spans="1:16" x14ac:dyDescent="0.3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4">
        <f>VLOOKUP(InputData[[#This Row],[PRODUCT ID]],MasterData[],5,0)</f>
        <v>7</v>
      </c>
      <c r="K58" s="14">
        <f>VLOOKUP(InputData[[#This Row],[PRODUCT ID]],MasterData[],6,0)</f>
        <v>8.33</v>
      </c>
      <c r="L58" s="14">
        <f>InputData[[#This Row],[QUANTITY]]*InputData[[#This Row],[BUYING PRIZE]]</f>
        <v>77</v>
      </c>
      <c r="M58" s="14">
        <f>InputData[[#This Row],[QUANTITY]]*InputData[[#This Row],[SELLING PRICE]]*(1-InputData[[#This Row],[DISCOUNT %]])</f>
        <v>91.63</v>
      </c>
      <c r="N58" s="12">
        <f>DAY(InputData[[#This Row],[DATE]])</f>
        <v>11</v>
      </c>
      <c r="O58" s="12" t="str">
        <f>TEXT(InputData[[#This Row],[DATE]],"MMM")</f>
        <v>Mar</v>
      </c>
      <c r="P58" s="12">
        <f>YEAR(InputData[[#This Row],[DATE]])</f>
        <v>2021</v>
      </c>
    </row>
    <row r="59" spans="1:16" x14ac:dyDescent="0.3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4">
        <f>VLOOKUP(InputData[[#This Row],[PRODUCT ID]],MasterData[],5,0)</f>
        <v>37</v>
      </c>
      <c r="K59" s="14">
        <f>VLOOKUP(InputData[[#This Row],[PRODUCT ID]],MasterData[],6,0)</f>
        <v>41.81</v>
      </c>
      <c r="L59" s="14">
        <f>InputData[[#This Row],[QUANTITY]]*InputData[[#This Row],[BUYING PRIZE]]</f>
        <v>370</v>
      </c>
      <c r="M59" s="14">
        <f>InputData[[#This Row],[QUANTITY]]*InputData[[#This Row],[SELLING PRICE]]*(1-InputData[[#This Row],[DISCOUNT %]])</f>
        <v>418.1</v>
      </c>
      <c r="N59" s="12">
        <f>DAY(InputData[[#This Row],[DATE]])</f>
        <v>13</v>
      </c>
      <c r="O59" s="12" t="str">
        <f>TEXT(InputData[[#This Row],[DATE]],"MMM")</f>
        <v>Mar</v>
      </c>
      <c r="P59" s="12">
        <f>YEAR(InputData[[#This Row],[DATE]])</f>
        <v>2021</v>
      </c>
    </row>
    <row r="60" spans="1:16" x14ac:dyDescent="0.3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4">
        <f>VLOOKUP(InputData[[#This Row],[PRODUCT ID]],MasterData[],5,0)</f>
        <v>37</v>
      </c>
      <c r="K60" s="14">
        <f>VLOOKUP(InputData[[#This Row],[PRODUCT ID]],MasterData[],6,0)</f>
        <v>42.55</v>
      </c>
      <c r="L60" s="14">
        <f>InputData[[#This Row],[QUANTITY]]*InputData[[#This Row],[BUYING PRIZE]]</f>
        <v>407</v>
      </c>
      <c r="M60" s="14">
        <f>InputData[[#This Row],[QUANTITY]]*InputData[[#This Row],[SELLING PRICE]]*(1-InputData[[#This Row],[DISCOUNT %]])</f>
        <v>468.04999999999995</v>
      </c>
      <c r="N60" s="12">
        <f>DAY(InputData[[#This Row],[DATE]])</f>
        <v>15</v>
      </c>
      <c r="O60" s="12" t="str">
        <f>TEXT(InputData[[#This Row],[DATE]],"MMM")</f>
        <v>Mar</v>
      </c>
      <c r="P60" s="12">
        <f>YEAR(InputData[[#This Row],[DATE]])</f>
        <v>2021</v>
      </c>
    </row>
    <row r="61" spans="1:16" x14ac:dyDescent="0.3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4">
        <f>VLOOKUP(InputData[[#This Row],[PRODUCT ID]],MasterData[],5,0)</f>
        <v>73</v>
      </c>
      <c r="K61" s="14">
        <f>VLOOKUP(InputData[[#This Row],[PRODUCT ID]],MasterData[],6,0)</f>
        <v>94.17</v>
      </c>
      <c r="L61" s="14">
        <f>InputData[[#This Row],[QUANTITY]]*InputData[[#This Row],[BUYING PRIZE]]</f>
        <v>1022</v>
      </c>
      <c r="M61" s="14">
        <f>InputData[[#This Row],[QUANTITY]]*InputData[[#This Row],[SELLING PRICE]]*(1-InputData[[#This Row],[DISCOUNT %]])</f>
        <v>1318.38</v>
      </c>
      <c r="N61" s="12">
        <f>DAY(InputData[[#This Row],[DATE]])</f>
        <v>16</v>
      </c>
      <c r="O61" s="12" t="str">
        <f>TEXT(InputData[[#This Row],[DATE]],"MMM")</f>
        <v>Mar</v>
      </c>
      <c r="P61" s="12">
        <f>YEAR(InputData[[#This Row],[DATE]])</f>
        <v>2021</v>
      </c>
    </row>
    <row r="62" spans="1:16" x14ac:dyDescent="0.3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4">
        <f>VLOOKUP(InputData[[#This Row],[PRODUCT ID]],MasterData[],5,0)</f>
        <v>120</v>
      </c>
      <c r="K62" s="14">
        <f>VLOOKUP(InputData[[#This Row],[PRODUCT ID]],MasterData[],6,0)</f>
        <v>162</v>
      </c>
      <c r="L62" s="14">
        <f>InputData[[#This Row],[QUANTITY]]*InputData[[#This Row],[BUYING PRIZE]]</f>
        <v>960</v>
      </c>
      <c r="M62" s="14">
        <f>InputData[[#This Row],[QUANTITY]]*InputData[[#This Row],[SELLING PRICE]]*(1-InputData[[#This Row],[DISCOUNT %]])</f>
        <v>1296</v>
      </c>
      <c r="N62" s="12">
        <f>DAY(InputData[[#This Row],[DATE]])</f>
        <v>18</v>
      </c>
      <c r="O62" s="12" t="str">
        <f>TEXT(InputData[[#This Row],[DATE]],"MMM")</f>
        <v>Mar</v>
      </c>
      <c r="P62" s="12">
        <f>YEAR(InputData[[#This Row],[DATE]])</f>
        <v>2021</v>
      </c>
    </row>
    <row r="63" spans="1:16" x14ac:dyDescent="0.3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4">
        <f>VLOOKUP(InputData[[#This Row],[PRODUCT ID]],MasterData[],5,0)</f>
        <v>37</v>
      </c>
      <c r="K63" s="14">
        <f>VLOOKUP(InputData[[#This Row],[PRODUCT ID]],MasterData[],6,0)</f>
        <v>41.81</v>
      </c>
      <c r="L63" s="14">
        <f>InputData[[#This Row],[QUANTITY]]*InputData[[#This Row],[BUYING PRIZE]]</f>
        <v>333</v>
      </c>
      <c r="M63" s="14">
        <f>InputData[[#This Row],[QUANTITY]]*InputData[[#This Row],[SELLING PRICE]]*(1-InputData[[#This Row],[DISCOUNT %]])</f>
        <v>376.29</v>
      </c>
      <c r="N63" s="12">
        <f>DAY(InputData[[#This Row],[DATE]])</f>
        <v>19</v>
      </c>
      <c r="O63" s="12" t="str">
        <f>TEXT(InputData[[#This Row],[DATE]],"MMM")</f>
        <v>Mar</v>
      </c>
      <c r="P63" s="12">
        <f>YEAR(InputData[[#This Row],[DATE]])</f>
        <v>2021</v>
      </c>
    </row>
    <row r="64" spans="1:16" x14ac:dyDescent="0.3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4">
        <f>VLOOKUP(InputData[[#This Row],[PRODUCT ID]],MasterData[],5,0)</f>
        <v>61</v>
      </c>
      <c r="K64" s="14">
        <f>VLOOKUP(InputData[[#This Row],[PRODUCT ID]],MasterData[],6,0)</f>
        <v>76.25</v>
      </c>
      <c r="L64" s="14">
        <f>InputData[[#This Row],[QUANTITY]]*InputData[[#This Row],[BUYING PRIZE]]</f>
        <v>793</v>
      </c>
      <c r="M64" s="14">
        <f>InputData[[#This Row],[QUANTITY]]*InputData[[#This Row],[SELLING PRICE]]*(1-InputData[[#This Row],[DISCOUNT %]])</f>
        <v>991.25</v>
      </c>
      <c r="N64" s="12">
        <f>DAY(InputData[[#This Row],[DATE]])</f>
        <v>21</v>
      </c>
      <c r="O64" s="12" t="str">
        <f>TEXT(InputData[[#This Row],[DATE]],"MMM")</f>
        <v>Mar</v>
      </c>
      <c r="P64" s="12">
        <f>YEAR(InputData[[#This Row],[DATE]])</f>
        <v>2021</v>
      </c>
    </row>
    <row r="65" spans="1:16" x14ac:dyDescent="0.3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4">
        <f>VLOOKUP(InputData[[#This Row],[PRODUCT ID]],MasterData[],5,0)</f>
        <v>37</v>
      </c>
      <c r="K65" s="14">
        <f>VLOOKUP(InputData[[#This Row],[PRODUCT ID]],MasterData[],6,0)</f>
        <v>42.55</v>
      </c>
      <c r="L65" s="14">
        <f>InputData[[#This Row],[QUANTITY]]*InputData[[#This Row],[BUYING PRIZE]]</f>
        <v>259</v>
      </c>
      <c r="M65" s="14">
        <f>InputData[[#This Row],[QUANTITY]]*InputData[[#This Row],[SELLING PRICE]]*(1-InputData[[#This Row],[DISCOUNT %]])</f>
        <v>297.84999999999997</v>
      </c>
      <c r="N65" s="12">
        <f>DAY(InputData[[#This Row],[DATE]])</f>
        <v>21</v>
      </c>
      <c r="O65" s="12" t="str">
        <f>TEXT(InputData[[#This Row],[DATE]],"MMM")</f>
        <v>Mar</v>
      </c>
      <c r="P65" s="12">
        <f>YEAR(InputData[[#This Row],[DATE]])</f>
        <v>2021</v>
      </c>
    </row>
    <row r="66" spans="1:16" x14ac:dyDescent="0.3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4">
        <f>VLOOKUP(InputData[[#This Row],[PRODUCT ID]],MasterData[],5,0)</f>
        <v>105</v>
      </c>
      <c r="K66" s="14">
        <f>VLOOKUP(InputData[[#This Row],[PRODUCT ID]],MasterData[],6,0)</f>
        <v>142.80000000000001</v>
      </c>
      <c r="L66" s="14">
        <f>InputData[[#This Row],[QUANTITY]]*InputData[[#This Row],[BUYING PRIZE]]</f>
        <v>840</v>
      </c>
      <c r="M66" s="14">
        <f>InputData[[#This Row],[QUANTITY]]*InputData[[#This Row],[SELLING PRICE]]*(1-InputData[[#This Row],[DISCOUNT %]])</f>
        <v>1142.4000000000001</v>
      </c>
      <c r="N66" s="12">
        <f>DAY(InputData[[#This Row],[DATE]])</f>
        <v>22</v>
      </c>
      <c r="O66" s="12" t="str">
        <f>TEXT(InputData[[#This Row],[DATE]],"MMM")</f>
        <v>Mar</v>
      </c>
      <c r="P66" s="12">
        <f>YEAR(InputData[[#This Row],[DATE]])</f>
        <v>2021</v>
      </c>
    </row>
    <row r="67" spans="1:16" x14ac:dyDescent="0.3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4">
        <f>VLOOKUP(InputData[[#This Row],[PRODUCT ID]],MasterData[],5,0)</f>
        <v>73</v>
      </c>
      <c r="K67" s="14">
        <f>VLOOKUP(InputData[[#This Row],[PRODUCT ID]],MasterData[],6,0)</f>
        <v>94.17</v>
      </c>
      <c r="L67" s="14">
        <f>InputData[[#This Row],[QUANTITY]]*InputData[[#This Row],[BUYING PRIZE]]</f>
        <v>292</v>
      </c>
      <c r="M67" s="14">
        <f>InputData[[#This Row],[QUANTITY]]*InputData[[#This Row],[SELLING PRICE]]*(1-InputData[[#This Row],[DISCOUNT %]])</f>
        <v>376.68</v>
      </c>
      <c r="N67" s="12">
        <f>DAY(InputData[[#This Row],[DATE]])</f>
        <v>22</v>
      </c>
      <c r="O67" s="12" t="str">
        <f>TEXT(InputData[[#This Row],[DATE]],"MMM")</f>
        <v>Mar</v>
      </c>
      <c r="P67" s="12">
        <f>YEAR(InputData[[#This Row],[DATE]])</f>
        <v>2021</v>
      </c>
    </row>
    <row r="68" spans="1:16" x14ac:dyDescent="0.3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4">
        <f>VLOOKUP(InputData[[#This Row],[PRODUCT ID]],MasterData[],5,0)</f>
        <v>144</v>
      </c>
      <c r="K68" s="14">
        <f>VLOOKUP(InputData[[#This Row],[PRODUCT ID]],MasterData[],6,0)</f>
        <v>156.96</v>
      </c>
      <c r="L68" s="14">
        <f>InputData[[#This Row],[QUANTITY]]*InputData[[#This Row],[BUYING PRIZE]]</f>
        <v>2016</v>
      </c>
      <c r="M68" s="14">
        <f>InputData[[#This Row],[QUANTITY]]*InputData[[#This Row],[SELLING PRICE]]*(1-InputData[[#This Row],[DISCOUNT %]])</f>
        <v>2197.44</v>
      </c>
      <c r="N68" s="12">
        <f>DAY(InputData[[#This Row],[DATE]])</f>
        <v>25</v>
      </c>
      <c r="O68" s="12" t="str">
        <f>TEXT(InputData[[#This Row],[DATE]],"MMM")</f>
        <v>Mar</v>
      </c>
      <c r="P68" s="12">
        <f>YEAR(InputData[[#This Row],[DATE]])</f>
        <v>2021</v>
      </c>
    </row>
    <row r="69" spans="1:16" x14ac:dyDescent="0.3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4">
        <f>VLOOKUP(InputData[[#This Row],[PRODUCT ID]],MasterData[],5,0)</f>
        <v>75</v>
      </c>
      <c r="K69" s="14">
        <f>VLOOKUP(InputData[[#This Row],[PRODUCT ID]],MasterData[],6,0)</f>
        <v>85.5</v>
      </c>
      <c r="L69" s="14">
        <f>InputData[[#This Row],[QUANTITY]]*InputData[[#This Row],[BUYING PRIZE]]</f>
        <v>300</v>
      </c>
      <c r="M69" s="14">
        <f>InputData[[#This Row],[QUANTITY]]*InputData[[#This Row],[SELLING PRICE]]*(1-InputData[[#This Row],[DISCOUNT %]])</f>
        <v>342</v>
      </c>
      <c r="N69" s="12">
        <f>DAY(InputData[[#This Row],[DATE]])</f>
        <v>25</v>
      </c>
      <c r="O69" s="12" t="str">
        <f>TEXT(InputData[[#This Row],[DATE]],"MMM")</f>
        <v>Mar</v>
      </c>
      <c r="P69" s="12">
        <f>YEAR(InputData[[#This Row],[DATE]])</f>
        <v>2021</v>
      </c>
    </row>
    <row r="70" spans="1:16" x14ac:dyDescent="0.3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4">
        <f>VLOOKUP(InputData[[#This Row],[PRODUCT ID]],MasterData[],5,0)</f>
        <v>47</v>
      </c>
      <c r="K70" s="14">
        <f>VLOOKUP(InputData[[#This Row],[PRODUCT ID]],MasterData[],6,0)</f>
        <v>53.11</v>
      </c>
      <c r="L70" s="14">
        <f>InputData[[#This Row],[QUANTITY]]*InputData[[#This Row],[BUYING PRIZE]]</f>
        <v>376</v>
      </c>
      <c r="M70" s="14">
        <f>InputData[[#This Row],[QUANTITY]]*InputData[[#This Row],[SELLING PRICE]]*(1-InputData[[#This Row],[DISCOUNT %]])</f>
        <v>424.88</v>
      </c>
      <c r="N70" s="12">
        <f>DAY(InputData[[#This Row],[DATE]])</f>
        <v>25</v>
      </c>
      <c r="O70" s="12" t="str">
        <f>TEXT(InputData[[#This Row],[DATE]],"MMM")</f>
        <v>Mar</v>
      </c>
      <c r="P70" s="12">
        <f>YEAR(InputData[[#This Row],[DATE]])</f>
        <v>2021</v>
      </c>
    </row>
    <row r="71" spans="1:16" x14ac:dyDescent="0.3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4">
        <f>VLOOKUP(InputData[[#This Row],[PRODUCT ID]],MasterData[],5,0)</f>
        <v>72</v>
      </c>
      <c r="K71" s="14">
        <f>VLOOKUP(InputData[[#This Row],[PRODUCT ID]],MasterData[],6,0)</f>
        <v>79.92</v>
      </c>
      <c r="L71" s="14">
        <f>InputData[[#This Row],[QUANTITY]]*InputData[[#This Row],[BUYING PRIZE]]</f>
        <v>144</v>
      </c>
      <c r="M71" s="14">
        <f>InputData[[#This Row],[QUANTITY]]*InputData[[#This Row],[SELLING PRICE]]*(1-InputData[[#This Row],[DISCOUNT %]])</f>
        <v>159.84</v>
      </c>
      <c r="N71" s="12">
        <f>DAY(InputData[[#This Row],[DATE]])</f>
        <v>25</v>
      </c>
      <c r="O71" s="12" t="str">
        <f>TEXT(InputData[[#This Row],[DATE]],"MMM")</f>
        <v>Mar</v>
      </c>
      <c r="P71" s="12">
        <f>YEAR(InputData[[#This Row],[DATE]])</f>
        <v>2021</v>
      </c>
    </row>
    <row r="72" spans="1:16" x14ac:dyDescent="0.3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4">
        <f>VLOOKUP(InputData[[#This Row],[PRODUCT ID]],MasterData[],5,0)</f>
        <v>98</v>
      </c>
      <c r="K72" s="14">
        <f>VLOOKUP(InputData[[#This Row],[PRODUCT ID]],MasterData[],6,0)</f>
        <v>103.88</v>
      </c>
      <c r="L72" s="14">
        <f>InputData[[#This Row],[QUANTITY]]*InputData[[#This Row],[BUYING PRIZE]]</f>
        <v>392</v>
      </c>
      <c r="M72" s="14">
        <f>InputData[[#This Row],[QUANTITY]]*InputData[[#This Row],[SELLING PRICE]]*(1-InputData[[#This Row],[DISCOUNT %]])</f>
        <v>415.52</v>
      </c>
      <c r="N72" s="12">
        <f>DAY(InputData[[#This Row],[DATE]])</f>
        <v>26</v>
      </c>
      <c r="O72" s="12" t="str">
        <f>TEXT(InputData[[#This Row],[DATE]],"MMM")</f>
        <v>Mar</v>
      </c>
      <c r="P72" s="12">
        <f>YEAR(InputData[[#This Row],[DATE]])</f>
        <v>2021</v>
      </c>
    </row>
    <row r="73" spans="1:16" x14ac:dyDescent="0.3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4">
        <f>VLOOKUP(InputData[[#This Row],[PRODUCT ID]],MasterData[],5,0)</f>
        <v>120</v>
      </c>
      <c r="K73" s="14">
        <f>VLOOKUP(InputData[[#This Row],[PRODUCT ID]],MasterData[],6,0)</f>
        <v>162</v>
      </c>
      <c r="L73" s="14">
        <f>InputData[[#This Row],[QUANTITY]]*InputData[[#This Row],[BUYING PRIZE]]</f>
        <v>120</v>
      </c>
      <c r="M73" s="14">
        <f>InputData[[#This Row],[QUANTITY]]*InputData[[#This Row],[SELLING PRICE]]*(1-InputData[[#This Row],[DISCOUNT %]])</f>
        <v>162</v>
      </c>
      <c r="N73" s="12">
        <f>DAY(InputData[[#This Row],[DATE]])</f>
        <v>26</v>
      </c>
      <c r="O73" s="12" t="str">
        <f>TEXT(InputData[[#This Row],[DATE]],"MMM")</f>
        <v>Mar</v>
      </c>
      <c r="P73" s="12">
        <f>YEAR(InputData[[#This Row],[DATE]])</f>
        <v>2021</v>
      </c>
    </row>
    <row r="74" spans="1:16" x14ac:dyDescent="0.3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4">
        <f>VLOOKUP(InputData[[#This Row],[PRODUCT ID]],MasterData[],5,0)</f>
        <v>148</v>
      </c>
      <c r="K74" s="14">
        <f>VLOOKUP(InputData[[#This Row],[PRODUCT ID]],MasterData[],6,0)</f>
        <v>164.28</v>
      </c>
      <c r="L74" s="14">
        <f>InputData[[#This Row],[QUANTITY]]*InputData[[#This Row],[BUYING PRIZE]]</f>
        <v>1332</v>
      </c>
      <c r="M74" s="14">
        <f>InputData[[#This Row],[QUANTITY]]*InputData[[#This Row],[SELLING PRICE]]*(1-InputData[[#This Row],[DISCOUNT %]])</f>
        <v>1478.52</v>
      </c>
      <c r="N74" s="12">
        <f>DAY(InputData[[#This Row],[DATE]])</f>
        <v>26</v>
      </c>
      <c r="O74" s="12" t="str">
        <f>TEXT(InputData[[#This Row],[DATE]],"MMM")</f>
        <v>Mar</v>
      </c>
      <c r="P74" s="12">
        <f>YEAR(InputData[[#This Row],[DATE]])</f>
        <v>2021</v>
      </c>
    </row>
    <row r="75" spans="1:16" x14ac:dyDescent="0.3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4">
        <f>VLOOKUP(InputData[[#This Row],[PRODUCT ID]],MasterData[],5,0)</f>
        <v>148</v>
      </c>
      <c r="K75" s="14">
        <f>VLOOKUP(InputData[[#This Row],[PRODUCT ID]],MasterData[],6,0)</f>
        <v>201.28</v>
      </c>
      <c r="L75" s="14">
        <f>InputData[[#This Row],[QUANTITY]]*InputData[[#This Row],[BUYING PRIZE]]</f>
        <v>444</v>
      </c>
      <c r="M75" s="14">
        <f>InputData[[#This Row],[QUANTITY]]*InputData[[#This Row],[SELLING PRICE]]*(1-InputData[[#This Row],[DISCOUNT %]])</f>
        <v>603.84</v>
      </c>
      <c r="N75" s="12">
        <f>DAY(InputData[[#This Row],[DATE]])</f>
        <v>27</v>
      </c>
      <c r="O75" s="12" t="str">
        <f>TEXT(InputData[[#This Row],[DATE]],"MMM")</f>
        <v>Mar</v>
      </c>
      <c r="P75" s="12">
        <f>YEAR(InputData[[#This Row],[DATE]])</f>
        <v>2021</v>
      </c>
    </row>
    <row r="76" spans="1:16" x14ac:dyDescent="0.3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4">
        <f>VLOOKUP(InputData[[#This Row],[PRODUCT ID]],MasterData[],5,0)</f>
        <v>43</v>
      </c>
      <c r="K76" s="14">
        <f>VLOOKUP(InputData[[#This Row],[PRODUCT ID]],MasterData[],6,0)</f>
        <v>47.730000000000004</v>
      </c>
      <c r="L76" s="14">
        <f>InputData[[#This Row],[QUANTITY]]*InputData[[#This Row],[BUYING PRIZE]]</f>
        <v>344</v>
      </c>
      <c r="M76" s="14">
        <f>InputData[[#This Row],[QUANTITY]]*InputData[[#This Row],[SELLING PRICE]]*(1-InputData[[#This Row],[DISCOUNT %]])</f>
        <v>381.84000000000003</v>
      </c>
      <c r="N76" s="12">
        <f>DAY(InputData[[#This Row],[DATE]])</f>
        <v>28</v>
      </c>
      <c r="O76" s="12" t="str">
        <f>TEXT(InputData[[#This Row],[DATE]],"MMM")</f>
        <v>Mar</v>
      </c>
      <c r="P76" s="12">
        <f>YEAR(InputData[[#This Row],[DATE]])</f>
        <v>2021</v>
      </c>
    </row>
    <row r="77" spans="1:16" x14ac:dyDescent="0.3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4">
        <f>VLOOKUP(InputData[[#This Row],[PRODUCT ID]],MasterData[],5,0)</f>
        <v>72</v>
      </c>
      <c r="K77" s="14">
        <f>VLOOKUP(InputData[[#This Row],[PRODUCT ID]],MasterData[],6,0)</f>
        <v>79.92</v>
      </c>
      <c r="L77" s="14">
        <f>InputData[[#This Row],[QUANTITY]]*InputData[[#This Row],[BUYING PRIZE]]</f>
        <v>72</v>
      </c>
      <c r="M77" s="14">
        <f>InputData[[#This Row],[QUANTITY]]*InputData[[#This Row],[SELLING PRICE]]*(1-InputData[[#This Row],[DISCOUNT %]])</f>
        <v>79.92</v>
      </c>
      <c r="N77" s="12">
        <f>DAY(InputData[[#This Row],[DATE]])</f>
        <v>30</v>
      </c>
      <c r="O77" s="12" t="str">
        <f>TEXT(InputData[[#This Row],[DATE]],"MMM")</f>
        <v>Mar</v>
      </c>
      <c r="P77" s="12">
        <f>YEAR(InputData[[#This Row],[DATE]])</f>
        <v>2021</v>
      </c>
    </row>
    <row r="78" spans="1:16" x14ac:dyDescent="0.3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4">
        <f>VLOOKUP(InputData[[#This Row],[PRODUCT ID]],MasterData[],5,0)</f>
        <v>120</v>
      </c>
      <c r="K78" s="14">
        <f>VLOOKUP(InputData[[#This Row],[PRODUCT ID]],MasterData[],6,0)</f>
        <v>162</v>
      </c>
      <c r="L78" s="14">
        <f>InputData[[#This Row],[QUANTITY]]*InputData[[#This Row],[BUYING PRIZE]]</f>
        <v>360</v>
      </c>
      <c r="M78" s="14">
        <f>InputData[[#This Row],[QUANTITY]]*InputData[[#This Row],[SELLING PRICE]]*(1-InputData[[#This Row],[DISCOUNT %]])</f>
        <v>486</v>
      </c>
      <c r="N78" s="12">
        <f>DAY(InputData[[#This Row],[DATE]])</f>
        <v>31</v>
      </c>
      <c r="O78" s="12" t="str">
        <f>TEXT(InputData[[#This Row],[DATE]],"MMM")</f>
        <v>Mar</v>
      </c>
      <c r="P78" s="12">
        <f>YEAR(InputData[[#This Row],[DATE]])</f>
        <v>2021</v>
      </c>
    </row>
    <row r="79" spans="1:16" x14ac:dyDescent="0.3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4">
        <f>VLOOKUP(InputData[[#This Row],[PRODUCT ID]],MasterData[],5,0)</f>
        <v>90</v>
      </c>
      <c r="K79" s="14">
        <f>VLOOKUP(InputData[[#This Row],[PRODUCT ID]],MasterData[],6,0)</f>
        <v>115.2</v>
      </c>
      <c r="L79" s="14">
        <f>InputData[[#This Row],[QUANTITY]]*InputData[[#This Row],[BUYING PRIZE]]</f>
        <v>360</v>
      </c>
      <c r="M79" s="14">
        <f>InputData[[#This Row],[QUANTITY]]*InputData[[#This Row],[SELLING PRICE]]*(1-InputData[[#This Row],[DISCOUNT %]])</f>
        <v>460.8</v>
      </c>
      <c r="N79" s="12">
        <f>DAY(InputData[[#This Row],[DATE]])</f>
        <v>4</v>
      </c>
      <c r="O79" s="12" t="str">
        <f>TEXT(InputData[[#This Row],[DATE]],"MMM")</f>
        <v>Apr</v>
      </c>
      <c r="P79" s="12">
        <f>YEAR(InputData[[#This Row],[DATE]])</f>
        <v>2021</v>
      </c>
    </row>
    <row r="80" spans="1:16" x14ac:dyDescent="0.3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4">
        <f>VLOOKUP(InputData[[#This Row],[PRODUCT ID]],MasterData[],5,0)</f>
        <v>6</v>
      </c>
      <c r="K80" s="14">
        <f>VLOOKUP(InputData[[#This Row],[PRODUCT ID]],MasterData[],6,0)</f>
        <v>7.8599999999999994</v>
      </c>
      <c r="L80" s="14">
        <f>InputData[[#This Row],[QUANTITY]]*InputData[[#This Row],[BUYING PRIZE]]</f>
        <v>54</v>
      </c>
      <c r="M80" s="14">
        <f>InputData[[#This Row],[QUANTITY]]*InputData[[#This Row],[SELLING PRICE]]*(1-InputData[[#This Row],[DISCOUNT %]])</f>
        <v>70.739999999999995</v>
      </c>
      <c r="N80" s="12">
        <f>DAY(InputData[[#This Row],[DATE]])</f>
        <v>4</v>
      </c>
      <c r="O80" s="12" t="str">
        <f>TEXT(InputData[[#This Row],[DATE]],"MMM")</f>
        <v>Apr</v>
      </c>
      <c r="P80" s="12">
        <f>YEAR(InputData[[#This Row],[DATE]])</f>
        <v>2021</v>
      </c>
    </row>
    <row r="81" spans="1:16" x14ac:dyDescent="0.3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4">
        <f>VLOOKUP(InputData[[#This Row],[PRODUCT ID]],MasterData[],5,0)</f>
        <v>93</v>
      </c>
      <c r="K81" s="14">
        <f>VLOOKUP(InputData[[#This Row],[PRODUCT ID]],MasterData[],6,0)</f>
        <v>104.16</v>
      </c>
      <c r="L81" s="14">
        <f>InputData[[#This Row],[QUANTITY]]*InputData[[#This Row],[BUYING PRIZE]]</f>
        <v>1395</v>
      </c>
      <c r="M81" s="14">
        <f>InputData[[#This Row],[QUANTITY]]*InputData[[#This Row],[SELLING PRICE]]*(1-InputData[[#This Row],[DISCOUNT %]])</f>
        <v>1562.3999999999999</v>
      </c>
      <c r="N81" s="12">
        <f>DAY(InputData[[#This Row],[DATE]])</f>
        <v>5</v>
      </c>
      <c r="O81" s="12" t="str">
        <f>TEXT(InputData[[#This Row],[DATE]],"MMM")</f>
        <v>Apr</v>
      </c>
      <c r="P81" s="12">
        <f>YEAR(InputData[[#This Row],[DATE]])</f>
        <v>2021</v>
      </c>
    </row>
    <row r="82" spans="1:16" x14ac:dyDescent="0.3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4">
        <f>VLOOKUP(InputData[[#This Row],[PRODUCT ID]],MasterData[],5,0)</f>
        <v>133</v>
      </c>
      <c r="K82" s="14">
        <f>VLOOKUP(InputData[[#This Row],[PRODUCT ID]],MasterData[],6,0)</f>
        <v>155.61000000000001</v>
      </c>
      <c r="L82" s="14">
        <f>InputData[[#This Row],[QUANTITY]]*InputData[[#This Row],[BUYING PRIZE]]</f>
        <v>399</v>
      </c>
      <c r="M82" s="14">
        <f>InputData[[#This Row],[QUANTITY]]*InputData[[#This Row],[SELLING PRICE]]*(1-InputData[[#This Row],[DISCOUNT %]])</f>
        <v>466.83000000000004</v>
      </c>
      <c r="N82" s="12">
        <f>DAY(InputData[[#This Row],[DATE]])</f>
        <v>9</v>
      </c>
      <c r="O82" s="12" t="str">
        <f>TEXT(InputData[[#This Row],[DATE]],"MMM")</f>
        <v>Apr</v>
      </c>
      <c r="P82" s="12">
        <f>YEAR(InputData[[#This Row],[DATE]])</f>
        <v>2021</v>
      </c>
    </row>
    <row r="83" spans="1:16" x14ac:dyDescent="0.3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4">
        <f>VLOOKUP(InputData[[#This Row],[PRODUCT ID]],MasterData[],5,0)</f>
        <v>121</v>
      </c>
      <c r="K83" s="14">
        <f>VLOOKUP(InputData[[#This Row],[PRODUCT ID]],MasterData[],6,0)</f>
        <v>141.57</v>
      </c>
      <c r="L83" s="14">
        <f>InputData[[#This Row],[QUANTITY]]*InputData[[#This Row],[BUYING PRIZE]]</f>
        <v>1694</v>
      </c>
      <c r="M83" s="14">
        <f>InputData[[#This Row],[QUANTITY]]*InputData[[#This Row],[SELLING PRICE]]*(1-InputData[[#This Row],[DISCOUNT %]])</f>
        <v>1981.98</v>
      </c>
      <c r="N83" s="12">
        <f>DAY(InputData[[#This Row],[DATE]])</f>
        <v>10</v>
      </c>
      <c r="O83" s="12" t="str">
        <f>TEXT(InputData[[#This Row],[DATE]],"MMM")</f>
        <v>Apr</v>
      </c>
      <c r="P83" s="12">
        <f>YEAR(InputData[[#This Row],[DATE]])</f>
        <v>2021</v>
      </c>
    </row>
    <row r="84" spans="1:16" x14ac:dyDescent="0.3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4">
        <f>VLOOKUP(InputData[[#This Row],[PRODUCT ID]],MasterData[],5,0)</f>
        <v>67</v>
      </c>
      <c r="K84" s="14">
        <f>VLOOKUP(InputData[[#This Row],[PRODUCT ID]],MasterData[],6,0)</f>
        <v>85.76</v>
      </c>
      <c r="L84" s="14">
        <f>InputData[[#This Row],[QUANTITY]]*InputData[[#This Row],[BUYING PRIZE]]</f>
        <v>201</v>
      </c>
      <c r="M84" s="14">
        <f>InputData[[#This Row],[QUANTITY]]*InputData[[#This Row],[SELLING PRICE]]*(1-InputData[[#This Row],[DISCOUNT %]])</f>
        <v>257.28000000000003</v>
      </c>
      <c r="N84" s="12">
        <f>DAY(InputData[[#This Row],[DATE]])</f>
        <v>12</v>
      </c>
      <c r="O84" s="12" t="str">
        <f>TEXT(InputData[[#This Row],[DATE]],"MMM")</f>
        <v>Apr</v>
      </c>
      <c r="P84" s="12">
        <f>YEAR(InputData[[#This Row],[DATE]])</f>
        <v>2021</v>
      </c>
    </row>
    <row r="85" spans="1:16" x14ac:dyDescent="0.3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4">
        <f>VLOOKUP(InputData[[#This Row],[PRODUCT ID]],MasterData[],5,0)</f>
        <v>47</v>
      </c>
      <c r="K85" s="14">
        <f>VLOOKUP(InputData[[#This Row],[PRODUCT ID]],MasterData[],6,0)</f>
        <v>53.11</v>
      </c>
      <c r="L85" s="14">
        <f>InputData[[#This Row],[QUANTITY]]*InputData[[#This Row],[BUYING PRIZE]]</f>
        <v>188</v>
      </c>
      <c r="M85" s="14">
        <f>InputData[[#This Row],[QUANTITY]]*InputData[[#This Row],[SELLING PRICE]]*(1-InputData[[#This Row],[DISCOUNT %]])</f>
        <v>212.44</v>
      </c>
      <c r="N85" s="12">
        <f>DAY(InputData[[#This Row],[DATE]])</f>
        <v>12</v>
      </c>
      <c r="O85" s="12" t="str">
        <f>TEXT(InputData[[#This Row],[DATE]],"MMM")</f>
        <v>Apr</v>
      </c>
      <c r="P85" s="12">
        <f>YEAR(InputData[[#This Row],[DATE]])</f>
        <v>2021</v>
      </c>
    </row>
    <row r="86" spans="1:16" x14ac:dyDescent="0.3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4">
        <f>VLOOKUP(InputData[[#This Row],[PRODUCT ID]],MasterData[],5,0)</f>
        <v>48</v>
      </c>
      <c r="K86" s="14">
        <f>VLOOKUP(InputData[[#This Row],[PRODUCT ID]],MasterData[],6,0)</f>
        <v>57.120000000000005</v>
      </c>
      <c r="L86" s="14">
        <f>InputData[[#This Row],[QUANTITY]]*InputData[[#This Row],[BUYING PRIZE]]</f>
        <v>432</v>
      </c>
      <c r="M86" s="14">
        <f>InputData[[#This Row],[QUANTITY]]*InputData[[#This Row],[SELLING PRICE]]*(1-InputData[[#This Row],[DISCOUNT %]])</f>
        <v>514.08000000000004</v>
      </c>
      <c r="N86" s="12">
        <f>DAY(InputData[[#This Row],[DATE]])</f>
        <v>12</v>
      </c>
      <c r="O86" s="12" t="str">
        <f>TEXT(InputData[[#This Row],[DATE]],"MMM")</f>
        <v>Apr</v>
      </c>
      <c r="P86" s="12">
        <f>YEAR(InputData[[#This Row],[DATE]])</f>
        <v>2021</v>
      </c>
    </row>
    <row r="87" spans="1:16" x14ac:dyDescent="0.3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4">
        <f>VLOOKUP(InputData[[#This Row],[PRODUCT ID]],MasterData[],5,0)</f>
        <v>95</v>
      </c>
      <c r="K87" s="14">
        <f>VLOOKUP(InputData[[#This Row],[PRODUCT ID]],MasterData[],6,0)</f>
        <v>119.7</v>
      </c>
      <c r="L87" s="14">
        <f>InputData[[#This Row],[QUANTITY]]*InputData[[#This Row],[BUYING PRIZE]]</f>
        <v>1235</v>
      </c>
      <c r="M87" s="14">
        <f>InputData[[#This Row],[QUANTITY]]*InputData[[#This Row],[SELLING PRICE]]*(1-InputData[[#This Row],[DISCOUNT %]])</f>
        <v>1556.1000000000001</v>
      </c>
      <c r="N87" s="12">
        <f>DAY(InputData[[#This Row],[DATE]])</f>
        <v>12</v>
      </c>
      <c r="O87" s="12" t="str">
        <f>TEXT(InputData[[#This Row],[DATE]],"MMM")</f>
        <v>Apr</v>
      </c>
      <c r="P87" s="12">
        <f>YEAR(InputData[[#This Row],[DATE]])</f>
        <v>2021</v>
      </c>
    </row>
    <row r="88" spans="1:16" x14ac:dyDescent="0.3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4">
        <f>VLOOKUP(InputData[[#This Row],[PRODUCT ID]],MasterData[],5,0)</f>
        <v>134</v>
      </c>
      <c r="K88" s="14">
        <f>VLOOKUP(InputData[[#This Row],[PRODUCT ID]],MasterData[],6,0)</f>
        <v>156.78</v>
      </c>
      <c r="L88" s="14">
        <f>InputData[[#This Row],[QUANTITY]]*InputData[[#This Row],[BUYING PRIZE]]</f>
        <v>402</v>
      </c>
      <c r="M88" s="14">
        <f>InputData[[#This Row],[QUANTITY]]*InputData[[#This Row],[SELLING PRICE]]*(1-InputData[[#This Row],[DISCOUNT %]])</f>
        <v>470.34000000000003</v>
      </c>
      <c r="N88" s="12">
        <f>DAY(InputData[[#This Row],[DATE]])</f>
        <v>15</v>
      </c>
      <c r="O88" s="12" t="str">
        <f>TEXT(InputData[[#This Row],[DATE]],"MMM")</f>
        <v>Apr</v>
      </c>
      <c r="P88" s="12">
        <f>YEAR(InputData[[#This Row],[DATE]])</f>
        <v>2021</v>
      </c>
    </row>
    <row r="89" spans="1:16" x14ac:dyDescent="0.3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4">
        <f>VLOOKUP(InputData[[#This Row],[PRODUCT ID]],MasterData[],5,0)</f>
        <v>37</v>
      </c>
      <c r="K89" s="14">
        <f>VLOOKUP(InputData[[#This Row],[PRODUCT ID]],MasterData[],6,0)</f>
        <v>49.21</v>
      </c>
      <c r="L89" s="14">
        <f>InputData[[#This Row],[QUANTITY]]*InputData[[#This Row],[BUYING PRIZE]]</f>
        <v>555</v>
      </c>
      <c r="M89" s="14">
        <f>InputData[[#This Row],[QUANTITY]]*InputData[[#This Row],[SELLING PRICE]]*(1-InputData[[#This Row],[DISCOUNT %]])</f>
        <v>738.15</v>
      </c>
      <c r="N89" s="12">
        <f>DAY(InputData[[#This Row],[DATE]])</f>
        <v>16</v>
      </c>
      <c r="O89" s="12" t="str">
        <f>TEXT(InputData[[#This Row],[DATE]],"MMM")</f>
        <v>Apr</v>
      </c>
      <c r="P89" s="12">
        <f>YEAR(InputData[[#This Row],[DATE]])</f>
        <v>2021</v>
      </c>
    </row>
    <row r="90" spans="1:16" x14ac:dyDescent="0.3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4">
        <f>VLOOKUP(InputData[[#This Row],[PRODUCT ID]],MasterData[],5,0)</f>
        <v>72</v>
      </c>
      <c r="K90" s="14">
        <f>VLOOKUP(InputData[[#This Row],[PRODUCT ID]],MasterData[],6,0)</f>
        <v>79.92</v>
      </c>
      <c r="L90" s="14">
        <f>InputData[[#This Row],[QUANTITY]]*InputData[[#This Row],[BUYING PRIZE]]</f>
        <v>648</v>
      </c>
      <c r="M90" s="14">
        <f>InputData[[#This Row],[QUANTITY]]*InputData[[#This Row],[SELLING PRICE]]*(1-InputData[[#This Row],[DISCOUNT %]])</f>
        <v>719.28</v>
      </c>
      <c r="N90" s="12">
        <f>DAY(InputData[[#This Row],[DATE]])</f>
        <v>18</v>
      </c>
      <c r="O90" s="12" t="str">
        <f>TEXT(InputData[[#This Row],[DATE]],"MMM")</f>
        <v>Apr</v>
      </c>
      <c r="P90" s="12">
        <f>YEAR(InputData[[#This Row],[DATE]])</f>
        <v>2021</v>
      </c>
    </row>
    <row r="91" spans="1:16" x14ac:dyDescent="0.3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4">
        <f>VLOOKUP(InputData[[#This Row],[PRODUCT ID]],MasterData[],5,0)</f>
        <v>150</v>
      </c>
      <c r="K91" s="14">
        <f>VLOOKUP(InputData[[#This Row],[PRODUCT ID]],MasterData[],6,0)</f>
        <v>210</v>
      </c>
      <c r="L91" s="14">
        <f>InputData[[#This Row],[QUANTITY]]*InputData[[#This Row],[BUYING PRIZE]]</f>
        <v>1950</v>
      </c>
      <c r="M91" s="14">
        <f>InputData[[#This Row],[QUANTITY]]*InputData[[#This Row],[SELLING PRICE]]*(1-InputData[[#This Row],[DISCOUNT %]])</f>
        <v>2730</v>
      </c>
      <c r="N91" s="12">
        <f>DAY(InputData[[#This Row],[DATE]])</f>
        <v>18</v>
      </c>
      <c r="O91" s="12" t="str">
        <f>TEXT(InputData[[#This Row],[DATE]],"MMM")</f>
        <v>Apr</v>
      </c>
      <c r="P91" s="12">
        <f>YEAR(InputData[[#This Row],[DATE]])</f>
        <v>2021</v>
      </c>
    </row>
    <row r="92" spans="1:16" x14ac:dyDescent="0.3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4">
        <f>VLOOKUP(InputData[[#This Row],[PRODUCT ID]],MasterData[],5,0)</f>
        <v>120</v>
      </c>
      <c r="K92" s="14">
        <f>VLOOKUP(InputData[[#This Row],[PRODUCT ID]],MasterData[],6,0)</f>
        <v>162</v>
      </c>
      <c r="L92" s="14">
        <f>InputData[[#This Row],[QUANTITY]]*InputData[[#This Row],[BUYING PRIZE]]</f>
        <v>720</v>
      </c>
      <c r="M92" s="14">
        <f>InputData[[#This Row],[QUANTITY]]*InputData[[#This Row],[SELLING PRICE]]*(1-InputData[[#This Row],[DISCOUNT %]])</f>
        <v>972</v>
      </c>
      <c r="N92" s="12">
        <f>DAY(InputData[[#This Row],[DATE]])</f>
        <v>23</v>
      </c>
      <c r="O92" s="12" t="str">
        <f>TEXT(InputData[[#This Row],[DATE]],"MMM")</f>
        <v>Apr</v>
      </c>
      <c r="P92" s="12">
        <f>YEAR(InputData[[#This Row],[DATE]])</f>
        <v>2021</v>
      </c>
    </row>
    <row r="93" spans="1:16" x14ac:dyDescent="0.3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4">
        <f>VLOOKUP(InputData[[#This Row],[PRODUCT ID]],MasterData[],5,0)</f>
        <v>37</v>
      </c>
      <c r="K93" s="14">
        <f>VLOOKUP(InputData[[#This Row],[PRODUCT ID]],MasterData[],6,0)</f>
        <v>41.81</v>
      </c>
      <c r="L93" s="14">
        <f>InputData[[#This Row],[QUANTITY]]*InputData[[#This Row],[BUYING PRIZE]]</f>
        <v>370</v>
      </c>
      <c r="M93" s="14">
        <f>InputData[[#This Row],[QUANTITY]]*InputData[[#This Row],[SELLING PRICE]]*(1-InputData[[#This Row],[DISCOUNT %]])</f>
        <v>418.1</v>
      </c>
      <c r="N93" s="12">
        <f>DAY(InputData[[#This Row],[DATE]])</f>
        <v>23</v>
      </c>
      <c r="O93" s="12" t="str">
        <f>TEXT(InputData[[#This Row],[DATE]],"MMM")</f>
        <v>Apr</v>
      </c>
      <c r="P93" s="12">
        <f>YEAR(InputData[[#This Row],[DATE]])</f>
        <v>2021</v>
      </c>
    </row>
    <row r="94" spans="1:16" x14ac:dyDescent="0.3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4">
        <f>VLOOKUP(InputData[[#This Row],[PRODUCT ID]],MasterData[],5,0)</f>
        <v>148</v>
      </c>
      <c r="K94" s="14">
        <f>VLOOKUP(InputData[[#This Row],[PRODUCT ID]],MasterData[],6,0)</f>
        <v>201.28</v>
      </c>
      <c r="L94" s="14">
        <f>InputData[[#This Row],[QUANTITY]]*InputData[[#This Row],[BUYING PRIZE]]</f>
        <v>296</v>
      </c>
      <c r="M94" s="14">
        <f>InputData[[#This Row],[QUANTITY]]*InputData[[#This Row],[SELLING PRICE]]*(1-InputData[[#This Row],[DISCOUNT %]])</f>
        <v>402.56</v>
      </c>
      <c r="N94" s="12">
        <f>DAY(InputData[[#This Row],[DATE]])</f>
        <v>24</v>
      </c>
      <c r="O94" s="12" t="str">
        <f>TEXT(InputData[[#This Row],[DATE]],"MMM")</f>
        <v>Apr</v>
      </c>
      <c r="P94" s="12">
        <f>YEAR(InputData[[#This Row],[DATE]])</f>
        <v>2021</v>
      </c>
    </row>
    <row r="95" spans="1:16" x14ac:dyDescent="0.3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4">
        <f>VLOOKUP(InputData[[#This Row],[PRODUCT ID]],MasterData[],5,0)</f>
        <v>67</v>
      </c>
      <c r="K95" s="14">
        <f>VLOOKUP(InputData[[#This Row],[PRODUCT ID]],MasterData[],6,0)</f>
        <v>85.76</v>
      </c>
      <c r="L95" s="14">
        <f>InputData[[#This Row],[QUANTITY]]*InputData[[#This Row],[BUYING PRIZE]]</f>
        <v>201</v>
      </c>
      <c r="M95" s="14">
        <f>InputData[[#This Row],[QUANTITY]]*InputData[[#This Row],[SELLING PRICE]]*(1-InputData[[#This Row],[DISCOUNT %]])</f>
        <v>257.28000000000003</v>
      </c>
      <c r="N95" s="12">
        <f>DAY(InputData[[#This Row],[DATE]])</f>
        <v>26</v>
      </c>
      <c r="O95" s="12" t="str">
        <f>TEXT(InputData[[#This Row],[DATE]],"MMM")</f>
        <v>Apr</v>
      </c>
      <c r="P95" s="12">
        <f>YEAR(InputData[[#This Row],[DATE]])</f>
        <v>2021</v>
      </c>
    </row>
    <row r="96" spans="1:16" x14ac:dyDescent="0.3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4">
        <f>VLOOKUP(InputData[[#This Row],[PRODUCT ID]],MasterData[],5,0)</f>
        <v>148</v>
      </c>
      <c r="K96" s="14">
        <f>VLOOKUP(InputData[[#This Row],[PRODUCT ID]],MasterData[],6,0)</f>
        <v>201.28</v>
      </c>
      <c r="L96" s="14">
        <f>InputData[[#This Row],[QUANTITY]]*InputData[[#This Row],[BUYING PRIZE]]</f>
        <v>1036</v>
      </c>
      <c r="M96" s="14">
        <f>InputData[[#This Row],[QUANTITY]]*InputData[[#This Row],[SELLING PRICE]]*(1-InputData[[#This Row],[DISCOUNT %]])</f>
        <v>1408.96</v>
      </c>
      <c r="N96" s="12">
        <f>DAY(InputData[[#This Row],[DATE]])</f>
        <v>29</v>
      </c>
      <c r="O96" s="12" t="str">
        <f>TEXT(InputData[[#This Row],[DATE]],"MMM")</f>
        <v>Apr</v>
      </c>
      <c r="P96" s="12">
        <f>YEAR(InputData[[#This Row],[DATE]])</f>
        <v>2021</v>
      </c>
    </row>
    <row r="97" spans="1:16" x14ac:dyDescent="0.3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4">
        <f>VLOOKUP(InputData[[#This Row],[PRODUCT ID]],MasterData[],5,0)</f>
        <v>47</v>
      </c>
      <c r="K97" s="14">
        <f>VLOOKUP(InputData[[#This Row],[PRODUCT ID]],MasterData[],6,0)</f>
        <v>53.11</v>
      </c>
      <c r="L97" s="14">
        <f>InputData[[#This Row],[QUANTITY]]*InputData[[#This Row],[BUYING PRIZE]]</f>
        <v>47</v>
      </c>
      <c r="M97" s="14">
        <f>InputData[[#This Row],[QUANTITY]]*InputData[[#This Row],[SELLING PRICE]]*(1-InputData[[#This Row],[DISCOUNT %]])</f>
        <v>53.11</v>
      </c>
      <c r="N97" s="12">
        <f>DAY(InputData[[#This Row],[DATE]])</f>
        <v>30</v>
      </c>
      <c r="O97" s="12" t="str">
        <f>TEXT(InputData[[#This Row],[DATE]],"MMM")</f>
        <v>Apr</v>
      </c>
      <c r="P97" s="12">
        <f>YEAR(InputData[[#This Row],[DATE]])</f>
        <v>2021</v>
      </c>
    </row>
    <row r="98" spans="1:16" x14ac:dyDescent="0.3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4">
        <f>VLOOKUP(InputData[[#This Row],[PRODUCT ID]],MasterData[],5,0)</f>
        <v>37</v>
      </c>
      <c r="K98" s="14">
        <f>VLOOKUP(InputData[[#This Row],[PRODUCT ID]],MasterData[],6,0)</f>
        <v>49.21</v>
      </c>
      <c r="L98" s="14">
        <f>InputData[[#This Row],[QUANTITY]]*InputData[[#This Row],[BUYING PRIZE]]</f>
        <v>111</v>
      </c>
      <c r="M98" s="14">
        <f>InputData[[#This Row],[QUANTITY]]*InputData[[#This Row],[SELLING PRICE]]*(1-InputData[[#This Row],[DISCOUNT %]])</f>
        <v>147.63</v>
      </c>
      <c r="N98" s="12">
        <f>DAY(InputData[[#This Row],[DATE]])</f>
        <v>1</v>
      </c>
      <c r="O98" s="12" t="str">
        <f>TEXT(InputData[[#This Row],[DATE]],"MMM")</f>
        <v>May</v>
      </c>
      <c r="P98" s="12">
        <f>YEAR(InputData[[#This Row],[DATE]])</f>
        <v>2021</v>
      </c>
    </row>
    <row r="99" spans="1:16" x14ac:dyDescent="0.3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4">
        <f>VLOOKUP(InputData[[#This Row],[PRODUCT ID]],MasterData[],5,0)</f>
        <v>120</v>
      </c>
      <c r="K99" s="14">
        <f>VLOOKUP(InputData[[#This Row],[PRODUCT ID]],MasterData[],6,0)</f>
        <v>162</v>
      </c>
      <c r="L99" s="14">
        <f>InputData[[#This Row],[QUANTITY]]*InputData[[#This Row],[BUYING PRIZE]]</f>
        <v>120</v>
      </c>
      <c r="M99" s="14">
        <f>InputData[[#This Row],[QUANTITY]]*InputData[[#This Row],[SELLING PRICE]]*(1-InputData[[#This Row],[DISCOUNT %]])</f>
        <v>162</v>
      </c>
      <c r="N99" s="12">
        <f>DAY(InputData[[#This Row],[DATE]])</f>
        <v>1</v>
      </c>
      <c r="O99" s="12" t="str">
        <f>TEXT(InputData[[#This Row],[DATE]],"MMM")</f>
        <v>May</v>
      </c>
      <c r="P99" s="12">
        <f>YEAR(InputData[[#This Row],[DATE]])</f>
        <v>2021</v>
      </c>
    </row>
    <row r="100" spans="1:16" x14ac:dyDescent="0.3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4">
        <f>VLOOKUP(InputData[[#This Row],[PRODUCT ID]],MasterData[],5,0)</f>
        <v>55</v>
      </c>
      <c r="K100" s="14">
        <f>VLOOKUP(InputData[[#This Row],[PRODUCT ID]],MasterData[],6,0)</f>
        <v>58.3</v>
      </c>
      <c r="L100" s="14">
        <f>InputData[[#This Row],[QUANTITY]]*InputData[[#This Row],[BUYING PRIZE]]</f>
        <v>165</v>
      </c>
      <c r="M100" s="14">
        <f>InputData[[#This Row],[QUANTITY]]*InputData[[#This Row],[SELLING PRICE]]*(1-InputData[[#This Row],[DISCOUNT %]])</f>
        <v>174.89999999999998</v>
      </c>
      <c r="N100" s="12">
        <f>DAY(InputData[[#This Row],[DATE]])</f>
        <v>3</v>
      </c>
      <c r="O100" s="12" t="str">
        <f>TEXT(InputData[[#This Row],[DATE]],"MMM")</f>
        <v>May</v>
      </c>
      <c r="P100" s="12">
        <f>YEAR(InputData[[#This Row],[DATE]])</f>
        <v>2021</v>
      </c>
    </row>
    <row r="101" spans="1:16" x14ac:dyDescent="0.3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4">
        <f>VLOOKUP(InputData[[#This Row],[PRODUCT ID]],MasterData[],5,0)</f>
        <v>12</v>
      </c>
      <c r="K101" s="14">
        <f>VLOOKUP(InputData[[#This Row],[PRODUCT ID]],MasterData[],6,0)</f>
        <v>15.719999999999999</v>
      </c>
      <c r="L101" s="14">
        <f>InputData[[#This Row],[QUANTITY]]*InputData[[#This Row],[BUYING PRIZE]]</f>
        <v>156</v>
      </c>
      <c r="M101" s="14">
        <f>InputData[[#This Row],[QUANTITY]]*InputData[[#This Row],[SELLING PRICE]]*(1-InputData[[#This Row],[DISCOUNT %]])</f>
        <v>204.35999999999999</v>
      </c>
      <c r="N101" s="12">
        <f>DAY(InputData[[#This Row],[DATE]])</f>
        <v>4</v>
      </c>
      <c r="O101" s="12" t="str">
        <f>TEXT(InputData[[#This Row],[DATE]],"MMM")</f>
        <v>May</v>
      </c>
      <c r="P101" s="12">
        <f>YEAR(InputData[[#This Row],[DATE]])</f>
        <v>2021</v>
      </c>
    </row>
    <row r="102" spans="1:16" x14ac:dyDescent="0.3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4">
        <f>VLOOKUP(InputData[[#This Row],[PRODUCT ID]],MasterData[],5,0)</f>
        <v>112</v>
      </c>
      <c r="K102" s="14">
        <f>VLOOKUP(InputData[[#This Row],[PRODUCT ID]],MasterData[],6,0)</f>
        <v>146.72</v>
      </c>
      <c r="L102" s="14">
        <f>InputData[[#This Row],[QUANTITY]]*InputData[[#This Row],[BUYING PRIZE]]</f>
        <v>448</v>
      </c>
      <c r="M102" s="14">
        <f>InputData[[#This Row],[QUANTITY]]*InputData[[#This Row],[SELLING PRICE]]*(1-InputData[[#This Row],[DISCOUNT %]])</f>
        <v>586.88</v>
      </c>
      <c r="N102" s="12">
        <f>DAY(InputData[[#This Row],[DATE]])</f>
        <v>4</v>
      </c>
      <c r="O102" s="12" t="str">
        <f>TEXT(InputData[[#This Row],[DATE]],"MMM")</f>
        <v>May</v>
      </c>
      <c r="P102" s="12">
        <f>YEAR(InputData[[#This Row],[DATE]])</f>
        <v>2021</v>
      </c>
    </row>
    <row r="103" spans="1:16" x14ac:dyDescent="0.3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4">
        <f>VLOOKUP(InputData[[#This Row],[PRODUCT ID]],MasterData[],5,0)</f>
        <v>6</v>
      </c>
      <c r="K103" s="14">
        <f>VLOOKUP(InputData[[#This Row],[PRODUCT ID]],MasterData[],6,0)</f>
        <v>7.8599999999999994</v>
      </c>
      <c r="L103" s="14">
        <f>InputData[[#This Row],[QUANTITY]]*InputData[[#This Row],[BUYING PRIZE]]</f>
        <v>78</v>
      </c>
      <c r="M103" s="14">
        <f>InputData[[#This Row],[QUANTITY]]*InputData[[#This Row],[SELLING PRICE]]*(1-InputData[[#This Row],[DISCOUNT %]])</f>
        <v>102.17999999999999</v>
      </c>
      <c r="N103" s="12">
        <f>DAY(InputData[[#This Row],[DATE]])</f>
        <v>5</v>
      </c>
      <c r="O103" s="12" t="str">
        <f>TEXT(InputData[[#This Row],[DATE]],"MMM")</f>
        <v>May</v>
      </c>
      <c r="P103" s="12">
        <f>YEAR(InputData[[#This Row],[DATE]])</f>
        <v>2021</v>
      </c>
    </row>
    <row r="104" spans="1:16" x14ac:dyDescent="0.3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4">
        <f>VLOOKUP(InputData[[#This Row],[PRODUCT ID]],MasterData[],5,0)</f>
        <v>83</v>
      </c>
      <c r="K104" s="14">
        <f>VLOOKUP(InputData[[#This Row],[PRODUCT ID]],MasterData[],6,0)</f>
        <v>94.62</v>
      </c>
      <c r="L104" s="14">
        <f>InputData[[#This Row],[QUANTITY]]*InputData[[#This Row],[BUYING PRIZE]]</f>
        <v>1245</v>
      </c>
      <c r="M104" s="14">
        <f>InputData[[#This Row],[QUANTITY]]*InputData[[#This Row],[SELLING PRICE]]*(1-InputData[[#This Row],[DISCOUNT %]])</f>
        <v>1419.3000000000002</v>
      </c>
      <c r="N104" s="12">
        <f>DAY(InputData[[#This Row],[DATE]])</f>
        <v>6</v>
      </c>
      <c r="O104" s="12" t="str">
        <f>TEXT(InputData[[#This Row],[DATE]],"MMM")</f>
        <v>May</v>
      </c>
      <c r="P104" s="12">
        <f>YEAR(InputData[[#This Row],[DATE]])</f>
        <v>2021</v>
      </c>
    </row>
    <row r="105" spans="1:16" x14ac:dyDescent="0.3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4">
        <f>VLOOKUP(InputData[[#This Row],[PRODUCT ID]],MasterData[],5,0)</f>
        <v>6</v>
      </c>
      <c r="K105" s="14">
        <f>VLOOKUP(InputData[[#This Row],[PRODUCT ID]],MasterData[],6,0)</f>
        <v>7.8599999999999994</v>
      </c>
      <c r="L105" s="14">
        <f>InputData[[#This Row],[QUANTITY]]*InputData[[#This Row],[BUYING PRIZE]]</f>
        <v>36</v>
      </c>
      <c r="M105" s="14">
        <f>InputData[[#This Row],[QUANTITY]]*InputData[[#This Row],[SELLING PRICE]]*(1-InputData[[#This Row],[DISCOUNT %]])</f>
        <v>47.16</v>
      </c>
      <c r="N105" s="12">
        <f>DAY(InputData[[#This Row],[DATE]])</f>
        <v>6</v>
      </c>
      <c r="O105" s="12" t="str">
        <f>TEXT(InputData[[#This Row],[DATE]],"MMM")</f>
        <v>May</v>
      </c>
      <c r="P105" s="12">
        <f>YEAR(InputData[[#This Row],[DATE]])</f>
        <v>2021</v>
      </c>
    </row>
    <row r="106" spans="1:16" x14ac:dyDescent="0.3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4">
        <f>VLOOKUP(InputData[[#This Row],[PRODUCT ID]],MasterData[],5,0)</f>
        <v>37</v>
      </c>
      <c r="K106" s="14">
        <f>VLOOKUP(InputData[[#This Row],[PRODUCT ID]],MasterData[],6,0)</f>
        <v>49.21</v>
      </c>
      <c r="L106" s="14">
        <f>InputData[[#This Row],[QUANTITY]]*InputData[[#This Row],[BUYING PRIZE]]</f>
        <v>37</v>
      </c>
      <c r="M106" s="14">
        <f>InputData[[#This Row],[QUANTITY]]*InputData[[#This Row],[SELLING PRICE]]*(1-InputData[[#This Row],[DISCOUNT %]])</f>
        <v>49.21</v>
      </c>
      <c r="N106" s="12">
        <f>DAY(InputData[[#This Row],[DATE]])</f>
        <v>7</v>
      </c>
      <c r="O106" s="12" t="str">
        <f>TEXT(InputData[[#This Row],[DATE]],"MMM")</f>
        <v>May</v>
      </c>
      <c r="P106" s="12">
        <f>YEAR(InputData[[#This Row],[DATE]])</f>
        <v>2021</v>
      </c>
    </row>
    <row r="107" spans="1:16" x14ac:dyDescent="0.3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4">
        <f>VLOOKUP(InputData[[#This Row],[PRODUCT ID]],MasterData[],5,0)</f>
        <v>13</v>
      </c>
      <c r="K107" s="14">
        <f>VLOOKUP(InputData[[#This Row],[PRODUCT ID]],MasterData[],6,0)</f>
        <v>16.64</v>
      </c>
      <c r="L107" s="14">
        <f>InputData[[#This Row],[QUANTITY]]*InputData[[#This Row],[BUYING PRIZE]]</f>
        <v>78</v>
      </c>
      <c r="M107" s="14">
        <f>InputData[[#This Row],[QUANTITY]]*InputData[[#This Row],[SELLING PRICE]]*(1-InputData[[#This Row],[DISCOUNT %]])</f>
        <v>99.84</v>
      </c>
      <c r="N107" s="12">
        <f>DAY(InputData[[#This Row],[DATE]])</f>
        <v>9</v>
      </c>
      <c r="O107" s="12" t="str">
        <f>TEXT(InputData[[#This Row],[DATE]],"MMM")</f>
        <v>May</v>
      </c>
      <c r="P107" s="12">
        <f>YEAR(InputData[[#This Row],[DATE]])</f>
        <v>2021</v>
      </c>
    </row>
    <row r="108" spans="1:16" x14ac:dyDescent="0.3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4">
        <f>VLOOKUP(InputData[[#This Row],[PRODUCT ID]],MasterData[],5,0)</f>
        <v>37</v>
      </c>
      <c r="K108" s="14">
        <f>VLOOKUP(InputData[[#This Row],[PRODUCT ID]],MasterData[],6,0)</f>
        <v>41.81</v>
      </c>
      <c r="L108" s="14">
        <f>InputData[[#This Row],[QUANTITY]]*InputData[[#This Row],[BUYING PRIZE]]</f>
        <v>296</v>
      </c>
      <c r="M108" s="14">
        <f>InputData[[#This Row],[QUANTITY]]*InputData[[#This Row],[SELLING PRICE]]*(1-InputData[[#This Row],[DISCOUNT %]])</f>
        <v>334.48</v>
      </c>
      <c r="N108" s="12">
        <f>DAY(InputData[[#This Row],[DATE]])</f>
        <v>9</v>
      </c>
      <c r="O108" s="12" t="str">
        <f>TEXT(InputData[[#This Row],[DATE]],"MMM")</f>
        <v>May</v>
      </c>
      <c r="P108" s="12">
        <f>YEAR(InputData[[#This Row],[DATE]])</f>
        <v>2021</v>
      </c>
    </row>
    <row r="109" spans="1:16" x14ac:dyDescent="0.3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4">
        <f>VLOOKUP(InputData[[#This Row],[PRODUCT ID]],MasterData[],5,0)</f>
        <v>13</v>
      </c>
      <c r="K109" s="14">
        <f>VLOOKUP(InputData[[#This Row],[PRODUCT ID]],MasterData[],6,0)</f>
        <v>16.64</v>
      </c>
      <c r="L109" s="14">
        <f>InputData[[#This Row],[QUANTITY]]*InputData[[#This Row],[BUYING PRIZE]]</f>
        <v>39</v>
      </c>
      <c r="M109" s="14">
        <f>InputData[[#This Row],[QUANTITY]]*InputData[[#This Row],[SELLING PRICE]]*(1-InputData[[#This Row],[DISCOUNT %]])</f>
        <v>49.92</v>
      </c>
      <c r="N109" s="12">
        <f>DAY(InputData[[#This Row],[DATE]])</f>
        <v>12</v>
      </c>
      <c r="O109" s="12" t="str">
        <f>TEXT(InputData[[#This Row],[DATE]],"MMM")</f>
        <v>May</v>
      </c>
      <c r="P109" s="12">
        <f>YEAR(InputData[[#This Row],[DATE]])</f>
        <v>2021</v>
      </c>
    </row>
    <row r="110" spans="1:16" x14ac:dyDescent="0.3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4">
        <f>VLOOKUP(InputData[[#This Row],[PRODUCT ID]],MasterData[],5,0)</f>
        <v>5</v>
      </c>
      <c r="K110" s="14">
        <f>VLOOKUP(InputData[[#This Row],[PRODUCT ID]],MasterData[],6,0)</f>
        <v>6.7</v>
      </c>
      <c r="L110" s="14">
        <f>InputData[[#This Row],[QUANTITY]]*InputData[[#This Row],[BUYING PRIZE]]</f>
        <v>75</v>
      </c>
      <c r="M110" s="14">
        <f>InputData[[#This Row],[QUANTITY]]*InputData[[#This Row],[SELLING PRICE]]*(1-InputData[[#This Row],[DISCOUNT %]])</f>
        <v>100.5</v>
      </c>
      <c r="N110" s="12">
        <f>DAY(InputData[[#This Row],[DATE]])</f>
        <v>12</v>
      </c>
      <c r="O110" s="12" t="str">
        <f>TEXT(InputData[[#This Row],[DATE]],"MMM")</f>
        <v>May</v>
      </c>
      <c r="P110" s="12">
        <f>YEAR(InputData[[#This Row],[DATE]])</f>
        <v>2021</v>
      </c>
    </row>
    <row r="111" spans="1:16" x14ac:dyDescent="0.3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4">
        <f>VLOOKUP(InputData[[#This Row],[PRODUCT ID]],MasterData[],5,0)</f>
        <v>47</v>
      </c>
      <c r="K111" s="14">
        <f>VLOOKUP(InputData[[#This Row],[PRODUCT ID]],MasterData[],6,0)</f>
        <v>53.11</v>
      </c>
      <c r="L111" s="14">
        <f>InputData[[#This Row],[QUANTITY]]*InputData[[#This Row],[BUYING PRIZE]]</f>
        <v>188</v>
      </c>
      <c r="M111" s="14">
        <f>InputData[[#This Row],[QUANTITY]]*InputData[[#This Row],[SELLING PRICE]]*(1-InputData[[#This Row],[DISCOUNT %]])</f>
        <v>212.44</v>
      </c>
      <c r="N111" s="12">
        <f>DAY(InputData[[#This Row],[DATE]])</f>
        <v>13</v>
      </c>
      <c r="O111" s="12" t="str">
        <f>TEXT(InputData[[#This Row],[DATE]],"MMM")</f>
        <v>May</v>
      </c>
      <c r="P111" s="12">
        <f>YEAR(InputData[[#This Row],[DATE]])</f>
        <v>2021</v>
      </c>
    </row>
    <row r="112" spans="1:16" x14ac:dyDescent="0.3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4">
        <f>VLOOKUP(InputData[[#This Row],[PRODUCT ID]],MasterData[],5,0)</f>
        <v>120</v>
      </c>
      <c r="K112" s="14">
        <f>VLOOKUP(InputData[[#This Row],[PRODUCT ID]],MasterData[],6,0)</f>
        <v>162</v>
      </c>
      <c r="L112" s="14">
        <f>InputData[[#This Row],[QUANTITY]]*InputData[[#This Row],[BUYING PRIZE]]</f>
        <v>240</v>
      </c>
      <c r="M112" s="14">
        <f>InputData[[#This Row],[QUANTITY]]*InputData[[#This Row],[SELLING PRICE]]*(1-InputData[[#This Row],[DISCOUNT %]])</f>
        <v>324</v>
      </c>
      <c r="N112" s="12">
        <f>DAY(InputData[[#This Row],[DATE]])</f>
        <v>20</v>
      </c>
      <c r="O112" s="12" t="str">
        <f>TEXT(InputData[[#This Row],[DATE]],"MMM")</f>
        <v>May</v>
      </c>
      <c r="P112" s="12">
        <f>YEAR(InputData[[#This Row],[DATE]])</f>
        <v>2021</v>
      </c>
    </row>
    <row r="113" spans="1:16" x14ac:dyDescent="0.3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4">
        <f>VLOOKUP(InputData[[#This Row],[PRODUCT ID]],MasterData[],5,0)</f>
        <v>90</v>
      </c>
      <c r="K113" s="14">
        <f>VLOOKUP(InputData[[#This Row],[PRODUCT ID]],MasterData[],6,0)</f>
        <v>115.2</v>
      </c>
      <c r="L113" s="14">
        <f>InputData[[#This Row],[QUANTITY]]*InputData[[#This Row],[BUYING PRIZE]]</f>
        <v>990</v>
      </c>
      <c r="M113" s="14">
        <f>InputData[[#This Row],[QUANTITY]]*InputData[[#This Row],[SELLING PRICE]]*(1-InputData[[#This Row],[DISCOUNT %]])</f>
        <v>1267.2</v>
      </c>
      <c r="N113" s="12">
        <f>DAY(InputData[[#This Row],[DATE]])</f>
        <v>23</v>
      </c>
      <c r="O113" s="12" t="str">
        <f>TEXT(InputData[[#This Row],[DATE]],"MMM")</f>
        <v>May</v>
      </c>
      <c r="P113" s="12">
        <f>YEAR(InputData[[#This Row],[DATE]])</f>
        <v>2021</v>
      </c>
    </row>
    <row r="114" spans="1:16" x14ac:dyDescent="0.3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4">
        <f>VLOOKUP(InputData[[#This Row],[PRODUCT ID]],MasterData[],5,0)</f>
        <v>141</v>
      </c>
      <c r="K114" s="14">
        <f>VLOOKUP(InputData[[#This Row],[PRODUCT ID]],MasterData[],6,0)</f>
        <v>149.46</v>
      </c>
      <c r="L114" s="14">
        <f>InputData[[#This Row],[QUANTITY]]*InputData[[#This Row],[BUYING PRIZE]]</f>
        <v>1833</v>
      </c>
      <c r="M114" s="14">
        <f>InputData[[#This Row],[QUANTITY]]*InputData[[#This Row],[SELLING PRICE]]*(1-InputData[[#This Row],[DISCOUNT %]])</f>
        <v>1942.98</v>
      </c>
      <c r="N114" s="12">
        <f>DAY(InputData[[#This Row],[DATE]])</f>
        <v>30</v>
      </c>
      <c r="O114" s="12" t="str">
        <f>TEXT(InputData[[#This Row],[DATE]],"MMM")</f>
        <v>May</v>
      </c>
      <c r="P114" s="12">
        <f>YEAR(InputData[[#This Row],[DATE]])</f>
        <v>2021</v>
      </c>
    </row>
    <row r="115" spans="1:16" x14ac:dyDescent="0.3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4">
        <f>VLOOKUP(InputData[[#This Row],[PRODUCT ID]],MasterData[],5,0)</f>
        <v>112</v>
      </c>
      <c r="K115" s="14">
        <f>VLOOKUP(InputData[[#This Row],[PRODUCT ID]],MasterData[],6,0)</f>
        <v>122.08</v>
      </c>
      <c r="L115" s="14">
        <f>InputData[[#This Row],[QUANTITY]]*InputData[[#This Row],[BUYING PRIZE]]</f>
        <v>672</v>
      </c>
      <c r="M115" s="14">
        <f>InputData[[#This Row],[QUANTITY]]*InputData[[#This Row],[SELLING PRICE]]*(1-InputData[[#This Row],[DISCOUNT %]])</f>
        <v>732.48</v>
      </c>
      <c r="N115" s="12">
        <f>DAY(InputData[[#This Row],[DATE]])</f>
        <v>30</v>
      </c>
      <c r="O115" s="12" t="str">
        <f>TEXT(InputData[[#This Row],[DATE]],"MMM")</f>
        <v>May</v>
      </c>
      <c r="P115" s="12">
        <f>YEAR(InputData[[#This Row],[DATE]])</f>
        <v>2021</v>
      </c>
    </row>
    <row r="116" spans="1:16" x14ac:dyDescent="0.3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4">
        <f>VLOOKUP(InputData[[#This Row],[PRODUCT ID]],MasterData[],5,0)</f>
        <v>126</v>
      </c>
      <c r="K116" s="14">
        <f>VLOOKUP(InputData[[#This Row],[PRODUCT ID]],MasterData[],6,0)</f>
        <v>162.54</v>
      </c>
      <c r="L116" s="14">
        <f>InputData[[#This Row],[QUANTITY]]*InputData[[#This Row],[BUYING PRIZE]]</f>
        <v>1260</v>
      </c>
      <c r="M116" s="14">
        <f>InputData[[#This Row],[QUANTITY]]*InputData[[#This Row],[SELLING PRICE]]*(1-InputData[[#This Row],[DISCOUNT %]])</f>
        <v>1625.3999999999999</v>
      </c>
      <c r="N116" s="12">
        <f>DAY(InputData[[#This Row],[DATE]])</f>
        <v>3</v>
      </c>
      <c r="O116" s="12" t="str">
        <f>TEXT(InputData[[#This Row],[DATE]],"MMM")</f>
        <v>Jun</v>
      </c>
      <c r="P116" s="12">
        <f>YEAR(InputData[[#This Row],[DATE]])</f>
        <v>2021</v>
      </c>
    </row>
    <row r="117" spans="1:16" x14ac:dyDescent="0.3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4">
        <f>VLOOKUP(InputData[[#This Row],[PRODUCT ID]],MasterData[],5,0)</f>
        <v>61</v>
      </c>
      <c r="K117" s="14">
        <f>VLOOKUP(InputData[[#This Row],[PRODUCT ID]],MasterData[],6,0)</f>
        <v>76.25</v>
      </c>
      <c r="L117" s="14">
        <f>InputData[[#This Row],[QUANTITY]]*InputData[[#This Row],[BUYING PRIZE]]</f>
        <v>488</v>
      </c>
      <c r="M117" s="14">
        <f>InputData[[#This Row],[QUANTITY]]*InputData[[#This Row],[SELLING PRICE]]*(1-InputData[[#This Row],[DISCOUNT %]])</f>
        <v>610</v>
      </c>
      <c r="N117" s="12">
        <f>DAY(InputData[[#This Row],[DATE]])</f>
        <v>4</v>
      </c>
      <c r="O117" s="12" t="str">
        <f>TEXT(InputData[[#This Row],[DATE]],"MMM")</f>
        <v>Jun</v>
      </c>
      <c r="P117" s="12">
        <f>YEAR(InputData[[#This Row],[DATE]])</f>
        <v>2021</v>
      </c>
    </row>
    <row r="118" spans="1:16" x14ac:dyDescent="0.3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4">
        <f>VLOOKUP(InputData[[#This Row],[PRODUCT ID]],MasterData[],5,0)</f>
        <v>61</v>
      </c>
      <c r="K118" s="14">
        <f>VLOOKUP(InputData[[#This Row],[PRODUCT ID]],MasterData[],6,0)</f>
        <v>76.25</v>
      </c>
      <c r="L118" s="14">
        <f>InputData[[#This Row],[QUANTITY]]*InputData[[#This Row],[BUYING PRIZE]]</f>
        <v>732</v>
      </c>
      <c r="M118" s="14">
        <f>InputData[[#This Row],[QUANTITY]]*InputData[[#This Row],[SELLING PRICE]]*(1-InputData[[#This Row],[DISCOUNT %]])</f>
        <v>915</v>
      </c>
      <c r="N118" s="12">
        <f>DAY(InputData[[#This Row],[DATE]])</f>
        <v>4</v>
      </c>
      <c r="O118" s="12" t="str">
        <f>TEXT(InputData[[#This Row],[DATE]],"MMM")</f>
        <v>Jun</v>
      </c>
      <c r="P118" s="12">
        <f>YEAR(InputData[[#This Row],[DATE]])</f>
        <v>2021</v>
      </c>
    </row>
    <row r="119" spans="1:16" x14ac:dyDescent="0.3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4">
        <f>VLOOKUP(InputData[[#This Row],[PRODUCT ID]],MasterData[],5,0)</f>
        <v>121</v>
      </c>
      <c r="K119" s="14">
        <f>VLOOKUP(InputData[[#This Row],[PRODUCT ID]],MasterData[],6,0)</f>
        <v>141.57</v>
      </c>
      <c r="L119" s="14">
        <f>InputData[[#This Row],[QUANTITY]]*InputData[[#This Row],[BUYING PRIZE]]</f>
        <v>1815</v>
      </c>
      <c r="M119" s="14">
        <f>InputData[[#This Row],[QUANTITY]]*InputData[[#This Row],[SELLING PRICE]]*(1-InputData[[#This Row],[DISCOUNT %]])</f>
        <v>2123.5499999999997</v>
      </c>
      <c r="N119" s="12">
        <f>DAY(InputData[[#This Row],[DATE]])</f>
        <v>5</v>
      </c>
      <c r="O119" s="12" t="str">
        <f>TEXT(InputData[[#This Row],[DATE]],"MMM")</f>
        <v>Jun</v>
      </c>
      <c r="P119" s="12">
        <f>YEAR(InputData[[#This Row],[DATE]])</f>
        <v>2021</v>
      </c>
    </row>
    <row r="120" spans="1:16" x14ac:dyDescent="0.3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4">
        <f>VLOOKUP(InputData[[#This Row],[PRODUCT ID]],MasterData[],5,0)</f>
        <v>5</v>
      </c>
      <c r="K120" s="14">
        <f>VLOOKUP(InputData[[#This Row],[PRODUCT ID]],MasterData[],6,0)</f>
        <v>6.7</v>
      </c>
      <c r="L120" s="14">
        <f>InputData[[#This Row],[QUANTITY]]*InputData[[#This Row],[BUYING PRIZE]]</f>
        <v>50</v>
      </c>
      <c r="M120" s="14">
        <f>InputData[[#This Row],[QUANTITY]]*InputData[[#This Row],[SELLING PRICE]]*(1-InputData[[#This Row],[DISCOUNT %]])</f>
        <v>67</v>
      </c>
      <c r="N120" s="12">
        <f>DAY(InputData[[#This Row],[DATE]])</f>
        <v>5</v>
      </c>
      <c r="O120" s="12" t="str">
        <f>TEXT(InputData[[#This Row],[DATE]],"MMM")</f>
        <v>Jun</v>
      </c>
      <c r="P120" s="12">
        <f>YEAR(InputData[[#This Row],[DATE]])</f>
        <v>2021</v>
      </c>
    </row>
    <row r="121" spans="1:16" x14ac:dyDescent="0.3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4">
        <f>VLOOKUP(InputData[[#This Row],[PRODUCT ID]],MasterData[],5,0)</f>
        <v>95</v>
      </c>
      <c r="K121" s="14">
        <f>VLOOKUP(InputData[[#This Row],[PRODUCT ID]],MasterData[],6,0)</f>
        <v>119.7</v>
      </c>
      <c r="L121" s="14">
        <f>InputData[[#This Row],[QUANTITY]]*InputData[[#This Row],[BUYING PRIZE]]</f>
        <v>570</v>
      </c>
      <c r="M121" s="14">
        <f>InputData[[#This Row],[QUANTITY]]*InputData[[#This Row],[SELLING PRICE]]*(1-InputData[[#This Row],[DISCOUNT %]])</f>
        <v>718.2</v>
      </c>
      <c r="N121" s="12">
        <f>DAY(InputData[[#This Row],[DATE]])</f>
        <v>6</v>
      </c>
      <c r="O121" s="12" t="str">
        <f>TEXT(InputData[[#This Row],[DATE]],"MMM")</f>
        <v>Jun</v>
      </c>
      <c r="P121" s="12">
        <f>YEAR(InputData[[#This Row],[DATE]])</f>
        <v>2021</v>
      </c>
    </row>
    <row r="122" spans="1:16" x14ac:dyDescent="0.3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4">
        <f>VLOOKUP(InputData[[#This Row],[PRODUCT ID]],MasterData[],5,0)</f>
        <v>37</v>
      </c>
      <c r="K122" s="14">
        <f>VLOOKUP(InputData[[#This Row],[PRODUCT ID]],MasterData[],6,0)</f>
        <v>41.81</v>
      </c>
      <c r="L122" s="14">
        <f>InputData[[#This Row],[QUANTITY]]*InputData[[#This Row],[BUYING PRIZE]]</f>
        <v>407</v>
      </c>
      <c r="M122" s="14">
        <f>InputData[[#This Row],[QUANTITY]]*InputData[[#This Row],[SELLING PRICE]]*(1-InputData[[#This Row],[DISCOUNT %]])</f>
        <v>459.91</v>
      </c>
      <c r="N122" s="12">
        <f>DAY(InputData[[#This Row],[DATE]])</f>
        <v>8</v>
      </c>
      <c r="O122" s="12" t="str">
        <f>TEXT(InputData[[#This Row],[DATE]],"MMM")</f>
        <v>Jun</v>
      </c>
      <c r="P122" s="12">
        <f>YEAR(InputData[[#This Row],[DATE]])</f>
        <v>2021</v>
      </c>
    </row>
    <row r="123" spans="1:16" x14ac:dyDescent="0.3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4">
        <f>VLOOKUP(InputData[[#This Row],[PRODUCT ID]],MasterData[],5,0)</f>
        <v>44</v>
      </c>
      <c r="K123" s="14">
        <f>VLOOKUP(InputData[[#This Row],[PRODUCT ID]],MasterData[],6,0)</f>
        <v>48.84</v>
      </c>
      <c r="L123" s="14">
        <f>InputData[[#This Row],[QUANTITY]]*InputData[[#This Row],[BUYING PRIZE]]</f>
        <v>484</v>
      </c>
      <c r="M123" s="14">
        <f>InputData[[#This Row],[QUANTITY]]*InputData[[#This Row],[SELLING PRICE]]*(1-InputData[[#This Row],[DISCOUNT %]])</f>
        <v>537.24</v>
      </c>
      <c r="N123" s="12">
        <f>DAY(InputData[[#This Row],[DATE]])</f>
        <v>8</v>
      </c>
      <c r="O123" s="12" t="str">
        <f>TEXT(InputData[[#This Row],[DATE]],"MMM")</f>
        <v>Jun</v>
      </c>
      <c r="P123" s="12">
        <f>YEAR(InputData[[#This Row],[DATE]])</f>
        <v>2021</v>
      </c>
    </row>
    <row r="124" spans="1:16" x14ac:dyDescent="0.3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4">
        <f>VLOOKUP(InputData[[#This Row],[PRODUCT ID]],MasterData[],5,0)</f>
        <v>98</v>
      </c>
      <c r="K124" s="14">
        <f>VLOOKUP(InputData[[#This Row],[PRODUCT ID]],MasterData[],6,0)</f>
        <v>103.88</v>
      </c>
      <c r="L124" s="14">
        <f>InputData[[#This Row],[QUANTITY]]*InputData[[#This Row],[BUYING PRIZE]]</f>
        <v>686</v>
      </c>
      <c r="M124" s="14">
        <f>InputData[[#This Row],[QUANTITY]]*InputData[[#This Row],[SELLING PRICE]]*(1-InputData[[#This Row],[DISCOUNT %]])</f>
        <v>727.16</v>
      </c>
      <c r="N124" s="12">
        <f>DAY(InputData[[#This Row],[DATE]])</f>
        <v>9</v>
      </c>
      <c r="O124" s="12" t="str">
        <f>TEXT(InputData[[#This Row],[DATE]],"MMM")</f>
        <v>Jun</v>
      </c>
      <c r="P124" s="12">
        <f>YEAR(InputData[[#This Row],[DATE]])</f>
        <v>2021</v>
      </c>
    </row>
    <row r="125" spans="1:16" x14ac:dyDescent="0.3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4">
        <f>VLOOKUP(InputData[[#This Row],[PRODUCT ID]],MasterData[],5,0)</f>
        <v>89</v>
      </c>
      <c r="K125" s="14">
        <f>VLOOKUP(InputData[[#This Row],[PRODUCT ID]],MasterData[],6,0)</f>
        <v>117.48</v>
      </c>
      <c r="L125" s="14">
        <f>InputData[[#This Row],[QUANTITY]]*InputData[[#This Row],[BUYING PRIZE]]</f>
        <v>1068</v>
      </c>
      <c r="M125" s="14">
        <f>InputData[[#This Row],[QUANTITY]]*InputData[[#This Row],[SELLING PRICE]]*(1-InputData[[#This Row],[DISCOUNT %]])</f>
        <v>1409.76</v>
      </c>
      <c r="N125" s="12">
        <f>DAY(InputData[[#This Row],[DATE]])</f>
        <v>11</v>
      </c>
      <c r="O125" s="12" t="str">
        <f>TEXT(InputData[[#This Row],[DATE]],"MMM")</f>
        <v>Jun</v>
      </c>
      <c r="P125" s="12">
        <f>YEAR(InputData[[#This Row],[DATE]])</f>
        <v>2021</v>
      </c>
    </row>
    <row r="126" spans="1:16" x14ac:dyDescent="0.3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4">
        <f>VLOOKUP(InputData[[#This Row],[PRODUCT ID]],MasterData[],5,0)</f>
        <v>138</v>
      </c>
      <c r="K126" s="14">
        <f>VLOOKUP(InputData[[#This Row],[PRODUCT ID]],MasterData[],6,0)</f>
        <v>173.88</v>
      </c>
      <c r="L126" s="14">
        <f>InputData[[#This Row],[QUANTITY]]*InputData[[#This Row],[BUYING PRIZE]]</f>
        <v>828</v>
      </c>
      <c r="M126" s="14">
        <f>InputData[[#This Row],[QUANTITY]]*InputData[[#This Row],[SELLING PRICE]]*(1-InputData[[#This Row],[DISCOUNT %]])</f>
        <v>1043.28</v>
      </c>
      <c r="N126" s="12">
        <f>DAY(InputData[[#This Row],[DATE]])</f>
        <v>12</v>
      </c>
      <c r="O126" s="12" t="str">
        <f>TEXT(InputData[[#This Row],[DATE]],"MMM")</f>
        <v>Jun</v>
      </c>
      <c r="P126" s="12">
        <f>YEAR(InputData[[#This Row],[DATE]])</f>
        <v>2021</v>
      </c>
    </row>
    <row r="127" spans="1:16" x14ac:dyDescent="0.3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4">
        <f>VLOOKUP(InputData[[#This Row],[PRODUCT ID]],MasterData[],5,0)</f>
        <v>7</v>
      </c>
      <c r="K127" s="14">
        <f>VLOOKUP(InputData[[#This Row],[PRODUCT ID]],MasterData[],6,0)</f>
        <v>8.33</v>
      </c>
      <c r="L127" s="14">
        <f>InputData[[#This Row],[QUANTITY]]*InputData[[#This Row],[BUYING PRIZE]]</f>
        <v>70</v>
      </c>
      <c r="M127" s="14">
        <f>InputData[[#This Row],[QUANTITY]]*InputData[[#This Row],[SELLING PRICE]]*(1-InputData[[#This Row],[DISCOUNT %]])</f>
        <v>83.3</v>
      </c>
      <c r="N127" s="12">
        <f>DAY(InputData[[#This Row],[DATE]])</f>
        <v>14</v>
      </c>
      <c r="O127" s="12" t="str">
        <f>TEXT(InputData[[#This Row],[DATE]],"MMM")</f>
        <v>Jun</v>
      </c>
      <c r="P127" s="12">
        <f>YEAR(InputData[[#This Row],[DATE]])</f>
        <v>2021</v>
      </c>
    </row>
    <row r="128" spans="1:16" x14ac:dyDescent="0.3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4">
        <f>VLOOKUP(InputData[[#This Row],[PRODUCT ID]],MasterData[],5,0)</f>
        <v>150</v>
      </c>
      <c r="K128" s="14">
        <f>VLOOKUP(InputData[[#This Row],[PRODUCT ID]],MasterData[],6,0)</f>
        <v>210</v>
      </c>
      <c r="L128" s="14">
        <f>InputData[[#This Row],[QUANTITY]]*InputData[[#This Row],[BUYING PRIZE]]</f>
        <v>750</v>
      </c>
      <c r="M128" s="14">
        <f>InputData[[#This Row],[QUANTITY]]*InputData[[#This Row],[SELLING PRICE]]*(1-InputData[[#This Row],[DISCOUNT %]])</f>
        <v>1050</v>
      </c>
      <c r="N128" s="12">
        <f>DAY(InputData[[#This Row],[DATE]])</f>
        <v>16</v>
      </c>
      <c r="O128" s="12" t="str">
        <f>TEXT(InputData[[#This Row],[DATE]],"MMM")</f>
        <v>Jun</v>
      </c>
      <c r="P128" s="12">
        <f>YEAR(InputData[[#This Row],[DATE]])</f>
        <v>2021</v>
      </c>
    </row>
    <row r="129" spans="1:16" x14ac:dyDescent="0.3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4">
        <f>VLOOKUP(InputData[[#This Row],[PRODUCT ID]],MasterData[],5,0)</f>
        <v>12</v>
      </c>
      <c r="K129" s="14">
        <f>VLOOKUP(InputData[[#This Row],[PRODUCT ID]],MasterData[],6,0)</f>
        <v>15.719999999999999</v>
      </c>
      <c r="L129" s="14">
        <f>InputData[[#This Row],[QUANTITY]]*InputData[[#This Row],[BUYING PRIZE]]</f>
        <v>144</v>
      </c>
      <c r="M129" s="14">
        <f>InputData[[#This Row],[QUANTITY]]*InputData[[#This Row],[SELLING PRICE]]*(1-InputData[[#This Row],[DISCOUNT %]])</f>
        <v>188.64</v>
      </c>
      <c r="N129" s="12">
        <f>DAY(InputData[[#This Row],[DATE]])</f>
        <v>16</v>
      </c>
      <c r="O129" s="12" t="str">
        <f>TEXT(InputData[[#This Row],[DATE]],"MMM")</f>
        <v>Jun</v>
      </c>
      <c r="P129" s="12">
        <f>YEAR(InputData[[#This Row],[DATE]])</f>
        <v>2021</v>
      </c>
    </row>
    <row r="130" spans="1:16" x14ac:dyDescent="0.3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4">
        <f>VLOOKUP(InputData[[#This Row],[PRODUCT ID]],MasterData[],5,0)</f>
        <v>37</v>
      </c>
      <c r="K130" s="14">
        <f>VLOOKUP(InputData[[#This Row],[PRODUCT ID]],MasterData[],6,0)</f>
        <v>42.55</v>
      </c>
      <c r="L130" s="14">
        <f>InputData[[#This Row],[QUANTITY]]*InputData[[#This Row],[BUYING PRIZE]]</f>
        <v>407</v>
      </c>
      <c r="M130" s="14">
        <f>InputData[[#This Row],[QUANTITY]]*InputData[[#This Row],[SELLING PRICE]]*(1-InputData[[#This Row],[DISCOUNT %]])</f>
        <v>468.04999999999995</v>
      </c>
      <c r="N130" s="12">
        <f>DAY(InputData[[#This Row],[DATE]])</f>
        <v>16</v>
      </c>
      <c r="O130" s="12" t="str">
        <f>TEXT(InputData[[#This Row],[DATE]],"MMM")</f>
        <v>Jun</v>
      </c>
      <c r="P130" s="12">
        <f>YEAR(InputData[[#This Row],[DATE]])</f>
        <v>2021</v>
      </c>
    </row>
    <row r="131" spans="1:16" x14ac:dyDescent="0.3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4">
        <f>VLOOKUP(InputData[[#This Row],[PRODUCT ID]],MasterData[],5,0)</f>
        <v>7</v>
      </c>
      <c r="K131" s="14">
        <f>VLOOKUP(InputData[[#This Row],[PRODUCT ID]],MasterData[],6,0)</f>
        <v>8.33</v>
      </c>
      <c r="L131" s="14">
        <f>InputData[[#This Row],[QUANTITY]]*InputData[[#This Row],[BUYING PRIZE]]</f>
        <v>91</v>
      </c>
      <c r="M131" s="14">
        <f>InputData[[#This Row],[QUANTITY]]*InputData[[#This Row],[SELLING PRICE]]*(1-InputData[[#This Row],[DISCOUNT %]])</f>
        <v>108.29</v>
      </c>
      <c r="N131" s="12">
        <f>DAY(InputData[[#This Row],[DATE]])</f>
        <v>18</v>
      </c>
      <c r="O131" s="12" t="str">
        <f>TEXT(InputData[[#This Row],[DATE]],"MMM")</f>
        <v>Jun</v>
      </c>
      <c r="P131" s="12">
        <f>YEAR(InputData[[#This Row],[DATE]])</f>
        <v>2021</v>
      </c>
    </row>
    <row r="132" spans="1:16" x14ac:dyDescent="0.3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4">
        <f>VLOOKUP(InputData[[#This Row],[PRODUCT ID]],MasterData[],5,0)</f>
        <v>138</v>
      </c>
      <c r="K132" s="14">
        <f>VLOOKUP(InputData[[#This Row],[PRODUCT ID]],MasterData[],6,0)</f>
        <v>173.88</v>
      </c>
      <c r="L132" s="14">
        <f>InputData[[#This Row],[QUANTITY]]*InputData[[#This Row],[BUYING PRIZE]]</f>
        <v>690</v>
      </c>
      <c r="M132" s="14">
        <f>InputData[[#This Row],[QUANTITY]]*InputData[[#This Row],[SELLING PRICE]]*(1-InputData[[#This Row],[DISCOUNT %]])</f>
        <v>869.4</v>
      </c>
      <c r="N132" s="12">
        <f>DAY(InputData[[#This Row],[DATE]])</f>
        <v>19</v>
      </c>
      <c r="O132" s="12" t="str">
        <f>TEXT(InputData[[#This Row],[DATE]],"MMM")</f>
        <v>Jun</v>
      </c>
      <c r="P132" s="12">
        <f>YEAR(InputData[[#This Row],[DATE]])</f>
        <v>2021</v>
      </c>
    </row>
    <row r="133" spans="1:16" x14ac:dyDescent="0.3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4">
        <f>VLOOKUP(InputData[[#This Row],[PRODUCT ID]],MasterData[],5,0)</f>
        <v>13</v>
      </c>
      <c r="K133" s="14">
        <f>VLOOKUP(InputData[[#This Row],[PRODUCT ID]],MasterData[],6,0)</f>
        <v>16.64</v>
      </c>
      <c r="L133" s="14">
        <f>InputData[[#This Row],[QUANTITY]]*InputData[[#This Row],[BUYING PRIZE]]</f>
        <v>13</v>
      </c>
      <c r="M133" s="14">
        <f>InputData[[#This Row],[QUANTITY]]*InputData[[#This Row],[SELLING PRICE]]*(1-InputData[[#This Row],[DISCOUNT %]])</f>
        <v>16.64</v>
      </c>
      <c r="N133" s="12">
        <f>DAY(InputData[[#This Row],[DATE]])</f>
        <v>20</v>
      </c>
      <c r="O133" s="12" t="str">
        <f>TEXT(InputData[[#This Row],[DATE]],"MMM")</f>
        <v>Jun</v>
      </c>
      <c r="P133" s="12">
        <f>YEAR(InputData[[#This Row],[DATE]])</f>
        <v>2021</v>
      </c>
    </row>
    <row r="134" spans="1:16" x14ac:dyDescent="0.3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4">
        <f>VLOOKUP(InputData[[#This Row],[PRODUCT ID]],MasterData[],5,0)</f>
        <v>13</v>
      </c>
      <c r="K134" s="14">
        <f>VLOOKUP(InputData[[#This Row],[PRODUCT ID]],MasterData[],6,0)</f>
        <v>16.64</v>
      </c>
      <c r="L134" s="14">
        <f>InputData[[#This Row],[QUANTITY]]*InputData[[#This Row],[BUYING PRIZE]]</f>
        <v>52</v>
      </c>
      <c r="M134" s="14">
        <f>InputData[[#This Row],[QUANTITY]]*InputData[[#This Row],[SELLING PRICE]]*(1-InputData[[#This Row],[DISCOUNT %]])</f>
        <v>66.56</v>
      </c>
      <c r="N134" s="12">
        <f>DAY(InputData[[#This Row],[DATE]])</f>
        <v>23</v>
      </c>
      <c r="O134" s="12" t="str">
        <f>TEXT(InputData[[#This Row],[DATE]],"MMM")</f>
        <v>Jun</v>
      </c>
      <c r="P134" s="12">
        <f>YEAR(InputData[[#This Row],[DATE]])</f>
        <v>2021</v>
      </c>
    </row>
    <row r="135" spans="1:16" x14ac:dyDescent="0.3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4">
        <f>VLOOKUP(InputData[[#This Row],[PRODUCT ID]],MasterData[],5,0)</f>
        <v>44</v>
      </c>
      <c r="K135" s="14">
        <f>VLOOKUP(InputData[[#This Row],[PRODUCT ID]],MasterData[],6,0)</f>
        <v>48.4</v>
      </c>
      <c r="L135" s="14">
        <f>InputData[[#This Row],[QUANTITY]]*InputData[[#This Row],[BUYING PRIZE]]</f>
        <v>572</v>
      </c>
      <c r="M135" s="14">
        <f>InputData[[#This Row],[QUANTITY]]*InputData[[#This Row],[SELLING PRICE]]*(1-InputData[[#This Row],[DISCOUNT %]])</f>
        <v>629.19999999999993</v>
      </c>
      <c r="N135" s="12">
        <f>DAY(InputData[[#This Row],[DATE]])</f>
        <v>24</v>
      </c>
      <c r="O135" s="12" t="str">
        <f>TEXT(InputData[[#This Row],[DATE]],"MMM")</f>
        <v>Jun</v>
      </c>
      <c r="P135" s="12">
        <f>YEAR(InputData[[#This Row],[DATE]])</f>
        <v>2021</v>
      </c>
    </row>
    <row r="136" spans="1:16" x14ac:dyDescent="0.3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4">
        <f>VLOOKUP(InputData[[#This Row],[PRODUCT ID]],MasterData[],5,0)</f>
        <v>6</v>
      </c>
      <c r="K136" s="14">
        <f>VLOOKUP(InputData[[#This Row],[PRODUCT ID]],MasterData[],6,0)</f>
        <v>7.8599999999999994</v>
      </c>
      <c r="L136" s="14">
        <f>InputData[[#This Row],[QUANTITY]]*InputData[[#This Row],[BUYING PRIZE]]</f>
        <v>42</v>
      </c>
      <c r="M136" s="14">
        <f>InputData[[#This Row],[QUANTITY]]*InputData[[#This Row],[SELLING PRICE]]*(1-InputData[[#This Row],[DISCOUNT %]])</f>
        <v>55.019999999999996</v>
      </c>
      <c r="N136" s="12">
        <f>DAY(InputData[[#This Row],[DATE]])</f>
        <v>26</v>
      </c>
      <c r="O136" s="12" t="str">
        <f>TEXT(InputData[[#This Row],[DATE]],"MMM")</f>
        <v>Jun</v>
      </c>
      <c r="P136" s="12">
        <f>YEAR(InputData[[#This Row],[DATE]])</f>
        <v>2021</v>
      </c>
    </row>
    <row r="137" spans="1:16" x14ac:dyDescent="0.3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4">
        <f>VLOOKUP(InputData[[#This Row],[PRODUCT ID]],MasterData[],5,0)</f>
        <v>133</v>
      </c>
      <c r="K137" s="14">
        <f>VLOOKUP(InputData[[#This Row],[PRODUCT ID]],MasterData[],6,0)</f>
        <v>155.61000000000001</v>
      </c>
      <c r="L137" s="14">
        <f>InputData[[#This Row],[QUANTITY]]*InputData[[#This Row],[BUYING PRIZE]]</f>
        <v>1463</v>
      </c>
      <c r="M137" s="14">
        <f>InputData[[#This Row],[QUANTITY]]*InputData[[#This Row],[SELLING PRICE]]*(1-InputData[[#This Row],[DISCOUNT %]])</f>
        <v>1711.71</v>
      </c>
      <c r="N137" s="12">
        <f>DAY(InputData[[#This Row],[DATE]])</f>
        <v>27</v>
      </c>
      <c r="O137" s="12" t="str">
        <f>TEXT(InputData[[#This Row],[DATE]],"MMM")</f>
        <v>Jun</v>
      </c>
      <c r="P137" s="12">
        <f>YEAR(InputData[[#This Row],[DATE]])</f>
        <v>2021</v>
      </c>
    </row>
    <row r="138" spans="1:16" x14ac:dyDescent="0.3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4">
        <f>VLOOKUP(InputData[[#This Row],[PRODUCT ID]],MasterData[],5,0)</f>
        <v>126</v>
      </c>
      <c r="K138" s="14">
        <f>VLOOKUP(InputData[[#This Row],[PRODUCT ID]],MasterData[],6,0)</f>
        <v>162.54</v>
      </c>
      <c r="L138" s="14">
        <f>InputData[[#This Row],[QUANTITY]]*InputData[[#This Row],[BUYING PRIZE]]</f>
        <v>252</v>
      </c>
      <c r="M138" s="14">
        <f>InputData[[#This Row],[QUANTITY]]*InputData[[#This Row],[SELLING PRICE]]*(1-InputData[[#This Row],[DISCOUNT %]])</f>
        <v>325.08</v>
      </c>
      <c r="N138" s="12">
        <f>DAY(InputData[[#This Row],[DATE]])</f>
        <v>28</v>
      </c>
      <c r="O138" s="12" t="str">
        <f>TEXT(InputData[[#This Row],[DATE]],"MMM")</f>
        <v>Jun</v>
      </c>
      <c r="P138" s="12">
        <f>YEAR(InputData[[#This Row],[DATE]])</f>
        <v>2021</v>
      </c>
    </row>
    <row r="139" spans="1:16" x14ac:dyDescent="0.3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4">
        <f>VLOOKUP(InputData[[#This Row],[PRODUCT ID]],MasterData[],5,0)</f>
        <v>5</v>
      </c>
      <c r="K139" s="14">
        <f>VLOOKUP(InputData[[#This Row],[PRODUCT ID]],MasterData[],6,0)</f>
        <v>6.7</v>
      </c>
      <c r="L139" s="14">
        <f>InputData[[#This Row],[QUANTITY]]*InputData[[#This Row],[BUYING PRIZE]]</f>
        <v>35</v>
      </c>
      <c r="M139" s="14">
        <f>InputData[[#This Row],[QUANTITY]]*InputData[[#This Row],[SELLING PRICE]]*(1-InputData[[#This Row],[DISCOUNT %]])</f>
        <v>46.9</v>
      </c>
      <c r="N139" s="12">
        <f>DAY(InputData[[#This Row],[DATE]])</f>
        <v>28</v>
      </c>
      <c r="O139" s="12" t="str">
        <f>TEXT(InputData[[#This Row],[DATE]],"MMM")</f>
        <v>Jun</v>
      </c>
      <c r="P139" s="12">
        <f>YEAR(InputData[[#This Row],[DATE]])</f>
        <v>2021</v>
      </c>
    </row>
    <row r="140" spans="1:16" x14ac:dyDescent="0.3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4">
        <f>VLOOKUP(InputData[[#This Row],[PRODUCT ID]],MasterData[],5,0)</f>
        <v>112</v>
      </c>
      <c r="K140" s="14">
        <f>VLOOKUP(InputData[[#This Row],[PRODUCT ID]],MasterData[],6,0)</f>
        <v>146.72</v>
      </c>
      <c r="L140" s="14">
        <f>InputData[[#This Row],[QUANTITY]]*InputData[[#This Row],[BUYING PRIZE]]</f>
        <v>448</v>
      </c>
      <c r="M140" s="14">
        <f>InputData[[#This Row],[QUANTITY]]*InputData[[#This Row],[SELLING PRICE]]*(1-InputData[[#This Row],[DISCOUNT %]])</f>
        <v>586.88</v>
      </c>
      <c r="N140" s="12">
        <f>DAY(InputData[[#This Row],[DATE]])</f>
        <v>29</v>
      </c>
      <c r="O140" s="12" t="str">
        <f>TEXT(InputData[[#This Row],[DATE]],"MMM")</f>
        <v>Jun</v>
      </c>
      <c r="P140" s="12">
        <f>YEAR(InputData[[#This Row],[DATE]])</f>
        <v>2021</v>
      </c>
    </row>
    <row r="141" spans="1:16" x14ac:dyDescent="0.3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4">
        <f>VLOOKUP(InputData[[#This Row],[PRODUCT ID]],MasterData[],5,0)</f>
        <v>133</v>
      </c>
      <c r="K141" s="14">
        <f>VLOOKUP(InputData[[#This Row],[PRODUCT ID]],MasterData[],6,0)</f>
        <v>155.61000000000001</v>
      </c>
      <c r="L141" s="14">
        <f>InputData[[#This Row],[QUANTITY]]*InputData[[#This Row],[BUYING PRIZE]]</f>
        <v>1463</v>
      </c>
      <c r="M141" s="14">
        <f>InputData[[#This Row],[QUANTITY]]*InputData[[#This Row],[SELLING PRICE]]*(1-InputData[[#This Row],[DISCOUNT %]])</f>
        <v>1711.71</v>
      </c>
      <c r="N141" s="12">
        <f>DAY(InputData[[#This Row],[DATE]])</f>
        <v>1</v>
      </c>
      <c r="O141" s="12" t="str">
        <f>TEXT(InputData[[#This Row],[DATE]],"MMM")</f>
        <v>Jul</v>
      </c>
      <c r="P141" s="12">
        <f>YEAR(InputData[[#This Row],[DATE]])</f>
        <v>2021</v>
      </c>
    </row>
    <row r="142" spans="1:16" x14ac:dyDescent="0.3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4">
        <f>VLOOKUP(InputData[[#This Row],[PRODUCT ID]],MasterData[],5,0)</f>
        <v>148</v>
      </c>
      <c r="K142" s="14">
        <f>VLOOKUP(InputData[[#This Row],[PRODUCT ID]],MasterData[],6,0)</f>
        <v>164.28</v>
      </c>
      <c r="L142" s="14">
        <f>InputData[[#This Row],[QUANTITY]]*InputData[[#This Row],[BUYING PRIZE]]</f>
        <v>1628</v>
      </c>
      <c r="M142" s="14">
        <f>InputData[[#This Row],[QUANTITY]]*InputData[[#This Row],[SELLING PRICE]]*(1-InputData[[#This Row],[DISCOUNT %]])</f>
        <v>1807.08</v>
      </c>
      <c r="N142" s="12">
        <f>DAY(InputData[[#This Row],[DATE]])</f>
        <v>2</v>
      </c>
      <c r="O142" s="12" t="str">
        <f>TEXT(InputData[[#This Row],[DATE]],"MMM")</f>
        <v>Jul</v>
      </c>
      <c r="P142" s="12">
        <f>YEAR(InputData[[#This Row],[DATE]])</f>
        <v>2021</v>
      </c>
    </row>
    <row r="143" spans="1:16" x14ac:dyDescent="0.3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4">
        <f>VLOOKUP(InputData[[#This Row],[PRODUCT ID]],MasterData[],5,0)</f>
        <v>95</v>
      </c>
      <c r="K143" s="14">
        <f>VLOOKUP(InputData[[#This Row],[PRODUCT ID]],MasterData[],6,0)</f>
        <v>119.7</v>
      </c>
      <c r="L143" s="14">
        <f>InputData[[#This Row],[QUANTITY]]*InputData[[#This Row],[BUYING PRIZE]]</f>
        <v>855</v>
      </c>
      <c r="M143" s="14">
        <f>InputData[[#This Row],[QUANTITY]]*InputData[[#This Row],[SELLING PRICE]]*(1-InputData[[#This Row],[DISCOUNT %]])</f>
        <v>1077.3</v>
      </c>
      <c r="N143" s="12">
        <f>DAY(InputData[[#This Row],[DATE]])</f>
        <v>3</v>
      </c>
      <c r="O143" s="12" t="str">
        <f>TEXT(InputData[[#This Row],[DATE]],"MMM")</f>
        <v>Jul</v>
      </c>
      <c r="P143" s="12">
        <f>YEAR(InputData[[#This Row],[DATE]])</f>
        <v>2021</v>
      </c>
    </row>
    <row r="144" spans="1:16" x14ac:dyDescent="0.3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4">
        <f>VLOOKUP(InputData[[#This Row],[PRODUCT ID]],MasterData[],5,0)</f>
        <v>71</v>
      </c>
      <c r="K144" s="14">
        <f>VLOOKUP(InputData[[#This Row],[PRODUCT ID]],MasterData[],6,0)</f>
        <v>80.94</v>
      </c>
      <c r="L144" s="14">
        <f>InputData[[#This Row],[QUANTITY]]*InputData[[#This Row],[BUYING PRIZE]]</f>
        <v>568</v>
      </c>
      <c r="M144" s="14">
        <f>InputData[[#This Row],[QUANTITY]]*InputData[[#This Row],[SELLING PRICE]]*(1-InputData[[#This Row],[DISCOUNT %]])</f>
        <v>647.52</v>
      </c>
      <c r="N144" s="12">
        <f>DAY(InputData[[#This Row],[DATE]])</f>
        <v>3</v>
      </c>
      <c r="O144" s="12" t="str">
        <f>TEXT(InputData[[#This Row],[DATE]],"MMM")</f>
        <v>Jul</v>
      </c>
      <c r="P144" s="12">
        <f>YEAR(InputData[[#This Row],[DATE]])</f>
        <v>2021</v>
      </c>
    </row>
    <row r="145" spans="1:16" x14ac:dyDescent="0.3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4">
        <f>VLOOKUP(InputData[[#This Row],[PRODUCT ID]],MasterData[],5,0)</f>
        <v>105</v>
      </c>
      <c r="K145" s="14">
        <f>VLOOKUP(InputData[[#This Row],[PRODUCT ID]],MasterData[],6,0)</f>
        <v>142.80000000000001</v>
      </c>
      <c r="L145" s="14">
        <f>InputData[[#This Row],[QUANTITY]]*InputData[[#This Row],[BUYING PRIZE]]</f>
        <v>840</v>
      </c>
      <c r="M145" s="14">
        <f>InputData[[#This Row],[QUANTITY]]*InputData[[#This Row],[SELLING PRICE]]*(1-InputData[[#This Row],[DISCOUNT %]])</f>
        <v>1142.4000000000001</v>
      </c>
      <c r="N145" s="12">
        <f>DAY(InputData[[#This Row],[DATE]])</f>
        <v>5</v>
      </c>
      <c r="O145" s="12" t="str">
        <f>TEXT(InputData[[#This Row],[DATE]],"MMM")</f>
        <v>Jul</v>
      </c>
      <c r="P145" s="12">
        <f>YEAR(InputData[[#This Row],[DATE]])</f>
        <v>2021</v>
      </c>
    </row>
    <row r="146" spans="1:16" x14ac:dyDescent="0.3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4">
        <f>VLOOKUP(InputData[[#This Row],[PRODUCT ID]],MasterData[],5,0)</f>
        <v>138</v>
      </c>
      <c r="K146" s="14">
        <f>VLOOKUP(InputData[[#This Row],[PRODUCT ID]],MasterData[],6,0)</f>
        <v>173.88</v>
      </c>
      <c r="L146" s="14">
        <f>InputData[[#This Row],[QUANTITY]]*InputData[[#This Row],[BUYING PRIZE]]</f>
        <v>2070</v>
      </c>
      <c r="M146" s="14">
        <f>InputData[[#This Row],[QUANTITY]]*InputData[[#This Row],[SELLING PRICE]]*(1-InputData[[#This Row],[DISCOUNT %]])</f>
        <v>2608.1999999999998</v>
      </c>
      <c r="N146" s="12">
        <f>DAY(InputData[[#This Row],[DATE]])</f>
        <v>6</v>
      </c>
      <c r="O146" s="12" t="str">
        <f>TEXT(InputData[[#This Row],[DATE]],"MMM")</f>
        <v>Jul</v>
      </c>
      <c r="P146" s="12">
        <f>YEAR(InputData[[#This Row],[DATE]])</f>
        <v>2021</v>
      </c>
    </row>
    <row r="147" spans="1:16" x14ac:dyDescent="0.3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4">
        <f>VLOOKUP(InputData[[#This Row],[PRODUCT ID]],MasterData[],5,0)</f>
        <v>44</v>
      </c>
      <c r="K147" s="14">
        <f>VLOOKUP(InputData[[#This Row],[PRODUCT ID]],MasterData[],6,0)</f>
        <v>48.84</v>
      </c>
      <c r="L147" s="14">
        <f>InputData[[#This Row],[QUANTITY]]*InputData[[#This Row],[BUYING PRIZE]]</f>
        <v>440</v>
      </c>
      <c r="M147" s="14">
        <f>InputData[[#This Row],[QUANTITY]]*InputData[[#This Row],[SELLING PRICE]]*(1-InputData[[#This Row],[DISCOUNT %]])</f>
        <v>488.40000000000003</v>
      </c>
      <c r="N147" s="12">
        <f>DAY(InputData[[#This Row],[DATE]])</f>
        <v>8</v>
      </c>
      <c r="O147" s="12" t="str">
        <f>TEXT(InputData[[#This Row],[DATE]],"MMM")</f>
        <v>Jul</v>
      </c>
      <c r="P147" s="12">
        <f>YEAR(InputData[[#This Row],[DATE]])</f>
        <v>2021</v>
      </c>
    </row>
    <row r="148" spans="1:16" x14ac:dyDescent="0.3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4">
        <f>VLOOKUP(InputData[[#This Row],[PRODUCT ID]],MasterData[],5,0)</f>
        <v>55</v>
      </c>
      <c r="K148" s="14">
        <f>VLOOKUP(InputData[[#This Row],[PRODUCT ID]],MasterData[],6,0)</f>
        <v>58.3</v>
      </c>
      <c r="L148" s="14">
        <f>InputData[[#This Row],[QUANTITY]]*InputData[[#This Row],[BUYING PRIZE]]</f>
        <v>330</v>
      </c>
      <c r="M148" s="14">
        <f>InputData[[#This Row],[QUANTITY]]*InputData[[#This Row],[SELLING PRICE]]*(1-InputData[[#This Row],[DISCOUNT %]])</f>
        <v>349.79999999999995</v>
      </c>
      <c r="N148" s="12">
        <f>DAY(InputData[[#This Row],[DATE]])</f>
        <v>10</v>
      </c>
      <c r="O148" s="12" t="str">
        <f>TEXT(InputData[[#This Row],[DATE]],"MMM")</f>
        <v>Jul</v>
      </c>
      <c r="P148" s="12">
        <f>YEAR(InputData[[#This Row],[DATE]])</f>
        <v>2021</v>
      </c>
    </row>
    <row r="149" spans="1:16" x14ac:dyDescent="0.3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4">
        <f>VLOOKUP(InputData[[#This Row],[PRODUCT ID]],MasterData[],5,0)</f>
        <v>6</v>
      </c>
      <c r="K149" s="14">
        <f>VLOOKUP(InputData[[#This Row],[PRODUCT ID]],MasterData[],6,0)</f>
        <v>7.8599999999999994</v>
      </c>
      <c r="L149" s="14">
        <f>InputData[[#This Row],[QUANTITY]]*InputData[[#This Row],[BUYING PRIZE]]</f>
        <v>24</v>
      </c>
      <c r="M149" s="14">
        <f>InputData[[#This Row],[QUANTITY]]*InputData[[#This Row],[SELLING PRICE]]*(1-InputData[[#This Row],[DISCOUNT %]])</f>
        <v>31.439999999999998</v>
      </c>
      <c r="N149" s="12">
        <f>DAY(InputData[[#This Row],[DATE]])</f>
        <v>11</v>
      </c>
      <c r="O149" s="12" t="str">
        <f>TEXT(InputData[[#This Row],[DATE]],"MMM")</f>
        <v>Jul</v>
      </c>
      <c r="P149" s="12">
        <f>YEAR(InputData[[#This Row],[DATE]])</f>
        <v>2021</v>
      </c>
    </row>
    <row r="150" spans="1:16" x14ac:dyDescent="0.3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4">
        <f>VLOOKUP(InputData[[#This Row],[PRODUCT ID]],MasterData[],5,0)</f>
        <v>150</v>
      </c>
      <c r="K150" s="14">
        <f>VLOOKUP(InputData[[#This Row],[PRODUCT ID]],MasterData[],6,0)</f>
        <v>210</v>
      </c>
      <c r="L150" s="14">
        <f>InputData[[#This Row],[QUANTITY]]*InputData[[#This Row],[BUYING PRIZE]]</f>
        <v>150</v>
      </c>
      <c r="M150" s="14">
        <f>InputData[[#This Row],[QUANTITY]]*InputData[[#This Row],[SELLING PRICE]]*(1-InputData[[#This Row],[DISCOUNT %]])</f>
        <v>210</v>
      </c>
      <c r="N150" s="12">
        <f>DAY(InputData[[#This Row],[DATE]])</f>
        <v>13</v>
      </c>
      <c r="O150" s="12" t="str">
        <f>TEXT(InputData[[#This Row],[DATE]],"MMM")</f>
        <v>Jul</v>
      </c>
      <c r="P150" s="12">
        <f>YEAR(InputData[[#This Row],[DATE]])</f>
        <v>2021</v>
      </c>
    </row>
    <row r="151" spans="1:16" x14ac:dyDescent="0.3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4">
        <f>VLOOKUP(InputData[[#This Row],[PRODUCT ID]],MasterData[],5,0)</f>
        <v>141</v>
      </c>
      <c r="K151" s="14">
        <f>VLOOKUP(InputData[[#This Row],[PRODUCT ID]],MasterData[],6,0)</f>
        <v>149.46</v>
      </c>
      <c r="L151" s="14">
        <f>InputData[[#This Row],[QUANTITY]]*InputData[[#This Row],[BUYING PRIZE]]</f>
        <v>1128</v>
      </c>
      <c r="M151" s="14">
        <f>InputData[[#This Row],[QUANTITY]]*InputData[[#This Row],[SELLING PRICE]]*(1-InputData[[#This Row],[DISCOUNT %]])</f>
        <v>1195.68</v>
      </c>
      <c r="N151" s="12">
        <f>DAY(InputData[[#This Row],[DATE]])</f>
        <v>16</v>
      </c>
      <c r="O151" s="12" t="str">
        <f>TEXT(InputData[[#This Row],[DATE]],"MMM")</f>
        <v>Jul</v>
      </c>
      <c r="P151" s="12">
        <f>YEAR(InputData[[#This Row],[DATE]])</f>
        <v>2021</v>
      </c>
    </row>
    <row r="152" spans="1:16" x14ac:dyDescent="0.3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4">
        <f>VLOOKUP(InputData[[#This Row],[PRODUCT ID]],MasterData[],5,0)</f>
        <v>48</v>
      </c>
      <c r="K152" s="14">
        <f>VLOOKUP(InputData[[#This Row],[PRODUCT ID]],MasterData[],6,0)</f>
        <v>57.120000000000005</v>
      </c>
      <c r="L152" s="14">
        <f>InputData[[#This Row],[QUANTITY]]*InputData[[#This Row],[BUYING PRIZE]]</f>
        <v>672</v>
      </c>
      <c r="M152" s="14">
        <f>InputData[[#This Row],[QUANTITY]]*InputData[[#This Row],[SELLING PRICE]]*(1-InputData[[#This Row],[DISCOUNT %]])</f>
        <v>799.68000000000006</v>
      </c>
      <c r="N152" s="12">
        <f>DAY(InputData[[#This Row],[DATE]])</f>
        <v>18</v>
      </c>
      <c r="O152" s="12" t="str">
        <f>TEXT(InputData[[#This Row],[DATE]],"MMM")</f>
        <v>Jul</v>
      </c>
      <c r="P152" s="12">
        <f>YEAR(InputData[[#This Row],[DATE]])</f>
        <v>2021</v>
      </c>
    </row>
    <row r="153" spans="1:16" x14ac:dyDescent="0.3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4">
        <f>VLOOKUP(InputData[[#This Row],[PRODUCT ID]],MasterData[],5,0)</f>
        <v>72</v>
      </c>
      <c r="K153" s="14">
        <f>VLOOKUP(InputData[[#This Row],[PRODUCT ID]],MasterData[],6,0)</f>
        <v>79.92</v>
      </c>
      <c r="L153" s="14">
        <f>InputData[[#This Row],[QUANTITY]]*InputData[[#This Row],[BUYING PRIZE]]</f>
        <v>792</v>
      </c>
      <c r="M153" s="14">
        <f>InputData[[#This Row],[QUANTITY]]*InputData[[#This Row],[SELLING PRICE]]*(1-InputData[[#This Row],[DISCOUNT %]])</f>
        <v>879.12</v>
      </c>
      <c r="N153" s="12">
        <f>DAY(InputData[[#This Row],[DATE]])</f>
        <v>20</v>
      </c>
      <c r="O153" s="12" t="str">
        <f>TEXT(InputData[[#This Row],[DATE]],"MMM")</f>
        <v>Jul</v>
      </c>
      <c r="P153" s="12">
        <f>YEAR(InputData[[#This Row],[DATE]])</f>
        <v>2021</v>
      </c>
    </row>
    <row r="154" spans="1:16" x14ac:dyDescent="0.3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4">
        <f>VLOOKUP(InputData[[#This Row],[PRODUCT ID]],MasterData[],5,0)</f>
        <v>67</v>
      </c>
      <c r="K154" s="14">
        <f>VLOOKUP(InputData[[#This Row],[PRODUCT ID]],MasterData[],6,0)</f>
        <v>83.08</v>
      </c>
      <c r="L154" s="14">
        <f>InputData[[#This Row],[QUANTITY]]*InputData[[#This Row],[BUYING PRIZE]]</f>
        <v>335</v>
      </c>
      <c r="M154" s="14">
        <f>InputData[[#This Row],[QUANTITY]]*InputData[[#This Row],[SELLING PRICE]]*(1-InputData[[#This Row],[DISCOUNT %]])</f>
        <v>415.4</v>
      </c>
      <c r="N154" s="12">
        <f>DAY(InputData[[#This Row],[DATE]])</f>
        <v>20</v>
      </c>
      <c r="O154" s="12" t="str">
        <f>TEXT(InputData[[#This Row],[DATE]],"MMM")</f>
        <v>Jul</v>
      </c>
      <c r="P154" s="12">
        <f>YEAR(InputData[[#This Row],[DATE]])</f>
        <v>2021</v>
      </c>
    </row>
    <row r="155" spans="1:16" x14ac:dyDescent="0.3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4">
        <f>VLOOKUP(InputData[[#This Row],[PRODUCT ID]],MasterData[],5,0)</f>
        <v>47</v>
      </c>
      <c r="K155" s="14">
        <f>VLOOKUP(InputData[[#This Row],[PRODUCT ID]],MasterData[],6,0)</f>
        <v>53.11</v>
      </c>
      <c r="L155" s="14">
        <f>InputData[[#This Row],[QUANTITY]]*InputData[[#This Row],[BUYING PRIZE]]</f>
        <v>705</v>
      </c>
      <c r="M155" s="14">
        <f>InputData[[#This Row],[QUANTITY]]*InputData[[#This Row],[SELLING PRICE]]*(1-InputData[[#This Row],[DISCOUNT %]])</f>
        <v>796.65</v>
      </c>
      <c r="N155" s="12">
        <f>DAY(InputData[[#This Row],[DATE]])</f>
        <v>21</v>
      </c>
      <c r="O155" s="12" t="str">
        <f>TEXT(InputData[[#This Row],[DATE]],"MMM")</f>
        <v>Jul</v>
      </c>
      <c r="P155" s="12">
        <f>YEAR(InputData[[#This Row],[DATE]])</f>
        <v>2021</v>
      </c>
    </row>
    <row r="156" spans="1:16" x14ac:dyDescent="0.3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4">
        <f>VLOOKUP(InputData[[#This Row],[PRODUCT ID]],MasterData[],5,0)</f>
        <v>18</v>
      </c>
      <c r="K156" s="14">
        <f>VLOOKUP(InputData[[#This Row],[PRODUCT ID]],MasterData[],6,0)</f>
        <v>24.66</v>
      </c>
      <c r="L156" s="14">
        <f>InputData[[#This Row],[QUANTITY]]*InputData[[#This Row],[BUYING PRIZE]]</f>
        <v>54</v>
      </c>
      <c r="M156" s="14">
        <f>InputData[[#This Row],[QUANTITY]]*InputData[[#This Row],[SELLING PRICE]]*(1-InputData[[#This Row],[DISCOUNT %]])</f>
        <v>73.98</v>
      </c>
      <c r="N156" s="12">
        <f>DAY(InputData[[#This Row],[DATE]])</f>
        <v>22</v>
      </c>
      <c r="O156" s="12" t="str">
        <f>TEXT(InputData[[#This Row],[DATE]],"MMM")</f>
        <v>Jul</v>
      </c>
      <c r="P156" s="12">
        <f>YEAR(InputData[[#This Row],[DATE]])</f>
        <v>2021</v>
      </c>
    </row>
    <row r="157" spans="1:16" x14ac:dyDescent="0.3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4">
        <f>VLOOKUP(InputData[[#This Row],[PRODUCT ID]],MasterData[],5,0)</f>
        <v>144</v>
      </c>
      <c r="K157" s="14">
        <f>VLOOKUP(InputData[[#This Row],[PRODUCT ID]],MasterData[],6,0)</f>
        <v>156.96</v>
      </c>
      <c r="L157" s="14">
        <f>InputData[[#This Row],[QUANTITY]]*InputData[[#This Row],[BUYING PRIZE]]</f>
        <v>2016</v>
      </c>
      <c r="M157" s="14">
        <f>InputData[[#This Row],[QUANTITY]]*InputData[[#This Row],[SELLING PRICE]]*(1-InputData[[#This Row],[DISCOUNT %]])</f>
        <v>2197.44</v>
      </c>
      <c r="N157" s="12">
        <f>DAY(InputData[[#This Row],[DATE]])</f>
        <v>22</v>
      </c>
      <c r="O157" s="12" t="str">
        <f>TEXT(InputData[[#This Row],[DATE]],"MMM")</f>
        <v>Jul</v>
      </c>
      <c r="P157" s="12">
        <f>YEAR(InputData[[#This Row],[DATE]])</f>
        <v>2021</v>
      </c>
    </row>
    <row r="158" spans="1:16" x14ac:dyDescent="0.3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4">
        <f>VLOOKUP(InputData[[#This Row],[PRODUCT ID]],MasterData[],5,0)</f>
        <v>90</v>
      </c>
      <c r="K158" s="14">
        <f>VLOOKUP(InputData[[#This Row],[PRODUCT ID]],MasterData[],6,0)</f>
        <v>96.3</v>
      </c>
      <c r="L158" s="14">
        <f>InputData[[#This Row],[QUANTITY]]*InputData[[#This Row],[BUYING PRIZE]]</f>
        <v>630</v>
      </c>
      <c r="M158" s="14">
        <f>InputData[[#This Row],[QUANTITY]]*InputData[[#This Row],[SELLING PRICE]]*(1-InputData[[#This Row],[DISCOUNT %]])</f>
        <v>674.1</v>
      </c>
      <c r="N158" s="12">
        <f>DAY(InputData[[#This Row],[DATE]])</f>
        <v>23</v>
      </c>
      <c r="O158" s="12" t="str">
        <f>TEXT(InputData[[#This Row],[DATE]],"MMM")</f>
        <v>Jul</v>
      </c>
      <c r="P158" s="12">
        <f>YEAR(InputData[[#This Row],[DATE]])</f>
        <v>2021</v>
      </c>
    </row>
    <row r="159" spans="1:16" x14ac:dyDescent="0.3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4">
        <f>VLOOKUP(InputData[[#This Row],[PRODUCT ID]],MasterData[],5,0)</f>
        <v>67</v>
      </c>
      <c r="K159" s="14">
        <f>VLOOKUP(InputData[[#This Row],[PRODUCT ID]],MasterData[],6,0)</f>
        <v>85.76</v>
      </c>
      <c r="L159" s="14">
        <f>InputData[[#This Row],[QUANTITY]]*InputData[[#This Row],[BUYING PRIZE]]</f>
        <v>536</v>
      </c>
      <c r="M159" s="14">
        <f>InputData[[#This Row],[QUANTITY]]*InputData[[#This Row],[SELLING PRICE]]*(1-InputData[[#This Row],[DISCOUNT %]])</f>
        <v>686.08</v>
      </c>
      <c r="N159" s="12">
        <f>DAY(InputData[[#This Row],[DATE]])</f>
        <v>23</v>
      </c>
      <c r="O159" s="12" t="str">
        <f>TEXT(InputData[[#This Row],[DATE]],"MMM")</f>
        <v>Jul</v>
      </c>
      <c r="P159" s="12">
        <f>YEAR(InputData[[#This Row],[DATE]])</f>
        <v>2021</v>
      </c>
    </row>
    <row r="160" spans="1:16" x14ac:dyDescent="0.3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4">
        <f>VLOOKUP(InputData[[#This Row],[PRODUCT ID]],MasterData[],5,0)</f>
        <v>6</v>
      </c>
      <c r="K160" s="14">
        <f>VLOOKUP(InputData[[#This Row],[PRODUCT ID]],MasterData[],6,0)</f>
        <v>7.8599999999999994</v>
      </c>
      <c r="L160" s="14">
        <f>InputData[[#This Row],[QUANTITY]]*InputData[[#This Row],[BUYING PRIZE]]</f>
        <v>24</v>
      </c>
      <c r="M160" s="14">
        <f>InputData[[#This Row],[QUANTITY]]*InputData[[#This Row],[SELLING PRICE]]*(1-InputData[[#This Row],[DISCOUNT %]])</f>
        <v>31.439999999999998</v>
      </c>
      <c r="N160" s="12">
        <f>DAY(InputData[[#This Row],[DATE]])</f>
        <v>24</v>
      </c>
      <c r="O160" s="12" t="str">
        <f>TEXT(InputData[[#This Row],[DATE]],"MMM")</f>
        <v>Jul</v>
      </c>
      <c r="P160" s="12">
        <f>YEAR(InputData[[#This Row],[DATE]])</f>
        <v>2021</v>
      </c>
    </row>
    <row r="161" spans="1:16" x14ac:dyDescent="0.3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4">
        <f>VLOOKUP(InputData[[#This Row],[PRODUCT ID]],MasterData[],5,0)</f>
        <v>76</v>
      </c>
      <c r="K161" s="14">
        <f>VLOOKUP(InputData[[#This Row],[PRODUCT ID]],MasterData[],6,0)</f>
        <v>82.08</v>
      </c>
      <c r="L161" s="14">
        <f>InputData[[#This Row],[QUANTITY]]*InputData[[#This Row],[BUYING PRIZE]]</f>
        <v>1140</v>
      </c>
      <c r="M161" s="14">
        <f>InputData[[#This Row],[QUANTITY]]*InputData[[#This Row],[SELLING PRICE]]*(1-InputData[[#This Row],[DISCOUNT %]])</f>
        <v>1231.2</v>
      </c>
      <c r="N161" s="12">
        <f>DAY(InputData[[#This Row],[DATE]])</f>
        <v>29</v>
      </c>
      <c r="O161" s="12" t="str">
        <f>TEXT(InputData[[#This Row],[DATE]],"MMM")</f>
        <v>Jul</v>
      </c>
      <c r="P161" s="12">
        <f>YEAR(InputData[[#This Row],[DATE]])</f>
        <v>2021</v>
      </c>
    </row>
    <row r="162" spans="1:16" x14ac:dyDescent="0.3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4">
        <f>VLOOKUP(InputData[[#This Row],[PRODUCT ID]],MasterData[],5,0)</f>
        <v>98</v>
      </c>
      <c r="K162" s="14">
        <f>VLOOKUP(InputData[[#This Row],[PRODUCT ID]],MasterData[],6,0)</f>
        <v>103.88</v>
      </c>
      <c r="L162" s="14">
        <f>InputData[[#This Row],[QUANTITY]]*InputData[[#This Row],[BUYING PRIZE]]</f>
        <v>1078</v>
      </c>
      <c r="M162" s="14">
        <f>InputData[[#This Row],[QUANTITY]]*InputData[[#This Row],[SELLING PRICE]]*(1-InputData[[#This Row],[DISCOUNT %]])</f>
        <v>1142.6799999999998</v>
      </c>
      <c r="N162" s="12">
        <f>DAY(InputData[[#This Row],[DATE]])</f>
        <v>1</v>
      </c>
      <c r="O162" s="12" t="str">
        <f>TEXT(InputData[[#This Row],[DATE]],"MMM")</f>
        <v>Aug</v>
      </c>
      <c r="P162" s="12">
        <f>YEAR(InputData[[#This Row],[DATE]])</f>
        <v>2021</v>
      </c>
    </row>
    <row r="163" spans="1:16" x14ac:dyDescent="0.3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4">
        <f>VLOOKUP(InputData[[#This Row],[PRODUCT ID]],MasterData[],5,0)</f>
        <v>141</v>
      </c>
      <c r="K163" s="14">
        <f>VLOOKUP(InputData[[#This Row],[PRODUCT ID]],MasterData[],6,0)</f>
        <v>149.46</v>
      </c>
      <c r="L163" s="14">
        <f>InputData[[#This Row],[QUANTITY]]*InputData[[#This Row],[BUYING PRIZE]]</f>
        <v>423</v>
      </c>
      <c r="M163" s="14">
        <f>InputData[[#This Row],[QUANTITY]]*InputData[[#This Row],[SELLING PRICE]]*(1-InputData[[#This Row],[DISCOUNT %]])</f>
        <v>448.38</v>
      </c>
      <c r="N163" s="12">
        <f>DAY(InputData[[#This Row],[DATE]])</f>
        <v>2</v>
      </c>
      <c r="O163" s="12" t="str">
        <f>TEXT(InputData[[#This Row],[DATE]],"MMM")</f>
        <v>Aug</v>
      </c>
      <c r="P163" s="12">
        <f>YEAR(InputData[[#This Row],[DATE]])</f>
        <v>2021</v>
      </c>
    </row>
    <row r="164" spans="1:16" x14ac:dyDescent="0.3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4">
        <f>VLOOKUP(InputData[[#This Row],[PRODUCT ID]],MasterData[],5,0)</f>
        <v>121</v>
      </c>
      <c r="K164" s="14">
        <f>VLOOKUP(InputData[[#This Row],[PRODUCT ID]],MasterData[],6,0)</f>
        <v>141.57</v>
      </c>
      <c r="L164" s="14">
        <f>InputData[[#This Row],[QUANTITY]]*InputData[[#This Row],[BUYING PRIZE]]</f>
        <v>1573</v>
      </c>
      <c r="M164" s="14">
        <f>InputData[[#This Row],[QUANTITY]]*InputData[[#This Row],[SELLING PRICE]]*(1-InputData[[#This Row],[DISCOUNT %]])</f>
        <v>1840.4099999999999</v>
      </c>
      <c r="N164" s="12">
        <f>DAY(InputData[[#This Row],[DATE]])</f>
        <v>3</v>
      </c>
      <c r="O164" s="12" t="str">
        <f>TEXT(InputData[[#This Row],[DATE]],"MMM")</f>
        <v>Aug</v>
      </c>
      <c r="P164" s="12">
        <f>YEAR(InputData[[#This Row],[DATE]])</f>
        <v>2021</v>
      </c>
    </row>
    <row r="165" spans="1:16" x14ac:dyDescent="0.3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4">
        <f>VLOOKUP(InputData[[#This Row],[PRODUCT ID]],MasterData[],5,0)</f>
        <v>55</v>
      </c>
      <c r="K165" s="14">
        <f>VLOOKUP(InputData[[#This Row],[PRODUCT ID]],MasterData[],6,0)</f>
        <v>58.3</v>
      </c>
      <c r="L165" s="14">
        <f>InputData[[#This Row],[QUANTITY]]*InputData[[#This Row],[BUYING PRIZE]]</f>
        <v>660</v>
      </c>
      <c r="M165" s="14">
        <f>InputData[[#This Row],[QUANTITY]]*InputData[[#This Row],[SELLING PRICE]]*(1-InputData[[#This Row],[DISCOUNT %]])</f>
        <v>699.59999999999991</v>
      </c>
      <c r="N165" s="12">
        <f>DAY(InputData[[#This Row],[DATE]])</f>
        <v>3</v>
      </c>
      <c r="O165" s="12" t="str">
        <f>TEXT(InputData[[#This Row],[DATE]],"MMM")</f>
        <v>Aug</v>
      </c>
      <c r="P165" s="12">
        <f>YEAR(InputData[[#This Row],[DATE]])</f>
        <v>2021</v>
      </c>
    </row>
    <row r="166" spans="1:16" x14ac:dyDescent="0.3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4">
        <f>VLOOKUP(InputData[[#This Row],[PRODUCT ID]],MasterData[],5,0)</f>
        <v>37</v>
      </c>
      <c r="K166" s="14">
        <f>VLOOKUP(InputData[[#This Row],[PRODUCT ID]],MasterData[],6,0)</f>
        <v>41.81</v>
      </c>
      <c r="L166" s="14">
        <f>InputData[[#This Row],[QUANTITY]]*InputData[[#This Row],[BUYING PRIZE]]</f>
        <v>518</v>
      </c>
      <c r="M166" s="14">
        <f>InputData[[#This Row],[QUANTITY]]*InputData[[#This Row],[SELLING PRICE]]*(1-InputData[[#This Row],[DISCOUNT %]])</f>
        <v>585.34</v>
      </c>
      <c r="N166" s="12">
        <f>DAY(InputData[[#This Row],[DATE]])</f>
        <v>5</v>
      </c>
      <c r="O166" s="12" t="str">
        <f>TEXT(InputData[[#This Row],[DATE]],"MMM")</f>
        <v>Aug</v>
      </c>
      <c r="P166" s="12">
        <f>YEAR(InputData[[#This Row],[DATE]])</f>
        <v>2021</v>
      </c>
    </row>
    <row r="167" spans="1:16" x14ac:dyDescent="0.3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4">
        <f>VLOOKUP(InputData[[#This Row],[PRODUCT ID]],MasterData[],5,0)</f>
        <v>67</v>
      </c>
      <c r="K167" s="14">
        <f>VLOOKUP(InputData[[#This Row],[PRODUCT ID]],MasterData[],6,0)</f>
        <v>85.76</v>
      </c>
      <c r="L167" s="14">
        <f>InputData[[#This Row],[QUANTITY]]*InputData[[#This Row],[BUYING PRIZE]]</f>
        <v>67</v>
      </c>
      <c r="M167" s="14">
        <f>InputData[[#This Row],[QUANTITY]]*InputData[[#This Row],[SELLING PRICE]]*(1-InputData[[#This Row],[DISCOUNT %]])</f>
        <v>85.76</v>
      </c>
      <c r="N167" s="12">
        <f>DAY(InputData[[#This Row],[DATE]])</f>
        <v>6</v>
      </c>
      <c r="O167" s="12" t="str">
        <f>TEXT(InputData[[#This Row],[DATE]],"MMM")</f>
        <v>Aug</v>
      </c>
      <c r="P167" s="12">
        <f>YEAR(InputData[[#This Row],[DATE]])</f>
        <v>2021</v>
      </c>
    </row>
    <row r="168" spans="1:16" x14ac:dyDescent="0.3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4">
        <f>VLOOKUP(InputData[[#This Row],[PRODUCT ID]],MasterData[],5,0)</f>
        <v>133</v>
      </c>
      <c r="K168" s="14">
        <f>VLOOKUP(InputData[[#This Row],[PRODUCT ID]],MasterData[],6,0)</f>
        <v>155.61000000000001</v>
      </c>
      <c r="L168" s="14">
        <f>InputData[[#This Row],[QUANTITY]]*InputData[[#This Row],[BUYING PRIZE]]</f>
        <v>532</v>
      </c>
      <c r="M168" s="14">
        <f>InputData[[#This Row],[QUANTITY]]*InputData[[#This Row],[SELLING PRICE]]*(1-InputData[[#This Row],[DISCOUNT %]])</f>
        <v>622.44000000000005</v>
      </c>
      <c r="N168" s="12">
        <f>DAY(InputData[[#This Row],[DATE]])</f>
        <v>10</v>
      </c>
      <c r="O168" s="12" t="str">
        <f>TEXT(InputData[[#This Row],[DATE]],"MMM")</f>
        <v>Aug</v>
      </c>
      <c r="P168" s="12">
        <f>YEAR(InputData[[#This Row],[DATE]])</f>
        <v>2021</v>
      </c>
    </row>
    <row r="169" spans="1:16" x14ac:dyDescent="0.3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4">
        <f>VLOOKUP(InputData[[#This Row],[PRODUCT ID]],MasterData[],5,0)</f>
        <v>76</v>
      </c>
      <c r="K169" s="14">
        <f>VLOOKUP(InputData[[#This Row],[PRODUCT ID]],MasterData[],6,0)</f>
        <v>82.08</v>
      </c>
      <c r="L169" s="14">
        <f>InputData[[#This Row],[QUANTITY]]*InputData[[#This Row],[BUYING PRIZE]]</f>
        <v>760</v>
      </c>
      <c r="M169" s="14">
        <f>InputData[[#This Row],[QUANTITY]]*InputData[[#This Row],[SELLING PRICE]]*(1-InputData[[#This Row],[DISCOUNT %]])</f>
        <v>820.8</v>
      </c>
      <c r="N169" s="12">
        <f>DAY(InputData[[#This Row],[DATE]])</f>
        <v>10</v>
      </c>
      <c r="O169" s="12" t="str">
        <f>TEXT(InputData[[#This Row],[DATE]],"MMM")</f>
        <v>Aug</v>
      </c>
      <c r="P169" s="12">
        <f>YEAR(InputData[[#This Row],[DATE]])</f>
        <v>2021</v>
      </c>
    </row>
    <row r="170" spans="1:16" x14ac:dyDescent="0.3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4">
        <f>VLOOKUP(InputData[[#This Row],[PRODUCT ID]],MasterData[],5,0)</f>
        <v>75</v>
      </c>
      <c r="K170" s="14">
        <f>VLOOKUP(InputData[[#This Row],[PRODUCT ID]],MasterData[],6,0)</f>
        <v>85.5</v>
      </c>
      <c r="L170" s="14">
        <f>InputData[[#This Row],[QUANTITY]]*InputData[[#This Row],[BUYING PRIZE]]</f>
        <v>450</v>
      </c>
      <c r="M170" s="14">
        <f>InputData[[#This Row],[QUANTITY]]*InputData[[#This Row],[SELLING PRICE]]*(1-InputData[[#This Row],[DISCOUNT %]])</f>
        <v>513</v>
      </c>
      <c r="N170" s="12">
        <f>DAY(InputData[[#This Row],[DATE]])</f>
        <v>10</v>
      </c>
      <c r="O170" s="12" t="str">
        <f>TEXT(InputData[[#This Row],[DATE]],"MMM")</f>
        <v>Aug</v>
      </c>
      <c r="P170" s="12">
        <f>YEAR(InputData[[#This Row],[DATE]])</f>
        <v>2021</v>
      </c>
    </row>
    <row r="171" spans="1:16" x14ac:dyDescent="0.3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4">
        <f>VLOOKUP(InputData[[#This Row],[PRODUCT ID]],MasterData[],5,0)</f>
        <v>141</v>
      </c>
      <c r="K171" s="14">
        <f>VLOOKUP(InputData[[#This Row],[PRODUCT ID]],MasterData[],6,0)</f>
        <v>149.46</v>
      </c>
      <c r="L171" s="14">
        <f>InputData[[#This Row],[QUANTITY]]*InputData[[#This Row],[BUYING PRIZE]]</f>
        <v>564</v>
      </c>
      <c r="M171" s="14">
        <f>InputData[[#This Row],[QUANTITY]]*InputData[[#This Row],[SELLING PRICE]]*(1-InputData[[#This Row],[DISCOUNT %]])</f>
        <v>597.84</v>
      </c>
      <c r="N171" s="12">
        <f>DAY(InputData[[#This Row],[DATE]])</f>
        <v>11</v>
      </c>
      <c r="O171" s="12" t="str">
        <f>TEXT(InputData[[#This Row],[DATE]],"MMM")</f>
        <v>Aug</v>
      </c>
      <c r="P171" s="12">
        <f>YEAR(InputData[[#This Row],[DATE]])</f>
        <v>2021</v>
      </c>
    </row>
    <row r="172" spans="1:16" x14ac:dyDescent="0.3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4">
        <f>VLOOKUP(InputData[[#This Row],[PRODUCT ID]],MasterData[],5,0)</f>
        <v>44</v>
      </c>
      <c r="K172" s="14">
        <f>VLOOKUP(InputData[[#This Row],[PRODUCT ID]],MasterData[],6,0)</f>
        <v>48.4</v>
      </c>
      <c r="L172" s="14">
        <f>InputData[[#This Row],[QUANTITY]]*InputData[[#This Row],[BUYING PRIZE]]</f>
        <v>572</v>
      </c>
      <c r="M172" s="14">
        <f>InputData[[#This Row],[QUANTITY]]*InputData[[#This Row],[SELLING PRICE]]*(1-InputData[[#This Row],[DISCOUNT %]])</f>
        <v>629.19999999999993</v>
      </c>
      <c r="N172" s="12">
        <f>DAY(InputData[[#This Row],[DATE]])</f>
        <v>13</v>
      </c>
      <c r="O172" s="12" t="str">
        <f>TEXT(InputData[[#This Row],[DATE]],"MMM")</f>
        <v>Aug</v>
      </c>
      <c r="P172" s="12">
        <f>YEAR(InputData[[#This Row],[DATE]])</f>
        <v>2021</v>
      </c>
    </row>
    <row r="173" spans="1:16" x14ac:dyDescent="0.3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4">
        <f>VLOOKUP(InputData[[#This Row],[PRODUCT ID]],MasterData[],5,0)</f>
        <v>48</v>
      </c>
      <c r="K173" s="14">
        <f>VLOOKUP(InputData[[#This Row],[PRODUCT ID]],MasterData[],6,0)</f>
        <v>57.120000000000005</v>
      </c>
      <c r="L173" s="14">
        <f>InputData[[#This Row],[QUANTITY]]*InputData[[#This Row],[BUYING PRIZE]]</f>
        <v>432</v>
      </c>
      <c r="M173" s="14">
        <f>InputData[[#This Row],[QUANTITY]]*InputData[[#This Row],[SELLING PRICE]]*(1-InputData[[#This Row],[DISCOUNT %]])</f>
        <v>514.08000000000004</v>
      </c>
      <c r="N173" s="12">
        <f>DAY(InputData[[#This Row],[DATE]])</f>
        <v>13</v>
      </c>
      <c r="O173" s="12" t="str">
        <f>TEXT(InputData[[#This Row],[DATE]],"MMM")</f>
        <v>Aug</v>
      </c>
      <c r="P173" s="12">
        <f>YEAR(InputData[[#This Row],[DATE]])</f>
        <v>2021</v>
      </c>
    </row>
    <row r="174" spans="1:16" x14ac:dyDescent="0.3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4">
        <f>VLOOKUP(InputData[[#This Row],[PRODUCT ID]],MasterData[],5,0)</f>
        <v>71</v>
      </c>
      <c r="K174" s="14">
        <f>VLOOKUP(InputData[[#This Row],[PRODUCT ID]],MasterData[],6,0)</f>
        <v>80.94</v>
      </c>
      <c r="L174" s="14">
        <f>InputData[[#This Row],[QUANTITY]]*InputData[[#This Row],[BUYING PRIZE]]</f>
        <v>213</v>
      </c>
      <c r="M174" s="14">
        <f>InputData[[#This Row],[QUANTITY]]*InputData[[#This Row],[SELLING PRICE]]*(1-InputData[[#This Row],[DISCOUNT %]])</f>
        <v>242.82</v>
      </c>
      <c r="N174" s="12">
        <f>DAY(InputData[[#This Row],[DATE]])</f>
        <v>16</v>
      </c>
      <c r="O174" s="12" t="str">
        <f>TEXT(InputData[[#This Row],[DATE]],"MMM")</f>
        <v>Aug</v>
      </c>
      <c r="P174" s="12">
        <f>YEAR(InputData[[#This Row],[DATE]])</f>
        <v>2021</v>
      </c>
    </row>
    <row r="175" spans="1:16" x14ac:dyDescent="0.3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4">
        <f>VLOOKUP(InputData[[#This Row],[PRODUCT ID]],MasterData[],5,0)</f>
        <v>7</v>
      </c>
      <c r="K175" s="14">
        <f>VLOOKUP(InputData[[#This Row],[PRODUCT ID]],MasterData[],6,0)</f>
        <v>8.33</v>
      </c>
      <c r="L175" s="14">
        <f>InputData[[#This Row],[QUANTITY]]*InputData[[#This Row],[BUYING PRIZE]]</f>
        <v>42</v>
      </c>
      <c r="M175" s="14">
        <f>InputData[[#This Row],[QUANTITY]]*InputData[[#This Row],[SELLING PRICE]]*(1-InputData[[#This Row],[DISCOUNT %]])</f>
        <v>49.980000000000004</v>
      </c>
      <c r="N175" s="12">
        <f>DAY(InputData[[#This Row],[DATE]])</f>
        <v>18</v>
      </c>
      <c r="O175" s="12" t="str">
        <f>TEXT(InputData[[#This Row],[DATE]],"MMM")</f>
        <v>Aug</v>
      </c>
      <c r="P175" s="12">
        <f>YEAR(InputData[[#This Row],[DATE]])</f>
        <v>2021</v>
      </c>
    </row>
    <row r="176" spans="1:16" x14ac:dyDescent="0.3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4">
        <f>VLOOKUP(InputData[[#This Row],[PRODUCT ID]],MasterData[],5,0)</f>
        <v>61</v>
      </c>
      <c r="K176" s="14">
        <f>VLOOKUP(InputData[[#This Row],[PRODUCT ID]],MasterData[],6,0)</f>
        <v>76.25</v>
      </c>
      <c r="L176" s="14">
        <f>InputData[[#This Row],[QUANTITY]]*InputData[[#This Row],[BUYING PRIZE]]</f>
        <v>915</v>
      </c>
      <c r="M176" s="14">
        <f>InputData[[#This Row],[QUANTITY]]*InputData[[#This Row],[SELLING PRICE]]*(1-InputData[[#This Row],[DISCOUNT %]])</f>
        <v>1143.75</v>
      </c>
      <c r="N176" s="12">
        <f>DAY(InputData[[#This Row],[DATE]])</f>
        <v>20</v>
      </c>
      <c r="O176" s="12" t="str">
        <f>TEXT(InputData[[#This Row],[DATE]],"MMM")</f>
        <v>Aug</v>
      </c>
      <c r="P176" s="12">
        <f>YEAR(InputData[[#This Row],[DATE]])</f>
        <v>2021</v>
      </c>
    </row>
    <row r="177" spans="1:16" x14ac:dyDescent="0.3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4">
        <f>VLOOKUP(InputData[[#This Row],[PRODUCT ID]],MasterData[],5,0)</f>
        <v>93</v>
      </c>
      <c r="K177" s="14">
        <f>VLOOKUP(InputData[[#This Row],[PRODUCT ID]],MasterData[],6,0)</f>
        <v>104.16</v>
      </c>
      <c r="L177" s="14">
        <f>InputData[[#This Row],[QUANTITY]]*InputData[[#This Row],[BUYING PRIZE]]</f>
        <v>837</v>
      </c>
      <c r="M177" s="14">
        <f>InputData[[#This Row],[QUANTITY]]*InputData[[#This Row],[SELLING PRICE]]*(1-InputData[[#This Row],[DISCOUNT %]])</f>
        <v>937.43999999999994</v>
      </c>
      <c r="N177" s="12">
        <f>DAY(InputData[[#This Row],[DATE]])</f>
        <v>20</v>
      </c>
      <c r="O177" s="12" t="str">
        <f>TEXT(InputData[[#This Row],[DATE]],"MMM")</f>
        <v>Aug</v>
      </c>
      <c r="P177" s="12">
        <f>YEAR(InputData[[#This Row],[DATE]])</f>
        <v>2021</v>
      </c>
    </row>
    <row r="178" spans="1:16" x14ac:dyDescent="0.3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4">
        <f>VLOOKUP(InputData[[#This Row],[PRODUCT ID]],MasterData[],5,0)</f>
        <v>37</v>
      </c>
      <c r="K178" s="14">
        <f>VLOOKUP(InputData[[#This Row],[PRODUCT ID]],MasterData[],6,0)</f>
        <v>41.81</v>
      </c>
      <c r="L178" s="14">
        <f>InputData[[#This Row],[QUANTITY]]*InputData[[#This Row],[BUYING PRIZE]]</f>
        <v>481</v>
      </c>
      <c r="M178" s="14">
        <f>InputData[[#This Row],[QUANTITY]]*InputData[[#This Row],[SELLING PRICE]]*(1-InputData[[#This Row],[DISCOUNT %]])</f>
        <v>543.53</v>
      </c>
      <c r="N178" s="12">
        <f>DAY(InputData[[#This Row],[DATE]])</f>
        <v>20</v>
      </c>
      <c r="O178" s="12" t="str">
        <f>TEXT(InputData[[#This Row],[DATE]],"MMM")</f>
        <v>Aug</v>
      </c>
      <c r="P178" s="12">
        <f>YEAR(InputData[[#This Row],[DATE]])</f>
        <v>2021</v>
      </c>
    </row>
    <row r="179" spans="1:16" x14ac:dyDescent="0.3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4">
        <f>VLOOKUP(InputData[[#This Row],[PRODUCT ID]],MasterData[],5,0)</f>
        <v>37</v>
      </c>
      <c r="K179" s="14">
        <f>VLOOKUP(InputData[[#This Row],[PRODUCT ID]],MasterData[],6,0)</f>
        <v>42.55</v>
      </c>
      <c r="L179" s="14">
        <f>InputData[[#This Row],[QUANTITY]]*InputData[[#This Row],[BUYING PRIZE]]</f>
        <v>148</v>
      </c>
      <c r="M179" s="14">
        <f>InputData[[#This Row],[QUANTITY]]*InputData[[#This Row],[SELLING PRICE]]*(1-InputData[[#This Row],[DISCOUNT %]])</f>
        <v>170.2</v>
      </c>
      <c r="N179" s="12">
        <f>DAY(InputData[[#This Row],[DATE]])</f>
        <v>26</v>
      </c>
      <c r="O179" s="12" t="str">
        <f>TEXT(InputData[[#This Row],[DATE]],"MMM")</f>
        <v>Aug</v>
      </c>
      <c r="P179" s="12">
        <f>YEAR(InputData[[#This Row],[DATE]])</f>
        <v>2021</v>
      </c>
    </row>
    <row r="180" spans="1:16" x14ac:dyDescent="0.3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4">
        <f>VLOOKUP(InputData[[#This Row],[PRODUCT ID]],MasterData[],5,0)</f>
        <v>55</v>
      </c>
      <c r="K180" s="14">
        <f>VLOOKUP(InputData[[#This Row],[PRODUCT ID]],MasterData[],6,0)</f>
        <v>58.3</v>
      </c>
      <c r="L180" s="14">
        <f>InputData[[#This Row],[QUANTITY]]*InputData[[#This Row],[BUYING PRIZE]]</f>
        <v>660</v>
      </c>
      <c r="M180" s="14">
        <f>InputData[[#This Row],[QUANTITY]]*InputData[[#This Row],[SELLING PRICE]]*(1-InputData[[#This Row],[DISCOUNT %]])</f>
        <v>699.59999999999991</v>
      </c>
      <c r="N180" s="12">
        <f>DAY(InputData[[#This Row],[DATE]])</f>
        <v>29</v>
      </c>
      <c r="O180" s="12" t="str">
        <f>TEXT(InputData[[#This Row],[DATE]],"MMM")</f>
        <v>Aug</v>
      </c>
      <c r="P180" s="12">
        <f>YEAR(InputData[[#This Row],[DATE]])</f>
        <v>2021</v>
      </c>
    </row>
    <row r="181" spans="1:16" x14ac:dyDescent="0.3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4">
        <f>VLOOKUP(InputData[[#This Row],[PRODUCT ID]],MasterData[],5,0)</f>
        <v>112</v>
      </c>
      <c r="K181" s="14">
        <f>VLOOKUP(InputData[[#This Row],[PRODUCT ID]],MasterData[],6,0)</f>
        <v>122.08</v>
      </c>
      <c r="L181" s="14">
        <f>InputData[[#This Row],[QUANTITY]]*InputData[[#This Row],[BUYING PRIZE]]</f>
        <v>1456</v>
      </c>
      <c r="M181" s="14">
        <f>InputData[[#This Row],[QUANTITY]]*InputData[[#This Row],[SELLING PRICE]]*(1-InputData[[#This Row],[DISCOUNT %]])</f>
        <v>1587.04</v>
      </c>
      <c r="N181" s="12">
        <f>DAY(InputData[[#This Row],[DATE]])</f>
        <v>30</v>
      </c>
      <c r="O181" s="12" t="str">
        <f>TEXT(InputData[[#This Row],[DATE]],"MMM")</f>
        <v>Aug</v>
      </c>
      <c r="P181" s="12">
        <f>YEAR(InputData[[#This Row],[DATE]])</f>
        <v>2021</v>
      </c>
    </row>
    <row r="182" spans="1:16" x14ac:dyDescent="0.3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4">
        <f>VLOOKUP(InputData[[#This Row],[PRODUCT ID]],MasterData[],5,0)</f>
        <v>98</v>
      </c>
      <c r="K182" s="14">
        <f>VLOOKUP(InputData[[#This Row],[PRODUCT ID]],MasterData[],6,0)</f>
        <v>103.88</v>
      </c>
      <c r="L182" s="14">
        <f>InputData[[#This Row],[QUANTITY]]*InputData[[#This Row],[BUYING PRIZE]]</f>
        <v>196</v>
      </c>
      <c r="M182" s="14">
        <f>InputData[[#This Row],[QUANTITY]]*InputData[[#This Row],[SELLING PRICE]]*(1-InputData[[#This Row],[DISCOUNT %]])</f>
        <v>207.76</v>
      </c>
      <c r="N182" s="12">
        <f>DAY(InputData[[#This Row],[DATE]])</f>
        <v>31</v>
      </c>
      <c r="O182" s="12" t="str">
        <f>TEXT(InputData[[#This Row],[DATE]],"MMM")</f>
        <v>Aug</v>
      </c>
      <c r="P182" s="12">
        <f>YEAR(InputData[[#This Row],[DATE]])</f>
        <v>2021</v>
      </c>
    </row>
    <row r="183" spans="1:16" x14ac:dyDescent="0.3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4">
        <f>VLOOKUP(InputData[[#This Row],[PRODUCT ID]],MasterData[],5,0)</f>
        <v>5</v>
      </c>
      <c r="K183" s="14">
        <f>VLOOKUP(InputData[[#This Row],[PRODUCT ID]],MasterData[],6,0)</f>
        <v>6.7</v>
      </c>
      <c r="L183" s="14">
        <f>InputData[[#This Row],[QUANTITY]]*InputData[[#This Row],[BUYING PRIZE]]</f>
        <v>55</v>
      </c>
      <c r="M183" s="14">
        <f>InputData[[#This Row],[QUANTITY]]*InputData[[#This Row],[SELLING PRICE]]*(1-InputData[[#This Row],[DISCOUNT %]])</f>
        <v>73.7</v>
      </c>
      <c r="N183" s="12">
        <f>DAY(InputData[[#This Row],[DATE]])</f>
        <v>31</v>
      </c>
      <c r="O183" s="12" t="str">
        <f>TEXT(InputData[[#This Row],[DATE]],"MMM")</f>
        <v>Aug</v>
      </c>
      <c r="P183" s="12">
        <f>YEAR(InputData[[#This Row],[DATE]])</f>
        <v>2021</v>
      </c>
    </row>
    <row r="184" spans="1:16" x14ac:dyDescent="0.3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4">
        <f>VLOOKUP(InputData[[#This Row],[PRODUCT ID]],MasterData[],5,0)</f>
        <v>144</v>
      </c>
      <c r="K184" s="14">
        <f>VLOOKUP(InputData[[#This Row],[PRODUCT ID]],MasterData[],6,0)</f>
        <v>156.96</v>
      </c>
      <c r="L184" s="14">
        <f>InputData[[#This Row],[QUANTITY]]*InputData[[#This Row],[BUYING PRIZE]]</f>
        <v>144</v>
      </c>
      <c r="M184" s="14">
        <f>InputData[[#This Row],[QUANTITY]]*InputData[[#This Row],[SELLING PRICE]]*(1-InputData[[#This Row],[DISCOUNT %]])</f>
        <v>156.96</v>
      </c>
      <c r="N184" s="12">
        <f>DAY(InputData[[#This Row],[DATE]])</f>
        <v>1</v>
      </c>
      <c r="O184" s="12" t="str">
        <f>TEXT(InputData[[#This Row],[DATE]],"MMM")</f>
        <v>Sep</v>
      </c>
      <c r="P184" s="12">
        <f>YEAR(InputData[[#This Row],[DATE]])</f>
        <v>2021</v>
      </c>
    </row>
    <row r="185" spans="1:16" x14ac:dyDescent="0.3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4">
        <f>VLOOKUP(InputData[[#This Row],[PRODUCT ID]],MasterData[],5,0)</f>
        <v>71</v>
      </c>
      <c r="K185" s="14">
        <f>VLOOKUP(InputData[[#This Row],[PRODUCT ID]],MasterData[],6,0)</f>
        <v>80.94</v>
      </c>
      <c r="L185" s="14">
        <f>InputData[[#This Row],[QUANTITY]]*InputData[[#This Row],[BUYING PRIZE]]</f>
        <v>994</v>
      </c>
      <c r="M185" s="14">
        <f>InputData[[#This Row],[QUANTITY]]*InputData[[#This Row],[SELLING PRICE]]*(1-InputData[[#This Row],[DISCOUNT %]])</f>
        <v>1133.1599999999999</v>
      </c>
      <c r="N185" s="12">
        <f>DAY(InputData[[#This Row],[DATE]])</f>
        <v>1</v>
      </c>
      <c r="O185" s="12" t="str">
        <f>TEXT(InputData[[#This Row],[DATE]],"MMM")</f>
        <v>Sep</v>
      </c>
      <c r="P185" s="12">
        <f>YEAR(InputData[[#This Row],[DATE]])</f>
        <v>2021</v>
      </c>
    </row>
    <row r="186" spans="1:16" x14ac:dyDescent="0.3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4">
        <f>VLOOKUP(InputData[[#This Row],[PRODUCT ID]],MasterData[],5,0)</f>
        <v>138</v>
      </c>
      <c r="K186" s="14">
        <f>VLOOKUP(InputData[[#This Row],[PRODUCT ID]],MasterData[],6,0)</f>
        <v>173.88</v>
      </c>
      <c r="L186" s="14">
        <f>InputData[[#This Row],[QUANTITY]]*InputData[[#This Row],[BUYING PRIZE]]</f>
        <v>1104</v>
      </c>
      <c r="M186" s="14">
        <f>InputData[[#This Row],[QUANTITY]]*InputData[[#This Row],[SELLING PRICE]]*(1-InputData[[#This Row],[DISCOUNT %]])</f>
        <v>1391.04</v>
      </c>
      <c r="N186" s="12">
        <f>DAY(InputData[[#This Row],[DATE]])</f>
        <v>3</v>
      </c>
      <c r="O186" s="12" t="str">
        <f>TEXT(InputData[[#This Row],[DATE]],"MMM")</f>
        <v>Sep</v>
      </c>
      <c r="P186" s="12">
        <f>YEAR(InputData[[#This Row],[DATE]])</f>
        <v>2021</v>
      </c>
    </row>
    <row r="187" spans="1:16" x14ac:dyDescent="0.3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4">
        <f>VLOOKUP(InputData[[#This Row],[PRODUCT ID]],MasterData[],5,0)</f>
        <v>37</v>
      </c>
      <c r="K187" s="14">
        <f>VLOOKUP(InputData[[#This Row],[PRODUCT ID]],MasterData[],6,0)</f>
        <v>41.81</v>
      </c>
      <c r="L187" s="14">
        <f>InputData[[#This Row],[QUANTITY]]*InputData[[#This Row],[BUYING PRIZE]]</f>
        <v>259</v>
      </c>
      <c r="M187" s="14">
        <f>InputData[[#This Row],[QUANTITY]]*InputData[[#This Row],[SELLING PRICE]]*(1-InputData[[#This Row],[DISCOUNT %]])</f>
        <v>292.67</v>
      </c>
      <c r="N187" s="12">
        <f>DAY(InputData[[#This Row],[DATE]])</f>
        <v>4</v>
      </c>
      <c r="O187" s="12" t="str">
        <f>TEXT(InputData[[#This Row],[DATE]],"MMM")</f>
        <v>Sep</v>
      </c>
      <c r="P187" s="12">
        <f>YEAR(InputData[[#This Row],[DATE]])</f>
        <v>2021</v>
      </c>
    </row>
    <row r="188" spans="1:16" x14ac:dyDescent="0.3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4">
        <f>VLOOKUP(InputData[[#This Row],[PRODUCT ID]],MasterData[],5,0)</f>
        <v>141</v>
      </c>
      <c r="K188" s="14">
        <f>VLOOKUP(InputData[[#This Row],[PRODUCT ID]],MasterData[],6,0)</f>
        <v>149.46</v>
      </c>
      <c r="L188" s="14">
        <f>InputData[[#This Row],[QUANTITY]]*InputData[[#This Row],[BUYING PRIZE]]</f>
        <v>2115</v>
      </c>
      <c r="M188" s="14">
        <f>InputData[[#This Row],[QUANTITY]]*InputData[[#This Row],[SELLING PRICE]]*(1-InputData[[#This Row],[DISCOUNT %]])</f>
        <v>2241.9</v>
      </c>
      <c r="N188" s="12">
        <f>DAY(InputData[[#This Row],[DATE]])</f>
        <v>4</v>
      </c>
      <c r="O188" s="12" t="str">
        <f>TEXT(InputData[[#This Row],[DATE]],"MMM")</f>
        <v>Sep</v>
      </c>
      <c r="P188" s="12">
        <f>YEAR(InputData[[#This Row],[DATE]])</f>
        <v>2021</v>
      </c>
    </row>
    <row r="189" spans="1:16" x14ac:dyDescent="0.3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4">
        <f>VLOOKUP(InputData[[#This Row],[PRODUCT ID]],MasterData[],5,0)</f>
        <v>89</v>
      </c>
      <c r="K189" s="14">
        <f>VLOOKUP(InputData[[#This Row],[PRODUCT ID]],MasterData[],6,0)</f>
        <v>117.48</v>
      </c>
      <c r="L189" s="14">
        <f>InputData[[#This Row],[QUANTITY]]*InputData[[#This Row],[BUYING PRIZE]]</f>
        <v>89</v>
      </c>
      <c r="M189" s="14">
        <f>InputData[[#This Row],[QUANTITY]]*InputData[[#This Row],[SELLING PRICE]]*(1-InputData[[#This Row],[DISCOUNT %]])</f>
        <v>117.48</v>
      </c>
      <c r="N189" s="12">
        <f>DAY(InputData[[#This Row],[DATE]])</f>
        <v>5</v>
      </c>
      <c r="O189" s="12" t="str">
        <f>TEXT(InputData[[#This Row],[DATE]],"MMM")</f>
        <v>Sep</v>
      </c>
      <c r="P189" s="12">
        <f>YEAR(InputData[[#This Row],[DATE]])</f>
        <v>2021</v>
      </c>
    </row>
    <row r="190" spans="1:16" x14ac:dyDescent="0.3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4">
        <f>VLOOKUP(InputData[[#This Row],[PRODUCT ID]],MasterData[],5,0)</f>
        <v>150</v>
      </c>
      <c r="K190" s="14">
        <f>VLOOKUP(InputData[[#This Row],[PRODUCT ID]],MasterData[],6,0)</f>
        <v>210</v>
      </c>
      <c r="L190" s="14">
        <f>InputData[[#This Row],[QUANTITY]]*InputData[[#This Row],[BUYING PRIZE]]</f>
        <v>750</v>
      </c>
      <c r="M190" s="14">
        <f>InputData[[#This Row],[QUANTITY]]*InputData[[#This Row],[SELLING PRICE]]*(1-InputData[[#This Row],[DISCOUNT %]])</f>
        <v>1050</v>
      </c>
      <c r="N190" s="12">
        <f>DAY(InputData[[#This Row],[DATE]])</f>
        <v>7</v>
      </c>
      <c r="O190" s="12" t="str">
        <f>TEXT(InputData[[#This Row],[DATE]],"MMM")</f>
        <v>Sep</v>
      </c>
      <c r="P190" s="12">
        <f>YEAR(InputData[[#This Row],[DATE]])</f>
        <v>2021</v>
      </c>
    </row>
    <row r="191" spans="1:16" x14ac:dyDescent="0.3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4">
        <f>VLOOKUP(InputData[[#This Row],[PRODUCT ID]],MasterData[],5,0)</f>
        <v>76</v>
      </c>
      <c r="K191" s="14">
        <f>VLOOKUP(InputData[[#This Row],[PRODUCT ID]],MasterData[],6,0)</f>
        <v>82.08</v>
      </c>
      <c r="L191" s="14">
        <f>InputData[[#This Row],[QUANTITY]]*InputData[[#This Row],[BUYING PRIZE]]</f>
        <v>304</v>
      </c>
      <c r="M191" s="14">
        <f>InputData[[#This Row],[QUANTITY]]*InputData[[#This Row],[SELLING PRICE]]*(1-InputData[[#This Row],[DISCOUNT %]])</f>
        <v>328.32</v>
      </c>
      <c r="N191" s="12">
        <f>DAY(InputData[[#This Row],[DATE]])</f>
        <v>9</v>
      </c>
      <c r="O191" s="12" t="str">
        <f>TEXT(InputData[[#This Row],[DATE]],"MMM")</f>
        <v>Sep</v>
      </c>
      <c r="P191" s="12">
        <f>YEAR(InputData[[#This Row],[DATE]])</f>
        <v>2021</v>
      </c>
    </row>
    <row r="192" spans="1:16" x14ac:dyDescent="0.3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4">
        <f>VLOOKUP(InputData[[#This Row],[PRODUCT ID]],MasterData[],5,0)</f>
        <v>148</v>
      </c>
      <c r="K192" s="14">
        <f>VLOOKUP(InputData[[#This Row],[PRODUCT ID]],MasterData[],6,0)</f>
        <v>201.28</v>
      </c>
      <c r="L192" s="14">
        <f>InputData[[#This Row],[QUANTITY]]*InputData[[#This Row],[BUYING PRIZE]]</f>
        <v>888</v>
      </c>
      <c r="M192" s="14">
        <f>InputData[[#This Row],[QUANTITY]]*InputData[[#This Row],[SELLING PRICE]]*(1-InputData[[#This Row],[DISCOUNT %]])</f>
        <v>1207.68</v>
      </c>
      <c r="N192" s="12">
        <f>DAY(InputData[[#This Row],[DATE]])</f>
        <v>10</v>
      </c>
      <c r="O192" s="12" t="str">
        <f>TEXT(InputData[[#This Row],[DATE]],"MMM")</f>
        <v>Sep</v>
      </c>
      <c r="P192" s="12">
        <f>YEAR(InputData[[#This Row],[DATE]])</f>
        <v>2021</v>
      </c>
    </row>
    <row r="193" spans="1:16" x14ac:dyDescent="0.3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4">
        <f>VLOOKUP(InputData[[#This Row],[PRODUCT ID]],MasterData[],5,0)</f>
        <v>98</v>
      </c>
      <c r="K193" s="14">
        <f>VLOOKUP(InputData[[#This Row],[PRODUCT ID]],MasterData[],6,0)</f>
        <v>103.88</v>
      </c>
      <c r="L193" s="14">
        <f>InputData[[#This Row],[QUANTITY]]*InputData[[#This Row],[BUYING PRIZE]]</f>
        <v>882</v>
      </c>
      <c r="M193" s="14">
        <f>InputData[[#This Row],[QUANTITY]]*InputData[[#This Row],[SELLING PRICE]]*(1-InputData[[#This Row],[DISCOUNT %]])</f>
        <v>934.92</v>
      </c>
      <c r="N193" s="12">
        <f>DAY(InputData[[#This Row],[DATE]])</f>
        <v>10</v>
      </c>
      <c r="O193" s="12" t="str">
        <f>TEXT(InputData[[#This Row],[DATE]],"MMM")</f>
        <v>Sep</v>
      </c>
      <c r="P193" s="12">
        <f>YEAR(InputData[[#This Row],[DATE]])</f>
        <v>2021</v>
      </c>
    </row>
    <row r="194" spans="1:16" x14ac:dyDescent="0.3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4">
        <f>VLOOKUP(InputData[[#This Row],[PRODUCT ID]],MasterData[],5,0)</f>
        <v>18</v>
      </c>
      <c r="K194" s="14">
        <f>VLOOKUP(InputData[[#This Row],[PRODUCT ID]],MasterData[],6,0)</f>
        <v>24.66</v>
      </c>
      <c r="L194" s="14">
        <f>InputData[[#This Row],[QUANTITY]]*InputData[[#This Row],[BUYING PRIZE]]</f>
        <v>36</v>
      </c>
      <c r="M194" s="14">
        <f>InputData[[#This Row],[QUANTITY]]*InputData[[#This Row],[SELLING PRICE]]*(1-InputData[[#This Row],[DISCOUNT %]])</f>
        <v>49.32</v>
      </c>
      <c r="N194" s="12">
        <f>DAY(InputData[[#This Row],[DATE]])</f>
        <v>10</v>
      </c>
      <c r="O194" s="12" t="str">
        <f>TEXT(InputData[[#This Row],[DATE]],"MMM")</f>
        <v>Sep</v>
      </c>
      <c r="P194" s="12">
        <f>YEAR(InputData[[#This Row],[DATE]])</f>
        <v>2021</v>
      </c>
    </row>
    <row r="195" spans="1:16" x14ac:dyDescent="0.3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4">
        <f>VLOOKUP(InputData[[#This Row],[PRODUCT ID]],MasterData[],5,0)</f>
        <v>98</v>
      </c>
      <c r="K195" s="14">
        <f>VLOOKUP(InputData[[#This Row],[PRODUCT ID]],MasterData[],6,0)</f>
        <v>103.88</v>
      </c>
      <c r="L195" s="14">
        <f>InputData[[#This Row],[QUANTITY]]*InputData[[#This Row],[BUYING PRIZE]]</f>
        <v>588</v>
      </c>
      <c r="M195" s="14">
        <f>InputData[[#This Row],[QUANTITY]]*InputData[[#This Row],[SELLING PRICE]]*(1-InputData[[#This Row],[DISCOUNT %]])</f>
        <v>623.28</v>
      </c>
      <c r="N195" s="12">
        <f>DAY(InputData[[#This Row],[DATE]])</f>
        <v>11</v>
      </c>
      <c r="O195" s="12" t="str">
        <f>TEXT(InputData[[#This Row],[DATE]],"MMM")</f>
        <v>Sep</v>
      </c>
      <c r="P195" s="12">
        <f>YEAR(InputData[[#This Row],[DATE]])</f>
        <v>2021</v>
      </c>
    </row>
    <row r="196" spans="1:16" x14ac:dyDescent="0.3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4">
        <f>VLOOKUP(InputData[[#This Row],[PRODUCT ID]],MasterData[],5,0)</f>
        <v>138</v>
      </c>
      <c r="K196" s="14">
        <f>VLOOKUP(InputData[[#This Row],[PRODUCT ID]],MasterData[],6,0)</f>
        <v>173.88</v>
      </c>
      <c r="L196" s="14">
        <f>InputData[[#This Row],[QUANTITY]]*InputData[[#This Row],[BUYING PRIZE]]</f>
        <v>966</v>
      </c>
      <c r="M196" s="14">
        <f>InputData[[#This Row],[QUANTITY]]*InputData[[#This Row],[SELLING PRICE]]*(1-InputData[[#This Row],[DISCOUNT %]])</f>
        <v>1217.1599999999999</v>
      </c>
      <c r="N196" s="12">
        <f>DAY(InputData[[#This Row],[DATE]])</f>
        <v>13</v>
      </c>
      <c r="O196" s="12" t="str">
        <f>TEXT(InputData[[#This Row],[DATE]],"MMM")</f>
        <v>Sep</v>
      </c>
      <c r="P196" s="12">
        <f>YEAR(InputData[[#This Row],[DATE]])</f>
        <v>2021</v>
      </c>
    </row>
    <row r="197" spans="1:16" x14ac:dyDescent="0.3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4">
        <f>VLOOKUP(InputData[[#This Row],[PRODUCT ID]],MasterData[],5,0)</f>
        <v>120</v>
      </c>
      <c r="K197" s="14">
        <f>VLOOKUP(InputData[[#This Row],[PRODUCT ID]],MasterData[],6,0)</f>
        <v>162</v>
      </c>
      <c r="L197" s="14">
        <f>InputData[[#This Row],[QUANTITY]]*InputData[[#This Row],[BUYING PRIZE]]</f>
        <v>720</v>
      </c>
      <c r="M197" s="14">
        <f>InputData[[#This Row],[QUANTITY]]*InputData[[#This Row],[SELLING PRICE]]*(1-InputData[[#This Row],[DISCOUNT %]])</f>
        <v>972</v>
      </c>
      <c r="N197" s="12">
        <f>DAY(InputData[[#This Row],[DATE]])</f>
        <v>15</v>
      </c>
      <c r="O197" s="12" t="str">
        <f>TEXT(InputData[[#This Row],[DATE]],"MMM")</f>
        <v>Sep</v>
      </c>
      <c r="P197" s="12">
        <f>YEAR(InputData[[#This Row],[DATE]])</f>
        <v>2021</v>
      </c>
    </row>
    <row r="198" spans="1:16" x14ac:dyDescent="0.3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4">
        <f>VLOOKUP(InputData[[#This Row],[PRODUCT ID]],MasterData[],5,0)</f>
        <v>120</v>
      </c>
      <c r="K198" s="14">
        <f>VLOOKUP(InputData[[#This Row],[PRODUCT ID]],MasterData[],6,0)</f>
        <v>162</v>
      </c>
      <c r="L198" s="14">
        <f>InputData[[#This Row],[QUANTITY]]*InputData[[#This Row],[BUYING PRIZE]]</f>
        <v>1680</v>
      </c>
      <c r="M198" s="14">
        <f>InputData[[#This Row],[QUANTITY]]*InputData[[#This Row],[SELLING PRICE]]*(1-InputData[[#This Row],[DISCOUNT %]])</f>
        <v>2268</v>
      </c>
      <c r="N198" s="12">
        <f>DAY(InputData[[#This Row],[DATE]])</f>
        <v>15</v>
      </c>
      <c r="O198" s="12" t="str">
        <f>TEXT(InputData[[#This Row],[DATE]],"MMM")</f>
        <v>Sep</v>
      </c>
      <c r="P198" s="12">
        <f>YEAR(InputData[[#This Row],[DATE]])</f>
        <v>2021</v>
      </c>
    </row>
    <row r="199" spans="1:16" x14ac:dyDescent="0.3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4">
        <f>VLOOKUP(InputData[[#This Row],[PRODUCT ID]],MasterData[],5,0)</f>
        <v>61</v>
      </c>
      <c r="K199" s="14">
        <f>VLOOKUP(InputData[[#This Row],[PRODUCT ID]],MasterData[],6,0)</f>
        <v>76.25</v>
      </c>
      <c r="L199" s="14">
        <f>InputData[[#This Row],[QUANTITY]]*InputData[[#This Row],[BUYING PRIZE]]</f>
        <v>427</v>
      </c>
      <c r="M199" s="14">
        <f>InputData[[#This Row],[QUANTITY]]*InputData[[#This Row],[SELLING PRICE]]*(1-InputData[[#This Row],[DISCOUNT %]])</f>
        <v>533.75</v>
      </c>
      <c r="N199" s="12">
        <f>DAY(InputData[[#This Row],[DATE]])</f>
        <v>21</v>
      </c>
      <c r="O199" s="12" t="str">
        <f>TEXT(InputData[[#This Row],[DATE]],"MMM")</f>
        <v>Sep</v>
      </c>
      <c r="P199" s="12">
        <f>YEAR(InputData[[#This Row],[DATE]])</f>
        <v>2021</v>
      </c>
    </row>
    <row r="200" spans="1:16" x14ac:dyDescent="0.3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4">
        <f>VLOOKUP(InputData[[#This Row],[PRODUCT ID]],MasterData[],5,0)</f>
        <v>90</v>
      </c>
      <c r="K200" s="14">
        <f>VLOOKUP(InputData[[#This Row],[PRODUCT ID]],MasterData[],6,0)</f>
        <v>115.2</v>
      </c>
      <c r="L200" s="14">
        <f>InputData[[#This Row],[QUANTITY]]*InputData[[#This Row],[BUYING PRIZE]]</f>
        <v>180</v>
      </c>
      <c r="M200" s="14">
        <f>InputData[[#This Row],[QUANTITY]]*InputData[[#This Row],[SELLING PRICE]]*(1-InputData[[#This Row],[DISCOUNT %]])</f>
        <v>230.4</v>
      </c>
      <c r="N200" s="12">
        <f>DAY(InputData[[#This Row],[DATE]])</f>
        <v>22</v>
      </c>
      <c r="O200" s="12" t="str">
        <f>TEXT(InputData[[#This Row],[DATE]],"MMM")</f>
        <v>Sep</v>
      </c>
      <c r="P200" s="12">
        <f>YEAR(InputData[[#This Row],[DATE]])</f>
        <v>2021</v>
      </c>
    </row>
    <row r="201" spans="1:16" x14ac:dyDescent="0.3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4">
        <f>VLOOKUP(InputData[[#This Row],[PRODUCT ID]],MasterData[],5,0)</f>
        <v>105</v>
      </c>
      <c r="K201" s="14">
        <f>VLOOKUP(InputData[[#This Row],[PRODUCT ID]],MasterData[],6,0)</f>
        <v>142.80000000000001</v>
      </c>
      <c r="L201" s="14">
        <f>InputData[[#This Row],[QUANTITY]]*InputData[[#This Row],[BUYING PRIZE]]</f>
        <v>420</v>
      </c>
      <c r="M201" s="14">
        <f>InputData[[#This Row],[QUANTITY]]*InputData[[#This Row],[SELLING PRICE]]*(1-InputData[[#This Row],[DISCOUNT %]])</f>
        <v>571.20000000000005</v>
      </c>
      <c r="N201" s="12">
        <f>DAY(InputData[[#This Row],[DATE]])</f>
        <v>22</v>
      </c>
      <c r="O201" s="12" t="str">
        <f>TEXT(InputData[[#This Row],[DATE]],"MMM")</f>
        <v>Sep</v>
      </c>
      <c r="P201" s="12">
        <f>YEAR(InputData[[#This Row],[DATE]])</f>
        <v>2021</v>
      </c>
    </row>
    <row r="202" spans="1:16" x14ac:dyDescent="0.3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4">
        <f>VLOOKUP(InputData[[#This Row],[PRODUCT ID]],MasterData[],5,0)</f>
        <v>37</v>
      </c>
      <c r="K202" s="14">
        <f>VLOOKUP(InputData[[#This Row],[PRODUCT ID]],MasterData[],6,0)</f>
        <v>49.21</v>
      </c>
      <c r="L202" s="14">
        <f>InputData[[#This Row],[QUANTITY]]*InputData[[#This Row],[BUYING PRIZE]]</f>
        <v>444</v>
      </c>
      <c r="M202" s="14">
        <f>InputData[[#This Row],[QUANTITY]]*InputData[[#This Row],[SELLING PRICE]]*(1-InputData[[#This Row],[DISCOUNT %]])</f>
        <v>590.52</v>
      </c>
      <c r="N202" s="12">
        <f>DAY(InputData[[#This Row],[DATE]])</f>
        <v>23</v>
      </c>
      <c r="O202" s="12" t="str">
        <f>TEXT(InputData[[#This Row],[DATE]],"MMM")</f>
        <v>Sep</v>
      </c>
      <c r="P202" s="12">
        <f>YEAR(InputData[[#This Row],[DATE]])</f>
        <v>2021</v>
      </c>
    </row>
    <row r="203" spans="1:16" x14ac:dyDescent="0.3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4">
        <f>VLOOKUP(InputData[[#This Row],[PRODUCT ID]],MasterData[],5,0)</f>
        <v>126</v>
      </c>
      <c r="K203" s="14">
        <f>VLOOKUP(InputData[[#This Row],[PRODUCT ID]],MasterData[],6,0)</f>
        <v>162.54</v>
      </c>
      <c r="L203" s="14">
        <f>InputData[[#This Row],[QUANTITY]]*InputData[[#This Row],[BUYING PRIZE]]</f>
        <v>882</v>
      </c>
      <c r="M203" s="14">
        <f>InputData[[#This Row],[QUANTITY]]*InputData[[#This Row],[SELLING PRICE]]*(1-InputData[[#This Row],[DISCOUNT %]])</f>
        <v>1137.78</v>
      </c>
      <c r="N203" s="12">
        <f>DAY(InputData[[#This Row],[DATE]])</f>
        <v>23</v>
      </c>
      <c r="O203" s="12" t="str">
        <f>TEXT(InputData[[#This Row],[DATE]],"MMM")</f>
        <v>Sep</v>
      </c>
      <c r="P203" s="12">
        <f>YEAR(InputData[[#This Row],[DATE]])</f>
        <v>2021</v>
      </c>
    </row>
    <row r="204" spans="1:16" x14ac:dyDescent="0.3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4">
        <f>VLOOKUP(InputData[[#This Row],[PRODUCT ID]],MasterData[],5,0)</f>
        <v>55</v>
      </c>
      <c r="K204" s="14">
        <f>VLOOKUP(InputData[[#This Row],[PRODUCT ID]],MasterData[],6,0)</f>
        <v>58.3</v>
      </c>
      <c r="L204" s="14">
        <f>InputData[[#This Row],[QUANTITY]]*InputData[[#This Row],[BUYING PRIZE]]</f>
        <v>55</v>
      </c>
      <c r="M204" s="14">
        <f>InputData[[#This Row],[QUANTITY]]*InputData[[#This Row],[SELLING PRICE]]*(1-InputData[[#This Row],[DISCOUNT %]])</f>
        <v>58.3</v>
      </c>
      <c r="N204" s="12">
        <f>DAY(InputData[[#This Row],[DATE]])</f>
        <v>27</v>
      </c>
      <c r="O204" s="12" t="str">
        <f>TEXT(InputData[[#This Row],[DATE]],"MMM")</f>
        <v>Sep</v>
      </c>
      <c r="P204" s="12">
        <f>YEAR(InputData[[#This Row],[DATE]])</f>
        <v>2021</v>
      </c>
    </row>
    <row r="205" spans="1:16" x14ac:dyDescent="0.3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4">
        <f>VLOOKUP(InputData[[#This Row],[PRODUCT ID]],MasterData[],5,0)</f>
        <v>112</v>
      </c>
      <c r="K205" s="14">
        <f>VLOOKUP(InputData[[#This Row],[PRODUCT ID]],MasterData[],6,0)</f>
        <v>146.72</v>
      </c>
      <c r="L205" s="14">
        <f>InputData[[#This Row],[QUANTITY]]*InputData[[#This Row],[BUYING PRIZE]]</f>
        <v>1008</v>
      </c>
      <c r="M205" s="14">
        <f>InputData[[#This Row],[QUANTITY]]*InputData[[#This Row],[SELLING PRICE]]*(1-InputData[[#This Row],[DISCOUNT %]])</f>
        <v>1320.48</v>
      </c>
      <c r="N205" s="12">
        <f>DAY(InputData[[#This Row],[DATE]])</f>
        <v>30</v>
      </c>
      <c r="O205" s="12" t="str">
        <f>TEXT(InputData[[#This Row],[DATE]],"MMM")</f>
        <v>Sep</v>
      </c>
      <c r="P205" s="12">
        <f>YEAR(InputData[[#This Row],[DATE]])</f>
        <v>2021</v>
      </c>
    </row>
    <row r="206" spans="1:16" x14ac:dyDescent="0.3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4">
        <f>VLOOKUP(InputData[[#This Row],[PRODUCT ID]],MasterData[],5,0)</f>
        <v>75</v>
      </c>
      <c r="K206" s="14">
        <f>VLOOKUP(InputData[[#This Row],[PRODUCT ID]],MasterData[],6,0)</f>
        <v>85.5</v>
      </c>
      <c r="L206" s="14">
        <f>InputData[[#This Row],[QUANTITY]]*InputData[[#This Row],[BUYING PRIZE]]</f>
        <v>375</v>
      </c>
      <c r="M206" s="14">
        <f>InputData[[#This Row],[QUANTITY]]*InputData[[#This Row],[SELLING PRICE]]*(1-InputData[[#This Row],[DISCOUNT %]])</f>
        <v>427.5</v>
      </c>
      <c r="N206" s="12">
        <f>DAY(InputData[[#This Row],[DATE]])</f>
        <v>30</v>
      </c>
      <c r="O206" s="12" t="str">
        <f>TEXT(InputData[[#This Row],[DATE]],"MMM")</f>
        <v>Sep</v>
      </c>
      <c r="P206" s="12">
        <f>YEAR(InputData[[#This Row],[DATE]])</f>
        <v>2021</v>
      </c>
    </row>
    <row r="207" spans="1:16" x14ac:dyDescent="0.3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4">
        <f>VLOOKUP(InputData[[#This Row],[PRODUCT ID]],MasterData[],5,0)</f>
        <v>148</v>
      </c>
      <c r="K207" s="14">
        <f>VLOOKUP(InputData[[#This Row],[PRODUCT ID]],MasterData[],6,0)</f>
        <v>201.28</v>
      </c>
      <c r="L207" s="14">
        <f>InputData[[#This Row],[QUANTITY]]*InputData[[#This Row],[BUYING PRIZE]]</f>
        <v>2072</v>
      </c>
      <c r="M207" s="14">
        <f>InputData[[#This Row],[QUANTITY]]*InputData[[#This Row],[SELLING PRICE]]*(1-InputData[[#This Row],[DISCOUNT %]])</f>
        <v>2817.92</v>
      </c>
      <c r="N207" s="12">
        <f>DAY(InputData[[#This Row],[DATE]])</f>
        <v>1</v>
      </c>
      <c r="O207" s="12" t="str">
        <f>TEXT(InputData[[#This Row],[DATE]],"MMM")</f>
        <v>Oct</v>
      </c>
      <c r="P207" s="12">
        <f>YEAR(InputData[[#This Row],[DATE]])</f>
        <v>2021</v>
      </c>
    </row>
    <row r="208" spans="1:16" x14ac:dyDescent="0.3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4">
        <f>VLOOKUP(InputData[[#This Row],[PRODUCT ID]],MasterData[],5,0)</f>
        <v>112</v>
      </c>
      <c r="K208" s="14">
        <f>VLOOKUP(InputData[[#This Row],[PRODUCT ID]],MasterData[],6,0)</f>
        <v>146.72</v>
      </c>
      <c r="L208" s="14">
        <f>InputData[[#This Row],[QUANTITY]]*InputData[[#This Row],[BUYING PRIZE]]</f>
        <v>1680</v>
      </c>
      <c r="M208" s="14">
        <f>InputData[[#This Row],[QUANTITY]]*InputData[[#This Row],[SELLING PRICE]]*(1-InputData[[#This Row],[DISCOUNT %]])</f>
        <v>2200.8000000000002</v>
      </c>
      <c r="N208" s="12">
        <f>DAY(InputData[[#This Row],[DATE]])</f>
        <v>2</v>
      </c>
      <c r="O208" s="12" t="str">
        <f>TEXT(InputData[[#This Row],[DATE]],"MMM")</f>
        <v>Oct</v>
      </c>
      <c r="P208" s="12">
        <f>YEAR(InputData[[#This Row],[DATE]])</f>
        <v>2021</v>
      </c>
    </row>
    <row r="209" spans="1:16" x14ac:dyDescent="0.3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4">
        <f>VLOOKUP(InputData[[#This Row],[PRODUCT ID]],MasterData[],5,0)</f>
        <v>150</v>
      </c>
      <c r="K209" s="14">
        <f>VLOOKUP(InputData[[#This Row],[PRODUCT ID]],MasterData[],6,0)</f>
        <v>210</v>
      </c>
      <c r="L209" s="14">
        <f>InputData[[#This Row],[QUANTITY]]*InputData[[#This Row],[BUYING PRIZE]]</f>
        <v>1350</v>
      </c>
      <c r="M209" s="14">
        <f>InputData[[#This Row],[QUANTITY]]*InputData[[#This Row],[SELLING PRICE]]*(1-InputData[[#This Row],[DISCOUNT %]])</f>
        <v>1890</v>
      </c>
      <c r="N209" s="12">
        <f>DAY(InputData[[#This Row],[DATE]])</f>
        <v>3</v>
      </c>
      <c r="O209" s="12" t="str">
        <f>TEXT(InputData[[#This Row],[DATE]],"MMM")</f>
        <v>Oct</v>
      </c>
      <c r="P209" s="12">
        <f>YEAR(InputData[[#This Row],[DATE]])</f>
        <v>2021</v>
      </c>
    </row>
    <row r="210" spans="1:16" x14ac:dyDescent="0.3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4">
        <f>VLOOKUP(InputData[[#This Row],[PRODUCT ID]],MasterData[],5,0)</f>
        <v>5</v>
      </c>
      <c r="K210" s="14">
        <f>VLOOKUP(InputData[[#This Row],[PRODUCT ID]],MasterData[],6,0)</f>
        <v>6.7</v>
      </c>
      <c r="L210" s="14">
        <f>InputData[[#This Row],[QUANTITY]]*InputData[[#This Row],[BUYING PRIZE]]</f>
        <v>5</v>
      </c>
      <c r="M210" s="14">
        <f>InputData[[#This Row],[QUANTITY]]*InputData[[#This Row],[SELLING PRICE]]*(1-InputData[[#This Row],[DISCOUNT %]])</f>
        <v>6.7</v>
      </c>
      <c r="N210" s="12">
        <f>DAY(InputData[[#This Row],[DATE]])</f>
        <v>6</v>
      </c>
      <c r="O210" s="12" t="str">
        <f>TEXT(InputData[[#This Row],[DATE]],"MMM")</f>
        <v>Oct</v>
      </c>
      <c r="P210" s="12">
        <f>YEAR(InputData[[#This Row],[DATE]])</f>
        <v>2021</v>
      </c>
    </row>
    <row r="211" spans="1:16" x14ac:dyDescent="0.3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4">
        <f>VLOOKUP(InputData[[#This Row],[PRODUCT ID]],MasterData[],5,0)</f>
        <v>90</v>
      </c>
      <c r="K211" s="14">
        <f>VLOOKUP(InputData[[#This Row],[PRODUCT ID]],MasterData[],6,0)</f>
        <v>96.3</v>
      </c>
      <c r="L211" s="14">
        <f>InputData[[#This Row],[QUANTITY]]*InputData[[#This Row],[BUYING PRIZE]]</f>
        <v>1080</v>
      </c>
      <c r="M211" s="14">
        <f>InputData[[#This Row],[QUANTITY]]*InputData[[#This Row],[SELLING PRICE]]*(1-InputData[[#This Row],[DISCOUNT %]])</f>
        <v>1155.5999999999999</v>
      </c>
      <c r="N211" s="12">
        <f>DAY(InputData[[#This Row],[DATE]])</f>
        <v>6</v>
      </c>
      <c r="O211" s="12" t="str">
        <f>TEXT(InputData[[#This Row],[DATE]],"MMM")</f>
        <v>Oct</v>
      </c>
      <c r="P211" s="12">
        <f>YEAR(InputData[[#This Row],[DATE]])</f>
        <v>2021</v>
      </c>
    </row>
    <row r="212" spans="1:16" x14ac:dyDescent="0.3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4">
        <f>VLOOKUP(InputData[[#This Row],[PRODUCT ID]],MasterData[],5,0)</f>
        <v>18</v>
      </c>
      <c r="K212" s="14">
        <f>VLOOKUP(InputData[[#This Row],[PRODUCT ID]],MasterData[],6,0)</f>
        <v>24.66</v>
      </c>
      <c r="L212" s="14">
        <f>InputData[[#This Row],[QUANTITY]]*InputData[[#This Row],[BUYING PRIZE]]</f>
        <v>108</v>
      </c>
      <c r="M212" s="14">
        <f>InputData[[#This Row],[QUANTITY]]*InputData[[#This Row],[SELLING PRICE]]*(1-InputData[[#This Row],[DISCOUNT %]])</f>
        <v>147.96</v>
      </c>
      <c r="N212" s="12">
        <f>DAY(InputData[[#This Row],[DATE]])</f>
        <v>7</v>
      </c>
      <c r="O212" s="12" t="str">
        <f>TEXT(InputData[[#This Row],[DATE]],"MMM")</f>
        <v>Oct</v>
      </c>
      <c r="P212" s="12">
        <f>YEAR(InputData[[#This Row],[DATE]])</f>
        <v>2021</v>
      </c>
    </row>
    <row r="213" spans="1:16" x14ac:dyDescent="0.3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4">
        <f>VLOOKUP(InputData[[#This Row],[PRODUCT ID]],MasterData[],5,0)</f>
        <v>72</v>
      </c>
      <c r="K213" s="14">
        <f>VLOOKUP(InputData[[#This Row],[PRODUCT ID]],MasterData[],6,0)</f>
        <v>79.92</v>
      </c>
      <c r="L213" s="14">
        <f>InputData[[#This Row],[QUANTITY]]*InputData[[#This Row],[BUYING PRIZE]]</f>
        <v>360</v>
      </c>
      <c r="M213" s="14">
        <f>InputData[[#This Row],[QUANTITY]]*InputData[[#This Row],[SELLING PRICE]]*(1-InputData[[#This Row],[DISCOUNT %]])</f>
        <v>399.6</v>
      </c>
      <c r="N213" s="12">
        <f>DAY(InputData[[#This Row],[DATE]])</f>
        <v>9</v>
      </c>
      <c r="O213" s="12" t="str">
        <f>TEXT(InputData[[#This Row],[DATE]],"MMM")</f>
        <v>Oct</v>
      </c>
      <c r="P213" s="12">
        <f>YEAR(InputData[[#This Row],[DATE]])</f>
        <v>2021</v>
      </c>
    </row>
    <row r="214" spans="1:16" x14ac:dyDescent="0.3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4">
        <f>VLOOKUP(InputData[[#This Row],[PRODUCT ID]],MasterData[],5,0)</f>
        <v>89</v>
      </c>
      <c r="K214" s="14">
        <f>VLOOKUP(InputData[[#This Row],[PRODUCT ID]],MasterData[],6,0)</f>
        <v>117.48</v>
      </c>
      <c r="L214" s="14">
        <f>InputData[[#This Row],[QUANTITY]]*InputData[[#This Row],[BUYING PRIZE]]</f>
        <v>979</v>
      </c>
      <c r="M214" s="14">
        <f>InputData[[#This Row],[QUANTITY]]*InputData[[#This Row],[SELLING PRICE]]*(1-InputData[[#This Row],[DISCOUNT %]])</f>
        <v>1292.28</v>
      </c>
      <c r="N214" s="12">
        <f>DAY(InputData[[#This Row],[DATE]])</f>
        <v>9</v>
      </c>
      <c r="O214" s="12" t="str">
        <f>TEXT(InputData[[#This Row],[DATE]],"MMM")</f>
        <v>Oct</v>
      </c>
      <c r="P214" s="12">
        <f>YEAR(InputData[[#This Row],[DATE]])</f>
        <v>2021</v>
      </c>
    </row>
    <row r="215" spans="1:16" x14ac:dyDescent="0.3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4">
        <f>VLOOKUP(InputData[[#This Row],[PRODUCT ID]],MasterData[],5,0)</f>
        <v>5</v>
      </c>
      <c r="K215" s="14">
        <f>VLOOKUP(InputData[[#This Row],[PRODUCT ID]],MasterData[],6,0)</f>
        <v>6.7</v>
      </c>
      <c r="L215" s="14">
        <f>InputData[[#This Row],[QUANTITY]]*InputData[[#This Row],[BUYING PRIZE]]</f>
        <v>70</v>
      </c>
      <c r="M215" s="14">
        <f>InputData[[#This Row],[QUANTITY]]*InputData[[#This Row],[SELLING PRICE]]*(1-InputData[[#This Row],[DISCOUNT %]])</f>
        <v>93.8</v>
      </c>
      <c r="N215" s="12">
        <f>DAY(InputData[[#This Row],[DATE]])</f>
        <v>10</v>
      </c>
      <c r="O215" s="12" t="str">
        <f>TEXT(InputData[[#This Row],[DATE]],"MMM")</f>
        <v>Oct</v>
      </c>
      <c r="P215" s="12">
        <f>YEAR(InputData[[#This Row],[DATE]])</f>
        <v>2021</v>
      </c>
    </row>
    <row r="216" spans="1:16" x14ac:dyDescent="0.3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4">
        <f>VLOOKUP(InputData[[#This Row],[PRODUCT ID]],MasterData[],5,0)</f>
        <v>44</v>
      </c>
      <c r="K216" s="14">
        <f>VLOOKUP(InputData[[#This Row],[PRODUCT ID]],MasterData[],6,0)</f>
        <v>48.4</v>
      </c>
      <c r="L216" s="14">
        <f>InputData[[#This Row],[QUANTITY]]*InputData[[#This Row],[BUYING PRIZE]]</f>
        <v>660</v>
      </c>
      <c r="M216" s="14">
        <f>InputData[[#This Row],[QUANTITY]]*InputData[[#This Row],[SELLING PRICE]]*(1-InputData[[#This Row],[DISCOUNT %]])</f>
        <v>726</v>
      </c>
      <c r="N216" s="12">
        <f>DAY(InputData[[#This Row],[DATE]])</f>
        <v>11</v>
      </c>
      <c r="O216" s="12" t="str">
        <f>TEXT(InputData[[#This Row],[DATE]],"MMM")</f>
        <v>Oct</v>
      </c>
      <c r="P216" s="12">
        <f>YEAR(InputData[[#This Row],[DATE]])</f>
        <v>2021</v>
      </c>
    </row>
    <row r="217" spans="1:16" x14ac:dyDescent="0.3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4">
        <f>VLOOKUP(InputData[[#This Row],[PRODUCT ID]],MasterData[],5,0)</f>
        <v>48</v>
      </c>
      <c r="K217" s="14">
        <f>VLOOKUP(InputData[[#This Row],[PRODUCT ID]],MasterData[],6,0)</f>
        <v>57.120000000000005</v>
      </c>
      <c r="L217" s="14">
        <f>InputData[[#This Row],[QUANTITY]]*InputData[[#This Row],[BUYING PRIZE]]</f>
        <v>384</v>
      </c>
      <c r="M217" s="14">
        <f>InputData[[#This Row],[QUANTITY]]*InputData[[#This Row],[SELLING PRICE]]*(1-InputData[[#This Row],[DISCOUNT %]])</f>
        <v>456.96000000000004</v>
      </c>
      <c r="N217" s="12">
        <f>DAY(InputData[[#This Row],[DATE]])</f>
        <v>12</v>
      </c>
      <c r="O217" s="12" t="str">
        <f>TEXT(InputData[[#This Row],[DATE]],"MMM")</f>
        <v>Oct</v>
      </c>
      <c r="P217" s="12">
        <f>YEAR(InputData[[#This Row],[DATE]])</f>
        <v>2021</v>
      </c>
    </row>
    <row r="218" spans="1:16" x14ac:dyDescent="0.3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4">
        <f>VLOOKUP(InputData[[#This Row],[PRODUCT ID]],MasterData[],5,0)</f>
        <v>98</v>
      </c>
      <c r="K218" s="14">
        <f>VLOOKUP(InputData[[#This Row],[PRODUCT ID]],MasterData[],6,0)</f>
        <v>103.88</v>
      </c>
      <c r="L218" s="14">
        <f>InputData[[#This Row],[QUANTITY]]*InputData[[#This Row],[BUYING PRIZE]]</f>
        <v>1274</v>
      </c>
      <c r="M218" s="14">
        <f>InputData[[#This Row],[QUANTITY]]*InputData[[#This Row],[SELLING PRICE]]*(1-InputData[[#This Row],[DISCOUNT %]])</f>
        <v>1350.44</v>
      </c>
      <c r="N218" s="12">
        <f>DAY(InputData[[#This Row],[DATE]])</f>
        <v>17</v>
      </c>
      <c r="O218" s="12" t="str">
        <f>TEXT(InputData[[#This Row],[DATE]],"MMM")</f>
        <v>Oct</v>
      </c>
      <c r="P218" s="12">
        <f>YEAR(InputData[[#This Row],[DATE]])</f>
        <v>2021</v>
      </c>
    </row>
    <row r="219" spans="1:16" x14ac:dyDescent="0.3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4">
        <f>VLOOKUP(InputData[[#This Row],[PRODUCT ID]],MasterData[],5,0)</f>
        <v>7</v>
      </c>
      <c r="K219" s="14">
        <f>VLOOKUP(InputData[[#This Row],[PRODUCT ID]],MasterData[],6,0)</f>
        <v>8.33</v>
      </c>
      <c r="L219" s="14">
        <f>InputData[[#This Row],[QUANTITY]]*InputData[[#This Row],[BUYING PRIZE]]</f>
        <v>42</v>
      </c>
      <c r="M219" s="14">
        <f>InputData[[#This Row],[QUANTITY]]*InputData[[#This Row],[SELLING PRICE]]*(1-InputData[[#This Row],[DISCOUNT %]])</f>
        <v>49.980000000000004</v>
      </c>
      <c r="N219" s="12">
        <f>DAY(InputData[[#This Row],[DATE]])</f>
        <v>18</v>
      </c>
      <c r="O219" s="12" t="str">
        <f>TEXT(InputData[[#This Row],[DATE]],"MMM")</f>
        <v>Oct</v>
      </c>
      <c r="P219" s="12">
        <f>YEAR(InputData[[#This Row],[DATE]])</f>
        <v>2021</v>
      </c>
    </row>
    <row r="220" spans="1:16" x14ac:dyDescent="0.3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4">
        <f>VLOOKUP(InputData[[#This Row],[PRODUCT ID]],MasterData[],5,0)</f>
        <v>126</v>
      </c>
      <c r="K220" s="14">
        <f>VLOOKUP(InputData[[#This Row],[PRODUCT ID]],MasterData[],6,0)</f>
        <v>162.54</v>
      </c>
      <c r="L220" s="14">
        <f>InputData[[#This Row],[QUANTITY]]*InputData[[#This Row],[BUYING PRIZE]]</f>
        <v>1638</v>
      </c>
      <c r="M220" s="14">
        <f>InputData[[#This Row],[QUANTITY]]*InputData[[#This Row],[SELLING PRICE]]*(1-InputData[[#This Row],[DISCOUNT %]])</f>
        <v>2113.02</v>
      </c>
      <c r="N220" s="12">
        <f>DAY(InputData[[#This Row],[DATE]])</f>
        <v>18</v>
      </c>
      <c r="O220" s="12" t="str">
        <f>TEXT(InputData[[#This Row],[DATE]],"MMM")</f>
        <v>Oct</v>
      </c>
      <c r="P220" s="12">
        <f>YEAR(InputData[[#This Row],[DATE]])</f>
        <v>2021</v>
      </c>
    </row>
    <row r="221" spans="1:16" x14ac:dyDescent="0.3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4">
        <f>VLOOKUP(InputData[[#This Row],[PRODUCT ID]],MasterData[],5,0)</f>
        <v>44</v>
      </c>
      <c r="K221" s="14">
        <f>VLOOKUP(InputData[[#This Row],[PRODUCT ID]],MasterData[],6,0)</f>
        <v>48.4</v>
      </c>
      <c r="L221" s="14">
        <f>InputData[[#This Row],[QUANTITY]]*InputData[[#This Row],[BUYING PRIZE]]</f>
        <v>308</v>
      </c>
      <c r="M221" s="14">
        <f>InputData[[#This Row],[QUANTITY]]*InputData[[#This Row],[SELLING PRICE]]*(1-InputData[[#This Row],[DISCOUNT %]])</f>
        <v>338.8</v>
      </c>
      <c r="N221" s="12">
        <f>DAY(InputData[[#This Row],[DATE]])</f>
        <v>22</v>
      </c>
      <c r="O221" s="12" t="str">
        <f>TEXT(InputData[[#This Row],[DATE]],"MMM")</f>
        <v>Oct</v>
      </c>
      <c r="P221" s="12">
        <f>YEAR(InputData[[#This Row],[DATE]])</f>
        <v>2021</v>
      </c>
    </row>
    <row r="222" spans="1:16" x14ac:dyDescent="0.3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4">
        <f>VLOOKUP(InputData[[#This Row],[PRODUCT ID]],MasterData[],5,0)</f>
        <v>144</v>
      </c>
      <c r="K222" s="14">
        <f>VLOOKUP(InputData[[#This Row],[PRODUCT ID]],MasterData[],6,0)</f>
        <v>156.96</v>
      </c>
      <c r="L222" s="14">
        <f>InputData[[#This Row],[QUANTITY]]*InputData[[#This Row],[BUYING PRIZE]]</f>
        <v>1872</v>
      </c>
      <c r="M222" s="14">
        <f>InputData[[#This Row],[QUANTITY]]*InputData[[#This Row],[SELLING PRICE]]*(1-InputData[[#This Row],[DISCOUNT %]])</f>
        <v>2040.48</v>
      </c>
      <c r="N222" s="12">
        <f>DAY(InputData[[#This Row],[DATE]])</f>
        <v>22</v>
      </c>
      <c r="O222" s="12" t="str">
        <f>TEXT(InputData[[#This Row],[DATE]],"MMM")</f>
        <v>Oct</v>
      </c>
      <c r="P222" s="12">
        <f>YEAR(InputData[[#This Row],[DATE]])</f>
        <v>2021</v>
      </c>
    </row>
    <row r="223" spans="1:16" x14ac:dyDescent="0.3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4">
        <f>VLOOKUP(InputData[[#This Row],[PRODUCT ID]],MasterData[],5,0)</f>
        <v>6</v>
      </c>
      <c r="K223" s="14">
        <f>VLOOKUP(InputData[[#This Row],[PRODUCT ID]],MasterData[],6,0)</f>
        <v>7.8599999999999994</v>
      </c>
      <c r="L223" s="14">
        <f>InputData[[#This Row],[QUANTITY]]*InputData[[#This Row],[BUYING PRIZE]]</f>
        <v>6</v>
      </c>
      <c r="M223" s="14">
        <f>InputData[[#This Row],[QUANTITY]]*InputData[[#This Row],[SELLING PRICE]]*(1-InputData[[#This Row],[DISCOUNT %]])</f>
        <v>7.8599999999999994</v>
      </c>
      <c r="N223" s="12">
        <f>DAY(InputData[[#This Row],[DATE]])</f>
        <v>22</v>
      </c>
      <c r="O223" s="12" t="str">
        <f>TEXT(InputData[[#This Row],[DATE]],"MMM")</f>
        <v>Oct</v>
      </c>
      <c r="P223" s="12">
        <f>YEAR(InputData[[#This Row],[DATE]])</f>
        <v>2021</v>
      </c>
    </row>
    <row r="224" spans="1:16" x14ac:dyDescent="0.3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4">
        <f>VLOOKUP(InputData[[#This Row],[PRODUCT ID]],MasterData[],5,0)</f>
        <v>44</v>
      </c>
      <c r="K224" s="14">
        <f>VLOOKUP(InputData[[#This Row],[PRODUCT ID]],MasterData[],6,0)</f>
        <v>48.4</v>
      </c>
      <c r="L224" s="14">
        <f>InputData[[#This Row],[QUANTITY]]*InputData[[#This Row],[BUYING PRIZE]]</f>
        <v>132</v>
      </c>
      <c r="M224" s="14">
        <f>InputData[[#This Row],[QUANTITY]]*InputData[[#This Row],[SELLING PRICE]]*(1-InputData[[#This Row],[DISCOUNT %]])</f>
        <v>145.19999999999999</v>
      </c>
      <c r="N224" s="12">
        <f>DAY(InputData[[#This Row],[DATE]])</f>
        <v>24</v>
      </c>
      <c r="O224" s="12" t="str">
        <f>TEXT(InputData[[#This Row],[DATE]],"MMM")</f>
        <v>Oct</v>
      </c>
      <c r="P224" s="12">
        <f>YEAR(InputData[[#This Row],[DATE]])</f>
        <v>2021</v>
      </c>
    </row>
    <row r="225" spans="1:16" x14ac:dyDescent="0.3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4">
        <f>VLOOKUP(InputData[[#This Row],[PRODUCT ID]],MasterData[],5,0)</f>
        <v>76</v>
      </c>
      <c r="K225" s="14">
        <f>VLOOKUP(InputData[[#This Row],[PRODUCT ID]],MasterData[],6,0)</f>
        <v>82.08</v>
      </c>
      <c r="L225" s="14">
        <f>InputData[[#This Row],[QUANTITY]]*InputData[[#This Row],[BUYING PRIZE]]</f>
        <v>684</v>
      </c>
      <c r="M225" s="14">
        <f>InputData[[#This Row],[QUANTITY]]*InputData[[#This Row],[SELLING PRICE]]*(1-InputData[[#This Row],[DISCOUNT %]])</f>
        <v>738.72</v>
      </c>
      <c r="N225" s="12">
        <f>DAY(InputData[[#This Row],[DATE]])</f>
        <v>25</v>
      </c>
      <c r="O225" s="12" t="str">
        <f>TEXT(InputData[[#This Row],[DATE]],"MMM")</f>
        <v>Oct</v>
      </c>
      <c r="P225" s="12">
        <f>YEAR(InputData[[#This Row],[DATE]])</f>
        <v>2021</v>
      </c>
    </row>
    <row r="226" spans="1:16" x14ac:dyDescent="0.3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4">
        <f>VLOOKUP(InputData[[#This Row],[PRODUCT ID]],MasterData[],5,0)</f>
        <v>44</v>
      </c>
      <c r="K226" s="14">
        <f>VLOOKUP(InputData[[#This Row],[PRODUCT ID]],MasterData[],6,0)</f>
        <v>48.84</v>
      </c>
      <c r="L226" s="14">
        <f>InputData[[#This Row],[QUANTITY]]*InputData[[#This Row],[BUYING PRIZE]]</f>
        <v>264</v>
      </c>
      <c r="M226" s="14">
        <f>InputData[[#This Row],[QUANTITY]]*InputData[[#This Row],[SELLING PRICE]]*(1-InputData[[#This Row],[DISCOUNT %]])</f>
        <v>293.04000000000002</v>
      </c>
      <c r="N226" s="12">
        <f>DAY(InputData[[#This Row],[DATE]])</f>
        <v>26</v>
      </c>
      <c r="O226" s="12" t="str">
        <f>TEXT(InputData[[#This Row],[DATE]],"MMM")</f>
        <v>Oct</v>
      </c>
      <c r="P226" s="12">
        <f>YEAR(InputData[[#This Row],[DATE]])</f>
        <v>2021</v>
      </c>
    </row>
    <row r="227" spans="1:16" x14ac:dyDescent="0.3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4">
        <f>VLOOKUP(InputData[[#This Row],[PRODUCT ID]],MasterData[],5,0)</f>
        <v>83</v>
      </c>
      <c r="K227" s="14">
        <f>VLOOKUP(InputData[[#This Row],[PRODUCT ID]],MasterData[],6,0)</f>
        <v>94.62</v>
      </c>
      <c r="L227" s="14">
        <f>InputData[[#This Row],[QUANTITY]]*InputData[[#This Row],[BUYING PRIZE]]</f>
        <v>83</v>
      </c>
      <c r="M227" s="14">
        <f>InputData[[#This Row],[QUANTITY]]*InputData[[#This Row],[SELLING PRICE]]*(1-InputData[[#This Row],[DISCOUNT %]])</f>
        <v>94.62</v>
      </c>
      <c r="N227" s="12">
        <f>DAY(InputData[[#This Row],[DATE]])</f>
        <v>28</v>
      </c>
      <c r="O227" s="12" t="str">
        <f>TEXT(InputData[[#This Row],[DATE]],"MMM")</f>
        <v>Oct</v>
      </c>
      <c r="P227" s="12">
        <f>YEAR(InputData[[#This Row],[DATE]])</f>
        <v>2021</v>
      </c>
    </row>
    <row r="228" spans="1:16" x14ac:dyDescent="0.3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4">
        <f>VLOOKUP(InputData[[#This Row],[PRODUCT ID]],MasterData[],5,0)</f>
        <v>72</v>
      </c>
      <c r="K228" s="14">
        <f>VLOOKUP(InputData[[#This Row],[PRODUCT ID]],MasterData[],6,0)</f>
        <v>79.92</v>
      </c>
      <c r="L228" s="14">
        <f>InputData[[#This Row],[QUANTITY]]*InputData[[#This Row],[BUYING PRIZE]]</f>
        <v>1008</v>
      </c>
      <c r="M228" s="14">
        <f>InputData[[#This Row],[QUANTITY]]*InputData[[#This Row],[SELLING PRICE]]*(1-InputData[[#This Row],[DISCOUNT %]])</f>
        <v>1118.8800000000001</v>
      </c>
      <c r="N228" s="12">
        <f>DAY(InputData[[#This Row],[DATE]])</f>
        <v>29</v>
      </c>
      <c r="O228" s="12" t="str">
        <f>TEXT(InputData[[#This Row],[DATE]],"MMM")</f>
        <v>Oct</v>
      </c>
      <c r="P228" s="12">
        <f>YEAR(InputData[[#This Row],[DATE]])</f>
        <v>2021</v>
      </c>
    </row>
    <row r="229" spans="1:16" x14ac:dyDescent="0.3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4">
        <f>VLOOKUP(InputData[[#This Row],[PRODUCT ID]],MasterData[],5,0)</f>
        <v>126</v>
      </c>
      <c r="K229" s="14">
        <f>VLOOKUP(InputData[[#This Row],[PRODUCT ID]],MasterData[],6,0)</f>
        <v>162.54</v>
      </c>
      <c r="L229" s="14">
        <f>InputData[[#This Row],[QUANTITY]]*InputData[[#This Row],[BUYING PRIZE]]</f>
        <v>756</v>
      </c>
      <c r="M229" s="14">
        <f>InputData[[#This Row],[QUANTITY]]*InputData[[#This Row],[SELLING PRICE]]*(1-InputData[[#This Row],[DISCOUNT %]])</f>
        <v>975.24</v>
      </c>
      <c r="N229" s="12">
        <f>DAY(InputData[[#This Row],[DATE]])</f>
        <v>31</v>
      </c>
      <c r="O229" s="12" t="str">
        <f>TEXT(InputData[[#This Row],[DATE]],"MMM")</f>
        <v>Oct</v>
      </c>
      <c r="P229" s="12">
        <f>YEAR(InputData[[#This Row],[DATE]])</f>
        <v>2021</v>
      </c>
    </row>
    <row r="230" spans="1:16" x14ac:dyDescent="0.3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4">
        <f>VLOOKUP(InputData[[#This Row],[PRODUCT ID]],MasterData[],5,0)</f>
        <v>112</v>
      </c>
      <c r="K230" s="14">
        <f>VLOOKUP(InputData[[#This Row],[PRODUCT ID]],MasterData[],6,0)</f>
        <v>122.08</v>
      </c>
      <c r="L230" s="14">
        <f>InputData[[#This Row],[QUANTITY]]*InputData[[#This Row],[BUYING PRIZE]]</f>
        <v>1344</v>
      </c>
      <c r="M230" s="14">
        <f>InputData[[#This Row],[QUANTITY]]*InputData[[#This Row],[SELLING PRICE]]*(1-InputData[[#This Row],[DISCOUNT %]])</f>
        <v>1464.96</v>
      </c>
      <c r="N230" s="12">
        <f>DAY(InputData[[#This Row],[DATE]])</f>
        <v>3</v>
      </c>
      <c r="O230" s="12" t="str">
        <f>TEXT(InputData[[#This Row],[DATE]],"MMM")</f>
        <v>Nov</v>
      </c>
      <c r="P230" s="12">
        <f>YEAR(InputData[[#This Row],[DATE]])</f>
        <v>2021</v>
      </c>
    </row>
    <row r="231" spans="1:16" x14ac:dyDescent="0.3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4">
        <f>VLOOKUP(InputData[[#This Row],[PRODUCT ID]],MasterData[],5,0)</f>
        <v>90</v>
      </c>
      <c r="K231" s="14">
        <f>VLOOKUP(InputData[[#This Row],[PRODUCT ID]],MasterData[],6,0)</f>
        <v>96.3</v>
      </c>
      <c r="L231" s="14">
        <f>InputData[[#This Row],[QUANTITY]]*InputData[[#This Row],[BUYING PRIZE]]</f>
        <v>900</v>
      </c>
      <c r="M231" s="14">
        <f>InputData[[#This Row],[QUANTITY]]*InputData[[#This Row],[SELLING PRICE]]*(1-InputData[[#This Row],[DISCOUNT %]])</f>
        <v>963</v>
      </c>
      <c r="N231" s="12">
        <f>DAY(InputData[[#This Row],[DATE]])</f>
        <v>6</v>
      </c>
      <c r="O231" s="12" t="str">
        <f>TEXT(InputData[[#This Row],[DATE]],"MMM")</f>
        <v>Nov</v>
      </c>
      <c r="P231" s="12">
        <f>YEAR(InputData[[#This Row],[DATE]])</f>
        <v>2021</v>
      </c>
    </row>
    <row r="232" spans="1:16" x14ac:dyDescent="0.3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4">
        <f>VLOOKUP(InputData[[#This Row],[PRODUCT ID]],MasterData[],5,0)</f>
        <v>43</v>
      </c>
      <c r="K232" s="14">
        <f>VLOOKUP(InputData[[#This Row],[PRODUCT ID]],MasterData[],6,0)</f>
        <v>47.730000000000004</v>
      </c>
      <c r="L232" s="14">
        <f>InputData[[#This Row],[QUANTITY]]*InputData[[#This Row],[BUYING PRIZE]]</f>
        <v>645</v>
      </c>
      <c r="M232" s="14">
        <f>InputData[[#This Row],[QUANTITY]]*InputData[[#This Row],[SELLING PRICE]]*(1-InputData[[#This Row],[DISCOUNT %]])</f>
        <v>715.95</v>
      </c>
      <c r="N232" s="12">
        <f>DAY(InputData[[#This Row],[DATE]])</f>
        <v>8</v>
      </c>
      <c r="O232" s="12" t="str">
        <f>TEXT(InputData[[#This Row],[DATE]],"MMM")</f>
        <v>Nov</v>
      </c>
      <c r="P232" s="12">
        <f>YEAR(InputData[[#This Row],[DATE]])</f>
        <v>2021</v>
      </c>
    </row>
    <row r="233" spans="1:16" x14ac:dyDescent="0.3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4">
        <f>VLOOKUP(InputData[[#This Row],[PRODUCT ID]],MasterData[],5,0)</f>
        <v>120</v>
      </c>
      <c r="K233" s="14">
        <f>VLOOKUP(InputData[[#This Row],[PRODUCT ID]],MasterData[],6,0)</f>
        <v>162</v>
      </c>
      <c r="L233" s="14">
        <f>InputData[[#This Row],[QUANTITY]]*InputData[[#This Row],[BUYING PRIZE]]</f>
        <v>720</v>
      </c>
      <c r="M233" s="14">
        <f>InputData[[#This Row],[QUANTITY]]*InputData[[#This Row],[SELLING PRICE]]*(1-InputData[[#This Row],[DISCOUNT %]])</f>
        <v>972</v>
      </c>
      <c r="N233" s="12">
        <f>DAY(InputData[[#This Row],[DATE]])</f>
        <v>10</v>
      </c>
      <c r="O233" s="12" t="str">
        <f>TEXT(InputData[[#This Row],[DATE]],"MMM")</f>
        <v>Nov</v>
      </c>
      <c r="P233" s="12">
        <f>YEAR(InputData[[#This Row],[DATE]])</f>
        <v>2021</v>
      </c>
    </row>
    <row r="234" spans="1:16" x14ac:dyDescent="0.3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4">
        <f>VLOOKUP(InputData[[#This Row],[PRODUCT ID]],MasterData[],5,0)</f>
        <v>90</v>
      </c>
      <c r="K234" s="14">
        <f>VLOOKUP(InputData[[#This Row],[PRODUCT ID]],MasterData[],6,0)</f>
        <v>115.2</v>
      </c>
      <c r="L234" s="14">
        <f>InputData[[#This Row],[QUANTITY]]*InputData[[#This Row],[BUYING PRIZE]]</f>
        <v>1080</v>
      </c>
      <c r="M234" s="14">
        <f>InputData[[#This Row],[QUANTITY]]*InputData[[#This Row],[SELLING PRICE]]*(1-InputData[[#This Row],[DISCOUNT %]])</f>
        <v>1382.4</v>
      </c>
      <c r="N234" s="12">
        <f>DAY(InputData[[#This Row],[DATE]])</f>
        <v>11</v>
      </c>
      <c r="O234" s="12" t="str">
        <f>TEXT(InputData[[#This Row],[DATE]],"MMM")</f>
        <v>Nov</v>
      </c>
      <c r="P234" s="12">
        <f>YEAR(InputData[[#This Row],[DATE]])</f>
        <v>2021</v>
      </c>
    </row>
    <row r="235" spans="1:16" x14ac:dyDescent="0.3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4">
        <f>VLOOKUP(InputData[[#This Row],[PRODUCT ID]],MasterData[],5,0)</f>
        <v>148</v>
      </c>
      <c r="K235" s="14">
        <f>VLOOKUP(InputData[[#This Row],[PRODUCT ID]],MasterData[],6,0)</f>
        <v>164.28</v>
      </c>
      <c r="L235" s="14">
        <f>InputData[[#This Row],[QUANTITY]]*InputData[[#This Row],[BUYING PRIZE]]</f>
        <v>444</v>
      </c>
      <c r="M235" s="14">
        <f>InputData[[#This Row],[QUANTITY]]*InputData[[#This Row],[SELLING PRICE]]*(1-InputData[[#This Row],[DISCOUNT %]])</f>
        <v>492.84000000000003</v>
      </c>
      <c r="N235" s="12">
        <f>DAY(InputData[[#This Row],[DATE]])</f>
        <v>12</v>
      </c>
      <c r="O235" s="12" t="str">
        <f>TEXT(InputData[[#This Row],[DATE]],"MMM")</f>
        <v>Nov</v>
      </c>
      <c r="P235" s="12">
        <f>YEAR(InputData[[#This Row],[DATE]])</f>
        <v>2021</v>
      </c>
    </row>
    <row r="236" spans="1:16" x14ac:dyDescent="0.3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4">
        <f>VLOOKUP(InputData[[#This Row],[PRODUCT ID]],MasterData[],5,0)</f>
        <v>55</v>
      </c>
      <c r="K236" s="14">
        <f>VLOOKUP(InputData[[#This Row],[PRODUCT ID]],MasterData[],6,0)</f>
        <v>58.3</v>
      </c>
      <c r="L236" s="14">
        <f>InputData[[#This Row],[QUANTITY]]*InputData[[#This Row],[BUYING PRIZE]]</f>
        <v>770</v>
      </c>
      <c r="M236" s="14">
        <f>InputData[[#This Row],[QUANTITY]]*InputData[[#This Row],[SELLING PRICE]]*(1-InputData[[#This Row],[DISCOUNT %]])</f>
        <v>816.19999999999993</v>
      </c>
      <c r="N236" s="12">
        <f>DAY(InputData[[#This Row],[DATE]])</f>
        <v>20</v>
      </c>
      <c r="O236" s="12" t="str">
        <f>TEXT(InputData[[#This Row],[DATE]],"MMM")</f>
        <v>Nov</v>
      </c>
      <c r="P236" s="12">
        <f>YEAR(InputData[[#This Row],[DATE]])</f>
        <v>2021</v>
      </c>
    </row>
    <row r="237" spans="1:16" x14ac:dyDescent="0.3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4">
        <f>VLOOKUP(InputData[[#This Row],[PRODUCT ID]],MasterData[],5,0)</f>
        <v>83</v>
      </c>
      <c r="K237" s="14">
        <f>VLOOKUP(InputData[[#This Row],[PRODUCT ID]],MasterData[],6,0)</f>
        <v>94.62</v>
      </c>
      <c r="L237" s="14">
        <f>InputData[[#This Row],[QUANTITY]]*InputData[[#This Row],[BUYING PRIZE]]</f>
        <v>913</v>
      </c>
      <c r="M237" s="14">
        <f>InputData[[#This Row],[QUANTITY]]*InputData[[#This Row],[SELLING PRICE]]*(1-InputData[[#This Row],[DISCOUNT %]])</f>
        <v>1040.8200000000002</v>
      </c>
      <c r="N237" s="12">
        <f>DAY(InputData[[#This Row],[DATE]])</f>
        <v>20</v>
      </c>
      <c r="O237" s="12" t="str">
        <f>TEXT(InputData[[#This Row],[DATE]],"MMM")</f>
        <v>Nov</v>
      </c>
      <c r="P237" s="12">
        <f>YEAR(InputData[[#This Row],[DATE]])</f>
        <v>2021</v>
      </c>
    </row>
    <row r="238" spans="1:16" x14ac:dyDescent="0.3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4">
        <f>VLOOKUP(InputData[[#This Row],[PRODUCT ID]],MasterData[],5,0)</f>
        <v>112</v>
      </c>
      <c r="K238" s="14">
        <f>VLOOKUP(InputData[[#This Row],[PRODUCT ID]],MasterData[],6,0)</f>
        <v>146.72</v>
      </c>
      <c r="L238" s="14">
        <f>InputData[[#This Row],[QUANTITY]]*InputData[[#This Row],[BUYING PRIZE]]</f>
        <v>112</v>
      </c>
      <c r="M238" s="14">
        <f>InputData[[#This Row],[QUANTITY]]*InputData[[#This Row],[SELLING PRICE]]*(1-InputData[[#This Row],[DISCOUNT %]])</f>
        <v>146.72</v>
      </c>
      <c r="N238" s="12">
        <f>DAY(InputData[[#This Row],[DATE]])</f>
        <v>21</v>
      </c>
      <c r="O238" s="12" t="str">
        <f>TEXT(InputData[[#This Row],[DATE]],"MMM")</f>
        <v>Nov</v>
      </c>
      <c r="P238" s="12">
        <f>YEAR(InputData[[#This Row],[DATE]])</f>
        <v>2021</v>
      </c>
    </row>
    <row r="239" spans="1:16" x14ac:dyDescent="0.3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4">
        <f>VLOOKUP(InputData[[#This Row],[PRODUCT ID]],MasterData[],5,0)</f>
        <v>75</v>
      </c>
      <c r="K239" s="14">
        <f>VLOOKUP(InputData[[#This Row],[PRODUCT ID]],MasterData[],6,0)</f>
        <v>85.5</v>
      </c>
      <c r="L239" s="14">
        <f>InputData[[#This Row],[QUANTITY]]*InputData[[#This Row],[BUYING PRIZE]]</f>
        <v>75</v>
      </c>
      <c r="M239" s="14">
        <f>InputData[[#This Row],[QUANTITY]]*InputData[[#This Row],[SELLING PRICE]]*(1-InputData[[#This Row],[DISCOUNT %]])</f>
        <v>85.5</v>
      </c>
      <c r="N239" s="12">
        <f>DAY(InputData[[#This Row],[DATE]])</f>
        <v>21</v>
      </c>
      <c r="O239" s="12" t="str">
        <f>TEXT(InputData[[#This Row],[DATE]],"MMM")</f>
        <v>Nov</v>
      </c>
      <c r="P239" s="12">
        <f>YEAR(InputData[[#This Row],[DATE]])</f>
        <v>2021</v>
      </c>
    </row>
    <row r="240" spans="1:16" x14ac:dyDescent="0.3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4">
        <f>VLOOKUP(InputData[[#This Row],[PRODUCT ID]],MasterData[],5,0)</f>
        <v>73</v>
      </c>
      <c r="K240" s="14">
        <f>VLOOKUP(InputData[[#This Row],[PRODUCT ID]],MasterData[],6,0)</f>
        <v>94.17</v>
      </c>
      <c r="L240" s="14">
        <f>InputData[[#This Row],[QUANTITY]]*InputData[[#This Row],[BUYING PRIZE]]</f>
        <v>584</v>
      </c>
      <c r="M240" s="14">
        <f>InputData[[#This Row],[QUANTITY]]*InputData[[#This Row],[SELLING PRICE]]*(1-InputData[[#This Row],[DISCOUNT %]])</f>
        <v>753.36</v>
      </c>
      <c r="N240" s="12">
        <f>DAY(InputData[[#This Row],[DATE]])</f>
        <v>27</v>
      </c>
      <c r="O240" s="12" t="str">
        <f>TEXT(InputData[[#This Row],[DATE]],"MMM")</f>
        <v>Nov</v>
      </c>
      <c r="P240" s="12">
        <f>YEAR(InputData[[#This Row],[DATE]])</f>
        <v>2021</v>
      </c>
    </row>
    <row r="241" spans="1:16" x14ac:dyDescent="0.3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4">
        <f>VLOOKUP(InputData[[#This Row],[PRODUCT ID]],MasterData[],5,0)</f>
        <v>90</v>
      </c>
      <c r="K241" s="14">
        <f>VLOOKUP(InputData[[#This Row],[PRODUCT ID]],MasterData[],6,0)</f>
        <v>115.2</v>
      </c>
      <c r="L241" s="14">
        <f>InputData[[#This Row],[QUANTITY]]*InputData[[#This Row],[BUYING PRIZE]]</f>
        <v>180</v>
      </c>
      <c r="M241" s="14">
        <f>InputData[[#This Row],[QUANTITY]]*InputData[[#This Row],[SELLING PRICE]]*(1-InputData[[#This Row],[DISCOUNT %]])</f>
        <v>230.4</v>
      </c>
      <c r="N241" s="12">
        <f>DAY(InputData[[#This Row],[DATE]])</f>
        <v>28</v>
      </c>
      <c r="O241" s="12" t="str">
        <f>TEXT(InputData[[#This Row],[DATE]],"MMM")</f>
        <v>Nov</v>
      </c>
      <c r="P241" s="12">
        <f>YEAR(InputData[[#This Row],[DATE]])</f>
        <v>2021</v>
      </c>
    </row>
    <row r="242" spans="1:16" x14ac:dyDescent="0.3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4">
        <f>VLOOKUP(InputData[[#This Row],[PRODUCT ID]],MasterData[],5,0)</f>
        <v>37</v>
      </c>
      <c r="K242" s="14">
        <f>VLOOKUP(InputData[[#This Row],[PRODUCT ID]],MasterData[],6,0)</f>
        <v>42.55</v>
      </c>
      <c r="L242" s="14">
        <f>InputData[[#This Row],[QUANTITY]]*InputData[[#This Row],[BUYING PRIZE]]</f>
        <v>555</v>
      </c>
      <c r="M242" s="14">
        <f>InputData[[#This Row],[QUANTITY]]*InputData[[#This Row],[SELLING PRICE]]*(1-InputData[[#This Row],[DISCOUNT %]])</f>
        <v>638.25</v>
      </c>
      <c r="N242" s="12">
        <f>DAY(InputData[[#This Row],[DATE]])</f>
        <v>30</v>
      </c>
      <c r="O242" s="12" t="str">
        <f>TEXT(InputData[[#This Row],[DATE]],"MMM")</f>
        <v>Nov</v>
      </c>
      <c r="P242" s="12">
        <f>YEAR(InputData[[#This Row],[DATE]])</f>
        <v>2021</v>
      </c>
    </row>
    <row r="243" spans="1:16" x14ac:dyDescent="0.3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4">
        <f>VLOOKUP(InputData[[#This Row],[PRODUCT ID]],MasterData[],5,0)</f>
        <v>13</v>
      </c>
      <c r="K243" s="14">
        <f>VLOOKUP(InputData[[#This Row],[PRODUCT ID]],MasterData[],6,0)</f>
        <v>16.64</v>
      </c>
      <c r="L243" s="14">
        <f>InputData[[#This Row],[QUANTITY]]*InputData[[#This Row],[BUYING PRIZE]]</f>
        <v>130</v>
      </c>
      <c r="M243" s="14">
        <f>InputData[[#This Row],[QUANTITY]]*InputData[[#This Row],[SELLING PRICE]]*(1-InputData[[#This Row],[DISCOUNT %]])</f>
        <v>166.4</v>
      </c>
      <c r="N243" s="12">
        <f>DAY(InputData[[#This Row],[DATE]])</f>
        <v>2</v>
      </c>
      <c r="O243" s="12" t="str">
        <f>TEXT(InputData[[#This Row],[DATE]],"MMM")</f>
        <v>Dec</v>
      </c>
      <c r="P243" s="12">
        <f>YEAR(InputData[[#This Row],[DATE]])</f>
        <v>2021</v>
      </c>
    </row>
    <row r="244" spans="1:16" x14ac:dyDescent="0.3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4">
        <f>VLOOKUP(InputData[[#This Row],[PRODUCT ID]],MasterData[],5,0)</f>
        <v>55</v>
      </c>
      <c r="K244" s="14">
        <f>VLOOKUP(InputData[[#This Row],[PRODUCT ID]],MasterData[],6,0)</f>
        <v>58.3</v>
      </c>
      <c r="L244" s="14">
        <f>InputData[[#This Row],[QUANTITY]]*InputData[[#This Row],[BUYING PRIZE]]</f>
        <v>110</v>
      </c>
      <c r="M244" s="14">
        <f>InputData[[#This Row],[QUANTITY]]*InputData[[#This Row],[SELLING PRICE]]*(1-InputData[[#This Row],[DISCOUNT %]])</f>
        <v>116.6</v>
      </c>
      <c r="N244" s="12">
        <f>DAY(InputData[[#This Row],[DATE]])</f>
        <v>3</v>
      </c>
      <c r="O244" s="12" t="str">
        <f>TEXT(InputData[[#This Row],[DATE]],"MMM")</f>
        <v>Dec</v>
      </c>
      <c r="P244" s="12">
        <f>YEAR(InputData[[#This Row],[DATE]])</f>
        <v>2021</v>
      </c>
    </row>
    <row r="245" spans="1:16" x14ac:dyDescent="0.3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4">
        <f>VLOOKUP(InputData[[#This Row],[PRODUCT ID]],MasterData[],5,0)</f>
        <v>150</v>
      </c>
      <c r="K245" s="14">
        <f>VLOOKUP(InputData[[#This Row],[PRODUCT ID]],MasterData[],6,0)</f>
        <v>210</v>
      </c>
      <c r="L245" s="14">
        <f>InputData[[#This Row],[QUANTITY]]*InputData[[#This Row],[BUYING PRIZE]]</f>
        <v>1200</v>
      </c>
      <c r="M245" s="14">
        <f>InputData[[#This Row],[QUANTITY]]*InputData[[#This Row],[SELLING PRICE]]*(1-InputData[[#This Row],[DISCOUNT %]])</f>
        <v>1680</v>
      </c>
      <c r="N245" s="12">
        <f>DAY(InputData[[#This Row],[DATE]])</f>
        <v>3</v>
      </c>
      <c r="O245" s="12" t="str">
        <f>TEXT(InputData[[#This Row],[DATE]],"MMM")</f>
        <v>Dec</v>
      </c>
      <c r="P245" s="12">
        <f>YEAR(InputData[[#This Row],[DATE]])</f>
        <v>2021</v>
      </c>
    </row>
    <row r="246" spans="1:16" x14ac:dyDescent="0.3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4">
        <f>VLOOKUP(InputData[[#This Row],[PRODUCT ID]],MasterData[],5,0)</f>
        <v>44</v>
      </c>
      <c r="K246" s="14">
        <f>VLOOKUP(InputData[[#This Row],[PRODUCT ID]],MasterData[],6,0)</f>
        <v>48.84</v>
      </c>
      <c r="L246" s="14">
        <f>InputData[[#This Row],[QUANTITY]]*InputData[[#This Row],[BUYING PRIZE]]</f>
        <v>660</v>
      </c>
      <c r="M246" s="14">
        <f>InputData[[#This Row],[QUANTITY]]*InputData[[#This Row],[SELLING PRICE]]*(1-InputData[[#This Row],[DISCOUNT %]])</f>
        <v>732.6</v>
      </c>
      <c r="N246" s="12">
        <f>DAY(InputData[[#This Row],[DATE]])</f>
        <v>5</v>
      </c>
      <c r="O246" s="12" t="str">
        <f>TEXT(InputData[[#This Row],[DATE]],"MMM")</f>
        <v>Dec</v>
      </c>
      <c r="P246" s="12">
        <f>YEAR(InputData[[#This Row],[DATE]])</f>
        <v>2021</v>
      </c>
    </row>
    <row r="247" spans="1:16" x14ac:dyDescent="0.3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4">
        <f>VLOOKUP(InputData[[#This Row],[PRODUCT ID]],MasterData[],5,0)</f>
        <v>148</v>
      </c>
      <c r="K247" s="14">
        <f>VLOOKUP(InputData[[#This Row],[PRODUCT ID]],MasterData[],6,0)</f>
        <v>164.28</v>
      </c>
      <c r="L247" s="14">
        <f>InputData[[#This Row],[QUANTITY]]*InputData[[#This Row],[BUYING PRIZE]]</f>
        <v>148</v>
      </c>
      <c r="M247" s="14">
        <f>InputData[[#This Row],[QUANTITY]]*InputData[[#This Row],[SELLING PRICE]]*(1-InputData[[#This Row],[DISCOUNT %]])</f>
        <v>164.28</v>
      </c>
      <c r="N247" s="12">
        <f>DAY(InputData[[#This Row],[DATE]])</f>
        <v>5</v>
      </c>
      <c r="O247" s="12" t="str">
        <f>TEXT(InputData[[#This Row],[DATE]],"MMM")</f>
        <v>Dec</v>
      </c>
      <c r="P247" s="12">
        <f>YEAR(InputData[[#This Row],[DATE]])</f>
        <v>2021</v>
      </c>
    </row>
    <row r="248" spans="1:16" x14ac:dyDescent="0.3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4">
        <f>VLOOKUP(InputData[[#This Row],[PRODUCT ID]],MasterData[],5,0)</f>
        <v>112</v>
      </c>
      <c r="K248" s="14">
        <f>VLOOKUP(InputData[[#This Row],[PRODUCT ID]],MasterData[],6,0)</f>
        <v>122.08</v>
      </c>
      <c r="L248" s="14">
        <f>InputData[[#This Row],[QUANTITY]]*InputData[[#This Row],[BUYING PRIZE]]</f>
        <v>896</v>
      </c>
      <c r="M248" s="14">
        <f>InputData[[#This Row],[QUANTITY]]*InputData[[#This Row],[SELLING PRICE]]*(1-InputData[[#This Row],[DISCOUNT %]])</f>
        <v>976.64</v>
      </c>
      <c r="N248" s="12">
        <f>DAY(InputData[[#This Row],[DATE]])</f>
        <v>7</v>
      </c>
      <c r="O248" s="12" t="str">
        <f>TEXT(InputData[[#This Row],[DATE]],"MMM")</f>
        <v>Dec</v>
      </c>
      <c r="P248" s="12">
        <f>YEAR(InputData[[#This Row],[DATE]])</f>
        <v>2021</v>
      </c>
    </row>
    <row r="249" spans="1:16" x14ac:dyDescent="0.3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4">
        <f>VLOOKUP(InputData[[#This Row],[PRODUCT ID]],MasterData[],5,0)</f>
        <v>76</v>
      </c>
      <c r="K249" s="14">
        <f>VLOOKUP(InputData[[#This Row],[PRODUCT ID]],MasterData[],6,0)</f>
        <v>82.08</v>
      </c>
      <c r="L249" s="14">
        <f>InputData[[#This Row],[QUANTITY]]*InputData[[#This Row],[BUYING PRIZE]]</f>
        <v>1064</v>
      </c>
      <c r="M249" s="14">
        <f>InputData[[#This Row],[QUANTITY]]*InputData[[#This Row],[SELLING PRICE]]*(1-InputData[[#This Row],[DISCOUNT %]])</f>
        <v>1149.1199999999999</v>
      </c>
      <c r="N249" s="12">
        <f>DAY(InputData[[#This Row],[DATE]])</f>
        <v>8</v>
      </c>
      <c r="O249" s="12" t="str">
        <f>TEXT(InputData[[#This Row],[DATE]],"MMM")</f>
        <v>Dec</v>
      </c>
      <c r="P249" s="12">
        <f>YEAR(InputData[[#This Row],[DATE]])</f>
        <v>2021</v>
      </c>
    </row>
    <row r="250" spans="1:16" x14ac:dyDescent="0.3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4">
        <f>VLOOKUP(InputData[[#This Row],[PRODUCT ID]],MasterData[],5,0)</f>
        <v>120</v>
      </c>
      <c r="K250" s="14">
        <f>VLOOKUP(InputData[[#This Row],[PRODUCT ID]],MasterData[],6,0)</f>
        <v>162</v>
      </c>
      <c r="L250" s="14">
        <f>InputData[[#This Row],[QUANTITY]]*InputData[[#This Row],[BUYING PRIZE]]</f>
        <v>480</v>
      </c>
      <c r="M250" s="14">
        <f>InputData[[#This Row],[QUANTITY]]*InputData[[#This Row],[SELLING PRICE]]*(1-InputData[[#This Row],[DISCOUNT %]])</f>
        <v>648</v>
      </c>
      <c r="N250" s="12">
        <f>DAY(InputData[[#This Row],[DATE]])</f>
        <v>14</v>
      </c>
      <c r="O250" s="12" t="str">
        <f>TEXT(InputData[[#This Row],[DATE]],"MMM")</f>
        <v>Dec</v>
      </c>
      <c r="P250" s="12">
        <f>YEAR(InputData[[#This Row],[DATE]])</f>
        <v>2021</v>
      </c>
    </row>
    <row r="251" spans="1:16" x14ac:dyDescent="0.3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4">
        <f>VLOOKUP(InputData[[#This Row],[PRODUCT ID]],MasterData[],5,0)</f>
        <v>71</v>
      </c>
      <c r="K251" s="14">
        <f>VLOOKUP(InputData[[#This Row],[PRODUCT ID]],MasterData[],6,0)</f>
        <v>80.94</v>
      </c>
      <c r="L251" s="14">
        <f>InputData[[#This Row],[QUANTITY]]*InputData[[#This Row],[BUYING PRIZE]]</f>
        <v>142</v>
      </c>
      <c r="M251" s="14">
        <f>InputData[[#This Row],[QUANTITY]]*InputData[[#This Row],[SELLING PRICE]]*(1-InputData[[#This Row],[DISCOUNT %]])</f>
        <v>161.88</v>
      </c>
      <c r="N251" s="12">
        <f>DAY(InputData[[#This Row],[DATE]])</f>
        <v>18</v>
      </c>
      <c r="O251" s="12" t="str">
        <f>TEXT(InputData[[#This Row],[DATE]],"MMM")</f>
        <v>Dec</v>
      </c>
      <c r="P251" s="12">
        <f>YEAR(InputData[[#This Row],[DATE]])</f>
        <v>2021</v>
      </c>
    </row>
    <row r="252" spans="1:16" x14ac:dyDescent="0.3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4">
        <f>VLOOKUP(InputData[[#This Row],[PRODUCT ID]],MasterData[],5,0)</f>
        <v>121</v>
      </c>
      <c r="K252" s="14">
        <f>VLOOKUP(InputData[[#This Row],[PRODUCT ID]],MasterData[],6,0)</f>
        <v>141.57</v>
      </c>
      <c r="L252" s="14">
        <f>InputData[[#This Row],[QUANTITY]]*InputData[[#This Row],[BUYING PRIZE]]</f>
        <v>968</v>
      </c>
      <c r="M252" s="14">
        <f>InputData[[#This Row],[QUANTITY]]*InputData[[#This Row],[SELLING PRICE]]*(1-InputData[[#This Row],[DISCOUNT %]])</f>
        <v>1132.56</v>
      </c>
      <c r="N252" s="12">
        <f>DAY(InputData[[#This Row],[DATE]])</f>
        <v>18</v>
      </c>
      <c r="O252" s="12" t="str">
        <f>TEXT(InputData[[#This Row],[DATE]],"MMM")</f>
        <v>Dec</v>
      </c>
      <c r="P252" s="12">
        <f>YEAR(InputData[[#This Row],[DATE]])</f>
        <v>2021</v>
      </c>
    </row>
    <row r="253" spans="1:16" x14ac:dyDescent="0.3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4">
        <f>VLOOKUP(InputData[[#This Row],[PRODUCT ID]],MasterData[],5,0)</f>
        <v>141</v>
      </c>
      <c r="K253" s="14">
        <f>VLOOKUP(InputData[[#This Row],[PRODUCT ID]],MasterData[],6,0)</f>
        <v>149.46</v>
      </c>
      <c r="L253" s="14">
        <f>InputData[[#This Row],[QUANTITY]]*InputData[[#This Row],[BUYING PRIZE]]</f>
        <v>1692</v>
      </c>
      <c r="M253" s="14">
        <f>InputData[[#This Row],[QUANTITY]]*InputData[[#This Row],[SELLING PRICE]]*(1-InputData[[#This Row],[DISCOUNT %]])</f>
        <v>1793.52</v>
      </c>
      <c r="N253" s="12">
        <f>DAY(InputData[[#This Row],[DATE]])</f>
        <v>19</v>
      </c>
      <c r="O253" s="12" t="str">
        <f>TEXT(InputData[[#This Row],[DATE]],"MMM")</f>
        <v>Dec</v>
      </c>
      <c r="P253" s="12">
        <f>YEAR(InputData[[#This Row],[DATE]])</f>
        <v>2021</v>
      </c>
    </row>
    <row r="254" spans="1:16" x14ac:dyDescent="0.3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4">
        <f>VLOOKUP(InputData[[#This Row],[PRODUCT ID]],MasterData[],5,0)</f>
        <v>47</v>
      </c>
      <c r="K254" s="14">
        <f>VLOOKUP(InputData[[#This Row],[PRODUCT ID]],MasterData[],6,0)</f>
        <v>53.11</v>
      </c>
      <c r="L254" s="14">
        <f>InputData[[#This Row],[QUANTITY]]*InputData[[#This Row],[BUYING PRIZE]]</f>
        <v>141</v>
      </c>
      <c r="M254" s="14">
        <f>InputData[[#This Row],[QUANTITY]]*InputData[[#This Row],[SELLING PRICE]]*(1-InputData[[#This Row],[DISCOUNT %]])</f>
        <v>159.32999999999998</v>
      </c>
      <c r="N254" s="12">
        <f>DAY(InputData[[#This Row],[DATE]])</f>
        <v>19</v>
      </c>
      <c r="O254" s="12" t="str">
        <f>TEXT(InputData[[#This Row],[DATE]],"MMM")</f>
        <v>Dec</v>
      </c>
      <c r="P254" s="12">
        <f>YEAR(InputData[[#This Row],[DATE]])</f>
        <v>2021</v>
      </c>
    </row>
    <row r="255" spans="1:16" x14ac:dyDescent="0.3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4">
        <f>VLOOKUP(InputData[[#This Row],[PRODUCT ID]],MasterData[],5,0)</f>
        <v>44</v>
      </c>
      <c r="K255" s="14">
        <f>VLOOKUP(InputData[[#This Row],[PRODUCT ID]],MasterData[],6,0)</f>
        <v>48.4</v>
      </c>
      <c r="L255" s="14">
        <f>InputData[[#This Row],[QUANTITY]]*InputData[[#This Row],[BUYING PRIZE]]</f>
        <v>440</v>
      </c>
      <c r="M255" s="14">
        <f>InputData[[#This Row],[QUANTITY]]*InputData[[#This Row],[SELLING PRICE]]*(1-InputData[[#This Row],[DISCOUNT %]])</f>
        <v>484</v>
      </c>
      <c r="N255" s="12">
        <f>DAY(InputData[[#This Row],[DATE]])</f>
        <v>19</v>
      </c>
      <c r="O255" s="12" t="str">
        <f>TEXT(InputData[[#This Row],[DATE]],"MMM")</f>
        <v>Dec</v>
      </c>
      <c r="P255" s="12">
        <f>YEAR(InputData[[#This Row],[DATE]])</f>
        <v>2021</v>
      </c>
    </row>
    <row r="256" spans="1:16" x14ac:dyDescent="0.3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4">
        <f>VLOOKUP(InputData[[#This Row],[PRODUCT ID]],MasterData[],5,0)</f>
        <v>73</v>
      </c>
      <c r="K256" s="14">
        <f>VLOOKUP(InputData[[#This Row],[PRODUCT ID]],MasterData[],6,0)</f>
        <v>94.17</v>
      </c>
      <c r="L256" s="14">
        <f>InputData[[#This Row],[QUANTITY]]*InputData[[#This Row],[BUYING PRIZE]]</f>
        <v>1022</v>
      </c>
      <c r="M256" s="14">
        <f>InputData[[#This Row],[QUANTITY]]*InputData[[#This Row],[SELLING PRICE]]*(1-InputData[[#This Row],[DISCOUNT %]])</f>
        <v>1318.38</v>
      </c>
      <c r="N256" s="12">
        <f>DAY(InputData[[#This Row],[DATE]])</f>
        <v>20</v>
      </c>
      <c r="O256" s="12" t="str">
        <f>TEXT(InputData[[#This Row],[DATE]],"MMM")</f>
        <v>Dec</v>
      </c>
      <c r="P256" s="12">
        <f>YEAR(InputData[[#This Row],[DATE]])</f>
        <v>2021</v>
      </c>
    </row>
    <row r="257" spans="1:16" x14ac:dyDescent="0.3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4">
        <f>VLOOKUP(InputData[[#This Row],[PRODUCT ID]],MasterData[],5,0)</f>
        <v>18</v>
      </c>
      <c r="K257" s="14">
        <f>VLOOKUP(InputData[[#This Row],[PRODUCT ID]],MasterData[],6,0)</f>
        <v>24.66</v>
      </c>
      <c r="L257" s="14">
        <f>InputData[[#This Row],[QUANTITY]]*InputData[[#This Row],[BUYING PRIZE]]</f>
        <v>180</v>
      </c>
      <c r="M257" s="14">
        <f>InputData[[#This Row],[QUANTITY]]*InputData[[#This Row],[SELLING PRICE]]*(1-InputData[[#This Row],[DISCOUNT %]])</f>
        <v>246.6</v>
      </c>
      <c r="N257" s="12">
        <f>DAY(InputData[[#This Row],[DATE]])</f>
        <v>21</v>
      </c>
      <c r="O257" s="12" t="str">
        <f>TEXT(InputData[[#This Row],[DATE]],"MMM")</f>
        <v>Dec</v>
      </c>
      <c r="P257" s="12">
        <f>YEAR(InputData[[#This Row],[DATE]])</f>
        <v>2021</v>
      </c>
    </row>
    <row r="258" spans="1:16" x14ac:dyDescent="0.3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4">
        <f>VLOOKUP(InputData[[#This Row],[PRODUCT ID]],MasterData[],5,0)</f>
        <v>120</v>
      </c>
      <c r="K258" s="14">
        <f>VLOOKUP(InputData[[#This Row],[PRODUCT ID]],MasterData[],6,0)</f>
        <v>162</v>
      </c>
      <c r="L258" s="14">
        <f>InputData[[#This Row],[QUANTITY]]*InputData[[#This Row],[BUYING PRIZE]]</f>
        <v>960</v>
      </c>
      <c r="M258" s="14">
        <f>InputData[[#This Row],[QUANTITY]]*InputData[[#This Row],[SELLING PRICE]]*(1-InputData[[#This Row],[DISCOUNT %]])</f>
        <v>1296</v>
      </c>
      <c r="N258" s="12">
        <f>DAY(InputData[[#This Row],[DATE]])</f>
        <v>24</v>
      </c>
      <c r="O258" s="12" t="str">
        <f>TEXT(InputData[[#This Row],[DATE]],"MMM")</f>
        <v>Dec</v>
      </c>
      <c r="P258" s="12">
        <f>YEAR(InputData[[#This Row],[DATE]])</f>
        <v>2021</v>
      </c>
    </row>
    <row r="259" spans="1:16" x14ac:dyDescent="0.3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4">
        <f>VLOOKUP(InputData[[#This Row],[PRODUCT ID]],MasterData[],5,0)</f>
        <v>90</v>
      </c>
      <c r="K259" s="14">
        <f>VLOOKUP(InputData[[#This Row],[PRODUCT ID]],MasterData[],6,0)</f>
        <v>96.3</v>
      </c>
      <c r="L259" s="14">
        <f>InputData[[#This Row],[QUANTITY]]*InputData[[#This Row],[BUYING PRIZE]]</f>
        <v>720</v>
      </c>
      <c r="M259" s="14">
        <f>InputData[[#This Row],[QUANTITY]]*InputData[[#This Row],[SELLING PRICE]]*(1-InputData[[#This Row],[DISCOUNT %]])</f>
        <v>770.4</v>
      </c>
      <c r="N259" s="12">
        <f>DAY(InputData[[#This Row],[DATE]])</f>
        <v>24</v>
      </c>
      <c r="O259" s="12" t="str">
        <f>TEXT(InputData[[#This Row],[DATE]],"MMM")</f>
        <v>Dec</v>
      </c>
      <c r="P259" s="12">
        <f>YEAR(InputData[[#This Row],[DATE]])</f>
        <v>2021</v>
      </c>
    </row>
    <row r="260" spans="1:16" x14ac:dyDescent="0.3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4">
        <f>VLOOKUP(InputData[[#This Row],[PRODUCT ID]],MasterData[],5,0)</f>
        <v>138</v>
      </c>
      <c r="K260" s="14">
        <f>VLOOKUP(InputData[[#This Row],[PRODUCT ID]],MasterData[],6,0)</f>
        <v>173.88</v>
      </c>
      <c r="L260" s="14">
        <f>InputData[[#This Row],[QUANTITY]]*InputData[[#This Row],[BUYING PRIZE]]</f>
        <v>1932</v>
      </c>
      <c r="M260" s="14">
        <f>InputData[[#This Row],[QUANTITY]]*InputData[[#This Row],[SELLING PRICE]]*(1-InputData[[#This Row],[DISCOUNT %]])</f>
        <v>2434.3199999999997</v>
      </c>
      <c r="N260" s="12">
        <f>DAY(InputData[[#This Row],[DATE]])</f>
        <v>26</v>
      </c>
      <c r="O260" s="12" t="str">
        <f>TEXT(InputData[[#This Row],[DATE]],"MMM")</f>
        <v>Dec</v>
      </c>
      <c r="P260" s="12">
        <f>YEAR(InputData[[#This Row],[DATE]])</f>
        <v>2021</v>
      </c>
    </row>
    <row r="261" spans="1:16" x14ac:dyDescent="0.3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4">
        <f>VLOOKUP(InputData[[#This Row],[PRODUCT ID]],MasterData[],5,0)</f>
        <v>47</v>
      </c>
      <c r="K261" s="14">
        <f>VLOOKUP(InputData[[#This Row],[PRODUCT ID]],MasterData[],6,0)</f>
        <v>53.11</v>
      </c>
      <c r="L261" s="14">
        <f>InputData[[#This Row],[QUANTITY]]*InputData[[#This Row],[BUYING PRIZE]]</f>
        <v>658</v>
      </c>
      <c r="M261" s="14">
        <f>InputData[[#This Row],[QUANTITY]]*InputData[[#This Row],[SELLING PRICE]]*(1-InputData[[#This Row],[DISCOUNT %]])</f>
        <v>743.54</v>
      </c>
      <c r="N261" s="12">
        <f>DAY(InputData[[#This Row],[DATE]])</f>
        <v>27</v>
      </c>
      <c r="O261" s="12" t="str">
        <f>TEXT(InputData[[#This Row],[DATE]],"MMM")</f>
        <v>Dec</v>
      </c>
      <c r="P261" s="12">
        <f>YEAR(InputData[[#This Row],[DATE]])</f>
        <v>2021</v>
      </c>
    </row>
    <row r="262" spans="1:16" x14ac:dyDescent="0.3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4">
        <f>VLOOKUP(InputData[[#This Row],[PRODUCT ID]],MasterData[],5,0)</f>
        <v>47</v>
      </c>
      <c r="K262" s="14">
        <f>VLOOKUP(InputData[[#This Row],[PRODUCT ID]],MasterData[],6,0)</f>
        <v>53.11</v>
      </c>
      <c r="L262" s="14">
        <f>InputData[[#This Row],[QUANTITY]]*InputData[[#This Row],[BUYING PRIZE]]</f>
        <v>282</v>
      </c>
      <c r="M262" s="14">
        <f>InputData[[#This Row],[QUANTITY]]*InputData[[#This Row],[SELLING PRICE]]*(1-InputData[[#This Row],[DISCOUNT %]])</f>
        <v>318.65999999999997</v>
      </c>
      <c r="N262" s="12">
        <f>DAY(InputData[[#This Row],[DATE]])</f>
        <v>28</v>
      </c>
      <c r="O262" s="12" t="str">
        <f>TEXT(InputData[[#This Row],[DATE]],"MMM")</f>
        <v>Dec</v>
      </c>
      <c r="P262" s="12">
        <f>YEAR(InputData[[#This Row],[DATE]])</f>
        <v>2021</v>
      </c>
    </row>
    <row r="263" spans="1:16" x14ac:dyDescent="0.3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4">
        <f>VLOOKUP(InputData[[#This Row],[PRODUCT ID]],MasterData[],5,0)</f>
        <v>148</v>
      </c>
      <c r="K263" s="14">
        <f>VLOOKUP(InputData[[#This Row],[PRODUCT ID]],MasterData[],6,0)</f>
        <v>164.28</v>
      </c>
      <c r="L263" s="14">
        <f>InputData[[#This Row],[QUANTITY]]*InputData[[#This Row],[BUYING PRIZE]]</f>
        <v>1924</v>
      </c>
      <c r="M263" s="14">
        <f>InputData[[#This Row],[QUANTITY]]*InputData[[#This Row],[SELLING PRICE]]*(1-InputData[[#This Row],[DISCOUNT %]])</f>
        <v>2135.64</v>
      </c>
      <c r="N263" s="12">
        <f>DAY(InputData[[#This Row],[DATE]])</f>
        <v>30</v>
      </c>
      <c r="O263" s="12" t="str">
        <f>TEXT(InputData[[#This Row],[DATE]],"MMM")</f>
        <v>Dec</v>
      </c>
      <c r="P263" s="12">
        <f>YEAR(InputData[[#This Row],[DATE]])</f>
        <v>2021</v>
      </c>
    </row>
    <row r="264" spans="1:16" x14ac:dyDescent="0.3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4">
        <f>VLOOKUP(InputData[[#This Row],[PRODUCT ID]],MasterData[],5,0)</f>
        <v>121</v>
      </c>
      <c r="K264" s="14">
        <f>VLOOKUP(InputData[[#This Row],[PRODUCT ID]],MasterData[],6,0)</f>
        <v>141.57</v>
      </c>
      <c r="L264" s="14">
        <f>InputData[[#This Row],[QUANTITY]]*InputData[[#This Row],[BUYING PRIZE]]</f>
        <v>121</v>
      </c>
      <c r="M264" s="14">
        <f>InputData[[#This Row],[QUANTITY]]*InputData[[#This Row],[SELLING PRICE]]*(1-InputData[[#This Row],[DISCOUNT %]])</f>
        <v>141.57</v>
      </c>
      <c r="N264" s="12">
        <f>DAY(InputData[[#This Row],[DATE]])</f>
        <v>1</v>
      </c>
      <c r="O264" s="12" t="str">
        <f>TEXT(InputData[[#This Row],[DATE]],"MMM")</f>
        <v>Jan</v>
      </c>
      <c r="P264" s="12">
        <f>YEAR(InputData[[#This Row],[DATE]])</f>
        <v>2022</v>
      </c>
    </row>
    <row r="265" spans="1:16" x14ac:dyDescent="0.3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4">
        <f>VLOOKUP(InputData[[#This Row],[PRODUCT ID]],MasterData[],5,0)</f>
        <v>148</v>
      </c>
      <c r="K265" s="14">
        <f>VLOOKUP(InputData[[#This Row],[PRODUCT ID]],MasterData[],6,0)</f>
        <v>164.28</v>
      </c>
      <c r="L265" s="14">
        <f>InputData[[#This Row],[QUANTITY]]*InputData[[#This Row],[BUYING PRIZE]]</f>
        <v>1036</v>
      </c>
      <c r="M265" s="14">
        <f>InputData[[#This Row],[QUANTITY]]*InputData[[#This Row],[SELLING PRICE]]*(1-InputData[[#This Row],[DISCOUNT %]])</f>
        <v>1149.96</v>
      </c>
      <c r="N265" s="12">
        <f>DAY(InputData[[#This Row],[DATE]])</f>
        <v>2</v>
      </c>
      <c r="O265" s="12" t="str">
        <f>TEXT(InputData[[#This Row],[DATE]],"MMM")</f>
        <v>Jan</v>
      </c>
      <c r="P265" s="12">
        <f>YEAR(InputData[[#This Row],[DATE]])</f>
        <v>2022</v>
      </c>
    </row>
    <row r="266" spans="1:16" x14ac:dyDescent="0.3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4">
        <f>VLOOKUP(InputData[[#This Row],[PRODUCT ID]],MasterData[],5,0)</f>
        <v>12</v>
      </c>
      <c r="K266" s="14">
        <f>VLOOKUP(InputData[[#This Row],[PRODUCT ID]],MasterData[],6,0)</f>
        <v>15.719999999999999</v>
      </c>
      <c r="L266" s="14">
        <f>InputData[[#This Row],[QUANTITY]]*InputData[[#This Row],[BUYING PRIZE]]</f>
        <v>24</v>
      </c>
      <c r="M266" s="14">
        <f>InputData[[#This Row],[QUANTITY]]*InputData[[#This Row],[SELLING PRICE]]*(1-InputData[[#This Row],[DISCOUNT %]])</f>
        <v>31.439999999999998</v>
      </c>
      <c r="N266" s="12">
        <f>DAY(InputData[[#This Row],[DATE]])</f>
        <v>2</v>
      </c>
      <c r="O266" s="12" t="str">
        <f>TEXT(InputData[[#This Row],[DATE]],"MMM")</f>
        <v>Jan</v>
      </c>
      <c r="P266" s="12">
        <f>YEAR(InputData[[#This Row],[DATE]])</f>
        <v>2022</v>
      </c>
    </row>
    <row r="267" spans="1:16" x14ac:dyDescent="0.3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4">
        <f>VLOOKUP(InputData[[#This Row],[PRODUCT ID]],MasterData[],5,0)</f>
        <v>95</v>
      </c>
      <c r="K267" s="14">
        <f>VLOOKUP(InputData[[#This Row],[PRODUCT ID]],MasterData[],6,0)</f>
        <v>119.7</v>
      </c>
      <c r="L267" s="14">
        <f>InputData[[#This Row],[QUANTITY]]*InputData[[#This Row],[BUYING PRIZE]]</f>
        <v>95</v>
      </c>
      <c r="M267" s="14">
        <f>InputData[[#This Row],[QUANTITY]]*InputData[[#This Row],[SELLING PRICE]]*(1-InputData[[#This Row],[DISCOUNT %]])</f>
        <v>119.7</v>
      </c>
      <c r="N267" s="12">
        <f>DAY(InputData[[#This Row],[DATE]])</f>
        <v>2</v>
      </c>
      <c r="O267" s="12" t="str">
        <f>TEXT(InputData[[#This Row],[DATE]],"MMM")</f>
        <v>Jan</v>
      </c>
      <c r="P267" s="12">
        <f>YEAR(InputData[[#This Row],[DATE]])</f>
        <v>2022</v>
      </c>
    </row>
    <row r="268" spans="1:16" x14ac:dyDescent="0.3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4">
        <f>VLOOKUP(InputData[[#This Row],[PRODUCT ID]],MasterData[],5,0)</f>
        <v>67</v>
      </c>
      <c r="K268" s="14">
        <f>VLOOKUP(InputData[[#This Row],[PRODUCT ID]],MasterData[],6,0)</f>
        <v>83.08</v>
      </c>
      <c r="L268" s="14">
        <f>InputData[[#This Row],[QUANTITY]]*InputData[[#This Row],[BUYING PRIZE]]</f>
        <v>603</v>
      </c>
      <c r="M268" s="14">
        <f>InputData[[#This Row],[QUANTITY]]*InputData[[#This Row],[SELLING PRICE]]*(1-InputData[[#This Row],[DISCOUNT %]])</f>
        <v>747.72</v>
      </c>
      <c r="N268" s="12">
        <f>DAY(InputData[[#This Row],[DATE]])</f>
        <v>3</v>
      </c>
      <c r="O268" s="12" t="str">
        <f>TEXT(InputData[[#This Row],[DATE]],"MMM")</f>
        <v>Jan</v>
      </c>
      <c r="P268" s="12">
        <f>YEAR(InputData[[#This Row],[DATE]])</f>
        <v>2022</v>
      </c>
    </row>
    <row r="269" spans="1:16" x14ac:dyDescent="0.3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4">
        <f>VLOOKUP(InputData[[#This Row],[PRODUCT ID]],MasterData[],5,0)</f>
        <v>73</v>
      </c>
      <c r="K269" s="14">
        <f>VLOOKUP(InputData[[#This Row],[PRODUCT ID]],MasterData[],6,0)</f>
        <v>94.17</v>
      </c>
      <c r="L269" s="14">
        <f>InputData[[#This Row],[QUANTITY]]*InputData[[#This Row],[BUYING PRIZE]]</f>
        <v>584</v>
      </c>
      <c r="M269" s="14">
        <f>InputData[[#This Row],[QUANTITY]]*InputData[[#This Row],[SELLING PRICE]]*(1-InputData[[#This Row],[DISCOUNT %]])</f>
        <v>753.36</v>
      </c>
      <c r="N269" s="12">
        <f>DAY(InputData[[#This Row],[DATE]])</f>
        <v>4</v>
      </c>
      <c r="O269" s="12" t="str">
        <f>TEXT(InputData[[#This Row],[DATE]],"MMM")</f>
        <v>Jan</v>
      </c>
      <c r="P269" s="12">
        <f>YEAR(InputData[[#This Row],[DATE]])</f>
        <v>2022</v>
      </c>
    </row>
    <row r="270" spans="1:16" x14ac:dyDescent="0.3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4">
        <f>VLOOKUP(InputData[[#This Row],[PRODUCT ID]],MasterData[],5,0)</f>
        <v>47</v>
      </c>
      <c r="K270" s="14">
        <f>VLOOKUP(InputData[[#This Row],[PRODUCT ID]],MasterData[],6,0)</f>
        <v>53.11</v>
      </c>
      <c r="L270" s="14">
        <f>InputData[[#This Row],[QUANTITY]]*InputData[[#This Row],[BUYING PRIZE]]</f>
        <v>47</v>
      </c>
      <c r="M270" s="14">
        <f>InputData[[#This Row],[QUANTITY]]*InputData[[#This Row],[SELLING PRICE]]*(1-InputData[[#This Row],[DISCOUNT %]])</f>
        <v>53.11</v>
      </c>
      <c r="N270" s="12">
        <f>DAY(InputData[[#This Row],[DATE]])</f>
        <v>4</v>
      </c>
      <c r="O270" s="12" t="str">
        <f>TEXT(InputData[[#This Row],[DATE]],"MMM")</f>
        <v>Jan</v>
      </c>
      <c r="P270" s="12">
        <f>YEAR(InputData[[#This Row],[DATE]])</f>
        <v>2022</v>
      </c>
    </row>
    <row r="271" spans="1:16" x14ac:dyDescent="0.3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4">
        <f>VLOOKUP(InputData[[#This Row],[PRODUCT ID]],MasterData[],5,0)</f>
        <v>89</v>
      </c>
      <c r="K271" s="14">
        <f>VLOOKUP(InputData[[#This Row],[PRODUCT ID]],MasterData[],6,0)</f>
        <v>117.48</v>
      </c>
      <c r="L271" s="14">
        <f>InputData[[#This Row],[QUANTITY]]*InputData[[#This Row],[BUYING PRIZE]]</f>
        <v>1068</v>
      </c>
      <c r="M271" s="14">
        <f>InputData[[#This Row],[QUANTITY]]*InputData[[#This Row],[SELLING PRICE]]*(1-InputData[[#This Row],[DISCOUNT %]])</f>
        <v>1409.76</v>
      </c>
      <c r="N271" s="12">
        <f>DAY(InputData[[#This Row],[DATE]])</f>
        <v>9</v>
      </c>
      <c r="O271" s="12" t="str">
        <f>TEXT(InputData[[#This Row],[DATE]],"MMM")</f>
        <v>Jan</v>
      </c>
      <c r="P271" s="12">
        <f>YEAR(InputData[[#This Row],[DATE]])</f>
        <v>2022</v>
      </c>
    </row>
    <row r="272" spans="1:16" x14ac:dyDescent="0.3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4">
        <f>VLOOKUP(InputData[[#This Row],[PRODUCT ID]],MasterData[],5,0)</f>
        <v>55</v>
      </c>
      <c r="K272" s="14">
        <f>VLOOKUP(InputData[[#This Row],[PRODUCT ID]],MasterData[],6,0)</f>
        <v>58.3</v>
      </c>
      <c r="L272" s="14">
        <f>InputData[[#This Row],[QUANTITY]]*InputData[[#This Row],[BUYING PRIZE]]</f>
        <v>770</v>
      </c>
      <c r="M272" s="14">
        <f>InputData[[#This Row],[QUANTITY]]*InputData[[#This Row],[SELLING PRICE]]*(1-InputData[[#This Row],[DISCOUNT %]])</f>
        <v>816.19999999999993</v>
      </c>
      <c r="N272" s="12">
        <f>DAY(InputData[[#This Row],[DATE]])</f>
        <v>10</v>
      </c>
      <c r="O272" s="12" t="str">
        <f>TEXT(InputData[[#This Row],[DATE]],"MMM")</f>
        <v>Jan</v>
      </c>
      <c r="P272" s="12">
        <f>YEAR(InputData[[#This Row],[DATE]])</f>
        <v>2022</v>
      </c>
    </row>
    <row r="273" spans="1:16" x14ac:dyDescent="0.3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4">
        <f>VLOOKUP(InputData[[#This Row],[PRODUCT ID]],MasterData[],5,0)</f>
        <v>89</v>
      </c>
      <c r="K273" s="14">
        <f>VLOOKUP(InputData[[#This Row],[PRODUCT ID]],MasterData[],6,0)</f>
        <v>117.48</v>
      </c>
      <c r="L273" s="14">
        <f>InputData[[#This Row],[QUANTITY]]*InputData[[#This Row],[BUYING PRIZE]]</f>
        <v>178</v>
      </c>
      <c r="M273" s="14">
        <f>InputData[[#This Row],[QUANTITY]]*InputData[[#This Row],[SELLING PRICE]]*(1-InputData[[#This Row],[DISCOUNT %]])</f>
        <v>234.96</v>
      </c>
      <c r="N273" s="12">
        <f>DAY(InputData[[#This Row],[DATE]])</f>
        <v>11</v>
      </c>
      <c r="O273" s="12" t="str">
        <f>TEXT(InputData[[#This Row],[DATE]],"MMM")</f>
        <v>Jan</v>
      </c>
      <c r="P273" s="12">
        <f>YEAR(InputData[[#This Row],[DATE]])</f>
        <v>2022</v>
      </c>
    </row>
    <row r="274" spans="1:16" x14ac:dyDescent="0.3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4">
        <f>VLOOKUP(InputData[[#This Row],[PRODUCT ID]],MasterData[],5,0)</f>
        <v>150</v>
      </c>
      <c r="K274" s="14">
        <f>VLOOKUP(InputData[[#This Row],[PRODUCT ID]],MasterData[],6,0)</f>
        <v>210</v>
      </c>
      <c r="L274" s="14">
        <f>InputData[[#This Row],[QUANTITY]]*InputData[[#This Row],[BUYING PRIZE]]</f>
        <v>900</v>
      </c>
      <c r="M274" s="14">
        <f>InputData[[#This Row],[QUANTITY]]*InputData[[#This Row],[SELLING PRICE]]*(1-InputData[[#This Row],[DISCOUNT %]])</f>
        <v>1260</v>
      </c>
      <c r="N274" s="12">
        <f>DAY(InputData[[#This Row],[DATE]])</f>
        <v>13</v>
      </c>
      <c r="O274" s="12" t="str">
        <f>TEXT(InputData[[#This Row],[DATE]],"MMM")</f>
        <v>Jan</v>
      </c>
      <c r="P274" s="12">
        <f>YEAR(InputData[[#This Row],[DATE]])</f>
        <v>2022</v>
      </c>
    </row>
    <row r="275" spans="1:16" x14ac:dyDescent="0.3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4">
        <f>VLOOKUP(InputData[[#This Row],[PRODUCT ID]],MasterData[],5,0)</f>
        <v>44</v>
      </c>
      <c r="K275" s="14">
        <f>VLOOKUP(InputData[[#This Row],[PRODUCT ID]],MasterData[],6,0)</f>
        <v>48.4</v>
      </c>
      <c r="L275" s="14">
        <f>InputData[[#This Row],[QUANTITY]]*InputData[[#This Row],[BUYING PRIZE]]</f>
        <v>616</v>
      </c>
      <c r="M275" s="14">
        <f>InputData[[#This Row],[QUANTITY]]*InputData[[#This Row],[SELLING PRICE]]*(1-InputData[[#This Row],[DISCOUNT %]])</f>
        <v>677.6</v>
      </c>
      <c r="N275" s="12">
        <f>DAY(InputData[[#This Row],[DATE]])</f>
        <v>14</v>
      </c>
      <c r="O275" s="12" t="str">
        <f>TEXT(InputData[[#This Row],[DATE]],"MMM")</f>
        <v>Jan</v>
      </c>
      <c r="P275" s="12">
        <f>YEAR(InputData[[#This Row],[DATE]])</f>
        <v>2022</v>
      </c>
    </row>
    <row r="276" spans="1:16" x14ac:dyDescent="0.3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4">
        <f>VLOOKUP(InputData[[#This Row],[PRODUCT ID]],MasterData[],5,0)</f>
        <v>121</v>
      </c>
      <c r="K276" s="14">
        <f>VLOOKUP(InputData[[#This Row],[PRODUCT ID]],MasterData[],6,0)</f>
        <v>141.57</v>
      </c>
      <c r="L276" s="14">
        <f>InputData[[#This Row],[QUANTITY]]*InputData[[#This Row],[BUYING PRIZE]]</f>
        <v>1210</v>
      </c>
      <c r="M276" s="14">
        <f>InputData[[#This Row],[QUANTITY]]*InputData[[#This Row],[SELLING PRICE]]*(1-InputData[[#This Row],[DISCOUNT %]])</f>
        <v>1415.6999999999998</v>
      </c>
      <c r="N276" s="12">
        <f>DAY(InputData[[#This Row],[DATE]])</f>
        <v>15</v>
      </c>
      <c r="O276" s="12" t="str">
        <f>TEXT(InputData[[#This Row],[DATE]],"MMM")</f>
        <v>Jan</v>
      </c>
      <c r="P276" s="12">
        <f>YEAR(InputData[[#This Row],[DATE]])</f>
        <v>2022</v>
      </c>
    </row>
    <row r="277" spans="1:16" x14ac:dyDescent="0.3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4">
        <f>VLOOKUP(InputData[[#This Row],[PRODUCT ID]],MasterData[],5,0)</f>
        <v>112</v>
      </c>
      <c r="K277" s="14">
        <f>VLOOKUP(InputData[[#This Row],[PRODUCT ID]],MasterData[],6,0)</f>
        <v>146.72</v>
      </c>
      <c r="L277" s="14">
        <f>InputData[[#This Row],[QUANTITY]]*InputData[[#This Row],[BUYING PRIZE]]</f>
        <v>1232</v>
      </c>
      <c r="M277" s="14">
        <f>InputData[[#This Row],[QUANTITY]]*InputData[[#This Row],[SELLING PRICE]]*(1-InputData[[#This Row],[DISCOUNT %]])</f>
        <v>1613.92</v>
      </c>
      <c r="N277" s="12">
        <f>DAY(InputData[[#This Row],[DATE]])</f>
        <v>16</v>
      </c>
      <c r="O277" s="12" t="str">
        <f>TEXT(InputData[[#This Row],[DATE]],"MMM")</f>
        <v>Jan</v>
      </c>
      <c r="P277" s="12">
        <f>YEAR(InputData[[#This Row],[DATE]])</f>
        <v>2022</v>
      </c>
    </row>
    <row r="278" spans="1:16" x14ac:dyDescent="0.3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4">
        <f>VLOOKUP(InputData[[#This Row],[PRODUCT ID]],MasterData[],5,0)</f>
        <v>90</v>
      </c>
      <c r="K278" s="14">
        <f>VLOOKUP(InputData[[#This Row],[PRODUCT ID]],MasterData[],6,0)</f>
        <v>115.2</v>
      </c>
      <c r="L278" s="14">
        <f>InputData[[#This Row],[QUANTITY]]*InputData[[#This Row],[BUYING PRIZE]]</f>
        <v>360</v>
      </c>
      <c r="M278" s="14">
        <f>InputData[[#This Row],[QUANTITY]]*InputData[[#This Row],[SELLING PRICE]]*(1-InputData[[#This Row],[DISCOUNT %]])</f>
        <v>460.8</v>
      </c>
      <c r="N278" s="12">
        <f>DAY(InputData[[#This Row],[DATE]])</f>
        <v>17</v>
      </c>
      <c r="O278" s="12" t="str">
        <f>TEXT(InputData[[#This Row],[DATE]],"MMM")</f>
        <v>Jan</v>
      </c>
      <c r="P278" s="12">
        <f>YEAR(InputData[[#This Row],[DATE]])</f>
        <v>2022</v>
      </c>
    </row>
    <row r="279" spans="1:16" x14ac:dyDescent="0.3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4">
        <f>VLOOKUP(InputData[[#This Row],[PRODUCT ID]],MasterData[],5,0)</f>
        <v>83</v>
      </c>
      <c r="K279" s="14">
        <f>VLOOKUP(InputData[[#This Row],[PRODUCT ID]],MasterData[],6,0)</f>
        <v>94.62</v>
      </c>
      <c r="L279" s="14">
        <f>InputData[[#This Row],[QUANTITY]]*InputData[[#This Row],[BUYING PRIZE]]</f>
        <v>747</v>
      </c>
      <c r="M279" s="14">
        <f>InputData[[#This Row],[QUANTITY]]*InputData[[#This Row],[SELLING PRICE]]*(1-InputData[[#This Row],[DISCOUNT %]])</f>
        <v>851.58</v>
      </c>
      <c r="N279" s="12">
        <f>DAY(InputData[[#This Row],[DATE]])</f>
        <v>18</v>
      </c>
      <c r="O279" s="12" t="str">
        <f>TEXT(InputData[[#This Row],[DATE]],"MMM")</f>
        <v>Jan</v>
      </c>
      <c r="P279" s="12">
        <f>YEAR(InputData[[#This Row],[DATE]])</f>
        <v>2022</v>
      </c>
    </row>
    <row r="280" spans="1:16" x14ac:dyDescent="0.3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4">
        <f>VLOOKUP(InputData[[#This Row],[PRODUCT ID]],MasterData[],5,0)</f>
        <v>126</v>
      </c>
      <c r="K280" s="14">
        <f>VLOOKUP(InputData[[#This Row],[PRODUCT ID]],MasterData[],6,0)</f>
        <v>162.54</v>
      </c>
      <c r="L280" s="14">
        <f>InputData[[#This Row],[QUANTITY]]*InputData[[#This Row],[BUYING PRIZE]]</f>
        <v>252</v>
      </c>
      <c r="M280" s="14">
        <f>InputData[[#This Row],[QUANTITY]]*InputData[[#This Row],[SELLING PRICE]]*(1-InputData[[#This Row],[DISCOUNT %]])</f>
        <v>325.08</v>
      </c>
      <c r="N280" s="12">
        <f>DAY(InputData[[#This Row],[DATE]])</f>
        <v>20</v>
      </c>
      <c r="O280" s="12" t="str">
        <f>TEXT(InputData[[#This Row],[DATE]],"MMM")</f>
        <v>Jan</v>
      </c>
      <c r="P280" s="12">
        <f>YEAR(InputData[[#This Row],[DATE]])</f>
        <v>2022</v>
      </c>
    </row>
    <row r="281" spans="1:16" x14ac:dyDescent="0.3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4">
        <f>VLOOKUP(InputData[[#This Row],[PRODUCT ID]],MasterData[],5,0)</f>
        <v>112</v>
      </c>
      <c r="K281" s="14">
        <f>VLOOKUP(InputData[[#This Row],[PRODUCT ID]],MasterData[],6,0)</f>
        <v>146.72</v>
      </c>
      <c r="L281" s="14">
        <f>InputData[[#This Row],[QUANTITY]]*InputData[[#This Row],[BUYING PRIZE]]</f>
        <v>784</v>
      </c>
      <c r="M281" s="14">
        <f>InputData[[#This Row],[QUANTITY]]*InputData[[#This Row],[SELLING PRICE]]*(1-InputData[[#This Row],[DISCOUNT %]])</f>
        <v>1027.04</v>
      </c>
      <c r="N281" s="12">
        <f>DAY(InputData[[#This Row],[DATE]])</f>
        <v>20</v>
      </c>
      <c r="O281" s="12" t="str">
        <f>TEXT(InputData[[#This Row],[DATE]],"MMM")</f>
        <v>Jan</v>
      </c>
      <c r="P281" s="12">
        <f>YEAR(InputData[[#This Row],[DATE]])</f>
        <v>2022</v>
      </c>
    </row>
    <row r="282" spans="1:16" x14ac:dyDescent="0.3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4">
        <f>VLOOKUP(InputData[[#This Row],[PRODUCT ID]],MasterData[],5,0)</f>
        <v>98</v>
      </c>
      <c r="K282" s="14">
        <f>VLOOKUP(InputData[[#This Row],[PRODUCT ID]],MasterData[],6,0)</f>
        <v>103.88</v>
      </c>
      <c r="L282" s="14">
        <f>InputData[[#This Row],[QUANTITY]]*InputData[[#This Row],[BUYING PRIZE]]</f>
        <v>588</v>
      </c>
      <c r="M282" s="14">
        <f>InputData[[#This Row],[QUANTITY]]*InputData[[#This Row],[SELLING PRICE]]*(1-InputData[[#This Row],[DISCOUNT %]])</f>
        <v>623.28</v>
      </c>
      <c r="N282" s="12">
        <f>DAY(InputData[[#This Row],[DATE]])</f>
        <v>22</v>
      </c>
      <c r="O282" s="12" t="str">
        <f>TEXT(InputData[[#This Row],[DATE]],"MMM")</f>
        <v>Jan</v>
      </c>
      <c r="P282" s="12">
        <f>YEAR(InputData[[#This Row],[DATE]])</f>
        <v>2022</v>
      </c>
    </row>
    <row r="283" spans="1:16" x14ac:dyDescent="0.3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4">
        <f>VLOOKUP(InputData[[#This Row],[PRODUCT ID]],MasterData[],5,0)</f>
        <v>105</v>
      </c>
      <c r="K283" s="14">
        <f>VLOOKUP(InputData[[#This Row],[PRODUCT ID]],MasterData[],6,0)</f>
        <v>142.80000000000001</v>
      </c>
      <c r="L283" s="14">
        <f>InputData[[#This Row],[QUANTITY]]*InputData[[#This Row],[BUYING PRIZE]]</f>
        <v>525</v>
      </c>
      <c r="M283" s="14">
        <f>InputData[[#This Row],[QUANTITY]]*InputData[[#This Row],[SELLING PRICE]]*(1-InputData[[#This Row],[DISCOUNT %]])</f>
        <v>714</v>
      </c>
      <c r="N283" s="12">
        <f>DAY(InputData[[#This Row],[DATE]])</f>
        <v>23</v>
      </c>
      <c r="O283" s="12" t="str">
        <f>TEXT(InputData[[#This Row],[DATE]],"MMM")</f>
        <v>Jan</v>
      </c>
      <c r="P283" s="12">
        <f>YEAR(InputData[[#This Row],[DATE]])</f>
        <v>2022</v>
      </c>
    </row>
    <row r="284" spans="1:16" x14ac:dyDescent="0.3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4">
        <f>VLOOKUP(InputData[[#This Row],[PRODUCT ID]],MasterData[],5,0)</f>
        <v>120</v>
      </c>
      <c r="K284" s="14">
        <f>VLOOKUP(InputData[[#This Row],[PRODUCT ID]],MasterData[],6,0)</f>
        <v>162</v>
      </c>
      <c r="L284" s="14">
        <f>InputData[[#This Row],[QUANTITY]]*InputData[[#This Row],[BUYING PRIZE]]</f>
        <v>960</v>
      </c>
      <c r="M284" s="14">
        <f>InputData[[#This Row],[QUANTITY]]*InputData[[#This Row],[SELLING PRICE]]*(1-InputData[[#This Row],[DISCOUNT %]])</f>
        <v>1296</v>
      </c>
      <c r="N284" s="12">
        <f>DAY(InputData[[#This Row],[DATE]])</f>
        <v>23</v>
      </c>
      <c r="O284" s="12" t="str">
        <f>TEXT(InputData[[#This Row],[DATE]],"MMM")</f>
        <v>Jan</v>
      </c>
      <c r="P284" s="12">
        <f>YEAR(InputData[[#This Row],[DATE]])</f>
        <v>2022</v>
      </c>
    </row>
    <row r="285" spans="1:16" x14ac:dyDescent="0.3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4">
        <f>VLOOKUP(InputData[[#This Row],[PRODUCT ID]],MasterData[],5,0)</f>
        <v>148</v>
      </c>
      <c r="K285" s="14">
        <f>VLOOKUP(InputData[[#This Row],[PRODUCT ID]],MasterData[],6,0)</f>
        <v>201.28</v>
      </c>
      <c r="L285" s="14">
        <f>InputData[[#This Row],[QUANTITY]]*InputData[[#This Row],[BUYING PRIZE]]</f>
        <v>2220</v>
      </c>
      <c r="M285" s="14">
        <f>InputData[[#This Row],[QUANTITY]]*InputData[[#This Row],[SELLING PRICE]]*(1-InputData[[#This Row],[DISCOUNT %]])</f>
        <v>3019.2</v>
      </c>
      <c r="N285" s="12">
        <f>DAY(InputData[[#This Row],[DATE]])</f>
        <v>24</v>
      </c>
      <c r="O285" s="12" t="str">
        <f>TEXT(InputData[[#This Row],[DATE]],"MMM")</f>
        <v>Jan</v>
      </c>
      <c r="P285" s="12">
        <f>YEAR(InputData[[#This Row],[DATE]])</f>
        <v>2022</v>
      </c>
    </row>
    <row r="286" spans="1:16" x14ac:dyDescent="0.3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4">
        <f>VLOOKUP(InputData[[#This Row],[PRODUCT ID]],MasterData[],5,0)</f>
        <v>134</v>
      </c>
      <c r="K286" s="14">
        <f>VLOOKUP(InputData[[#This Row],[PRODUCT ID]],MasterData[],6,0)</f>
        <v>156.78</v>
      </c>
      <c r="L286" s="14">
        <f>InputData[[#This Row],[QUANTITY]]*InputData[[#This Row],[BUYING PRIZE]]</f>
        <v>1876</v>
      </c>
      <c r="M286" s="14">
        <f>InputData[[#This Row],[QUANTITY]]*InputData[[#This Row],[SELLING PRICE]]*(1-InputData[[#This Row],[DISCOUNT %]])</f>
        <v>2194.92</v>
      </c>
      <c r="N286" s="12">
        <f>DAY(InputData[[#This Row],[DATE]])</f>
        <v>25</v>
      </c>
      <c r="O286" s="12" t="str">
        <f>TEXT(InputData[[#This Row],[DATE]],"MMM")</f>
        <v>Jan</v>
      </c>
      <c r="P286" s="12">
        <f>YEAR(InputData[[#This Row],[DATE]])</f>
        <v>2022</v>
      </c>
    </row>
    <row r="287" spans="1:16" x14ac:dyDescent="0.3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4">
        <f>VLOOKUP(InputData[[#This Row],[PRODUCT ID]],MasterData[],5,0)</f>
        <v>13</v>
      </c>
      <c r="K287" s="14">
        <f>VLOOKUP(InputData[[#This Row],[PRODUCT ID]],MasterData[],6,0)</f>
        <v>16.64</v>
      </c>
      <c r="L287" s="14">
        <f>InputData[[#This Row],[QUANTITY]]*InputData[[#This Row],[BUYING PRIZE]]</f>
        <v>143</v>
      </c>
      <c r="M287" s="14">
        <f>InputData[[#This Row],[QUANTITY]]*InputData[[#This Row],[SELLING PRICE]]*(1-InputData[[#This Row],[DISCOUNT %]])</f>
        <v>183.04000000000002</v>
      </c>
      <c r="N287" s="12">
        <f>DAY(InputData[[#This Row],[DATE]])</f>
        <v>28</v>
      </c>
      <c r="O287" s="12" t="str">
        <f>TEXT(InputData[[#This Row],[DATE]],"MMM")</f>
        <v>Jan</v>
      </c>
      <c r="P287" s="12">
        <f>YEAR(InputData[[#This Row],[DATE]])</f>
        <v>2022</v>
      </c>
    </row>
    <row r="288" spans="1:16" x14ac:dyDescent="0.3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4">
        <f>VLOOKUP(InputData[[#This Row],[PRODUCT ID]],MasterData[],5,0)</f>
        <v>141</v>
      </c>
      <c r="K288" s="14">
        <f>VLOOKUP(InputData[[#This Row],[PRODUCT ID]],MasterData[],6,0)</f>
        <v>149.46</v>
      </c>
      <c r="L288" s="14">
        <f>InputData[[#This Row],[QUANTITY]]*InputData[[#This Row],[BUYING PRIZE]]</f>
        <v>846</v>
      </c>
      <c r="M288" s="14">
        <f>InputData[[#This Row],[QUANTITY]]*InputData[[#This Row],[SELLING PRICE]]*(1-InputData[[#This Row],[DISCOUNT %]])</f>
        <v>896.76</v>
      </c>
      <c r="N288" s="12">
        <f>DAY(InputData[[#This Row],[DATE]])</f>
        <v>31</v>
      </c>
      <c r="O288" s="12" t="str">
        <f>TEXT(InputData[[#This Row],[DATE]],"MMM")</f>
        <v>Jan</v>
      </c>
      <c r="P288" s="12">
        <f>YEAR(InputData[[#This Row],[DATE]])</f>
        <v>2022</v>
      </c>
    </row>
    <row r="289" spans="1:16" x14ac:dyDescent="0.3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4">
        <f>VLOOKUP(InputData[[#This Row],[PRODUCT ID]],MasterData[],5,0)</f>
        <v>138</v>
      </c>
      <c r="K289" s="14">
        <f>VLOOKUP(InputData[[#This Row],[PRODUCT ID]],MasterData[],6,0)</f>
        <v>173.88</v>
      </c>
      <c r="L289" s="14">
        <f>InputData[[#This Row],[QUANTITY]]*InputData[[#This Row],[BUYING PRIZE]]</f>
        <v>1242</v>
      </c>
      <c r="M289" s="14">
        <f>InputData[[#This Row],[QUANTITY]]*InputData[[#This Row],[SELLING PRICE]]*(1-InputData[[#This Row],[DISCOUNT %]])</f>
        <v>1564.92</v>
      </c>
      <c r="N289" s="12">
        <f>DAY(InputData[[#This Row],[DATE]])</f>
        <v>31</v>
      </c>
      <c r="O289" s="12" t="str">
        <f>TEXT(InputData[[#This Row],[DATE]],"MMM")</f>
        <v>Jan</v>
      </c>
      <c r="P289" s="12">
        <f>YEAR(InputData[[#This Row],[DATE]])</f>
        <v>2022</v>
      </c>
    </row>
    <row r="290" spans="1:16" x14ac:dyDescent="0.3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4">
        <f>VLOOKUP(InputData[[#This Row],[PRODUCT ID]],MasterData[],5,0)</f>
        <v>133</v>
      </c>
      <c r="K290" s="14">
        <f>VLOOKUP(InputData[[#This Row],[PRODUCT ID]],MasterData[],6,0)</f>
        <v>155.61000000000001</v>
      </c>
      <c r="L290" s="14">
        <f>InputData[[#This Row],[QUANTITY]]*InputData[[#This Row],[BUYING PRIZE]]</f>
        <v>1197</v>
      </c>
      <c r="M290" s="14">
        <f>InputData[[#This Row],[QUANTITY]]*InputData[[#This Row],[SELLING PRICE]]*(1-InputData[[#This Row],[DISCOUNT %]])</f>
        <v>1400.4900000000002</v>
      </c>
      <c r="N290" s="12">
        <f>DAY(InputData[[#This Row],[DATE]])</f>
        <v>1</v>
      </c>
      <c r="O290" s="12" t="str">
        <f>TEXT(InputData[[#This Row],[DATE]],"MMM")</f>
        <v>Feb</v>
      </c>
      <c r="P290" s="12">
        <f>YEAR(InputData[[#This Row],[DATE]])</f>
        <v>2022</v>
      </c>
    </row>
    <row r="291" spans="1:16" x14ac:dyDescent="0.3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4">
        <f>VLOOKUP(InputData[[#This Row],[PRODUCT ID]],MasterData[],5,0)</f>
        <v>112</v>
      </c>
      <c r="K291" s="14">
        <f>VLOOKUP(InputData[[#This Row],[PRODUCT ID]],MasterData[],6,0)</f>
        <v>146.72</v>
      </c>
      <c r="L291" s="14">
        <f>InputData[[#This Row],[QUANTITY]]*InputData[[#This Row],[BUYING PRIZE]]</f>
        <v>896</v>
      </c>
      <c r="M291" s="14">
        <f>InputData[[#This Row],[QUANTITY]]*InputData[[#This Row],[SELLING PRICE]]*(1-InputData[[#This Row],[DISCOUNT %]])</f>
        <v>1173.76</v>
      </c>
      <c r="N291" s="12">
        <f>DAY(InputData[[#This Row],[DATE]])</f>
        <v>3</v>
      </c>
      <c r="O291" s="12" t="str">
        <f>TEXT(InputData[[#This Row],[DATE]],"MMM")</f>
        <v>Feb</v>
      </c>
      <c r="P291" s="12">
        <f>YEAR(InputData[[#This Row],[DATE]])</f>
        <v>2022</v>
      </c>
    </row>
    <row r="292" spans="1:16" x14ac:dyDescent="0.3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4">
        <f>VLOOKUP(InputData[[#This Row],[PRODUCT ID]],MasterData[],5,0)</f>
        <v>37</v>
      </c>
      <c r="K292" s="14">
        <f>VLOOKUP(InputData[[#This Row],[PRODUCT ID]],MasterData[],6,0)</f>
        <v>49.21</v>
      </c>
      <c r="L292" s="14">
        <f>InputData[[#This Row],[QUANTITY]]*InputData[[#This Row],[BUYING PRIZE]]</f>
        <v>222</v>
      </c>
      <c r="M292" s="14">
        <f>InputData[[#This Row],[QUANTITY]]*InputData[[#This Row],[SELLING PRICE]]*(1-InputData[[#This Row],[DISCOUNT %]])</f>
        <v>295.26</v>
      </c>
      <c r="N292" s="12">
        <f>DAY(InputData[[#This Row],[DATE]])</f>
        <v>5</v>
      </c>
      <c r="O292" s="12" t="str">
        <f>TEXT(InputData[[#This Row],[DATE]],"MMM")</f>
        <v>Feb</v>
      </c>
      <c r="P292" s="12">
        <f>YEAR(InputData[[#This Row],[DATE]])</f>
        <v>2022</v>
      </c>
    </row>
    <row r="293" spans="1:16" x14ac:dyDescent="0.3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4">
        <f>VLOOKUP(InputData[[#This Row],[PRODUCT ID]],MasterData[],5,0)</f>
        <v>105</v>
      </c>
      <c r="K293" s="14">
        <f>VLOOKUP(InputData[[#This Row],[PRODUCT ID]],MasterData[],6,0)</f>
        <v>142.80000000000001</v>
      </c>
      <c r="L293" s="14">
        <f>InputData[[#This Row],[QUANTITY]]*InputData[[#This Row],[BUYING PRIZE]]</f>
        <v>630</v>
      </c>
      <c r="M293" s="14">
        <f>InputData[[#This Row],[QUANTITY]]*InputData[[#This Row],[SELLING PRICE]]*(1-InputData[[#This Row],[DISCOUNT %]])</f>
        <v>856.80000000000007</v>
      </c>
      <c r="N293" s="12">
        <f>DAY(InputData[[#This Row],[DATE]])</f>
        <v>6</v>
      </c>
      <c r="O293" s="12" t="str">
        <f>TEXT(InputData[[#This Row],[DATE]],"MMM")</f>
        <v>Feb</v>
      </c>
      <c r="P293" s="12">
        <f>YEAR(InputData[[#This Row],[DATE]])</f>
        <v>2022</v>
      </c>
    </row>
    <row r="294" spans="1:16" x14ac:dyDescent="0.3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4">
        <f>VLOOKUP(InputData[[#This Row],[PRODUCT ID]],MasterData[],5,0)</f>
        <v>133</v>
      </c>
      <c r="K294" s="14">
        <f>VLOOKUP(InputData[[#This Row],[PRODUCT ID]],MasterData[],6,0)</f>
        <v>155.61000000000001</v>
      </c>
      <c r="L294" s="14">
        <f>InputData[[#This Row],[QUANTITY]]*InputData[[#This Row],[BUYING PRIZE]]</f>
        <v>1463</v>
      </c>
      <c r="M294" s="14">
        <f>InputData[[#This Row],[QUANTITY]]*InputData[[#This Row],[SELLING PRICE]]*(1-InputData[[#This Row],[DISCOUNT %]])</f>
        <v>1711.71</v>
      </c>
      <c r="N294" s="12">
        <f>DAY(InputData[[#This Row],[DATE]])</f>
        <v>8</v>
      </c>
      <c r="O294" s="12" t="str">
        <f>TEXT(InputData[[#This Row],[DATE]],"MMM")</f>
        <v>Feb</v>
      </c>
      <c r="P294" s="12">
        <f>YEAR(InputData[[#This Row],[DATE]])</f>
        <v>2022</v>
      </c>
    </row>
    <row r="295" spans="1:16" x14ac:dyDescent="0.3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4">
        <f>VLOOKUP(InputData[[#This Row],[PRODUCT ID]],MasterData[],5,0)</f>
        <v>44</v>
      </c>
      <c r="K295" s="14">
        <f>VLOOKUP(InputData[[#This Row],[PRODUCT ID]],MasterData[],6,0)</f>
        <v>48.84</v>
      </c>
      <c r="L295" s="14">
        <f>InputData[[#This Row],[QUANTITY]]*InputData[[#This Row],[BUYING PRIZE]]</f>
        <v>132</v>
      </c>
      <c r="M295" s="14">
        <f>InputData[[#This Row],[QUANTITY]]*InputData[[#This Row],[SELLING PRICE]]*(1-InputData[[#This Row],[DISCOUNT %]])</f>
        <v>146.52000000000001</v>
      </c>
      <c r="N295" s="12">
        <f>DAY(InputData[[#This Row],[DATE]])</f>
        <v>8</v>
      </c>
      <c r="O295" s="12" t="str">
        <f>TEXT(InputData[[#This Row],[DATE]],"MMM")</f>
        <v>Feb</v>
      </c>
      <c r="P295" s="12">
        <f>YEAR(InputData[[#This Row],[DATE]])</f>
        <v>2022</v>
      </c>
    </row>
    <row r="296" spans="1:16" x14ac:dyDescent="0.3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4">
        <f>VLOOKUP(InputData[[#This Row],[PRODUCT ID]],MasterData[],5,0)</f>
        <v>89</v>
      </c>
      <c r="K296" s="14">
        <f>VLOOKUP(InputData[[#This Row],[PRODUCT ID]],MasterData[],6,0)</f>
        <v>117.48</v>
      </c>
      <c r="L296" s="14">
        <f>InputData[[#This Row],[QUANTITY]]*InputData[[#This Row],[BUYING PRIZE]]</f>
        <v>1246</v>
      </c>
      <c r="M296" s="14">
        <f>InputData[[#This Row],[QUANTITY]]*InputData[[#This Row],[SELLING PRICE]]*(1-InputData[[#This Row],[DISCOUNT %]])</f>
        <v>1644.72</v>
      </c>
      <c r="N296" s="12">
        <f>DAY(InputData[[#This Row],[DATE]])</f>
        <v>9</v>
      </c>
      <c r="O296" s="12" t="str">
        <f>TEXT(InputData[[#This Row],[DATE]],"MMM")</f>
        <v>Feb</v>
      </c>
      <c r="P296" s="12">
        <f>YEAR(InputData[[#This Row],[DATE]])</f>
        <v>2022</v>
      </c>
    </row>
    <row r="297" spans="1:16" x14ac:dyDescent="0.3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4">
        <f>VLOOKUP(InputData[[#This Row],[PRODUCT ID]],MasterData[],5,0)</f>
        <v>148</v>
      </c>
      <c r="K297" s="14">
        <f>VLOOKUP(InputData[[#This Row],[PRODUCT ID]],MasterData[],6,0)</f>
        <v>164.28</v>
      </c>
      <c r="L297" s="14">
        <f>InputData[[#This Row],[QUANTITY]]*InputData[[#This Row],[BUYING PRIZE]]</f>
        <v>1924</v>
      </c>
      <c r="M297" s="14">
        <f>InputData[[#This Row],[QUANTITY]]*InputData[[#This Row],[SELLING PRICE]]*(1-InputData[[#This Row],[DISCOUNT %]])</f>
        <v>2135.64</v>
      </c>
      <c r="N297" s="12">
        <f>DAY(InputData[[#This Row],[DATE]])</f>
        <v>12</v>
      </c>
      <c r="O297" s="12" t="str">
        <f>TEXT(InputData[[#This Row],[DATE]],"MMM")</f>
        <v>Feb</v>
      </c>
      <c r="P297" s="12">
        <f>YEAR(InputData[[#This Row],[DATE]])</f>
        <v>2022</v>
      </c>
    </row>
    <row r="298" spans="1:16" x14ac:dyDescent="0.3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4">
        <f>VLOOKUP(InputData[[#This Row],[PRODUCT ID]],MasterData[],5,0)</f>
        <v>18</v>
      </c>
      <c r="K298" s="14">
        <f>VLOOKUP(InputData[[#This Row],[PRODUCT ID]],MasterData[],6,0)</f>
        <v>24.66</v>
      </c>
      <c r="L298" s="14">
        <f>InputData[[#This Row],[QUANTITY]]*InputData[[#This Row],[BUYING PRIZE]]</f>
        <v>144</v>
      </c>
      <c r="M298" s="14">
        <f>InputData[[#This Row],[QUANTITY]]*InputData[[#This Row],[SELLING PRICE]]*(1-InputData[[#This Row],[DISCOUNT %]])</f>
        <v>197.28</v>
      </c>
      <c r="N298" s="12">
        <f>DAY(InputData[[#This Row],[DATE]])</f>
        <v>14</v>
      </c>
      <c r="O298" s="12" t="str">
        <f>TEXT(InputData[[#This Row],[DATE]],"MMM")</f>
        <v>Feb</v>
      </c>
      <c r="P298" s="12">
        <f>YEAR(InputData[[#This Row],[DATE]])</f>
        <v>2022</v>
      </c>
    </row>
    <row r="299" spans="1:16" x14ac:dyDescent="0.3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4">
        <f>VLOOKUP(InputData[[#This Row],[PRODUCT ID]],MasterData[],5,0)</f>
        <v>37</v>
      </c>
      <c r="K299" s="14">
        <f>VLOOKUP(InputData[[#This Row],[PRODUCT ID]],MasterData[],6,0)</f>
        <v>41.81</v>
      </c>
      <c r="L299" s="14">
        <f>InputData[[#This Row],[QUANTITY]]*InputData[[#This Row],[BUYING PRIZE]]</f>
        <v>111</v>
      </c>
      <c r="M299" s="14">
        <f>InputData[[#This Row],[QUANTITY]]*InputData[[#This Row],[SELLING PRICE]]*(1-InputData[[#This Row],[DISCOUNT %]])</f>
        <v>125.43</v>
      </c>
      <c r="N299" s="12">
        <f>DAY(InputData[[#This Row],[DATE]])</f>
        <v>14</v>
      </c>
      <c r="O299" s="12" t="str">
        <f>TEXT(InputData[[#This Row],[DATE]],"MMM")</f>
        <v>Feb</v>
      </c>
      <c r="P299" s="12">
        <f>YEAR(InputData[[#This Row],[DATE]])</f>
        <v>2022</v>
      </c>
    </row>
    <row r="300" spans="1:16" x14ac:dyDescent="0.3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4">
        <f>VLOOKUP(InputData[[#This Row],[PRODUCT ID]],MasterData[],5,0)</f>
        <v>89</v>
      </c>
      <c r="K300" s="14">
        <f>VLOOKUP(InputData[[#This Row],[PRODUCT ID]],MasterData[],6,0)</f>
        <v>117.48</v>
      </c>
      <c r="L300" s="14">
        <f>InputData[[#This Row],[QUANTITY]]*InputData[[#This Row],[BUYING PRIZE]]</f>
        <v>89</v>
      </c>
      <c r="M300" s="14">
        <f>InputData[[#This Row],[QUANTITY]]*InputData[[#This Row],[SELLING PRICE]]*(1-InputData[[#This Row],[DISCOUNT %]])</f>
        <v>117.48</v>
      </c>
      <c r="N300" s="12">
        <f>DAY(InputData[[#This Row],[DATE]])</f>
        <v>16</v>
      </c>
      <c r="O300" s="12" t="str">
        <f>TEXT(InputData[[#This Row],[DATE]],"MMM")</f>
        <v>Feb</v>
      </c>
      <c r="P300" s="12">
        <f>YEAR(InputData[[#This Row],[DATE]])</f>
        <v>2022</v>
      </c>
    </row>
    <row r="301" spans="1:16" x14ac:dyDescent="0.3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4">
        <f>VLOOKUP(InputData[[#This Row],[PRODUCT ID]],MasterData[],5,0)</f>
        <v>105</v>
      </c>
      <c r="K301" s="14">
        <f>VLOOKUP(InputData[[#This Row],[PRODUCT ID]],MasterData[],6,0)</f>
        <v>142.80000000000001</v>
      </c>
      <c r="L301" s="14">
        <f>InputData[[#This Row],[QUANTITY]]*InputData[[#This Row],[BUYING PRIZE]]</f>
        <v>1365</v>
      </c>
      <c r="M301" s="14">
        <f>InputData[[#This Row],[QUANTITY]]*InputData[[#This Row],[SELLING PRICE]]*(1-InputData[[#This Row],[DISCOUNT %]])</f>
        <v>1856.4</v>
      </c>
      <c r="N301" s="12">
        <f>DAY(InputData[[#This Row],[DATE]])</f>
        <v>19</v>
      </c>
      <c r="O301" s="12" t="str">
        <f>TEXT(InputData[[#This Row],[DATE]],"MMM")</f>
        <v>Feb</v>
      </c>
      <c r="P301" s="12">
        <f>YEAR(InputData[[#This Row],[DATE]])</f>
        <v>2022</v>
      </c>
    </row>
    <row r="302" spans="1:16" x14ac:dyDescent="0.3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4">
        <f>VLOOKUP(InputData[[#This Row],[PRODUCT ID]],MasterData[],5,0)</f>
        <v>73</v>
      </c>
      <c r="K302" s="14">
        <f>VLOOKUP(InputData[[#This Row],[PRODUCT ID]],MasterData[],6,0)</f>
        <v>94.17</v>
      </c>
      <c r="L302" s="14">
        <f>InputData[[#This Row],[QUANTITY]]*InputData[[#This Row],[BUYING PRIZE]]</f>
        <v>438</v>
      </c>
      <c r="M302" s="14">
        <f>InputData[[#This Row],[QUANTITY]]*InputData[[#This Row],[SELLING PRICE]]*(1-InputData[[#This Row],[DISCOUNT %]])</f>
        <v>565.02</v>
      </c>
      <c r="N302" s="12">
        <f>DAY(InputData[[#This Row],[DATE]])</f>
        <v>20</v>
      </c>
      <c r="O302" s="12" t="str">
        <f>TEXT(InputData[[#This Row],[DATE]],"MMM")</f>
        <v>Feb</v>
      </c>
      <c r="P302" s="12">
        <f>YEAR(InputData[[#This Row],[DATE]])</f>
        <v>2022</v>
      </c>
    </row>
    <row r="303" spans="1:16" x14ac:dyDescent="0.3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4">
        <f>VLOOKUP(InputData[[#This Row],[PRODUCT ID]],MasterData[],5,0)</f>
        <v>112</v>
      </c>
      <c r="K303" s="14">
        <f>VLOOKUP(InputData[[#This Row],[PRODUCT ID]],MasterData[],6,0)</f>
        <v>122.08</v>
      </c>
      <c r="L303" s="14">
        <f>InputData[[#This Row],[QUANTITY]]*InputData[[#This Row],[BUYING PRIZE]]</f>
        <v>672</v>
      </c>
      <c r="M303" s="14">
        <f>InputData[[#This Row],[QUANTITY]]*InputData[[#This Row],[SELLING PRICE]]*(1-InputData[[#This Row],[DISCOUNT %]])</f>
        <v>732.48</v>
      </c>
      <c r="N303" s="12">
        <f>DAY(InputData[[#This Row],[DATE]])</f>
        <v>23</v>
      </c>
      <c r="O303" s="12" t="str">
        <f>TEXT(InputData[[#This Row],[DATE]],"MMM")</f>
        <v>Feb</v>
      </c>
      <c r="P303" s="12">
        <f>YEAR(InputData[[#This Row],[DATE]])</f>
        <v>2022</v>
      </c>
    </row>
    <row r="304" spans="1:16" x14ac:dyDescent="0.3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4">
        <f>VLOOKUP(InputData[[#This Row],[PRODUCT ID]],MasterData[],5,0)</f>
        <v>13</v>
      </c>
      <c r="K304" s="14">
        <f>VLOOKUP(InputData[[#This Row],[PRODUCT ID]],MasterData[],6,0)</f>
        <v>16.64</v>
      </c>
      <c r="L304" s="14">
        <f>InputData[[#This Row],[QUANTITY]]*InputData[[#This Row],[BUYING PRIZE]]</f>
        <v>195</v>
      </c>
      <c r="M304" s="14">
        <f>InputData[[#This Row],[QUANTITY]]*InputData[[#This Row],[SELLING PRICE]]*(1-InputData[[#This Row],[DISCOUNT %]])</f>
        <v>249.60000000000002</v>
      </c>
      <c r="N304" s="12">
        <f>DAY(InputData[[#This Row],[DATE]])</f>
        <v>23</v>
      </c>
      <c r="O304" s="12" t="str">
        <f>TEXT(InputData[[#This Row],[DATE]],"MMM")</f>
        <v>Feb</v>
      </c>
      <c r="P304" s="12">
        <f>YEAR(InputData[[#This Row],[DATE]])</f>
        <v>2022</v>
      </c>
    </row>
    <row r="305" spans="1:16" x14ac:dyDescent="0.3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4">
        <f>VLOOKUP(InputData[[#This Row],[PRODUCT ID]],MasterData[],5,0)</f>
        <v>90</v>
      </c>
      <c r="K305" s="14">
        <f>VLOOKUP(InputData[[#This Row],[PRODUCT ID]],MasterData[],6,0)</f>
        <v>96.3</v>
      </c>
      <c r="L305" s="14">
        <f>InputData[[#This Row],[QUANTITY]]*InputData[[#This Row],[BUYING PRIZE]]</f>
        <v>720</v>
      </c>
      <c r="M305" s="14">
        <f>InputData[[#This Row],[QUANTITY]]*InputData[[#This Row],[SELLING PRICE]]*(1-InputData[[#This Row],[DISCOUNT %]])</f>
        <v>770.4</v>
      </c>
      <c r="N305" s="12">
        <f>DAY(InputData[[#This Row],[DATE]])</f>
        <v>23</v>
      </c>
      <c r="O305" s="12" t="str">
        <f>TEXT(InputData[[#This Row],[DATE]],"MMM")</f>
        <v>Feb</v>
      </c>
      <c r="P305" s="12">
        <f>YEAR(InputData[[#This Row],[DATE]])</f>
        <v>2022</v>
      </c>
    </row>
    <row r="306" spans="1:16" x14ac:dyDescent="0.3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4">
        <f>VLOOKUP(InputData[[#This Row],[PRODUCT ID]],MasterData[],5,0)</f>
        <v>73</v>
      </c>
      <c r="K306" s="14">
        <f>VLOOKUP(InputData[[#This Row],[PRODUCT ID]],MasterData[],6,0)</f>
        <v>94.17</v>
      </c>
      <c r="L306" s="14">
        <f>InputData[[#This Row],[QUANTITY]]*InputData[[#This Row],[BUYING PRIZE]]</f>
        <v>511</v>
      </c>
      <c r="M306" s="14">
        <f>InputData[[#This Row],[QUANTITY]]*InputData[[#This Row],[SELLING PRICE]]*(1-InputData[[#This Row],[DISCOUNT %]])</f>
        <v>659.19</v>
      </c>
      <c r="N306" s="12">
        <f>DAY(InputData[[#This Row],[DATE]])</f>
        <v>27</v>
      </c>
      <c r="O306" s="12" t="str">
        <f>TEXT(InputData[[#This Row],[DATE]],"MMM")</f>
        <v>Feb</v>
      </c>
      <c r="P306" s="12">
        <f>YEAR(InputData[[#This Row],[DATE]])</f>
        <v>2022</v>
      </c>
    </row>
    <row r="307" spans="1:16" x14ac:dyDescent="0.3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4">
        <f>VLOOKUP(InputData[[#This Row],[PRODUCT ID]],MasterData[],5,0)</f>
        <v>133</v>
      </c>
      <c r="K307" s="14">
        <f>VLOOKUP(InputData[[#This Row],[PRODUCT ID]],MasterData[],6,0)</f>
        <v>155.61000000000001</v>
      </c>
      <c r="L307" s="14">
        <f>InputData[[#This Row],[QUANTITY]]*InputData[[#This Row],[BUYING PRIZE]]</f>
        <v>1995</v>
      </c>
      <c r="M307" s="14">
        <f>InputData[[#This Row],[QUANTITY]]*InputData[[#This Row],[SELLING PRICE]]*(1-InputData[[#This Row],[DISCOUNT %]])</f>
        <v>2334.15</v>
      </c>
      <c r="N307" s="12">
        <f>DAY(InputData[[#This Row],[DATE]])</f>
        <v>27</v>
      </c>
      <c r="O307" s="12" t="str">
        <f>TEXT(InputData[[#This Row],[DATE]],"MMM")</f>
        <v>Feb</v>
      </c>
      <c r="P307" s="12">
        <f>YEAR(InputData[[#This Row],[DATE]])</f>
        <v>2022</v>
      </c>
    </row>
    <row r="308" spans="1:16" x14ac:dyDescent="0.3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4">
        <f>VLOOKUP(InputData[[#This Row],[PRODUCT ID]],MasterData[],5,0)</f>
        <v>67</v>
      </c>
      <c r="K308" s="14">
        <f>VLOOKUP(InputData[[#This Row],[PRODUCT ID]],MasterData[],6,0)</f>
        <v>85.76</v>
      </c>
      <c r="L308" s="14">
        <f>InputData[[#This Row],[QUANTITY]]*InputData[[#This Row],[BUYING PRIZE]]</f>
        <v>1005</v>
      </c>
      <c r="M308" s="14">
        <f>InputData[[#This Row],[QUANTITY]]*InputData[[#This Row],[SELLING PRICE]]*(1-InputData[[#This Row],[DISCOUNT %]])</f>
        <v>1286.4000000000001</v>
      </c>
      <c r="N308" s="12">
        <f>DAY(InputData[[#This Row],[DATE]])</f>
        <v>28</v>
      </c>
      <c r="O308" s="12" t="str">
        <f>TEXT(InputData[[#This Row],[DATE]],"MMM")</f>
        <v>Feb</v>
      </c>
      <c r="P308" s="12">
        <f>YEAR(InputData[[#This Row],[DATE]])</f>
        <v>2022</v>
      </c>
    </row>
    <row r="309" spans="1:16" x14ac:dyDescent="0.3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4">
        <f>VLOOKUP(InputData[[#This Row],[PRODUCT ID]],MasterData[],5,0)</f>
        <v>18</v>
      </c>
      <c r="K309" s="14">
        <f>VLOOKUP(InputData[[#This Row],[PRODUCT ID]],MasterData[],6,0)</f>
        <v>24.66</v>
      </c>
      <c r="L309" s="14">
        <f>InputData[[#This Row],[QUANTITY]]*InputData[[#This Row],[BUYING PRIZE]]</f>
        <v>234</v>
      </c>
      <c r="M309" s="14">
        <f>InputData[[#This Row],[QUANTITY]]*InputData[[#This Row],[SELLING PRICE]]*(1-InputData[[#This Row],[DISCOUNT %]])</f>
        <v>320.58</v>
      </c>
      <c r="N309" s="12">
        <f>DAY(InputData[[#This Row],[DATE]])</f>
        <v>4</v>
      </c>
      <c r="O309" s="12" t="str">
        <f>TEXT(InputData[[#This Row],[DATE]],"MMM")</f>
        <v>Mar</v>
      </c>
      <c r="P309" s="12">
        <f>YEAR(InputData[[#This Row],[DATE]])</f>
        <v>2022</v>
      </c>
    </row>
    <row r="310" spans="1:16" x14ac:dyDescent="0.3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4">
        <f>VLOOKUP(InputData[[#This Row],[PRODUCT ID]],MasterData[],5,0)</f>
        <v>44</v>
      </c>
      <c r="K310" s="14">
        <f>VLOOKUP(InputData[[#This Row],[PRODUCT ID]],MasterData[],6,0)</f>
        <v>48.84</v>
      </c>
      <c r="L310" s="14">
        <f>InputData[[#This Row],[QUANTITY]]*InputData[[#This Row],[BUYING PRIZE]]</f>
        <v>88</v>
      </c>
      <c r="M310" s="14">
        <f>InputData[[#This Row],[QUANTITY]]*InputData[[#This Row],[SELLING PRICE]]*(1-InputData[[#This Row],[DISCOUNT %]])</f>
        <v>97.68</v>
      </c>
      <c r="N310" s="12">
        <f>DAY(InputData[[#This Row],[DATE]])</f>
        <v>6</v>
      </c>
      <c r="O310" s="12" t="str">
        <f>TEXT(InputData[[#This Row],[DATE]],"MMM")</f>
        <v>Mar</v>
      </c>
      <c r="P310" s="12">
        <f>YEAR(InputData[[#This Row],[DATE]])</f>
        <v>2022</v>
      </c>
    </row>
    <row r="311" spans="1:16" x14ac:dyDescent="0.3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4">
        <f>VLOOKUP(InputData[[#This Row],[PRODUCT ID]],MasterData[],5,0)</f>
        <v>71</v>
      </c>
      <c r="K311" s="14">
        <f>VLOOKUP(InputData[[#This Row],[PRODUCT ID]],MasterData[],6,0)</f>
        <v>80.94</v>
      </c>
      <c r="L311" s="14">
        <f>InputData[[#This Row],[QUANTITY]]*InputData[[#This Row],[BUYING PRIZE]]</f>
        <v>71</v>
      </c>
      <c r="M311" s="14">
        <f>InputData[[#This Row],[QUANTITY]]*InputData[[#This Row],[SELLING PRICE]]*(1-InputData[[#This Row],[DISCOUNT %]])</f>
        <v>80.94</v>
      </c>
      <c r="N311" s="12">
        <f>DAY(InputData[[#This Row],[DATE]])</f>
        <v>7</v>
      </c>
      <c r="O311" s="12" t="str">
        <f>TEXT(InputData[[#This Row],[DATE]],"MMM")</f>
        <v>Mar</v>
      </c>
      <c r="P311" s="12">
        <f>YEAR(InputData[[#This Row],[DATE]])</f>
        <v>2022</v>
      </c>
    </row>
    <row r="312" spans="1:16" x14ac:dyDescent="0.3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4">
        <f>VLOOKUP(InputData[[#This Row],[PRODUCT ID]],MasterData[],5,0)</f>
        <v>76</v>
      </c>
      <c r="K312" s="14">
        <f>VLOOKUP(InputData[[#This Row],[PRODUCT ID]],MasterData[],6,0)</f>
        <v>82.08</v>
      </c>
      <c r="L312" s="14">
        <f>InputData[[#This Row],[QUANTITY]]*InputData[[#This Row],[BUYING PRIZE]]</f>
        <v>456</v>
      </c>
      <c r="M312" s="14">
        <f>InputData[[#This Row],[QUANTITY]]*InputData[[#This Row],[SELLING PRICE]]*(1-InputData[[#This Row],[DISCOUNT %]])</f>
        <v>492.48</v>
      </c>
      <c r="N312" s="12">
        <f>DAY(InputData[[#This Row],[DATE]])</f>
        <v>8</v>
      </c>
      <c r="O312" s="12" t="str">
        <f>TEXT(InputData[[#This Row],[DATE]],"MMM")</f>
        <v>Mar</v>
      </c>
      <c r="P312" s="12">
        <f>YEAR(InputData[[#This Row],[DATE]])</f>
        <v>2022</v>
      </c>
    </row>
    <row r="313" spans="1:16" x14ac:dyDescent="0.3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4">
        <f>VLOOKUP(InputData[[#This Row],[PRODUCT ID]],MasterData[],5,0)</f>
        <v>148</v>
      </c>
      <c r="K313" s="14">
        <f>VLOOKUP(InputData[[#This Row],[PRODUCT ID]],MasterData[],6,0)</f>
        <v>201.28</v>
      </c>
      <c r="L313" s="14">
        <f>InputData[[#This Row],[QUANTITY]]*InputData[[#This Row],[BUYING PRIZE]]</f>
        <v>444</v>
      </c>
      <c r="M313" s="14">
        <f>InputData[[#This Row],[QUANTITY]]*InputData[[#This Row],[SELLING PRICE]]*(1-InputData[[#This Row],[DISCOUNT %]])</f>
        <v>603.84</v>
      </c>
      <c r="N313" s="12">
        <f>DAY(InputData[[#This Row],[DATE]])</f>
        <v>9</v>
      </c>
      <c r="O313" s="12" t="str">
        <f>TEXT(InputData[[#This Row],[DATE]],"MMM")</f>
        <v>Mar</v>
      </c>
      <c r="P313" s="12">
        <f>YEAR(InputData[[#This Row],[DATE]])</f>
        <v>2022</v>
      </c>
    </row>
    <row r="314" spans="1:16" x14ac:dyDescent="0.3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4">
        <f>VLOOKUP(InputData[[#This Row],[PRODUCT ID]],MasterData[],5,0)</f>
        <v>44</v>
      </c>
      <c r="K314" s="14">
        <f>VLOOKUP(InputData[[#This Row],[PRODUCT ID]],MasterData[],6,0)</f>
        <v>48.84</v>
      </c>
      <c r="L314" s="14">
        <f>InputData[[#This Row],[QUANTITY]]*InputData[[#This Row],[BUYING PRIZE]]</f>
        <v>484</v>
      </c>
      <c r="M314" s="14">
        <f>InputData[[#This Row],[QUANTITY]]*InputData[[#This Row],[SELLING PRICE]]*(1-InputData[[#This Row],[DISCOUNT %]])</f>
        <v>537.24</v>
      </c>
      <c r="N314" s="12">
        <f>DAY(InputData[[#This Row],[DATE]])</f>
        <v>9</v>
      </c>
      <c r="O314" s="12" t="str">
        <f>TEXT(InputData[[#This Row],[DATE]],"MMM")</f>
        <v>Mar</v>
      </c>
      <c r="P314" s="12">
        <f>YEAR(InputData[[#This Row],[DATE]])</f>
        <v>2022</v>
      </c>
    </row>
    <row r="315" spans="1:16" x14ac:dyDescent="0.3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4">
        <f>VLOOKUP(InputData[[#This Row],[PRODUCT ID]],MasterData[],5,0)</f>
        <v>95</v>
      </c>
      <c r="K315" s="14">
        <f>VLOOKUP(InputData[[#This Row],[PRODUCT ID]],MasterData[],6,0)</f>
        <v>119.7</v>
      </c>
      <c r="L315" s="14">
        <f>InputData[[#This Row],[QUANTITY]]*InputData[[#This Row],[BUYING PRIZE]]</f>
        <v>1140</v>
      </c>
      <c r="M315" s="14">
        <f>InputData[[#This Row],[QUANTITY]]*InputData[[#This Row],[SELLING PRICE]]*(1-InputData[[#This Row],[DISCOUNT %]])</f>
        <v>1436.4</v>
      </c>
      <c r="N315" s="12">
        <f>DAY(InputData[[#This Row],[DATE]])</f>
        <v>10</v>
      </c>
      <c r="O315" s="12" t="str">
        <f>TEXT(InputData[[#This Row],[DATE]],"MMM")</f>
        <v>Mar</v>
      </c>
      <c r="P315" s="12">
        <f>YEAR(InputData[[#This Row],[DATE]])</f>
        <v>2022</v>
      </c>
    </row>
    <row r="316" spans="1:16" x14ac:dyDescent="0.3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4">
        <f>VLOOKUP(InputData[[#This Row],[PRODUCT ID]],MasterData[],5,0)</f>
        <v>13</v>
      </c>
      <c r="K316" s="14">
        <f>VLOOKUP(InputData[[#This Row],[PRODUCT ID]],MasterData[],6,0)</f>
        <v>16.64</v>
      </c>
      <c r="L316" s="14">
        <f>InputData[[#This Row],[QUANTITY]]*InputData[[#This Row],[BUYING PRIZE]]</f>
        <v>26</v>
      </c>
      <c r="M316" s="14">
        <f>InputData[[#This Row],[QUANTITY]]*InputData[[#This Row],[SELLING PRICE]]*(1-InputData[[#This Row],[DISCOUNT %]])</f>
        <v>33.28</v>
      </c>
      <c r="N316" s="12">
        <f>DAY(InputData[[#This Row],[DATE]])</f>
        <v>14</v>
      </c>
      <c r="O316" s="12" t="str">
        <f>TEXT(InputData[[#This Row],[DATE]],"MMM")</f>
        <v>Mar</v>
      </c>
      <c r="P316" s="12">
        <f>YEAR(InputData[[#This Row],[DATE]])</f>
        <v>2022</v>
      </c>
    </row>
    <row r="317" spans="1:16" x14ac:dyDescent="0.3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4">
        <f>VLOOKUP(InputData[[#This Row],[PRODUCT ID]],MasterData[],5,0)</f>
        <v>18</v>
      </c>
      <c r="K317" s="14">
        <f>VLOOKUP(InputData[[#This Row],[PRODUCT ID]],MasterData[],6,0)</f>
        <v>24.66</v>
      </c>
      <c r="L317" s="14">
        <f>InputData[[#This Row],[QUANTITY]]*InputData[[#This Row],[BUYING PRIZE]]</f>
        <v>234</v>
      </c>
      <c r="M317" s="14">
        <f>InputData[[#This Row],[QUANTITY]]*InputData[[#This Row],[SELLING PRICE]]*(1-InputData[[#This Row],[DISCOUNT %]])</f>
        <v>320.58</v>
      </c>
      <c r="N317" s="12">
        <f>DAY(InputData[[#This Row],[DATE]])</f>
        <v>14</v>
      </c>
      <c r="O317" s="12" t="str">
        <f>TEXT(InputData[[#This Row],[DATE]],"MMM")</f>
        <v>Mar</v>
      </c>
      <c r="P317" s="12">
        <f>YEAR(InputData[[#This Row],[DATE]])</f>
        <v>2022</v>
      </c>
    </row>
    <row r="318" spans="1:16" x14ac:dyDescent="0.3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4">
        <f>VLOOKUP(InputData[[#This Row],[PRODUCT ID]],MasterData[],5,0)</f>
        <v>150</v>
      </c>
      <c r="K318" s="14">
        <f>VLOOKUP(InputData[[#This Row],[PRODUCT ID]],MasterData[],6,0)</f>
        <v>210</v>
      </c>
      <c r="L318" s="14">
        <f>InputData[[#This Row],[QUANTITY]]*InputData[[#This Row],[BUYING PRIZE]]</f>
        <v>300</v>
      </c>
      <c r="M318" s="14">
        <f>InputData[[#This Row],[QUANTITY]]*InputData[[#This Row],[SELLING PRICE]]*(1-InputData[[#This Row],[DISCOUNT %]])</f>
        <v>420</v>
      </c>
      <c r="N318" s="12">
        <f>DAY(InputData[[#This Row],[DATE]])</f>
        <v>18</v>
      </c>
      <c r="O318" s="12" t="str">
        <f>TEXT(InputData[[#This Row],[DATE]],"MMM")</f>
        <v>Mar</v>
      </c>
      <c r="P318" s="12">
        <f>YEAR(InputData[[#This Row],[DATE]])</f>
        <v>2022</v>
      </c>
    </row>
    <row r="319" spans="1:16" x14ac:dyDescent="0.3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4">
        <f>VLOOKUP(InputData[[#This Row],[PRODUCT ID]],MasterData[],5,0)</f>
        <v>48</v>
      </c>
      <c r="K319" s="14">
        <f>VLOOKUP(InputData[[#This Row],[PRODUCT ID]],MasterData[],6,0)</f>
        <v>57.120000000000005</v>
      </c>
      <c r="L319" s="14">
        <f>InputData[[#This Row],[QUANTITY]]*InputData[[#This Row],[BUYING PRIZE]]</f>
        <v>480</v>
      </c>
      <c r="M319" s="14">
        <f>InputData[[#This Row],[QUANTITY]]*InputData[[#This Row],[SELLING PRICE]]*(1-InputData[[#This Row],[DISCOUNT %]])</f>
        <v>571.20000000000005</v>
      </c>
      <c r="N319" s="12">
        <f>DAY(InputData[[#This Row],[DATE]])</f>
        <v>18</v>
      </c>
      <c r="O319" s="12" t="str">
        <f>TEXT(InputData[[#This Row],[DATE]],"MMM")</f>
        <v>Mar</v>
      </c>
      <c r="P319" s="12">
        <f>YEAR(InputData[[#This Row],[DATE]])</f>
        <v>2022</v>
      </c>
    </row>
    <row r="320" spans="1:16" x14ac:dyDescent="0.3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4">
        <f>VLOOKUP(InputData[[#This Row],[PRODUCT ID]],MasterData[],5,0)</f>
        <v>138</v>
      </c>
      <c r="K320" s="14">
        <f>VLOOKUP(InputData[[#This Row],[PRODUCT ID]],MasterData[],6,0)</f>
        <v>173.88</v>
      </c>
      <c r="L320" s="14">
        <f>InputData[[#This Row],[QUANTITY]]*InputData[[#This Row],[BUYING PRIZE]]</f>
        <v>828</v>
      </c>
      <c r="M320" s="14">
        <f>InputData[[#This Row],[QUANTITY]]*InputData[[#This Row],[SELLING PRICE]]*(1-InputData[[#This Row],[DISCOUNT %]])</f>
        <v>1043.28</v>
      </c>
      <c r="N320" s="12">
        <f>DAY(InputData[[#This Row],[DATE]])</f>
        <v>19</v>
      </c>
      <c r="O320" s="12" t="str">
        <f>TEXT(InputData[[#This Row],[DATE]],"MMM")</f>
        <v>Mar</v>
      </c>
      <c r="P320" s="12">
        <f>YEAR(InputData[[#This Row],[DATE]])</f>
        <v>2022</v>
      </c>
    </row>
    <row r="321" spans="1:16" x14ac:dyDescent="0.3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4">
        <f>VLOOKUP(InputData[[#This Row],[PRODUCT ID]],MasterData[],5,0)</f>
        <v>89</v>
      </c>
      <c r="K321" s="14">
        <f>VLOOKUP(InputData[[#This Row],[PRODUCT ID]],MasterData[],6,0)</f>
        <v>117.48</v>
      </c>
      <c r="L321" s="14">
        <f>InputData[[#This Row],[QUANTITY]]*InputData[[#This Row],[BUYING PRIZE]]</f>
        <v>801</v>
      </c>
      <c r="M321" s="14">
        <f>InputData[[#This Row],[QUANTITY]]*InputData[[#This Row],[SELLING PRICE]]*(1-InputData[[#This Row],[DISCOUNT %]])</f>
        <v>1057.32</v>
      </c>
      <c r="N321" s="12">
        <f>DAY(InputData[[#This Row],[DATE]])</f>
        <v>23</v>
      </c>
      <c r="O321" s="12" t="str">
        <f>TEXT(InputData[[#This Row],[DATE]],"MMM")</f>
        <v>Mar</v>
      </c>
      <c r="P321" s="12">
        <f>YEAR(InputData[[#This Row],[DATE]])</f>
        <v>2022</v>
      </c>
    </row>
    <row r="322" spans="1:16" x14ac:dyDescent="0.3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4">
        <f>VLOOKUP(InputData[[#This Row],[PRODUCT ID]],MasterData[],5,0)</f>
        <v>98</v>
      </c>
      <c r="K322" s="14">
        <f>VLOOKUP(InputData[[#This Row],[PRODUCT ID]],MasterData[],6,0)</f>
        <v>103.88</v>
      </c>
      <c r="L322" s="14">
        <f>InputData[[#This Row],[QUANTITY]]*InputData[[#This Row],[BUYING PRIZE]]</f>
        <v>196</v>
      </c>
      <c r="M322" s="14">
        <f>InputData[[#This Row],[QUANTITY]]*InputData[[#This Row],[SELLING PRICE]]*(1-InputData[[#This Row],[DISCOUNT %]])</f>
        <v>207.76</v>
      </c>
      <c r="N322" s="12">
        <f>DAY(InputData[[#This Row],[DATE]])</f>
        <v>25</v>
      </c>
      <c r="O322" s="12" t="str">
        <f>TEXT(InputData[[#This Row],[DATE]],"MMM")</f>
        <v>Mar</v>
      </c>
      <c r="P322" s="12">
        <f>YEAR(InputData[[#This Row],[DATE]])</f>
        <v>2022</v>
      </c>
    </row>
    <row r="323" spans="1:16" x14ac:dyDescent="0.3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4">
        <f>VLOOKUP(InputData[[#This Row],[PRODUCT ID]],MasterData[],5,0)</f>
        <v>148</v>
      </c>
      <c r="K323" s="14">
        <f>VLOOKUP(InputData[[#This Row],[PRODUCT ID]],MasterData[],6,0)</f>
        <v>201.28</v>
      </c>
      <c r="L323" s="14">
        <f>InputData[[#This Row],[QUANTITY]]*InputData[[#This Row],[BUYING PRIZE]]</f>
        <v>1628</v>
      </c>
      <c r="M323" s="14">
        <f>InputData[[#This Row],[QUANTITY]]*InputData[[#This Row],[SELLING PRICE]]*(1-InputData[[#This Row],[DISCOUNT %]])</f>
        <v>2214.08</v>
      </c>
      <c r="N323" s="12">
        <f>DAY(InputData[[#This Row],[DATE]])</f>
        <v>25</v>
      </c>
      <c r="O323" s="12" t="str">
        <f>TEXT(InputData[[#This Row],[DATE]],"MMM")</f>
        <v>Mar</v>
      </c>
      <c r="P323" s="12">
        <f>YEAR(InputData[[#This Row],[DATE]])</f>
        <v>2022</v>
      </c>
    </row>
    <row r="324" spans="1:16" x14ac:dyDescent="0.3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4">
        <f>VLOOKUP(InputData[[#This Row],[PRODUCT ID]],MasterData[],5,0)</f>
        <v>89</v>
      </c>
      <c r="K324" s="14">
        <f>VLOOKUP(InputData[[#This Row],[PRODUCT ID]],MasterData[],6,0)</f>
        <v>117.48</v>
      </c>
      <c r="L324" s="14">
        <f>InputData[[#This Row],[QUANTITY]]*InputData[[#This Row],[BUYING PRIZE]]</f>
        <v>1068</v>
      </c>
      <c r="M324" s="14">
        <f>InputData[[#This Row],[QUANTITY]]*InputData[[#This Row],[SELLING PRICE]]*(1-InputData[[#This Row],[DISCOUNT %]])</f>
        <v>1409.76</v>
      </c>
      <c r="N324" s="12">
        <f>DAY(InputData[[#This Row],[DATE]])</f>
        <v>29</v>
      </c>
      <c r="O324" s="12" t="str">
        <f>TEXT(InputData[[#This Row],[DATE]],"MMM")</f>
        <v>Mar</v>
      </c>
      <c r="P324" s="12">
        <f>YEAR(InputData[[#This Row],[DATE]])</f>
        <v>2022</v>
      </c>
    </row>
    <row r="325" spans="1:16" x14ac:dyDescent="0.3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4">
        <f>VLOOKUP(InputData[[#This Row],[PRODUCT ID]],MasterData[],5,0)</f>
        <v>98</v>
      </c>
      <c r="K325" s="14">
        <f>VLOOKUP(InputData[[#This Row],[PRODUCT ID]],MasterData[],6,0)</f>
        <v>103.88</v>
      </c>
      <c r="L325" s="14">
        <f>InputData[[#This Row],[QUANTITY]]*InputData[[#This Row],[BUYING PRIZE]]</f>
        <v>1274</v>
      </c>
      <c r="M325" s="14">
        <f>InputData[[#This Row],[QUANTITY]]*InputData[[#This Row],[SELLING PRICE]]*(1-InputData[[#This Row],[DISCOUNT %]])</f>
        <v>1350.44</v>
      </c>
      <c r="N325" s="12">
        <f>DAY(InputData[[#This Row],[DATE]])</f>
        <v>30</v>
      </c>
      <c r="O325" s="12" t="str">
        <f>TEXT(InputData[[#This Row],[DATE]],"MMM")</f>
        <v>Mar</v>
      </c>
      <c r="P325" s="12">
        <f>YEAR(InputData[[#This Row],[DATE]])</f>
        <v>2022</v>
      </c>
    </row>
    <row r="326" spans="1:16" x14ac:dyDescent="0.3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4">
        <f>VLOOKUP(InputData[[#This Row],[PRODUCT ID]],MasterData[],5,0)</f>
        <v>105</v>
      </c>
      <c r="K326" s="14">
        <f>VLOOKUP(InputData[[#This Row],[PRODUCT ID]],MasterData[],6,0)</f>
        <v>142.80000000000001</v>
      </c>
      <c r="L326" s="14">
        <f>InputData[[#This Row],[QUANTITY]]*InputData[[#This Row],[BUYING PRIZE]]</f>
        <v>210</v>
      </c>
      <c r="M326" s="14">
        <f>InputData[[#This Row],[QUANTITY]]*InputData[[#This Row],[SELLING PRICE]]*(1-InputData[[#This Row],[DISCOUNT %]])</f>
        <v>285.60000000000002</v>
      </c>
      <c r="N326" s="12">
        <f>DAY(InputData[[#This Row],[DATE]])</f>
        <v>1</v>
      </c>
      <c r="O326" s="12" t="str">
        <f>TEXT(InputData[[#This Row],[DATE]],"MMM")</f>
        <v>Apr</v>
      </c>
      <c r="P326" s="12">
        <f>YEAR(InputData[[#This Row],[DATE]])</f>
        <v>2022</v>
      </c>
    </row>
    <row r="327" spans="1:16" x14ac:dyDescent="0.3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4">
        <f>VLOOKUP(InputData[[#This Row],[PRODUCT ID]],MasterData[],5,0)</f>
        <v>105</v>
      </c>
      <c r="K327" s="14">
        <f>VLOOKUP(InputData[[#This Row],[PRODUCT ID]],MasterData[],6,0)</f>
        <v>142.80000000000001</v>
      </c>
      <c r="L327" s="14">
        <f>InputData[[#This Row],[QUANTITY]]*InputData[[#This Row],[BUYING PRIZE]]</f>
        <v>315</v>
      </c>
      <c r="M327" s="14">
        <f>InputData[[#This Row],[QUANTITY]]*InputData[[#This Row],[SELLING PRICE]]*(1-InputData[[#This Row],[DISCOUNT %]])</f>
        <v>428.40000000000003</v>
      </c>
      <c r="N327" s="12">
        <f>DAY(InputData[[#This Row],[DATE]])</f>
        <v>2</v>
      </c>
      <c r="O327" s="12" t="str">
        <f>TEXT(InputData[[#This Row],[DATE]],"MMM")</f>
        <v>Apr</v>
      </c>
      <c r="P327" s="12">
        <f>YEAR(InputData[[#This Row],[DATE]])</f>
        <v>2022</v>
      </c>
    </row>
    <row r="328" spans="1:16" x14ac:dyDescent="0.3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4">
        <f>VLOOKUP(InputData[[#This Row],[PRODUCT ID]],MasterData[],5,0)</f>
        <v>90</v>
      </c>
      <c r="K328" s="14">
        <f>VLOOKUP(InputData[[#This Row],[PRODUCT ID]],MasterData[],6,0)</f>
        <v>115.2</v>
      </c>
      <c r="L328" s="14">
        <f>InputData[[#This Row],[QUANTITY]]*InputData[[#This Row],[BUYING PRIZE]]</f>
        <v>180</v>
      </c>
      <c r="M328" s="14">
        <f>InputData[[#This Row],[QUANTITY]]*InputData[[#This Row],[SELLING PRICE]]*(1-InputData[[#This Row],[DISCOUNT %]])</f>
        <v>230.4</v>
      </c>
      <c r="N328" s="12">
        <f>DAY(InputData[[#This Row],[DATE]])</f>
        <v>6</v>
      </c>
      <c r="O328" s="12" t="str">
        <f>TEXT(InputData[[#This Row],[DATE]],"MMM")</f>
        <v>Apr</v>
      </c>
      <c r="P328" s="12">
        <f>YEAR(InputData[[#This Row],[DATE]])</f>
        <v>2022</v>
      </c>
    </row>
    <row r="329" spans="1:16" x14ac:dyDescent="0.3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4">
        <f>VLOOKUP(InputData[[#This Row],[PRODUCT ID]],MasterData[],5,0)</f>
        <v>18</v>
      </c>
      <c r="K329" s="14">
        <f>VLOOKUP(InputData[[#This Row],[PRODUCT ID]],MasterData[],6,0)</f>
        <v>24.66</v>
      </c>
      <c r="L329" s="14">
        <f>InputData[[#This Row],[QUANTITY]]*InputData[[#This Row],[BUYING PRIZE]]</f>
        <v>126</v>
      </c>
      <c r="M329" s="14">
        <f>InputData[[#This Row],[QUANTITY]]*InputData[[#This Row],[SELLING PRICE]]*(1-InputData[[#This Row],[DISCOUNT %]])</f>
        <v>172.62</v>
      </c>
      <c r="N329" s="12">
        <f>DAY(InputData[[#This Row],[DATE]])</f>
        <v>7</v>
      </c>
      <c r="O329" s="12" t="str">
        <f>TEXT(InputData[[#This Row],[DATE]],"MMM")</f>
        <v>Apr</v>
      </c>
      <c r="P329" s="12">
        <f>YEAR(InputData[[#This Row],[DATE]])</f>
        <v>2022</v>
      </c>
    </row>
    <row r="330" spans="1:16" x14ac:dyDescent="0.3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4">
        <f>VLOOKUP(InputData[[#This Row],[PRODUCT ID]],MasterData[],5,0)</f>
        <v>37</v>
      </c>
      <c r="K330" s="14">
        <f>VLOOKUP(InputData[[#This Row],[PRODUCT ID]],MasterData[],6,0)</f>
        <v>42.55</v>
      </c>
      <c r="L330" s="14">
        <f>InputData[[#This Row],[QUANTITY]]*InputData[[#This Row],[BUYING PRIZE]]</f>
        <v>444</v>
      </c>
      <c r="M330" s="14">
        <f>InputData[[#This Row],[QUANTITY]]*InputData[[#This Row],[SELLING PRICE]]*(1-InputData[[#This Row],[DISCOUNT %]])</f>
        <v>510.59999999999997</v>
      </c>
      <c r="N330" s="12">
        <f>DAY(InputData[[#This Row],[DATE]])</f>
        <v>9</v>
      </c>
      <c r="O330" s="12" t="str">
        <f>TEXT(InputData[[#This Row],[DATE]],"MMM")</f>
        <v>Apr</v>
      </c>
      <c r="P330" s="12">
        <f>YEAR(InputData[[#This Row],[DATE]])</f>
        <v>2022</v>
      </c>
    </row>
    <row r="331" spans="1:16" x14ac:dyDescent="0.3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4">
        <f>VLOOKUP(InputData[[#This Row],[PRODUCT ID]],MasterData[],5,0)</f>
        <v>105</v>
      </c>
      <c r="K331" s="14">
        <f>VLOOKUP(InputData[[#This Row],[PRODUCT ID]],MasterData[],6,0)</f>
        <v>142.80000000000001</v>
      </c>
      <c r="L331" s="14">
        <f>InputData[[#This Row],[QUANTITY]]*InputData[[#This Row],[BUYING PRIZE]]</f>
        <v>945</v>
      </c>
      <c r="M331" s="14">
        <f>InputData[[#This Row],[QUANTITY]]*InputData[[#This Row],[SELLING PRICE]]*(1-InputData[[#This Row],[DISCOUNT %]])</f>
        <v>1285.2</v>
      </c>
      <c r="N331" s="12">
        <f>DAY(InputData[[#This Row],[DATE]])</f>
        <v>9</v>
      </c>
      <c r="O331" s="12" t="str">
        <f>TEXT(InputData[[#This Row],[DATE]],"MMM")</f>
        <v>Apr</v>
      </c>
      <c r="P331" s="12">
        <f>YEAR(InputData[[#This Row],[DATE]])</f>
        <v>2022</v>
      </c>
    </row>
    <row r="332" spans="1:16" x14ac:dyDescent="0.3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4">
        <f>VLOOKUP(InputData[[#This Row],[PRODUCT ID]],MasterData[],5,0)</f>
        <v>13</v>
      </c>
      <c r="K332" s="14">
        <f>VLOOKUP(InputData[[#This Row],[PRODUCT ID]],MasterData[],6,0)</f>
        <v>16.64</v>
      </c>
      <c r="L332" s="14">
        <f>InputData[[#This Row],[QUANTITY]]*InputData[[#This Row],[BUYING PRIZE]]</f>
        <v>182</v>
      </c>
      <c r="M332" s="14">
        <f>InputData[[#This Row],[QUANTITY]]*InputData[[#This Row],[SELLING PRICE]]*(1-InputData[[#This Row],[DISCOUNT %]])</f>
        <v>232.96</v>
      </c>
      <c r="N332" s="12">
        <f>DAY(InputData[[#This Row],[DATE]])</f>
        <v>13</v>
      </c>
      <c r="O332" s="12" t="str">
        <f>TEXT(InputData[[#This Row],[DATE]],"MMM")</f>
        <v>Apr</v>
      </c>
      <c r="P332" s="12">
        <f>YEAR(InputData[[#This Row],[DATE]])</f>
        <v>2022</v>
      </c>
    </row>
    <row r="333" spans="1:16" x14ac:dyDescent="0.3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4">
        <f>VLOOKUP(InputData[[#This Row],[PRODUCT ID]],MasterData[],5,0)</f>
        <v>138</v>
      </c>
      <c r="K333" s="14">
        <f>VLOOKUP(InputData[[#This Row],[PRODUCT ID]],MasterData[],6,0)</f>
        <v>173.88</v>
      </c>
      <c r="L333" s="14">
        <f>InputData[[#This Row],[QUANTITY]]*InputData[[#This Row],[BUYING PRIZE]]</f>
        <v>1242</v>
      </c>
      <c r="M333" s="14">
        <f>InputData[[#This Row],[QUANTITY]]*InputData[[#This Row],[SELLING PRICE]]*(1-InputData[[#This Row],[DISCOUNT %]])</f>
        <v>1564.92</v>
      </c>
      <c r="N333" s="12">
        <f>DAY(InputData[[#This Row],[DATE]])</f>
        <v>18</v>
      </c>
      <c r="O333" s="12" t="str">
        <f>TEXT(InputData[[#This Row],[DATE]],"MMM")</f>
        <v>Apr</v>
      </c>
      <c r="P333" s="12">
        <f>YEAR(InputData[[#This Row],[DATE]])</f>
        <v>2022</v>
      </c>
    </row>
    <row r="334" spans="1:16" x14ac:dyDescent="0.3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4">
        <f>VLOOKUP(InputData[[#This Row],[PRODUCT ID]],MasterData[],5,0)</f>
        <v>37</v>
      </c>
      <c r="K334" s="14">
        <f>VLOOKUP(InputData[[#This Row],[PRODUCT ID]],MasterData[],6,0)</f>
        <v>49.21</v>
      </c>
      <c r="L334" s="14">
        <f>InputData[[#This Row],[QUANTITY]]*InputData[[#This Row],[BUYING PRIZE]]</f>
        <v>74</v>
      </c>
      <c r="M334" s="14">
        <f>InputData[[#This Row],[QUANTITY]]*InputData[[#This Row],[SELLING PRICE]]*(1-InputData[[#This Row],[DISCOUNT %]])</f>
        <v>98.42</v>
      </c>
      <c r="N334" s="12">
        <f>DAY(InputData[[#This Row],[DATE]])</f>
        <v>20</v>
      </c>
      <c r="O334" s="12" t="str">
        <f>TEXT(InputData[[#This Row],[DATE]],"MMM")</f>
        <v>Apr</v>
      </c>
      <c r="P334" s="12">
        <f>YEAR(InputData[[#This Row],[DATE]])</f>
        <v>2022</v>
      </c>
    </row>
    <row r="335" spans="1:16" x14ac:dyDescent="0.3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4">
        <f>VLOOKUP(InputData[[#This Row],[PRODUCT ID]],MasterData[],5,0)</f>
        <v>73</v>
      </c>
      <c r="K335" s="14">
        <f>VLOOKUP(InputData[[#This Row],[PRODUCT ID]],MasterData[],6,0)</f>
        <v>94.17</v>
      </c>
      <c r="L335" s="14">
        <f>InputData[[#This Row],[QUANTITY]]*InputData[[#This Row],[BUYING PRIZE]]</f>
        <v>292</v>
      </c>
      <c r="M335" s="14">
        <f>InputData[[#This Row],[QUANTITY]]*InputData[[#This Row],[SELLING PRICE]]*(1-InputData[[#This Row],[DISCOUNT %]])</f>
        <v>376.68</v>
      </c>
      <c r="N335" s="12">
        <f>DAY(InputData[[#This Row],[DATE]])</f>
        <v>20</v>
      </c>
      <c r="O335" s="12" t="str">
        <f>TEXT(InputData[[#This Row],[DATE]],"MMM")</f>
        <v>Apr</v>
      </c>
      <c r="P335" s="12">
        <f>YEAR(InputData[[#This Row],[DATE]])</f>
        <v>2022</v>
      </c>
    </row>
    <row r="336" spans="1:16" x14ac:dyDescent="0.3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4">
        <f>VLOOKUP(InputData[[#This Row],[PRODUCT ID]],MasterData[],5,0)</f>
        <v>148</v>
      </c>
      <c r="K336" s="14">
        <f>VLOOKUP(InputData[[#This Row],[PRODUCT ID]],MasterData[],6,0)</f>
        <v>201.28</v>
      </c>
      <c r="L336" s="14">
        <f>InputData[[#This Row],[QUANTITY]]*InputData[[#This Row],[BUYING PRIZE]]</f>
        <v>296</v>
      </c>
      <c r="M336" s="14">
        <f>InputData[[#This Row],[QUANTITY]]*InputData[[#This Row],[SELLING PRICE]]*(1-InputData[[#This Row],[DISCOUNT %]])</f>
        <v>402.56</v>
      </c>
      <c r="N336" s="12">
        <f>DAY(InputData[[#This Row],[DATE]])</f>
        <v>21</v>
      </c>
      <c r="O336" s="12" t="str">
        <f>TEXT(InputData[[#This Row],[DATE]],"MMM")</f>
        <v>Apr</v>
      </c>
      <c r="P336" s="12">
        <f>YEAR(InputData[[#This Row],[DATE]])</f>
        <v>2022</v>
      </c>
    </row>
    <row r="337" spans="1:16" x14ac:dyDescent="0.3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4">
        <f>VLOOKUP(InputData[[#This Row],[PRODUCT ID]],MasterData[],5,0)</f>
        <v>18</v>
      </c>
      <c r="K337" s="14">
        <f>VLOOKUP(InputData[[#This Row],[PRODUCT ID]],MasterData[],6,0)</f>
        <v>24.66</v>
      </c>
      <c r="L337" s="14">
        <f>InputData[[#This Row],[QUANTITY]]*InputData[[#This Row],[BUYING PRIZE]]</f>
        <v>252</v>
      </c>
      <c r="M337" s="14">
        <f>InputData[[#This Row],[QUANTITY]]*InputData[[#This Row],[SELLING PRICE]]*(1-InputData[[#This Row],[DISCOUNT %]])</f>
        <v>345.24</v>
      </c>
      <c r="N337" s="12">
        <f>DAY(InputData[[#This Row],[DATE]])</f>
        <v>21</v>
      </c>
      <c r="O337" s="12" t="str">
        <f>TEXT(InputData[[#This Row],[DATE]],"MMM")</f>
        <v>Apr</v>
      </c>
      <c r="P337" s="12">
        <f>YEAR(InputData[[#This Row],[DATE]])</f>
        <v>2022</v>
      </c>
    </row>
    <row r="338" spans="1:16" x14ac:dyDescent="0.3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4">
        <f>VLOOKUP(InputData[[#This Row],[PRODUCT ID]],MasterData[],5,0)</f>
        <v>76</v>
      </c>
      <c r="K338" s="14">
        <f>VLOOKUP(InputData[[#This Row],[PRODUCT ID]],MasterData[],6,0)</f>
        <v>82.08</v>
      </c>
      <c r="L338" s="14">
        <f>InputData[[#This Row],[QUANTITY]]*InputData[[#This Row],[BUYING PRIZE]]</f>
        <v>1140</v>
      </c>
      <c r="M338" s="14">
        <f>InputData[[#This Row],[QUANTITY]]*InputData[[#This Row],[SELLING PRICE]]*(1-InputData[[#This Row],[DISCOUNT %]])</f>
        <v>1231.2</v>
      </c>
      <c r="N338" s="12">
        <f>DAY(InputData[[#This Row],[DATE]])</f>
        <v>23</v>
      </c>
      <c r="O338" s="12" t="str">
        <f>TEXT(InputData[[#This Row],[DATE]],"MMM")</f>
        <v>Apr</v>
      </c>
      <c r="P338" s="12">
        <f>YEAR(InputData[[#This Row],[DATE]])</f>
        <v>2022</v>
      </c>
    </row>
    <row r="339" spans="1:16" x14ac:dyDescent="0.3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4">
        <f>VLOOKUP(InputData[[#This Row],[PRODUCT ID]],MasterData[],5,0)</f>
        <v>55</v>
      </c>
      <c r="K339" s="14">
        <f>VLOOKUP(InputData[[#This Row],[PRODUCT ID]],MasterData[],6,0)</f>
        <v>58.3</v>
      </c>
      <c r="L339" s="14">
        <f>InputData[[#This Row],[QUANTITY]]*InputData[[#This Row],[BUYING PRIZE]]</f>
        <v>220</v>
      </c>
      <c r="M339" s="14">
        <f>InputData[[#This Row],[QUANTITY]]*InputData[[#This Row],[SELLING PRICE]]*(1-InputData[[#This Row],[DISCOUNT %]])</f>
        <v>233.2</v>
      </c>
      <c r="N339" s="12">
        <f>DAY(InputData[[#This Row],[DATE]])</f>
        <v>24</v>
      </c>
      <c r="O339" s="12" t="str">
        <f>TEXT(InputData[[#This Row],[DATE]],"MMM")</f>
        <v>Apr</v>
      </c>
      <c r="P339" s="12">
        <f>YEAR(InputData[[#This Row],[DATE]])</f>
        <v>2022</v>
      </c>
    </row>
    <row r="340" spans="1:16" x14ac:dyDescent="0.3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4">
        <f>VLOOKUP(InputData[[#This Row],[PRODUCT ID]],MasterData[],5,0)</f>
        <v>44</v>
      </c>
      <c r="K340" s="14">
        <f>VLOOKUP(InputData[[#This Row],[PRODUCT ID]],MasterData[],6,0)</f>
        <v>48.84</v>
      </c>
      <c r="L340" s="14">
        <f>InputData[[#This Row],[QUANTITY]]*InputData[[#This Row],[BUYING PRIZE]]</f>
        <v>396</v>
      </c>
      <c r="M340" s="14">
        <f>InputData[[#This Row],[QUANTITY]]*InputData[[#This Row],[SELLING PRICE]]*(1-InputData[[#This Row],[DISCOUNT %]])</f>
        <v>439.56000000000006</v>
      </c>
      <c r="N340" s="12">
        <f>DAY(InputData[[#This Row],[DATE]])</f>
        <v>25</v>
      </c>
      <c r="O340" s="12" t="str">
        <f>TEXT(InputData[[#This Row],[DATE]],"MMM")</f>
        <v>Apr</v>
      </c>
      <c r="P340" s="12">
        <f>YEAR(InputData[[#This Row],[DATE]])</f>
        <v>2022</v>
      </c>
    </row>
    <row r="341" spans="1:16" x14ac:dyDescent="0.3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4">
        <f>VLOOKUP(InputData[[#This Row],[PRODUCT ID]],MasterData[],5,0)</f>
        <v>71</v>
      </c>
      <c r="K341" s="14">
        <f>VLOOKUP(InputData[[#This Row],[PRODUCT ID]],MasterData[],6,0)</f>
        <v>80.94</v>
      </c>
      <c r="L341" s="14">
        <f>InputData[[#This Row],[QUANTITY]]*InputData[[#This Row],[BUYING PRIZE]]</f>
        <v>568</v>
      </c>
      <c r="M341" s="14">
        <f>InputData[[#This Row],[QUANTITY]]*InputData[[#This Row],[SELLING PRICE]]*(1-InputData[[#This Row],[DISCOUNT %]])</f>
        <v>647.52</v>
      </c>
      <c r="N341" s="12">
        <f>DAY(InputData[[#This Row],[DATE]])</f>
        <v>25</v>
      </c>
      <c r="O341" s="12" t="str">
        <f>TEXT(InputData[[#This Row],[DATE]],"MMM")</f>
        <v>Apr</v>
      </c>
      <c r="P341" s="12">
        <f>YEAR(InputData[[#This Row],[DATE]])</f>
        <v>2022</v>
      </c>
    </row>
    <row r="342" spans="1:16" x14ac:dyDescent="0.3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4">
        <f>VLOOKUP(InputData[[#This Row],[PRODUCT ID]],MasterData[],5,0)</f>
        <v>48</v>
      </c>
      <c r="K342" s="14">
        <f>VLOOKUP(InputData[[#This Row],[PRODUCT ID]],MasterData[],6,0)</f>
        <v>57.120000000000005</v>
      </c>
      <c r="L342" s="14">
        <f>InputData[[#This Row],[QUANTITY]]*InputData[[#This Row],[BUYING PRIZE]]</f>
        <v>96</v>
      </c>
      <c r="M342" s="14">
        <f>InputData[[#This Row],[QUANTITY]]*InputData[[#This Row],[SELLING PRICE]]*(1-InputData[[#This Row],[DISCOUNT %]])</f>
        <v>114.24000000000001</v>
      </c>
      <c r="N342" s="12">
        <f>DAY(InputData[[#This Row],[DATE]])</f>
        <v>26</v>
      </c>
      <c r="O342" s="12" t="str">
        <f>TEXT(InputData[[#This Row],[DATE]],"MMM")</f>
        <v>Apr</v>
      </c>
      <c r="P342" s="12">
        <f>YEAR(InputData[[#This Row],[DATE]])</f>
        <v>2022</v>
      </c>
    </row>
    <row r="343" spans="1:16" x14ac:dyDescent="0.3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4">
        <f>VLOOKUP(InputData[[#This Row],[PRODUCT ID]],MasterData[],5,0)</f>
        <v>112</v>
      </c>
      <c r="K343" s="14">
        <f>VLOOKUP(InputData[[#This Row],[PRODUCT ID]],MasterData[],6,0)</f>
        <v>146.72</v>
      </c>
      <c r="L343" s="14">
        <f>InputData[[#This Row],[QUANTITY]]*InputData[[#This Row],[BUYING PRIZE]]</f>
        <v>1568</v>
      </c>
      <c r="M343" s="14">
        <f>InputData[[#This Row],[QUANTITY]]*InputData[[#This Row],[SELLING PRICE]]*(1-InputData[[#This Row],[DISCOUNT %]])</f>
        <v>2054.08</v>
      </c>
      <c r="N343" s="12">
        <f>DAY(InputData[[#This Row],[DATE]])</f>
        <v>28</v>
      </c>
      <c r="O343" s="12" t="str">
        <f>TEXT(InputData[[#This Row],[DATE]],"MMM")</f>
        <v>Apr</v>
      </c>
      <c r="P343" s="12">
        <f>YEAR(InputData[[#This Row],[DATE]])</f>
        <v>2022</v>
      </c>
    </row>
    <row r="344" spans="1:16" x14ac:dyDescent="0.3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4">
        <f>VLOOKUP(InputData[[#This Row],[PRODUCT ID]],MasterData[],5,0)</f>
        <v>13</v>
      </c>
      <c r="K344" s="14">
        <f>VLOOKUP(InputData[[#This Row],[PRODUCT ID]],MasterData[],6,0)</f>
        <v>16.64</v>
      </c>
      <c r="L344" s="14">
        <f>InputData[[#This Row],[QUANTITY]]*InputData[[#This Row],[BUYING PRIZE]]</f>
        <v>169</v>
      </c>
      <c r="M344" s="14">
        <f>InputData[[#This Row],[QUANTITY]]*InputData[[#This Row],[SELLING PRICE]]*(1-InputData[[#This Row],[DISCOUNT %]])</f>
        <v>216.32</v>
      </c>
      <c r="N344" s="12">
        <f>DAY(InputData[[#This Row],[DATE]])</f>
        <v>30</v>
      </c>
      <c r="O344" s="12" t="str">
        <f>TEXT(InputData[[#This Row],[DATE]],"MMM")</f>
        <v>Apr</v>
      </c>
      <c r="P344" s="12">
        <f>YEAR(InputData[[#This Row],[DATE]])</f>
        <v>2022</v>
      </c>
    </row>
    <row r="345" spans="1:16" x14ac:dyDescent="0.3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4">
        <f>VLOOKUP(InputData[[#This Row],[PRODUCT ID]],MasterData[],5,0)</f>
        <v>48</v>
      </c>
      <c r="K345" s="14">
        <f>VLOOKUP(InputData[[#This Row],[PRODUCT ID]],MasterData[],6,0)</f>
        <v>57.120000000000005</v>
      </c>
      <c r="L345" s="14">
        <f>InputData[[#This Row],[QUANTITY]]*InputData[[#This Row],[BUYING PRIZE]]</f>
        <v>384</v>
      </c>
      <c r="M345" s="14">
        <f>InputData[[#This Row],[QUANTITY]]*InputData[[#This Row],[SELLING PRICE]]*(1-InputData[[#This Row],[DISCOUNT %]])</f>
        <v>456.96000000000004</v>
      </c>
      <c r="N345" s="12">
        <f>DAY(InputData[[#This Row],[DATE]])</f>
        <v>30</v>
      </c>
      <c r="O345" s="12" t="str">
        <f>TEXT(InputData[[#This Row],[DATE]],"MMM")</f>
        <v>Apr</v>
      </c>
      <c r="P345" s="12">
        <f>YEAR(InputData[[#This Row],[DATE]])</f>
        <v>2022</v>
      </c>
    </row>
    <row r="346" spans="1:16" x14ac:dyDescent="0.3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4">
        <f>VLOOKUP(InputData[[#This Row],[PRODUCT ID]],MasterData[],5,0)</f>
        <v>55</v>
      </c>
      <c r="K346" s="14">
        <f>VLOOKUP(InputData[[#This Row],[PRODUCT ID]],MasterData[],6,0)</f>
        <v>58.3</v>
      </c>
      <c r="L346" s="14">
        <f>InputData[[#This Row],[QUANTITY]]*InputData[[#This Row],[BUYING PRIZE]]</f>
        <v>495</v>
      </c>
      <c r="M346" s="14">
        <f>InputData[[#This Row],[QUANTITY]]*InputData[[#This Row],[SELLING PRICE]]*(1-InputData[[#This Row],[DISCOUNT %]])</f>
        <v>524.69999999999993</v>
      </c>
      <c r="N346" s="12">
        <f>DAY(InputData[[#This Row],[DATE]])</f>
        <v>1</v>
      </c>
      <c r="O346" s="12" t="str">
        <f>TEXT(InputData[[#This Row],[DATE]],"MMM")</f>
        <v>May</v>
      </c>
      <c r="P346" s="12">
        <f>YEAR(InputData[[#This Row],[DATE]])</f>
        <v>2022</v>
      </c>
    </row>
    <row r="347" spans="1:16" x14ac:dyDescent="0.3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4">
        <f>VLOOKUP(InputData[[#This Row],[PRODUCT ID]],MasterData[],5,0)</f>
        <v>95</v>
      </c>
      <c r="K347" s="14">
        <f>VLOOKUP(InputData[[#This Row],[PRODUCT ID]],MasterData[],6,0)</f>
        <v>119.7</v>
      </c>
      <c r="L347" s="14">
        <f>InputData[[#This Row],[QUANTITY]]*InputData[[#This Row],[BUYING PRIZE]]</f>
        <v>570</v>
      </c>
      <c r="M347" s="14">
        <f>InputData[[#This Row],[QUANTITY]]*InputData[[#This Row],[SELLING PRICE]]*(1-InputData[[#This Row],[DISCOUNT %]])</f>
        <v>718.2</v>
      </c>
      <c r="N347" s="12">
        <f>DAY(InputData[[#This Row],[DATE]])</f>
        <v>1</v>
      </c>
      <c r="O347" s="12" t="str">
        <f>TEXT(InputData[[#This Row],[DATE]],"MMM")</f>
        <v>May</v>
      </c>
      <c r="P347" s="12">
        <f>YEAR(InputData[[#This Row],[DATE]])</f>
        <v>2022</v>
      </c>
    </row>
    <row r="348" spans="1:16" x14ac:dyDescent="0.3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4">
        <f>VLOOKUP(InputData[[#This Row],[PRODUCT ID]],MasterData[],5,0)</f>
        <v>112</v>
      </c>
      <c r="K348" s="14">
        <f>VLOOKUP(InputData[[#This Row],[PRODUCT ID]],MasterData[],6,0)</f>
        <v>122.08</v>
      </c>
      <c r="L348" s="14">
        <f>InputData[[#This Row],[QUANTITY]]*InputData[[#This Row],[BUYING PRIZE]]</f>
        <v>448</v>
      </c>
      <c r="M348" s="14">
        <f>InputData[[#This Row],[QUANTITY]]*InputData[[#This Row],[SELLING PRICE]]*(1-InputData[[#This Row],[DISCOUNT %]])</f>
        <v>488.32</v>
      </c>
      <c r="N348" s="12">
        <f>DAY(InputData[[#This Row],[DATE]])</f>
        <v>2</v>
      </c>
      <c r="O348" s="12" t="str">
        <f>TEXT(InputData[[#This Row],[DATE]],"MMM")</f>
        <v>May</v>
      </c>
      <c r="P348" s="12">
        <f>YEAR(InputData[[#This Row],[DATE]])</f>
        <v>2022</v>
      </c>
    </row>
    <row r="349" spans="1:16" x14ac:dyDescent="0.3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4">
        <f>VLOOKUP(InputData[[#This Row],[PRODUCT ID]],MasterData[],5,0)</f>
        <v>61</v>
      </c>
      <c r="K349" s="14">
        <f>VLOOKUP(InputData[[#This Row],[PRODUCT ID]],MasterData[],6,0)</f>
        <v>76.25</v>
      </c>
      <c r="L349" s="14">
        <f>InputData[[#This Row],[QUANTITY]]*InputData[[#This Row],[BUYING PRIZE]]</f>
        <v>610</v>
      </c>
      <c r="M349" s="14">
        <f>InputData[[#This Row],[QUANTITY]]*InputData[[#This Row],[SELLING PRICE]]*(1-InputData[[#This Row],[DISCOUNT %]])</f>
        <v>762.5</v>
      </c>
      <c r="N349" s="12">
        <f>DAY(InputData[[#This Row],[DATE]])</f>
        <v>4</v>
      </c>
      <c r="O349" s="12" t="str">
        <f>TEXT(InputData[[#This Row],[DATE]],"MMM")</f>
        <v>May</v>
      </c>
      <c r="P349" s="12">
        <f>YEAR(InputData[[#This Row],[DATE]])</f>
        <v>2022</v>
      </c>
    </row>
    <row r="350" spans="1:16" x14ac:dyDescent="0.3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4">
        <f>VLOOKUP(InputData[[#This Row],[PRODUCT ID]],MasterData[],5,0)</f>
        <v>55</v>
      </c>
      <c r="K350" s="14">
        <f>VLOOKUP(InputData[[#This Row],[PRODUCT ID]],MasterData[],6,0)</f>
        <v>58.3</v>
      </c>
      <c r="L350" s="14">
        <f>InputData[[#This Row],[QUANTITY]]*InputData[[#This Row],[BUYING PRIZE]]</f>
        <v>385</v>
      </c>
      <c r="M350" s="14">
        <f>InputData[[#This Row],[QUANTITY]]*InputData[[#This Row],[SELLING PRICE]]*(1-InputData[[#This Row],[DISCOUNT %]])</f>
        <v>408.09999999999997</v>
      </c>
      <c r="N350" s="12">
        <f>DAY(InputData[[#This Row],[DATE]])</f>
        <v>6</v>
      </c>
      <c r="O350" s="12" t="str">
        <f>TEXT(InputData[[#This Row],[DATE]],"MMM")</f>
        <v>May</v>
      </c>
      <c r="P350" s="12">
        <f>YEAR(InputData[[#This Row],[DATE]])</f>
        <v>2022</v>
      </c>
    </row>
    <row r="351" spans="1:16" x14ac:dyDescent="0.3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4">
        <f>VLOOKUP(InputData[[#This Row],[PRODUCT ID]],MasterData[],5,0)</f>
        <v>12</v>
      </c>
      <c r="K351" s="14">
        <f>VLOOKUP(InputData[[#This Row],[PRODUCT ID]],MasterData[],6,0)</f>
        <v>15.719999999999999</v>
      </c>
      <c r="L351" s="14">
        <f>InputData[[#This Row],[QUANTITY]]*InputData[[#This Row],[BUYING PRIZE]]</f>
        <v>48</v>
      </c>
      <c r="M351" s="14">
        <f>InputData[[#This Row],[QUANTITY]]*InputData[[#This Row],[SELLING PRICE]]*(1-InputData[[#This Row],[DISCOUNT %]])</f>
        <v>62.879999999999995</v>
      </c>
      <c r="N351" s="12">
        <f>DAY(InputData[[#This Row],[DATE]])</f>
        <v>7</v>
      </c>
      <c r="O351" s="12" t="str">
        <f>TEXT(InputData[[#This Row],[DATE]],"MMM")</f>
        <v>May</v>
      </c>
      <c r="P351" s="12">
        <f>YEAR(InputData[[#This Row],[DATE]])</f>
        <v>2022</v>
      </c>
    </row>
    <row r="352" spans="1:16" x14ac:dyDescent="0.3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4">
        <f>VLOOKUP(InputData[[#This Row],[PRODUCT ID]],MasterData[],5,0)</f>
        <v>48</v>
      </c>
      <c r="K352" s="14">
        <f>VLOOKUP(InputData[[#This Row],[PRODUCT ID]],MasterData[],6,0)</f>
        <v>57.120000000000005</v>
      </c>
      <c r="L352" s="14">
        <f>InputData[[#This Row],[QUANTITY]]*InputData[[#This Row],[BUYING PRIZE]]</f>
        <v>48</v>
      </c>
      <c r="M352" s="14">
        <f>InputData[[#This Row],[QUANTITY]]*InputData[[#This Row],[SELLING PRICE]]*(1-InputData[[#This Row],[DISCOUNT %]])</f>
        <v>57.120000000000005</v>
      </c>
      <c r="N352" s="12">
        <f>DAY(InputData[[#This Row],[DATE]])</f>
        <v>7</v>
      </c>
      <c r="O352" s="12" t="str">
        <f>TEXT(InputData[[#This Row],[DATE]],"MMM")</f>
        <v>May</v>
      </c>
      <c r="P352" s="12">
        <f>YEAR(InputData[[#This Row],[DATE]])</f>
        <v>2022</v>
      </c>
    </row>
    <row r="353" spans="1:16" x14ac:dyDescent="0.3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4">
        <f>VLOOKUP(InputData[[#This Row],[PRODUCT ID]],MasterData[],5,0)</f>
        <v>121</v>
      </c>
      <c r="K353" s="14">
        <f>VLOOKUP(InputData[[#This Row],[PRODUCT ID]],MasterData[],6,0)</f>
        <v>141.57</v>
      </c>
      <c r="L353" s="14">
        <f>InputData[[#This Row],[QUANTITY]]*InputData[[#This Row],[BUYING PRIZE]]</f>
        <v>847</v>
      </c>
      <c r="M353" s="14">
        <f>InputData[[#This Row],[QUANTITY]]*InputData[[#This Row],[SELLING PRICE]]*(1-InputData[[#This Row],[DISCOUNT %]])</f>
        <v>990.99</v>
      </c>
      <c r="N353" s="12">
        <f>DAY(InputData[[#This Row],[DATE]])</f>
        <v>8</v>
      </c>
      <c r="O353" s="12" t="str">
        <f>TEXT(InputData[[#This Row],[DATE]],"MMM")</f>
        <v>May</v>
      </c>
      <c r="P353" s="12">
        <f>YEAR(InputData[[#This Row],[DATE]])</f>
        <v>2022</v>
      </c>
    </row>
    <row r="354" spans="1:16" x14ac:dyDescent="0.3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4">
        <f>VLOOKUP(InputData[[#This Row],[PRODUCT ID]],MasterData[],5,0)</f>
        <v>134</v>
      </c>
      <c r="K354" s="14">
        <f>VLOOKUP(InputData[[#This Row],[PRODUCT ID]],MasterData[],6,0)</f>
        <v>156.78</v>
      </c>
      <c r="L354" s="14">
        <f>InputData[[#This Row],[QUANTITY]]*InputData[[#This Row],[BUYING PRIZE]]</f>
        <v>1608</v>
      </c>
      <c r="M354" s="14">
        <f>InputData[[#This Row],[QUANTITY]]*InputData[[#This Row],[SELLING PRICE]]*(1-InputData[[#This Row],[DISCOUNT %]])</f>
        <v>1881.3600000000001</v>
      </c>
      <c r="N354" s="12">
        <f>DAY(InputData[[#This Row],[DATE]])</f>
        <v>9</v>
      </c>
      <c r="O354" s="12" t="str">
        <f>TEXT(InputData[[#This Row],[DATE]],"MMM")</f>
        <v>May</v>
      </c>
      <c r="P354" s="12">
        <f>YEAR(InputData[[#This Row],[DATE]])</f>
        <v>2022</v>
      </c>
    </row>
    <row r="355" spans="1:16" x14ac:dyDescent="0.3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4">
        <f>VLOOKUP(InputData[[#This Row],[PRODUCT ID]],MasterData[],5,0)</f>
        <v>6</v>
      </c>
      <c r="K355" s="14">
        <f>VLOOKUP(InputData[[#This Row],[PRODUCT ID]],MasterData[],6,0)</f>
        <v>7.8599999999999994</v>
      </c>
      <c r="L355" s="14">
        <f>InputData[[#This Row],[QUANTITY]]*InputData[[#This Row],[BUYING PRIZE]]</f>
        <v>36</v>
      </c>
      <c r="M355" s="14">
        <f>InputData[[#This Row],[QUANTITY]]*InputData[[#This Row],[SELLING PRICE]]*(1-InputData[[#This Row],[DISCOUNT %]])</f>
        <v>47.16</v>
      </c>
      <c r="N355" s="12">
        <f>DAY(InputData[[#This Row],[DATE]])</f>
        <v>10</v>
      </c>
      <c r="O355" s="12" t="str">
        <f>TEXT(InputData[[#This Row],[DATE]],"MMM")</f>
        <v>May</v>
      </c>
      <c r="P355" s="12">
        <f>YEAR(InputData[[#This Row],[DATE]])</f>
        <v>2022</v>
      </c>
    </row>
    <row r="356" spans="1:16" x14ac:dyDescent="0.3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4">
        <f>VLOOKUP(InputData[[#This Row],[PRODUCT ID]],MasterData[],5,0)</f>
        <v>44</v>
      </c>
      <c r="K356" s="14">
        <f>VLOOKUP(InputData[[#This Row],[PRODUCT ID]],MasterData[],6,0)</f>
        <v>48.4</v>
      </c>
      <c r="L356" s="14">
        <f>InputData[[#This Row],[QUANTITY]]*InputData[[#This Row],[BUYING PRIZE]]</f>
        <v>308</v>
      </c>
      <c r="M356" s="14">
        <f>InputData[[#This Row],[QUANTITY]]*InputData[[#This Row],[SELLING PRICE]]*(1-InputData[[#This Row],[DISCOUNT %]])</f>
        <v>338.8</v>
      </c>
      <c r="N356" s="12">
        <f>DAY(InputData[[#This Row],[DATE]])</f>
        <v>12</v>
      </c>
      <c r="O356" s="12" t="str">
        <f>TEXT(InputData[[#This Row],[DATE]],"MMM")</f>
        <v>May</v>
      </c>
      <c r="P356" s="12">
        <f>YEAR(InputData[[#This Row],[DATE]])</f>
        <v>2022</v>
      </c>
    </row>
    <row r="357" spans="1:16" x14ac:dyDescent="0.3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4">
        <f>VLOOKUP(InputData[[#This Row],[PRODUCT ID]],MasterData[],5,0)</f>
        <v>73</v>
      </c>
      <c r="K357" s="14">
        <f>VLOOKUP(InputData[[#This Row],[PRODUCT ID]],MasterData[],6,0)</f>
        <v>94.17</v>
      </c>
      <c r="L357" s="14">
        <f>InputData[[#This Row],[QUANTITY]]*InputData[[#This Row],[BUYING PRIZE]]</f>
        <v>365</v>
      </c>
      <c r="M357" s="14">
        <f>InputData[[#This Row],[QUANTITY]]*InputData[[#This Row],[SELLING PRICE]]*(1-InputData[[#This Row],[DISCOUNT %]])</f>
        <v>470.85</v>
      </c>
      <c r="N357" s="12">
        <f>DAY(InputData[[#This Row],[DATE]])</f>
        <v>13</v>
      </c>
      <c r="O357" s="12" t="str">
        <f>TEXT(InputData[[#This Row],[DATE]],"MMM")</f>
        <v>May</v>
      </c>
      <c r="P357" s="12">
        <f>YEAR(InputData[[#This Row],[DATE]])</f>
        <v>2022</v>
      </c>
    </row>
    <row r="358" spans="1:16" x14ac:dyDescent="0.3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4">
        <f>VLOOKUP(InputData[[#This Row],[PRODUCT ID]],MasterData[],5,0)</f>
        <v>83</v>
      </c>
      <c r="K358" s="14">
        <f>VLOOKUP(InputData[[#This Row],[PRODUCT ID]],MasterData[],6,0)</f>
        <v>94.62</v>
      </c>
      <c r="L358" s="14">
        <f>InputData[[#This Row],[QUANTITY]]*InputData[[#This Row],[BUYING PRIZE]]</f>
        <v>1162</v>
      </c>
      <c r="M358" s="14">
        <f>InputData[[#This Row],[QUANTITY]]*InputData[[#This Row],[SELLING PRICE]]*(1-InputData[[#This Row],[DISCOUNT %]])</f>
        <v>1324.68</v>
      </c>
      <c r="N358" s="12">
        <f>DAY(InputData[[#This Row],[DATE]])</f>
        <v>14</v>
      </c>
      <c r="O358" s="12" t="str">
        <f>TEXT(InputData[[#This Row],[DATE]],"MMM")</f>
        <v>May</v>
      </c>
      <c r="P358" s="12">
        <f>YEAR(InputData[[#This Row],[DATE]])</f>
        <v>2022</v>
      </c>
    </row>
    <row r="359" spans="1:16" x14ac:dyDescent="0.3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4">
        <f>VLOOKUP(InputData[[#This Row],[PRODUCT ID]],MasterData[],5,0)</f>
        <v>61</v>
      </c>
      <c r="K359" s="14">
        <f>VLOOKUP(InputData[[#This Row],[PRODUCT ID]],MasterData[],6,0)</f>
        <v>76.25</v>
      </c>
      <c r="L359" s="14">
        <f>InputData[[#This Row],[QUANTITY]]*InputData[[#This Row],[BUYING PRIZE]]</f>
        <v>305</v>
      </c>
      <c r="M359" s="14">
        <f>InputData[[#This Row],[QUANTITY]]*InputData[[#This Row],[SELLING PRICE]]*(1-InputData[[#This Row],[DISCOUNT %]])</f>
        <v>381.25</v>
      </c>
      <c r="N359" s="12">
        <f>DAY(InputData[[#This Row],[DATE]])</f>
        <v>15</v>
      </c>
      <c r="O359" s="12" t="str">
        <f>TEXT(InputData[[#This Row],[DATE]],"MMM")</f>
        <v>May</v>
      </c>
      <c r="P359" s="12">
        <f>YEAR(InputData[[#This Row],[DATE]])</f>
        <v>2022</v>
      </c>
    </row>
    <row r="360" spans="1:16" x14ac:dyDescent="0.3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4">
        <f>VLOOKUP(InputData[[#This Row],[PRODUCT ID]],MasterData[],5,0)</f>
        <v>148</v>
      </c>
      <c r="K360" s="14">
        <f>VLOOKUP(InputData[[#This Row],[PRODUCT ID]],MasterData[],6,0)</f>
        <v>164.28</v>
      </c>
      <c r="L360" s="14">
        <f>InputData[[#This Row],[QUANTITY]]*InputData[[#This Row],[BUYING PRIZE]]</f>
        <v>1924</v>
      </c>
      <c r="M360" s="14">
        <f>InputData[[#This Row],[QUANTITY]]*InputData[[#This Row],[SELLING PRICE]]*(1-InputData[[#This Row],[DISCOUNT %]])</f>
        <v>2135.64</v>
      </c>
      <c r="N360" s="12">
        <f>DAY(InputData[[#This Row],[DATE]])</f>
        <v>16</v>
      </c>
      <c r="O360" s="12" t="str">
        <f>TEXT(InputData[[#This Row],[DATE]],"MMM")</f>
        <v>May</v>
      </c>
      <c r="P360" s="12">
        <f>YEAR(InputData[[#This Row],[DATE]])</f>
        <v>2022</v>
      </c>
    </row>
    <row r="361" spans="1:16" x14ac:dyDescent="0.3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4">
        <f>VLOOKUP(InputData[[#This Row],[PRODUCT ID]],MasterData[],5,0)</f>
        <v>93</v>
      </c>
      <c r="K361" s="14">
        <f>VLOOKUP(InputData[[#This Row],[PRODUCT ID]],MasterData[],6,0)</f>
        <v>104.16</v>
      </c>
      <c r="L361" s="14">
        <f>InputData[[#This Row],[QUANTITY]]*InputData[[#This Row],[BUYING PRIZE]]</f>
        <v>1209</v>
      </c>
      <c r="M361" s="14">
        <f>InputData[[#This Row],[QUANTITY]]*InputData[[#This Row],[SELLING PRICE]]*(1-InputData[[#This Row],[DISCOUNT %]])</f>
        <v>1354.08</v>
      </c>
      <c r="N361" s="12">
        <f>DAY(InputData[[#This Row],[DATE]])</f>
        <v>16</v>
      </c>
      <c r="O361" s="12" t="str">
        <f>TEXT(InputData[[#This Row],[DATE]],"MMM")</f>
        <v>May</v>
      </c>
      <c r="P361" s="12">
        <f>YEAR(InputData[[#This Row],[DATE]])</f>
        <v>2022</v>
      </c>
    </row>
    <row r="362" spans="1:16" x14ac:dyDescent="0.3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4">
        <f>VLOOKUP(InputData[[#This Row],[PRODUCT ID]],MasterData[],5,0)</f>
        <v>48</v>
      </c>
      <c r="K362" s="14">
        <f>VLOOKUP(InputData[[#This Row],[PRODUCT ID]],MasterData[],6,0)</f>
        <v>57.120000000000005</v>
      </c>
      <c r="L362" s="14">
        <f>InputData[[#This Row],[QUANTITY]]*InputData[[#This Row],[BUYING PRIZE]]</f>
        <v>384</v>
      </c>
      <c r="M362" s="14">
        <f>InputData[[#This Row],[QUANTITY]]*InputData[[#This Row],[SELLING PRICE]]*(1-InputData[[#This Row],[DISCOUNT %]])</f>
        <v>456.96000000000004</v>
      </c>
      <c r="N362" s="12">
        <f>DAY(InputData[[#This Row],[DATE]])</f>
        <v>17</v>
      </c>
      <c r="O362" s="12" t="str">
        <f>TEXT(InputData[[#This Row],[DATE]],"MMM")</f>
        <v>May</v>
      </c>
      <c r="P362" s="12">
        <f>YEAR(InputData[[#This Row],[DATE]])</f>
        <v>2022</v>
      </c>
    </row>
    <row r="363" spans="1:16" x14ac:dyDescent="0.3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4">
        <f>VLOOKUP(InputData[[#This Row],[PRODUCT ID]],MasterData[],5,0)</f>
        <v>48</v>
      </c>
      <c r="K363" s="14">
        <f>VLOOKUP(InputData[[#This Row],[PRODUCT ID]],MasterData[],6,0)</f>
        <v>57.120000000000005</v>
      </c>
      <c r="L363" s="14">
        <f>InputData[[#This Row],[QUANTITY]]*InputData[[#This Row],[BUYING PRIZE]]</f>
        <v>192</v>
      </c>
      <c r="M363" s="14">
        <f>InputData[[#This Row],[QUANTITY]]*InputData[[#This Row],[SELLING PRICE]]*(1-InputData[[#This Row],[DISCOUNT %]])</f>
        <v>228.48000000000002</v>
      </c>
      <c r="N363" s="12">
        <f>DAY(InputData[[#This Row],[DATE]])</f>
        <v>18</v>
      </c>
      <c r="O363" s="12" t="str">
        <f>TEXT(InputData[[#This Row],[DATE]],"MMM")</f>
        <v>May</v>
      </c>
      <c r="P363" s="12">
        <f>YEAR(InputData[[#This Row],[DATE]])</f>
        <v>2022</v>
      </c>
    </row>
    <row r="364" spans="1:16" x14ac:dyDescent="0.3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4">
        <f>VLOOKUP(InputData[[#This Row],[PRODUCT ID]],MasterData[],5,0)</f>
        <v>72</v>
      </c>
      <c r="K364" s="14">
        <f>VLOOKUP(InputData[[#This Row],[PRODUCT ID]],MasterData[],6,0)</f>
        <v>79.92</v>
      </c>
      <c r="L364" s="14">
        <f>InputData[[#This Row],[QUANTITY]]*InputData[[#This Row],[BUYING PRIZE]]</f>
        <v>576</v>
      </c>
      <c r="M364" s="14">
        <f>InputData[[#This Row],[QUANTITY]]*InputData[[#This Row],[SELLING PRICE]]*(1-InputData[[#This Row],[DISCOUNT %]])</f>
        <v>639.36</v>
      </c>
      <c r="N364" s="12">
        <f>DAY(InputData[[#This Row],[DATE]])</f>
        <v>18</v>
      </c>
      <c r="O364" s="12" t="str">
        <f>TEXT(InputData[[#This Row],[DATE]],"MMM")</f>
        <v>May</v>
      </c>
      <c r="P364" s="12">
        <f>YEAR(InputData[[#This Row],[DATE]])</f>
        <v>2022</v>
      </c>
    </row>
    <row r="365" spans="1:16" x14ac:dyDescent="0.3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4">
        <f>VLOOKUP(InputData[[#This Row],[PRODUCT ID]],MasterData[],5,0)</f>
        <v>76</v>
      </c>
      <c r="K365" s="14">
        <f>VLOOKUP(InputData[[#This Row],[PRODUCT ID]],MasterData[],6,0)</f>
        <v>82.08</v>
      </c>
      <c r="L365" s="14">
        <f>InputData[[#This Row],[QUANTITY]]*InputData[[#This Row],[BUYING PRIZE]]</f>
        <v>1140</v>
      </c>
      <c r="M365" s="14">
        <f>InputData[[#This Row],[QUANTITY]]*InputData[[#This Row],[SELLING PRICE]]*(1-InputData[[#This Row],[DISCOUNT %]])</f>
        <v>1231.2</v>
      </c>
      <c r="N365" s="12">
        <f>DAY(InputData[[#This Row],[DATE]])</f>
        <v>20</v>
      </c>
      <c r="O365" s="12" t="str">
        <f>TEXT(InputData[[#This Row],[DATE]],"MMM")</f>
        <v>May</v>
      </c>
      <c r="P365" s="12">
        <f>YEAR(InputData[[#This Row],[DATE]])</f>
        <v>2022</v>
      </c>
    </row>
    <row r="366" spans="1:16" x14ac:dyDescent="0.3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4">
        <f>VLOOKUP(InputData[[#This Row],[PRODUCT ID]],MasterData[],5,0)</f>
        <v>12</v>
      </c>
      <c r="K366" s="14">
        <f>VLOOKUP(InputData[[#This Row],[PRODUCT ID]],MasterData[],6,0)</f>
        <v>15.719999999999999</v>
      </c>
      <c r="L366" s="14">
        <f>InputData[[#This Row],[QUANTITY]]*InputData[[#This Row],[BUYING PRIZE]]</f>
        <v>144</v>
      </c>
      <c r="M366" s="14">
        <f>InputData[[#This Row],[QUANTITY]]*InputData[[#This Row],[SELLING PRICE]]*(1-InputData[[#This Row],[DISCOUNT %]])</f>
        <v>188.64</v>
      </c>
      <c r="N366" s="12">
        <f>DAY(InputData[[#This Row],[DATE]])</f>
        <v>22</v>
      </c>
      <c r="O366" s="12" t="str">
        <f>TEXT(InputData[[#This Row],[DATE]],"MMM")</f>
        <v>May</v>
      </c>
      <c r="P366" s="12">
        <f>YEAR(InputData[[#This Row],[DATE]])</f>
        <v>2022</v>
      </c>
    </row>
    <row r="367" spans="1:16" x14ac:dyDescent="0.3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4">
        <f>VLOOKUP(InputData[[#This Row],[PRODUCT ID]],MasterData[],5,0)</f>
        <v>105</v>
      </c>
      <c r="K367" s="14">
        <f>VLOOKUP(InputData[[#This Row],[PRODUCT ID]],MasterData[],6,0)</f>
        <v>142.80000000000001</v>
      </c>
      <c r="L367" s="14">
        <f>InputData[[#This Row],[QUANTITY]]*InputData[[#This Row],[BUYING PRIZE]]</f>
        <v>735</v>
      </c>
      <c r="M367" s="14">
        <f>InputData[[#This Row],[QUANTITY]]*InputData[[#This Row],[SELLING PRICE]]*(1-InputData[[#This Row],[DISCOUNT %]])</f>
        <v>999.60000000000014</v>
      </c>
      <c r="N367" s="12">
        <f>DAY(InputData[[#This Row],[DATE]])</f>
        <v>25</v>
      </c>
      <c r="O367" s="12" t="str">
        <f>TEXT(InputData[[#This Row],[DATE]],"MMM")</f>
        <v>May</v>
      </c>
      <c r="P367" s="12">
        <f>YEAR(InputData[[#This Row],[DATE]])</f>
        <v>2022</v>
      </c>
    </row>
    <row r="368" spans="1:16" x14ac:dyDescent="0.3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4">
        <f>VLOOKUP(InputData[[#This Row],[PRODUCT ID]],MasterData[],5,0)</f>
        <v>37</v>
      </c>
      <c r="K368" s="14">
        <f>VLOOKUP(InputData[[#This Row],[PRODUCT ID]],MasterData[],6,0)</f>
        <v>41.81</v>
      </c>
      <c r="L368" s="14">
        <f>InputData[[#This Row],[QUANTITY]]*InputData[[#This Row],[BUYING PRIZE]]</f>
        <v>74</v>
      </c>
      <c r="M368" s="14">
        <f>InputData[[#This Row],[QUANTITY]]*InputData[[#This Row],[SELLING PRICE]]*(1-InputData[[#This Row],[DISCOUNT %]])</f>
        <v>83.62</v>
      </c>
      <c r="N368" s="12">
        <f>DAY(InputData[[#This Row],[DATE]])</f>
        <v>26</v>
      </c>
      <c r="O368" s="12" t="str">
        <f>TEXT(InputData[[#This Row],[DATE]],"MMM")</f>
        <v>May</v>
      </c>
      <c r="P368" s="12">
        <f>YEAR(InputData[[#This Row],[DATE]])</f>
        <v>2022</v>
      </c>
    </row>
    <row r="369" spans="1:16" x14ac:dyDescent="0.3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4">
        <f>VLOOKUP(InputData[[#This Row],[PRODUCT ID]],MasterData[],5,0)</f>
        <v>48</v>
      </c>
      <c r="K369" s="14">
        <f>VLOOKUP(InputData[[#This Row],[PRODUCT ID]],MasterData[],6,0)</f>
        <v>57.120000000000005</v>
      </c>
      <c r="L369" s="14">
        <f>InputData[[#This Row],[QUANTITY]]*InputData[[#This Row],[BUYING PRIZE]]</f>
        <v>96</v>
      </c>
      <c r="M369" s="14">
        <f>InputData[[#This Row],[QUANTITY]]*InputData[[#This Row],[SELLING PRICE]]*(1-InputData[[#This Row],[DISCOUNT %]])</f>
        <v>114.24000000000001</v>
      </c>
      <c r="N369" s="12">
        <f>DAY(InputData[[#This Row],[DATE]])</f>
        <v>26</v>
      </c>
      <c r="O369" s="12" t="str">
        <f>TEXT(InputData[[#This Row],[DATE]],"MMM")</f>
        <v>May</v>
      </c>
      <c r="P369" s="12">
        <f>YEAR(InputData[[#This Row],[DATE]])</f>
        <v>2022</v>
      </c>
    </row>
    <row r="370" spans="1:16" x14ac:dyDescent="0.3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4">
        <f>VLOOKUP(InputData[[#This Row],[PRODUCT ID]],MasterData[],5,0)</f>
        <v>138</v>
      </c>
      <c r="K370" s="14">
        <f>VLOOKUP(InputData[[#This Row],[PRODUCT ID]],MasterData[],6,0)</f>
        <v>173.88</v>
      </c>
      <c r="L370" s="14">
        <f>InputData[[#This Row],[QUANTITY]]*InputData[[#This Row],[BUYING PRIZE]]</f>
        <v>1380</v>
      </c>
      <c r="M370" s="14">
        <f>InputData[[#This Row],[QUANTITY]]*InputData[[#This Row],[SELLING PRICE]]*(1-InputData[[#This Row],[DISCOUNT %]])</f>
        <v>1738.8</v>
      </c>
      <c r="N370" s="12">
        <f>DAY(InputData[[#This Row],[DATE]])</f>
        <v>28</v>
      </c>
      <c r="O370" s="12" t="str">
        <f>TEXT(InputData[[#This Row],[DATE]],"MMM")</f>
        <v>May</v>
      </c>
      <c r="P370" s="12">
        <f>YEAR(InputData[[#This Row],[DATE]])</f>
        <v>2022</v>
      </c>
    </row>
    <row r="371" spans="1:16" x14ac:dyDescent="0.3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4">
        <f>VLOOKUP(InputData[[#This Row],[PRODUCT ID]],MasterData[],5,0)</f>
        <v>83</v>
      </c>
      <c r="K371" s="14">
        <f>VLOOKUP(InputData[[#This Row],[PRODUCT ID]],MasterData[],6,0)</f>
        <v>94.62</v>
      </c>
      <c r="L371" s="14">
        <f>InputData[[#This Row],[QUANTITY]]*InputData[[#This Row],[BUYING PRIZE]]</f>
        <v>415</v>
      </c>
      <c r="M371" s="14">
        <f>InputData[[#This Row],[QUANTITY]]*InputData[[#This Row],[SELLING PRICE]]*(1-InputData[[#This Row],[DISCOUNT %]])</f>
        <v>473.1</v>
      </c>
      <c r="N371" s="12">
        <f>DAY(InputData[[#This Row],[DATE]])</f>
        <v>28</v>
      </c>
      <c r="O371" s="12" t="str">
        <f>TEXT(InputData[[#This Row],[DATE]],"MMM")</f>
        <v>May</v>
      </c>
      <c r="P371" s="12">
        <f>YEAR(InputData[[#This Row],[DATE]])</f>
        <v>2022</v>
      </c>
    </row>
    <row r="372" spans="1:16" x14ac:dyDescent="0.3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4">
        <f>VLOOKUP(InputData[[#This Row],[PRODUCT ID]],MasterData[],5,0)</f>
        <v>148</v>
      </c>
      <c r="K372" s="14">
        <f>VLOOKUP(InputData[[#This Row],[PRODUCT ID]],MasterData[],6,0)</f>
        <v>164.28</v>
      </c>
      <c r="L372" s="14">
        <f>InputData[[#This Row],[QUANTITY]]*InputData[[#This Row],[BUYING PRIZE]]</f>
        <v>1332</v>
      </c>
      <c r="M372" s="14">
        <f>InputData[[#This Row],[QUANTITY]]*InputData[[#This Row],[SELLING PRICE]]*(1-InputData[[#This Row],[DISCOUNT %]])</f>
        <v>1478.52</v>
      </c>
      <c r="N372" s="12">
        <f>DAY(InputData[[#This Row],[DATE]])</f>
        <v>28</v>
      </c>
      <c r="O372" s="12" t="str">
        <f>TEXT(InputData[[#This Row],[DATE]],"MMM")</f>
        <v>May</v>
      </c>
      <c r="P372" s="12">
        <f>YEAR(InputData[[#This Row],[DATE]])</f>
        <v>2022</v>
      </c>
    </row>
    <row r="373" spans="1:16" x14ac:dyDescent="0.3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4">
        <f>VLOOKUP(InputData[[#This Row],[PRODUCT ID]],MasterData[],5,0)</f>
        <v>44</v>
      </c>
      <c r="K373" s="14">
        <f>VLOOKUP(InputData[[#This Row],[PRODUCT ID]],MasterData[],6,0)</f>
        <v>48.84</v>
      </c>
      <c r="L373" s="14">
        <f>InputData[[#This Row],[QUANTITY]]*InputData[[#This Row],[BUYING PRIZE]]</f>
        <v>528</v>
      </c>
      <c r="M373" s="14">
        <f>InputData[[#This Row],[QUANTITY]]*InputData[[#This Row],[SELLING PRICE]]*(1-InputData[[#This Row],[DISCOUNT %]])</f>
        <v>586.08000000000004</v>
      </c>
      <c r="N373" s="12">
        <f>DAY(InputData[[#This Row],[DATE]])</f>
        <v>28</v>
      </c>
      <c r="O373" s="12" t="str">
        <f>TEXT(InputData[[#This Row],[DATE]],"MMM")</f>
        <v>May</v>
      </c>
      <c r="P373" s="12">
        <f>YEAR(InputData[[#This Row],[DATE]])</f>
        <v>2022</v>
      </c>
    </row>
    <row r="374" spans="1:16" x14ac:dyDescent="0.3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4">
        <f>VLOOKUP(InputData[[#This Row],[PRODUCT ID]],MasterData[],5,0)</f>
        <v>61</v>
      </c>
      <c r="K374" s="14">
        <f>VLOOKUP(InputData[[#This Row],[PRODUCT ID]],MasterData[],6,0)</f>
        <v>76.25</v>
      </c>
      <c r="L374" s="14">
        <f>InputData[[#This Row],[QUANTITY]]*InputData[[#This Row],[BUYING PRIZE]]</f>
        <v>854</v>
      </c>
      <c r="M374" s="14">
        <f>InputData[[#This Row],[QUANTITY]]*InputData[[#This Row],[SELLING PRICE]]*(1-InputData[[#This Row],[DISCOUNT %]])</f>
        <v>1067.5</v>
      </c>
      <c r="N374" s="12">
        <f>DAY(InputData[[#This Row],[DATE]])</f>
        <v>28</v>
      </c>
      <c r="O374" s="12" t="str">
        <f>TEXT(InputData[[#This Row],[DATE]],"MMM")</f>
        <v>May</v>
      </c>
      <c r="P374" s="12">
        <f>YEAR(InputData[[#This Row],[DATE]])</f>
        <v>2022</v>
      </c>
    </row>
    <row r="375" spans="1:16" x14ac:dyDescent="0.3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4">
        <f>VLOOKUP(InputData[[#This Row],[PRODUCT ID]],MasterData[],5,0)</f>
        <v>76</v>
      </c>
      <c r="K375" s="14">
        <f>VLOOKUP(InputData[[#This Row],[PRODUCT ID]],MasterData[],6,0)</f>
        <v>82.08</v>
      </c>
      <c r="L375" s="14">
        <f>InputData[[#This Row],[QUANTITY]]*InputData[[#This Row],[BUYING PRIZE]]</f>
        <v>684</v>
      </c>
      <c r="M375" s="14">
        <f>InputData[[#This Row],[QUANTITY]]*InputData[[#This Row],[SELLING PRICE]]*(1-InputData[[#This Row],[DISCOUNT %]])</f>
        <v>738.72</v>
      </c>
      <c r="N375" s="12">
        <f>DAY(InputData[[#This Row],[DATE]])</f>
        <v>30</v>
      </c>
      <c r="O375" s="12" t="str">
        <f>TEXT(InputData[[#This Row],[DATE]],"MMM")</f>
        <v>May</v>
      </c>
      <c r="P375" s="12">
        <f>YEAR(InputData[[#This Row],[DATE]])</f>
        <v>2022</v>
      </c>
    </row>
    <row r="376" spans="1:16" x14ac:dyDescent="0.3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4">
        <f>VLOOKUP(InputData[[#This Row],[PRODUCT ID]],MasterData[],5,0)</f>
        <v>133</v>
      </c>
      <c r="K376" s="14">
        <f>VLOOKUP(InputData[[#This Row],[PRODUCT ID]],MasterData[],6,0)</f>
        <v>155.61000000000001</v>
      </c>
      <c r="L376" s="14">
        <f>InputData[[#This Row],[QUANTITY]]*InputData[[#This Row],[BUYING PRIZE]]</f>
        <v>532</v>
      </c>
      <c r="M376" s="14">
        <f>InputData[[#This Row],[QUANTITY]]*InputData[[#This Row],[SELLING PRICE]]*(1-InputData[[#This Row],[DISCOUNT %]])</f>
        <v>622.44000000000005</v>
      </c>
      <c r="N376" s="12">
        <f>DAY(InputData[[#This Row],[DATE]])</f>
        <v>30</v>
      </c>
      <c r="O376" s="12" t="str">
        <f>TEXT(InputData[[#This Row],[DATE]],"MMM")</f>
        <v>May</v>
      </c>
      <c r="P376" s="12">
        <f>YEAR(InputData[[#This Row],[DATE]])</f>
        <v>2022</v>
      </c>
    </row>
    <row r="377" spans="1:16" x14ac:dyDescent="0.3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4">
        <f>VLOOKUP(InputData[[#This Row],[PRODUCT ID]],MasterData[],5,0)</f>
        <v>95</v>
      </c>
      <c r="K377" s="14">
        <f>VLOOKUP(InputData[[#This Row],[PRODUCT ID]],MasterData[],6,0)</f>
        <v>119.7</v>
      </c>
      <c r="L377" s="14">
        <f>InputData[[#This Row],[QUANTITY]]*InputData[[#This Row],[BUYING PRIZE]]</f>
        <v>285</v>
      </c>
      <c r="M377" s="14">
        <f>InputData[[#This Row],[QUANTITY]]*InputData[[#This Row],[SELLING PRICE]]*(1-InputData[[#This Row],[DISCOUNT %]])</f>
        <v>359.1</v>
      </c>
      <c r="N377" s="12">
        <f>DAY(InputData[[#This Row],[DATE]])</f>
        <v>30</v>
      </c>
      <c r="O377" s="12" t="str">
        <f>TEXT(InputData[[#This Row],[DATE]],"MMM")</f>
        <v>May</v>
      </c>
      <c r="P377" s="12">
        <f>YEAR(InputData[[#This Row],[DATE]])</f>
        <v>2022</v>
      </c>
    </row>
    <row r="378" spans="1:16" x14ac:dyDescent="0.3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4">
        <f>VLOOKUP(InputData[[#This Row],[PRODUCT ID]],MasterData[],5,0)</f>
        <v>83</v>
      </c>
      <c r="K378" s="14">
        <f>VLOOKUP(InputData[[#This Row],[PRODUCT ID]],MasterData[],6,0)</f>
        <v>94.62</v>
      </c>
      <c r="L378" s="14">
        <f>InputData[[#This Row],[QUANTITY]]*InputData[[#This Row],[BUYING PRIZE]]</f>
        <v>1162</v>
      </c>
      <c r="M378" s="14">
        <f>InputData[[#This Row],[QUANTITY]]*InputData[[#This Row],[SELLING PRICE]]*(1-InputData[[#This Row],[DISCOUNT %]])</f>
        <v>1324.68</v>
      </c>
      <c r="N378" s="12">
        <f>DAY(InputData[[#This Row],[DATE]])</f>
        <v>3</v>
      </c>
      <c r="O378" s="12" t="str">
        <f>TEXT(InputData[[#This Row],[DATE]],"MMM")</f>
        <v>Jun</v>
      </c>
      <c r="P378" s="12">
        <f>YEAR(InputData[[#This Row],[DATE]])</f>
        <v>2022</v>
      </c>
    </row>
    <row r="379" spans="1:16" x14ac:dyDescent="0.3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4">
        <f>VLOOKUP(InputData[[#This Row],[PRODUCT ID]],MasterData[],5,0)</f>
        <v>37</v>
      </c>
      <c r="K379" s="14">
        <f>VLOOKUP(InputData[[#This Row],[PRODUCT ID]],MasterData[],6,0)</f>
        <v>41.81</v>
      </c>
      <c r="L379" s="14">
        <f>InputData[[#This Row],[QUANTITY]]*InputData[[#This Row],[BUYING PRIZE]]</f>
        <v>296</v>
      </c>
      <c r="M379" s="14">
        <f>InputData[[#This Row],[QUANTITY]]*InputData[[#This Row],[SELLING PRICE]]*(1-InputData[[#This Row],[DISCOUNT %]])</f>
        <v>334.48</v>
      </c>
      <c r="N379" s="12">
        <f>DAY(InputData[[#This Row],[DATE]])</f>
        <v>10</v>
      </c>
      <c r="O379" s="12" t="str">
        <f>TEXT(InputData[[#This Row],[DATE]],"MMM")</f>
        <v>Jun</v>
      </c>
      <c r="P379" s="12">
        <f>YEAR(InputData[[#This Row],[DATE]])</f>
        <v>2022</v>
      </c>
    </row>
    <row r="380" spans="1:16" x14ac:dyDescent="0.3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4">
        <f>VLOOKUP(InputData[[#This Row],[PRODUCT ID]],MasterData[],5,0)</f>
        <v>37</v>
      </c>
      <c r="K380" s="14">
        <f>VLOOKUP(InputData[[#This Row],[PRODUCT ID]],MasterData[],6,0)</f>
        <v>42.55</v>
      </c>
      <c r="L380" s="14">
        <f>InputData[[#This Row],[QUANTITY]]*InputData[[#This Row],[BUYING PRIZE]]</f>
        <v>481</v>
      </c>
      <c r="M380" s="14">
        <f>InputData[[#This Row],[QUANTITY]]*InputData[[#This Row],[SELLING PRICE]]*(1-InputData[[#This Row],[DISCOUNT %]])</f>
        <v>553.15</v>
      </c>
      <c r="N380" s="12">
        <f>DAY(InputData[[#This Row],[DATE]])</f>
        <v>11</v>
      </c>
      <c r="O380" s="12" t="str">
        <f>TEXT(InputData[[#This Row],[DATE]],"MMM")</f>
        <v>Jun</v>
      </c>
      <c r="P380" s="12">
        <f>YEAR(InputData[[#This Row],[DATE]])</f>
        <v>2022</v>
      </c>
    </row>
    <row r="381" spans="1:16" x14ac:dyDescent="0.3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4">
        <f>VLOOKUP(InputData[[#This Row],[PRODUCT ID]],MasterData[],5,0)</f>
        <v>126</v>
      </c>
      <c r="K381" s="14">
        <f>VLOOKUP(InputData[[#This Row],[PRODUCT ID]],MasterData[],6,0)</f>
        <v>162.54</v>
      </c>
      <c r="L381" s="14">
        <f>InputData[[#This Row],[QUANTITY]]*InputData[[#This Row],[BUYING PRIZE]]</f>
        <v>756</v>
      </c>
      <c r="M381" s="14">
        <f>InputData[[#This Row],[QUANTITY]]*InputData[[#This Row],[SELLING PRICE]]*(1-InputData[[#This Row],[DISCOUNT %]])</f>
        <v>975.24</v>
      </c>
      <c r="N381" s="12">
        <f>DAY(InputData[[#This Row],[DATE]])</f>
        <v>11</v>
      </c>
      <c r="O381" s="12" t="str">
        <f>TEXT(InputData[[#This Row],[DATE]],"MMM")</f>
        <v>Jun</v>
      </c>
      <c r="P381" s="12">
        <f>YEAR(InputData[[#This Row],[DATE]])</f>
        <v>2022</v>
      </c>
    </row>
    <row r="382" spans="1:16" x14ac:dyDescent="0.3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4">
        <f>VLOOKUP(InputData[[#This Row],[PRODUCT ID]],MasterData[],5,0)</f>
        <v>18</v>
      </c>
      <c r="K382" s="14">
        <f>VLOOKUP(InputData[[#This Row],[PRODUCT ID]],MasterData[],6,0)</f>
        <v>24.66</v>
      </c>
      <c r="L382" s="14">
        <f>InputData[[#This Row],[QUANTITY]]*InputData[[#This Row],[BUYING PRIZE]]</f>
        <v>108</v>
      </c>
      <c r="M382" s="14">
        <f>InputData[[#This Row],[QUANTITY]]*InputData[[#This Row],[SELLING PRICE]]*(1-InputData[[#This Row],[DISCOUNT %]])</f>
        <v>147.96</v>
      </c>
      <c r="N382" s="12">
        <f>DAY(InputData[[#This Row],[DATE]])</f>
        <v>13</v>
      </c>
      <c r="O382" s="12" t="str">
        <f>TEXT(InputData[[#This Row],[DATE]],"MMM")</f>
        <v>Jun</v>
      </c>
      <c r="P382" s="12">
        <f>YEAR(InputData[[#This Row],[DATE]])</f>
        <v>2022</v>
      </c>
    </row>
    <row r="383" spans="1:16" x14ac:dyDescent="0.3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4">
        <f>VLOOKUP(InputData[[#This Row],[PRODUCT ID]],MasterData[],5,0)</f>
        <v>120</v>
      </c>
      <c r="K383" s="14">
        <f>VLOOKUP(InputData[[#This Row],[PRODUCT ID]],MasterData[],6,0)</f>
        <v>162</v>
      </c>
      <c r="L383" s="14">
        <f>InputData[[#This Row],[QUANTITY]]*InputData[[#This Row],[BUYING PRIZE]]</f>
        <v>1800</v>
      </c>
      <c r="M383" s="14">
        <f>InputData[[#This Row],[QUANTITY]]*InputData[[#This Row],[SELLING PRICE]]*(1-InputData[[#This Row],[DISCOUNT %]])</f>
        <v>2430</v>
      </c>
      <c r="N383" s="12">
        <f>DAY(InputData[[#This Row],[DATE]])</f>
        <v>15</v>
      </c>
      <c r="O383" s="12" t="str">
        <f>TEXT(InputData[[#This Row],[DATE]],"MMM")</f>
        <v>Jun</v>
      </c>
      <c r="P383" s="12">
        <f>YEAR(InputData[[#This Row],[DATE]])</f>
        <v>2022</v>
      </c>
    </row>
    <row r="384" spans="1:16" x14ac:dyDescent="0.3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4">
        <f>VLOOKUP(InputData[[#This Row],[PRODUCT ID]],MasterData[],5,0)</f>
        <v>47</v>
      </c>
      <c r="K384" s="14">
        <f>VLOOKUP(InputData[[#This Row],[PRODUCT ID]],MasterData[],6,0)</f>
        <v>53.11</v>
      </c>
      <c r="L384" s="14">
        <f>InputData[[#This Row],[QUANTITY]]*InputData[[#This Row],[BUYING PRIZE]]</f>
        <v>705</v>
      </c>
      <c r="M384" s="14">
        <f>InputData[[#This Row],[QUANTITY]]*InputData[[#This Row],[SELLING PRICE]]*(1-InputData[[#This Row],[DISCOUNT %]])</f>
        <v>796.65</v>
      </c>
      <c r="N384" s="12">
        <f>DAY(InputData[[#This Row],[DATE]])</f>
        <v>16</v>
      </c>
      <c r="O384" s="12" t="str">
        <f>TEXT(InputData[[#This Row],[DATE]],"MMM")</f>
        <v>Jun</v>
      </c>
      <c r="P384" s="12">
        <f>YEAR(InputData[[#This Row],[DATE]])</f>
        <v>2022</v>
      </c>
    </row>
    <row r="385" spans="1:16" x14ac:dyDescent="0.3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4">
        <f>VLOOKUP(InputData[[#This Row],[PRODUCT ID]],MasterData[],5,0)</f>
        <v>105</v>
      </c>
      <c r="K385" s="14">
        <f>VLOOKUP(InputData[[#This Row],[PRODUCT ID]],MasterData[],6,0)</f>
        <v>142.80000000000001</v>
      </c>
      <c r="L385" s="14">
        <f>InputData[[#This Row],[QUANTITY]]*InputData[[#This Row],[BUYING PRIZE]]</f>
        <v>840</v>
      </c>
      <c r="M385" s="14">
        <f>InputData[[#This Row],[QUANTITY]]*InputData[[#This Row],[SELLING PRICE]]*(1-InputData[[#This Row],[DISCOUNT %]])</f>
        <v>1142.4000000000001</v>
      </c>
      <c r="N385" s="12">
        <f>DAY(InputData[[#This Row],[DATE]])</f>
        <v>19</v>
      </c>
      <c r="O385" s="12" t="str">
        <f>TEXT(InputData[[#This Row],[DATE]],"MMM")</f>
        <v>Jun</v>
      </c>
      <c r="P385" s="12">
        <f>YEAR(InputData[[#This Row],[DATE]])</f>
        <v>2022</v>
      </c>
    </row>
    <row r="386" spans="1:16" x14ac:dyDescent="0.3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4">
        <f>VLOOKUP(InputData[[#This Row],[PRODUCT ID]],MasterData[],5,0)</f>
        <v>134</v>
      </c>
      <c r="K386" s="14">
        <f>VLOOKUP(InputData[[#This Row],[PRODUCT ID]],MasterData[],6,0)</f>
        <v>156.78</v>
      </c>
      <c r="L386" s="14">
        <f>InputData[[#This Row],[QUANTITY]]*InputData[[#This Row],[BUYING PRIZE]]</f>
        <v>1876</v>
      </c>
      <c r="M386" s="14">
        <f>InputData[[#This Row],[QUANTITY]]*InputData[[#This Row],[SELLING PRICE]]*(1-InputData[[#This Row],[DISCOUNT %]])</f>
        <v>2194.92</v>
      </c>
      <c r="N386" s="12">
        <f>DAY(InputData[[#This Row],[DATE]])</f>
        <v>21</v>
      </c>
      <c r="O386" s="12" t="str">
        <f>TEXT(InputData[[#This Row],[DATE]],"MMM")</f>
        <v>Jun</v>
      </c>
      <c r="P386" s="12">
        <f>YEAR(InputData[[#This Row],[DATE]])</f>
        <v>2022</v>
      </c>
    </row>
    <row r="387" spans="1:16" x14ac:dyDescent="0.3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4">
        <f>VLOOKUP(InputData[[#This Row],[PRODUCT ID]],MasterData[],5,0)</f>
        <v>90</v>
      </c>
      <c r="K387" s="14">
        <f>VLOOKUP(InputData[[#This Row],[PRODUCT ID]],MasterData[],6,0)</f>
        <v>115.2</v>
      </c>
      <c r="L387" s="14">
        <f>InputData[[#This Row],[QUANTITY]]*InputData[[#This Row],[BUYING PRIZE]]</f>
        <v>900</v>
      </c>
      <c r="M387" s="14">
        <f>InputData[[#This Row],[QUANTITY]]*InputData[[#This Row],[SELLING PRICE]]*(1-InputData[[#This Row],[DISCOUNT %]])</f>
        <v>1152</v>
      </c>
      <c r="N387" s="12">
        <f>DAY(InputData[[#This Row],[DATE]])</f>
        <v>22</v>
      </c>
      <c r="O387" s="12" t="str">
        <f>TEXT(InputData[[#This Row],[DATE]],"MMM")</f>
        <v>Jun</v>
      </c>
      <c r="P387" s="12">
        <f>YEAR(InputData[[#This Row],[DATE]])</f>
        <v>2022</v>
      </c>
    </row>
    <row r="388" spans="1:16" x14ac:dyDescent="0.3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4">
        <f>VLOOKUP(InputData[[#This Row],[PRODUCT ID]],MasterData[],5,0)</f>
        <v>98</v>
      </c>
      <c r="K388" s="14">
        <f>VLOOKUP(InputData[[#This Row],[PRODUCT ID]],MasterData[],6,0)</f>
        <v>103.88</v>
      </c>
      <c r="L388" s="14">
        <f>InputData[[#This Row],[QUANTITY]]*InputData[[#This Row],[BUYING PRIZE]]</f>
        <v>392</v>
      </c>
      <c r="M388" s="14">
        <f>InputData[[#This Row],[QUANTITY]]*InputData[[#This Row],[SELLING PRICE]]*(1-InputData[[#This Row],[DISCOUNT %]])</f>
        <v>415.52</v>
      </c>
      <c r="N388" s="12">
        <f>DAY(InputData[[#This Row],[DATE]])</f>
        <v>22</v>
      </c>
      <c r="O388" s="12" t="str">
        <f>TEXT(InputData[[#This Row],[DATE]],"MMM")</f>
        <v>Jun</v>
      </c>
      <c r="P388" s="12">
        <f>YEAR(InputData[[#This Row],[DATE]])</f>
        <v>2022</v>
      </c>
    </row>
    <row r="389" spans="1:16" x14ac:dyDescent="0.3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4">
        <f>VLOOKUP(InputData[[#This Row],[PRODUCT ID]],MasterData[],5,0)</f>
        <v>44</v>
      </c>
      <c r="K389" s="14">
        <f>VLOOKUP(InputData[[#This Row],[PRODUCT ID]],MasterData[],6,0)</f>
        <v>48.84</v>
      </c>
      <c r="L389" s="14">
        <f>InputData[[#This Row],[QUANTITY]]*InputData[[#This Row],[BUYING PRIZE]]</f>
        <v>352</v>
      </c>
      <c r="M389" s="14">
        <f>InputData[[#This Row],[QUANTITY]]*InputData[[#This Row],[SELLING PRICE]]*(1-InputData[[#This Row],[DISCOUNT %]])</f>
        <v>390.72</v>
      </c>
      <c r="N389" s="12">
        <f>DAY(InputData[[#This Row],[DATE]])</f>
        <v>23</v>
      </c>
      <c r="O389" s="12" t="str">
        <f>TEXT(InputData[[#This Row],[DATE]],"MMM")</f>
        <v>Jun</v>
      </c>
      <c r="P389" s="12">
        <f>YEAR(InputData[[#This Row],[DATE]])</f>
        <v>2022</v>
      </c>
    </row>
    <row r="390" spans="1:16" x14ac:dyDescent="0.3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4">
        <f>VLOOKUP(InputData[[#This Row],[PRODUCT ID]],MasterData[],5,0)</f>
        <v>37</v>
      </c>
      <c r="K390" s="14">
        <f>VLOOKUP(InputData[[#This Row],[PRODUCT ID]],MasterData[],6,0)</f>
        <v>49.21</v>
      </c>
      <c r="L390" s="14">
        <f>InputData[[#This Row],[QUANTITY]]*InputData[[#This Row],[BUYING PRIZE]]</f>
        <v>259</v>
      </c>
      <c r="M390" s="14">
        <f>InputData[[#This Row],[QUANTITY]]*InputData[[#This Row],[SELLING PRICE]]*(1-InputData[[#This Row],[DISCOUNT %]])</f>
        <v>344.47</v>
      </c>
      <c r="N390" s="12">
        <f>DAY(InputData[[#This Row],[DATE]])</f>
        <v>24</v>
      </c>
      <c r="O390" s="12" t="str">
        <f>TEXT(InputData[[#This Row],[DATE]],"MMM")</f>
        <v>Jun</v>
      </c>
      <c r="P390" s="12">
        <f>YEAR(InputData[[#This Row],[DATE]])</f>
        <v>2022</v>
      </c>
    </row>
    <row r="391" spans="1:16" x14ac:dyDescent="0.3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4">
        <f>VLOOKUP(InputData[[#This Row],[PRODUCT ID]],MasterData[],5,0)</f>
        <v>73</v>
      </c>
      <c r="K391" s="14">
        <f>VLOOKUP(InputData[[#This Row],[PRODUCT ID]],MasterData[],6,0)</f>
        <v>94.17</v>
      </c>
      <c r="L391" s="14">
        <f>InputData[[#This Row],[QUANTITY]]*InputData[[#This Row],[BUYING PRIZE]]</f>
        <v>511</v>
      </c>
      <c r="M391" s="14">
        <f>InputData[[#This Row],[QUANTITY]]*InputData[[#This Row],[SELLING PRICE]]*(1-InputData[[#This Row],[DISCOUNT %]])</f>
        <v>659.19</v>
      </c>
      <c r="N391" s="12">
        <f>DAY(InputData[[#This Row],[DATE]])</f>
        <v>25</v>
      </c>
      <c r="O391" s="12" t="str">
        <f>TEXT(InputData[[#This Row],[DATE]],"MMM")</f>
        <v>Jun</v>
      </c>
      <c r="P391" s="12">
        <f>YEAR(InputData[[#This Row],[DATE]])</f>
        <v>2022</v>
      </c>
    </row>
    <row r="392" spans="1:16" x14ac:dyDescent="0.3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4">
        <f>VLOOKUP(InputData[[#This Row],[PRODUCT ID]],MasterData[],5,0)</f>
        <v>55</v>
      </c>
      <c r="K392" s="14">
        <f>VLOOKUP(InputData[[#This Row],[PRODUCT ID]],MasterData[],6,0)</f>
        <v>58.3</v>
      </c>
      <c r="L392" s="14">
        <f>InputData[[#This Row],[QUANTITY]]*InputData[[#This Row],[BUYING PRIZE]]</f>
        <v>220</v>
      </c>
      <c r="M392" s="14">
        <f>InputData[[#This Row],[QUANTITY]]*InputData[[#This Row],[SELLING PRICE]]*(1-InputData[[#This Row],[DISCOUNT %]])</f>
        <v>233.2</v>
      </c>
      <c r="N392" s="12">
        <f>DAY(InputData[[#This Row],[DATE]])</f>
        <v>26</v>
      </c>
      <c r="O392" s="12" t="str">
        <f>TEXT(InputData[[#This Row],[DATE]],"MMM")</f>
        <v>Jun</v>
      </c>
      <c r="P392" s="12">
        <f>YEAR(InputData[[#This Row],[DATE]])</f>
        <v>2022</v>
      </c>
    </row>
    <row r="393" spans="1:16" x14ac:dyDescent="0.3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4">
        <f>VLOOKUP(InputData[[#This Row],[PRODUCT ID]],MasterData[],5,0)</f>
        <v>67</v>
      </c>
      <c r="K393" s="14">
        <f>VLOOKUP(InputData[[#This Row],[PRODUCT ID]],MasterData[],6,0)</f>
        <v>83.08</v>
      </c>
      <c r="L393" s="14">
        <f>InputData[[#This Row],[QUANTITY]]*InputData[[#This Row],[BUYING PRIZE]]</f>
        <v>804</v>
      </c>
      <c r="M393" s="14">
        <f>InputData[[#This Row],[QUANTITY]]*InputData[[#This Row],[SELLING PRICE]]*(1-InputData[[#This Row],[DISCOUNT %]])</f>
        <v>996.96</v>
      </c>
      <c r="N393" s="12">
        <f>DAY(InputData[[#This Row],[DATE]])</f>
        <v>26</v>
      </c>
      <c r="O393" s="12" t="str">
        <f>TEXT(InputData[[#This Row],[DATE]],"MMM")</f>
        <v>Jun</v>
      </c>
      <c r="P393" s="12">
        <f>YEAR(InputData[[#This Row],[DATE]])</f>
        <v>2022</v>
      </c>
    </row>
    <row r="394" spans="1:16" x14ac:dyDescent="0.3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4">
        <f>VLOOKUP(InputData[[#This Row],[PRODUCT ID]],MasterData[],5,0)</f>
        <v>95</v>
      </c>
      <c r="K394" s="14">
        <f>VLOOKUP(InputData[[#This Row],[PRODUCT ID]],MasterData[],6,0)</f>
        <v>119.7</v>
      </c>
      <c r="L394" s="14">
        <f>InputData[[#This Row],[QUANTITY]]*InputData[[#This Row],[BUYING PRIZE]]</f>
        <v>1425</v>
      </c>
      <c r="M394" s="14">
        <f>InputData[[#This Row],[QUANTITY]]*InputData[[#This Row],[SELLING PRICE]]*(1-InputData[[#This Row],[DISCOUNT %]])</f>
        <v>1795.5</v>
      </c>
      <c r="N394" s="12">
        <f>DAY(InputData[[#This Row],[DATE]])</f>
        <v>3</v>
      </c>
      <c r="O394" s="12" t="str">
        <f>TEXT(InputData[[#This Row],[DATE]],"MMM")</f>
        <v>Jul</v>
      </c>
      <c r="P394" s="12">
        <f>YEAR(InputData[[#This Row],[DATE]])</f>
        <v>2022</v>
      </c>
    </row>
    <row r="395" spans="1:16" x14ac:dyDescent="0.3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4">
        <f>VLOOKUP(InputData[[#This Row],[PRODUCT ID]],MasterData[],5,0)</f>
        <v>43</v>
      </c>
      <c r="K395" s="14">
        <f>VLOOKUP(InputData[[#This Row],[PRODUCT ID]],MasterData[],6,0)</f>
        <v>47.730000000000004</v>
      </c>
      <c r="L395" s="14">
        <f>InputData[[#This Row],[QUANTITY]]*InputData[[#This Row],[BUYING PRIZE]]</f>
        <v>301</v>
      </c>
      <c r="M395" s="14">
        <f>InputData[[#This Row],[QUANTITY]]*InputData[[#This Row],[SELLING PRICE]]*(1-InputData[[#This Row],[DISCOUNT %]])</f>
        <v>334.11</v>
      </c>
      <c r="N395" s="12">
        <f>DAY(InputData[[#This Row],[DATE]])</f>
        <v>4</v>
      </c>
      <c r="O395" s="12" t="str">
        <f>TEXT(InputData[[#This Row],[DATE]],"MMM")</f>
        <v>Jul</v>
      </c>
      <c r="P395" s="12">
        <f>YEAR(InputData[[#This Row],[DATE]])</f>
        <v>2022</v>
      </c>
    </row>
    <row r="396" spans="1:16" x14ac:dyDescent="0.3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4">
        <f>VLOOKUP(InputData[[#This Row],[PRODUCT ID]],MasterData[],5,0)</f>
        <v>7</v>
      </c>
      <c r="K396" s="14">
        <f>VLOOKUP(InputData[[#This Row],[PRODUCT ID]],MasterData[],6,0)</f>
        <v>8.33</v>
      </c>
      <c r="L396" s="14">
        <f>InputData[[#This Row],[QUANTITY]]*InputData[[#This Row],[BUYING PRIZE]]</f>
        <v>49</v>
      </c>
      <c r="M396" s="14">
        <f>InputData[[#This Row],[QUANTITY]]*InputData[[#This Row],[SELLING PRICE]]*(1-InputData[[#This Row],[DISCOUNT %]])</f>
        <v>58.31</v>
      </c>
      <c r="N396" s="12">
        <f>DAY(InputData[[#This Row],[DATE]])</f>
        <v>5</v>
      </c>
      <c r="O396" s="12" t="str">
        <f>TEXT(InputData[[#This Row],[DATE]],"MMM")</f>
        <v>Jul</v>
      </c>
      <c r="P396" s="12">
        <f>YEAR(InputData[[#This Row],[DATE]])</f>
        <v>2022</v>
      </c>
    </row>
    <row r="397" spans="1:16" x14ac:dyDescent="0.3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4">
        <f>VLOOKUP(InputData[[#This Row],[PRODUCT ID]],MasterData[],5,0)</f>
        <v>12</v>
      </c>
      <c r="K397" s="14">
        <f>VLOOKUP(InputData[[#This Row],[PRODUCT ID]],MasterData[],6,0)</f>
        <v>15.719999999999999</v>
      </c>
      <c r="L397" s="14">
        <f>InputData[[#This Row],[QUANTITY]]*InputData[[#This Row],[BUYING PRIZE]]</f>
        <v>96</v>
      </c>
      <c r="M397" s="14">
        <f>InputData[[#This Row],[QUANTITY]]*InputData[[#This Row],[SELLING PRICE]]*(1-InputData[[#This Row],[DISCOUNT %]])</f>
        <v>125.75999999999999</v>
      </c>
      <c r="N397" s="12">
        <f>DAY(InputData[[#This Row],[DATE]])</f>
        <v>5</v>
      </c>
      <c r="O397" s="12" t="str">
        <f>TEXT(InputData[[#This Row],[DATE]],"MMM")</f>
        <v>Jul</v>
      </c>
      <c r="P397" s="12">
        <f>YEAR(InputData[[#This Row],[DATE]])</f>
        <v>2022</v>
      </c>
    </row>
    <row r="398" spans="1:16" x14ac:dyDescent="0.3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4">
        <f>VLOOKUP(InputData[[#This Row],[PRODUCT ID]],MasterData[],5,0)</f>
        <v>138</v>
      </c>
      <c r="K398" s="14">
        <f>VLOOKUP(InputData[[#This Row],[PRODUCT ID]],MasterData[],6,0)</f>
        <v>173.88</v>
      </c>
      <c r="L398" s="14">
        <f>InputData[[#This Row],[QUANTITY]]*InputData[[#This Row],[BUYING PRIZE]]</f>
        <v>276</v>
      </c>
      <c r="M398" s="14">
        <f>InputData[[#This Row],[QUANTITY]]*InputData[[#This Row],[SELLING PRICE]]*(1-InputData[[#This Row],[DISCOUNT %]])</f>
        <v>347.76</v>
      </c>
      <c r="N398" s="12">
        <f>DAY(InputData[[#This Row],[DATE]])</f>
        <v>6</v>
      </c>
      <c r="O398" s="12" t="str">
        <f>TEXT(InputData[[#This Row],[DATE]],"MMM")</f>
        <v>Jul</v>
      </c>
      <c r="P398" s="12">
        <f>YEAR(InputData[[#This Row],[DATE]])</f>
        <v>2022</v>
      </c>
    </row>
    <row r="399" spans="1:16" x14ac:dyDescent="0.3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4">
        <f>VLOOKUP(InputData[[#This Row],[PRODUCT ID]],MasterData[],5,0)</f>
        <v>37</v>
      </c>
      <c r="K399" s="14">
        <f>VLOOKUP(InputData[[#This Row],[PRODUCT ID]],MasterData[],6,0)</f>
        <v>49.21</v>
      </c>
      <c r="L399" s="14">
        <f>InputData[[#This Row],[QUANTITY]]*InputData[[#This Row],[BUYING PRIZE]]</f>
        <v>74</v>
      </c>
      <c r="M399" s="14">
        <f>InputData[[#This Row],[QUANTITY]]*InputData[[#This Row],[SELLING PRICE]]*(1-InputData[[#This Row],[DISCOUNT %]])</f>
        <v>98.42</v>
      </c>
      <c r="N399" s="12">
        <f>DAY(InputData[[#This Row],[DATE]])</f>
        <v>8</v>
      </c>
      <c r="O399" s="12" t="str">
        <f>TEXT(InputData[[#This Row],[DATE]],"MMM")</f>
        <v>Jul</v>
      </c>
      <c r="P399" s="12">
        <f>YEAR(InputData[[#This Row],[DATE]])</f>
        <v>2022</v>
      </c>
    </row>
    <row r="400" spans="1:16" x14ac:dyDescent="0.3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4">
        <f>VLOOKUP(InputData[[#This Row],[PRODUCT ID]],MasterData[],5,0)</f>
        <v>89</v>
      </c>
      <c r="K400" s="14">
        <f>VLOOKUP(InputData[[#This Row],[PRODUCT ID]],MasterData[],6,0)</f>
        <v>117.48</v>
      </c>
      <c r="L400" s="14">
        <f>InputData[[#This Row],[QUANTITY]]*InputData[[#This Row],[BUYING PRIZE]]</f>
        <v>1068</v>
      </c>
      <c r="M400" s="14">
        <f>InputData[[#This Row],[QUANTITY]]*InputData[[#This Row],[SELLING PRICE]]*(1-InputData[[#This Row],[DISCOUNT %]])</f>
        <v>1409.76</v>
      </c>
      <c r="N400" s="12">
        <f>DAY(InputData[[#This Row],[DATE]])</f>
        <v>10</v>
      </c>
      <c r="O400" s="12" t="str">
        <f>TEXT(InputData[[#This Row],[DATE]],"MMM")</f>
        <v>Jul</v>
      </c>
      <c r="P400" s="12">
        <f>YEAR(InputData[[#This Row],[DATE]])</f>
        <v>2022</v>
      </c>
    </row>
    <row r="401" spans="1:16" x14ac:dyDescent="0.3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4">
        <f>VLOOKUP(InputData[[#This Row],[PRODUCT ID]],MasterData[],5,0)</f>
        <v>37</v>
      </c>
      <c r="K401" s="14">
        <f>VLOOKUP(InputData[[#This Row],[PRODUCT ID]],MasterData[],6,0)</f>
        <v>41.81</v>
      </c>
      <c r="L401" s="14">
        <f>InputData[[#This Row],[QUANTITY]]*InputData[[#This Row],[BUYING PRIZE]]</f>
        <v>444</v>
      </c>
      <c r="M401" s="14">
        <f>InputData[[#This Row],[QUANTITY]]*InputData[[#This Row],[SELLING PRICE]]*(1-InputData[[#This Row],[DISCOUNT %]])</f>
        <v>501.72</v>
      </c>
      <c r="N401" s="12">
        <f>DAY(InputData[[#This Row],[DATE]])</f>
        <v>12</v>
      </c>
      <c r="O401" s="12" t="str">
        <f>TEXT(InputData[[#This Row],[DATE]],"MMM")</f>
        <v>Jul</v>
      </c>
      <c r="P401" s="12">
        <f>YEAR(InputData[[#This Row],[DATE]])</f>
        <v>2022</v>
      </c>
    </row>
    <row r="402" spans="1:16" x14ac:dyDescent="0.3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4">
        <f>VLOOKUP(InputData[[#This Row],[PRODUCT ID]],MasterData[],5,0)</f>
        <v>7</v>
      </c>
      <c r="K402" s="14">
        <f>VLOOKUP(InputData[[#This Row],[PRODUCT ID]],MasterData[],6,0)</f>
        <v>8.33</v>
      </c>
      <c r="L402" s="14">
        <f>InputData[[#This Row],[QUANTITY]]*InputData[[#This Row],[BUYING PRIZE]]</f>
        <v>49</v>
      </c>
      <c r="M402" s="14">
        <f>InputData[[#This Row],[QUANTITY]]*InputData[[#This Row],[SELLING PRICE]]*(1-InputData[[#This Row],[DISCOUNT %]])</f>
        <v>58.31</v>
      </c>
      <c r="N402" s="12">
        <f>DAY(InputData[[#This Row],[DATE]])</f>
        <v>13</v>
      </c>
      <c r="O402" s="12" t="str">
        <f>TEXT(InputData[[#This Row],[DATE]],"MMM")</f>
        <v>Jul</v>
      </c>
      <c r="P402" s="12">
        <f>YEAR(InputData[[#This Row],[DATE]])</f>
        <v>2022</v>
      </c>
    </row>
    <row r="403" spans="1:16" x14ac:dyDescent="0.3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4">
        <f>VLOOKUP(InputData[[#This Row],[PRODUCT ID]],MasterData[],5,0)</f>
        <v>95</v>
      </c>
      <c r="K403" s="14">
        <f>VLOOKUP(InputData[[#This Row],[PRODUCT ID]],MasterData[],6,0)</f>
        <v>119.7</v>
      </c>
      <c r="L403" s="14">
        <f>InputData[[#This Row],[QUANTITY]]*InputData[[#This Row],[BUYING PRIZE]]</f>
        <v>855</v>
      </c>
      <c r="M403" s="14">
        <f>InputData[[#This Row],[QUANTITY]]*InputData[[#This Row],[SELLING PRICE]]*(1-InputData[[#This Row],[DISCOUNT %]])</f>
        <v>1077.3</v>
      </c>
      <c r="N403" s="12">
        <f>DAY(InputData[[#This Row],[DATE]])</f>
        <v>14</v>
      </c>
      <c r="O403" s="12" t="str">
        <f>TEXT(InputData[[#This Row],[DATE]],"MMM")</f>
        <v>Jul</v>
      </c>
      <c r="P403" s="12">
        <f>YEAR(InputData[[#This Row],[DATE]])</f>
        <v>2022</v>
      </c>
    </row>
    <row r="404" spans="1:16" x14ac:dyDescent="0.3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4">
        <f>VLOOKUP(InputData[[#This Row],[PRODUCT ID]],MasterData[],5,0)</f>
        <v>44</v>
      </c>
      <c r="K404" s="14">
        <f>VLOOKUP(InputData[[#This Row],[PRODUCT ID]],MasterData[],6,0)</f>
        <v>48.84</v>
      </c>
      <c r="L404" s="14">
        <f>InputData[[#This Row],[QUANTITY]]*InputData[[#This Row],[BUYING PRIZE]]</f>
        <v>88</v>
      </c>
      <c r="M404" s="14">
        <f>InputData[[#This Row],[QUANTITY]]*InputData[[#This Row],[SELLING PRICE]]*(1-InputData[[#This Row],[DISCOUNT %]])</f>
        <v>97.68</v>
      </c>
      <c r="N404" s="12">
        <f>DAY(InputData[[#This Row],[DATE]])</f>
        <v>15</v>
      </c>
      <c r="O404" s="12" t="str">
        <f>TEXT(InputData[[#This Row],[DATE]],"MMM")</f>
        <v>Jul</v>
      </c>
      <c r="P404" s="12">
        <f>YEAR(InputData[[#This Row],[DATE]])</f>
        <v>2022</v>
      </c>
    </row>
    <row r="405" spans="1:16" x14ac:dyDescent="0.3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4">
        <f>VLOOKUP(InputData[[#This Row],[PRODUCT ID]],MasterData[],5,0)</f>
        <v>138</v>
      </c>
      <c r="K405" s="14">
        <f>VLOOKUP(InputData[[#This Row],[PRODUCT ID]],MasterData[],6,0)</f>
        <v>173.88</v>
      </c>
      <c r="L405" s="14">
        <f>InputData[[#This Row],[QUANTITY]]*InputData[[#This Row],[BUYING PRIZE]]</f>
        <v>1104</v>
      </c>
      <c r="M405" s="14">
        <f>InputData[[#This Row],[QUANTITY]]*InputData[[#This Row],[SELLING PRICE]]*(1-InputData[[#This Row],[DISCOUNT %]])</f>
        <v>1391.04</v>
      </c>
      <c r="N405" s="12">
        <f>DAY(InputData[[#This Row],[DATE]])</f>
        <v>17</v>
      </c>
      <c r="O405" s="12" t="str">
        <f>TEXT(InputData[[#This Row],[DATE]],"MMM")</f>
        <v>Jul</v>
      </c>
      <c r="P405" s="12">
        <f>YEAR(InputData[[#This Row],[DATE]])</f>
        <v>2022</v>
      </c>
    </row>
    <row r="406" spans="1:16" x14ac:dyDescent="0.3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4">
        <f>VLOOKUP(InputData[[#This Row],[PRODUCT ID]],MasterData[],5,0)</f>
        <v>148</v>
      </c>
      <c r="K406" s="14">
        <f>VLOOKUP(InputData[[#This Row],[PRODUCT ID]],MasterData[],6,0)</f>
        <v>164.28</v>
      </c>
      <c r="L406" s="14">
        <f>InputData[[#This Row],[QUANTITY]]*InputData[[#This Row],[BUYING PRIZE]]</f>
        <v>1776</v>
      </c>
      <c r="M406" s="14">
        <f>InputData[[#This Row],[QUANTITY]]*InputData[[#This Row],[SELLING PRICE]]*(1-InputData[[#This Row],[DISCOUNT %]])</f>
        <v>1971.3600000000001</v>
      </c>
      <c r="N406" s="12">
        <f>DAY(InputData[[#This Row],[DATE]])</f>
        <v>18</v>
      </c>
      <c r="O406" s="12" t="str">
        <f>TEXT(InputData[[#This Row],[DATE]],"MMM")</f>
        <v>Jul</v>
      </c>
      <c r="P406" s="12">
        <f>YEAR(InputData[[#This Row],[DATE]])</f>
        <v>2022</v>
      </c>
    </row>
    <row r="407" spans="1:16" x14ac:dyDescent="0.3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4">
        <f>VLOOKUP(InputData[[#This Row],[PRODUCT ID]],MasterData[],5,0)</f>
        <v>120</v>
      </c>
      <c r="K407" s="14">
        <f>VLOOKUP(InputData[[#This Row],[PRODUCT ID]],MasterData[],6,0)</f>
        <v>162</v>
      </c>
      <c r="L407" s="14">
        <f>InputData[[#This Row],[QUANTITY]]*InputData[[#This Row],[BUYING PRIZE]]</f>
        <v>960</v>
      </c>
      <c r="M407" s="14">
        <f>InputData[[#This Row],[QUANTITY]]*InputData[[#This Row],[SELLING PRICE]]*(1-InputData[[#This Row],[DISCOUNT %]])</f>
        <v>1296</v>
      </c>
      <c r="N407" s="12">
        <f>DAY(InputData[[#This Row],[DATE]])</f>
        <v>20</v>
      </c>
      <c r="O407" s="12" t="str">
        <f>TEXT(InputData[[#This Row],[DATE]],"MMM")</f>
        <v>Jul</v>
      </c>
      <c r="P407" s="12">
        <f>YEAR(InputData[[#This Row],[DATE]])</f>
        <v>2022</v>
      </c>
    </row>
    <row r="408" spans="1:16" x14ac:dyDescent="0.3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4">
        <f>VLOOKUP(InputData[[#This Row],[PRODUCT ID]],MasterData[],5,0)</f>
        <v>55</v>
      </c>
      <c r="K408" s="14">
        <f>VLOOKUP(InputData[[#This Row],[PRODUCT ID]],MasterData[],6,0)</f>
        <v>58.3</v>
      </c>
      <c r="L408" s="14">
        <f>InputData[[#This Row],[QUANTITY]]*InputData[[#This Row],[BUYING PRIZE]]</f>
        <v>330</v>
      </c>
      <c r="M408" s="14">
        <f>InputData[[#This Row],[QUANTITY]]*InputData[[#This Row],[SELLING PRICE]]*(1-InputData[[#This Row],[DISCOUNT %]])</f>
        <v>349.79999999999995</v>
      </c>
      <c r="N408" s="12">
        <f>DAY(InputData[[#This Row],[DATE]])</f>
        <v>22</v>
      </c>
      <c r="O408" s="12" t="str">
        <f>TEXT(InputData[[#This Row],[DATE]],"MMM")</f>
        <v>Jul</v>
      </c>
      <c r="P408" s="12">
        <f>YEAR(InputData[[#This Row],[DATE]])</f>
        <v>2022</v>
      </c>
    </row>
    <row r="409" spans="1:16" x14ac:dyDescent="0.3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4">
        <f>VLOOKUP(InputData[[#This Row],[PRODUCT ID]],MasterData[],5,0)</f>
        <v>37</v>
      </c>
      <c r="K409" s="14">
        <f>VLOOKUP(InputData[[#This Row],[PRODUCT ID]],MasterData[],6,0)</f>
        <v>49.21</v>
      </c>
      <c r="L409" s="14">
        <f>InputData[[#This Row],[QUANTITY]]*InputData[[#This Row],[BUYING PRIZE]]</f>
        <v>74</v>
      </c>
      <c r="M409" s="14">
        <f>InputData[[#This Row],[QUANTITY]]*InputData[[#This Row],[SELLING PRICE]]*(1-InputData[[#This Row],[DISCOUNT %]])</f>
        <v>98.42</v>
      </c>
      <c r="N409" s="12">
        <f>DAY(InputData[[#This Row],[DATE]])</f>
        <v>23</v>
      </c>
      <c r="O409" s="12" t="str">
        <f>TEXT(InputData[[#This Row],[DATE]],"MMM")</f>
        <v>Jul</v>
      </c>
      <c r="P409" s="12">
        <f>YEAR(InputData[[#This Row],[DATE]])</f>
        <v>2022</v>
      </c>
    </row>
    <row r="410" spans="1:16" x14ac:dyDescent="0.3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4">
        <f>VLOOKUP(InputData[[#This Row],[PRODUCT ID]],MasterData[],5,0)</f>
        <v>75</v>
      </c>
      <c r="K410" s="14">
        <f>VLOOKUP(InputData[[#This Row],[PRODUCT ID]],MasterData[],6,0)</f>
        <v>85.5</v>
      </c>
      <c r="L410" s="14">
        <f>InputData[[#This Row],[QUANTITY]]*InputData[[#This Row],[BUYING PRIZE]]</f>
        <v>1050</v>
      </c>
      <c r="M410" s="14">
        <f>InputData[[#This Row],[QUANTITY]]*InputData[[#This Row],[SELLING PRICE]]*(1-InputData[[#This Row],[DISCOUNT %]])</f>
        <v>1197</v>
      </c>
      <c r="N410" s="12">
        <f>DAY(InputData[[#This Row],[DATE]])</f>
        <v>24</v>
      </c>
      <c r="O410" s="12" t="str">
        <f>TEXT(InputData[[#This Row],[DATE]],"MMM")</f>
        <v>Jul</v>
      </c>
      <c r="P410" s="12">
        <f>YEAR(InputData[[#This Row],[DATE]])</f>
        <v>2022</v>
      </c>
    </row>
    <row r="411" spans="1:16" x14ac:dyDescent="0.3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4">
        <f>VLOOKUP(InputData[[#This Row],[PRODUCT ID]],MasterData[],5,0)</f>
        <v>48</v>
      </c>
      <c r="K411" s="14">
        <f>VLOOKUP(InputData[[#This Row],[PRODUCT ID]],MasterData[],6,0)</f>
        <v>57.120000000000005</v>
      </c>
      <c r="L411" s="14">
        <f>InputData[[#This Row],[QUANTITY]]*InputData[[#This Row],[BUYING PRIZE]]</f>
        <v>48</v>
      </c>
      <c r="M411" s="14">
        <f>InputData[[#This Row],[QUANTITY]]*InputData[[#This Row],[SELLING PRICE]]*(1-InputData[[#This Row],[DISCOUNT %]])</f>
        <v>57.120000000000005</v>
      </c>
      <c r="N411" s="12">
        <f>DAY(InputData[[#This Row],[DATE]])</f>
        <v>24</v>
      </c>
      <c r="O411" s="12" t="str">
        <f>TEXT(InputData[[#This Row],[DATE]],"MMM")</f>
        <v>Jul</v>
      </c>
      <c r="P411" s="12">
        <f>YEAR(InputData[[#This Row],[DATE]])</f>
        <v>2022</v>
      </c>
    </row>
    <row r="412" spans="1:16" x14ac:dyDescent="0.3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4">
        <f>VLOOKUP(InputData[[#This Row],[PRODUCT ID]],MasterData[],5,0)</f>
        <v>76</v>
      </c>
      <c r="K412" s="14">
        <f>VLOOKUP(InputData[[#This Row],[PRODUCT ID]],MasterData[],6,0)</f>
        <v>82.08</v>
      </c>
      <c r="L412" s="14">
        <f>InputData[[#This Row],[QUANTITY]]*InputData[[#This Row],[BUYING PRIZE]]</f>
        <v>152</v>
      </c>
      <c r="M412" s="14">
        <f>InputData[[#This Row],[QUANTITY]]*InputData[[#This Row],[SELLING PRICE]]*(1-InputData[[#This Row],[DISCOUNT %]])</f>
        <v>164.16</v>
      </c>
      <c r="N412" s="12">
        <f>DAY(InputData[[#This Row],[DATE]])</f>
        <v>25</v>
      </c>
      <c r="O412" s="12" t="str">
        <f>TEXT(InputData[[#This Row],[DATE]],"MMM")</f>
        <v>Jul</v>
      </c>
      <c r="P412" s="12">
        <f>YEAR(InputData[[#This Row],[DATE]])</f>
        <v>2022</v>
      </c>
    </row>
    <row r="413" spans="1:16" x14ac:dyDescent="0.3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4">
        <f>VLOOKUP(InputData[[#This Row],[PRODUCT ID]],MasterData[],5,0)</f>
        <v>134</v>
      </c>
      <c r="K413" s="14">
        <f>VLOOKUP(InputData[[#This Row],[PRODUCT ID]],MasterData[],6,0)</f>
        <v>156.78</v>
      </c>
      <c r="L413" s="14">
        <f>InputData[[#This Row],[QUANTITY]]*InputData[[#This Row],[BUYING PRIZE]]</f>
        <v>1608</v>
      </c>
      <c r="M413" s="14">
        <f>InputData[[#This Row],[QUANTITY]]*InputData[[#This Row],[SELLING PRICE]]*(1-InputData[[#This Row],[DISCOUNT %]])</f>
        <v>1881.3600000000001</v>
      </c>
      <c r="N413" s="12">
        <f>DAY(InputData[[#This Row],[DATE]])</f>
        <v>25</v>
      </c>
      <c r="O413" s="12" t="str">
        <f>TEXT(InputData[[#This Row],[DATE]],"MMM")</f>
        <v>Jul</v>
      </c>
      <c r="P413" s="12">
        <f>YEAR(InputData[[#This Row],[DATE]])</f>
        <v>2022</v>
      </c>
    </row>
    <row r="414" spans="1:16" x14ac:dyDescent="0.3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4">
        <f>VLOOKUP(InputData[[#This Row],[PRODUCT ID]],MasterData[],5,0)</f>
        <v>71</v>
      </c>
      <c r="K414" s="14">
        <f>VLOOKUP(InputData[[#This Row],[PRODUCT ID]],MasterData[],6,0)</f>
        <v>80.94</v>
      </c>
      <c r="L414" s="14">
        <f>InputData[[#This Row],[QUANTITY]]*InputData[[#This Row],[BUYING PRIZE]]</f>
        <v>923</v>
      </c>
      <c r="M414" s="14">
        <f>InputData[[#This Row],[QUANTITY]]*InputData[[#This Row],[SELLING PRICE]]*(1-InputData[[#This Row],[DISCOUNT %]])</f>
        <v>1052.22</v>
      </c>
      <c r="N414" s="12">
        <f>DAY(InputData[[#This Row],[DATE]])</f>
        <v>25</v>
      </c>
      <c r="O414" s="12" t="str">
        <f>TEXT(InputData[[#This Row],[DATE]],"MMM")</f>
        <v>Jul</v>
      </c>
      <c r="P414" s="12">
        <f>YEAR(InputData[[#This Row],[DATE]])</f>
        <v>2022</v>
      </c>
    </row>
    <row r="415" spans="1:16" x14ac:dyDescent="0.3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4">
        <f>VLOOKUP(InputData[[#This Row],[PRODUCT ID]],MasterData[],5,0)</f>
        <v>71</v>
      </c>
      <c r="K415" s="14">
        <f>VLOOKUP(InputData[[#This Row],[PRODUCT ID]],MasterData[],6,0)</f>
        <v>80.94</v>
      </c>
      <c r="L415" s="14">
        <f>InputData[[#This Row],[QUANTITY]]*InputData[[#This Row],[BUYING PRIZE]]</f>
        <v>710</v>
      </c>
      <c r="M415" s="14">
        <f>InputData[[#This Row],[QUANTITY]]*InputData[[#This Row],[SELLING PRICE]]*(1-InputData[[#This Row],[DISCOUNT %]])</f>
        <v>809.4</v>
      </c>
      <c r="N415" s="12">
        <f>DAY(InputData[[#This Row],[DATE]])</f>
        <v>26</v>
      </c>
      <c r="O415" s="12" t="str">
        <f>TEXT(InputData[[#This Row],[DATE]],"MMM")</f>
        <v>Jul</v>
      </c>
      <c r="P415" s="12">
        <f>YEAR(InputData[[#This Row],[DATE]])</f>
        <v>2022</v>
      </c>
    </row>
    <row r="416" spans="1:16" x14ac:dyDescent="0.3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4">
        <f>VLOOKUP(InputData[[#This Row],[PRODUCT ID]],MasterData[],5,0)</f>
        <v>18</v>
      </c>
      <c r="K416" s="14">
        <f>VLOOKUP(InputData[[#This Row],[PRODUCT ID]],MasterData[],6,0)</f>
        <v>24.66</v>
      </c>
      <c r="L416" s="14">
        <f>InputData[[#This Row],[QUANTITY]]*InputData[[#This Row],[BUYING PRIZE]]</f>
        <v>18</v>
      </c>
      <c r="M416" s="14">
        <f>InputData[[#This Row],[QUANTITY]]*InputData[[#This Row],[SELLING PRICE]]*(1-InputData[[#This Row],[DISCOUNT %]])</f>
        <v>24.66</v>
      </c>
      <c r="N416" s="12">
        <f>DAY(InputData[[#This Row],[DATE]])</f>
        <v>26</v>
      </c>
      <c r="O416" s="12" t="str">
        <f>TEXT(InputData[[#This Row],[DATE]],"MMM")</f>
        <v>Jul</v>
      </c>
      <c r="P416" s="12">
        <f>YEAR(InputData[[#This Row],[DATE]])</f>
        <v>2022</v>
      </c>
    </row>
    <row r="417" spans="1:16" x14ac:dyDescent="0.3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4">
        <f>VLOOKUP(InputData[[#This Row],[PRODUCT ID]],MasterData[],5,0)</f>
        <v>73</v>
      </c>
      <c r="K417" s="14">
        <f>VLOOKUP(InputData[[#This Row],[PRODUCT ID]],MasterData[],6,0)</f>
        <v>94.17</v>
      </c>
      <c r="L417" s="14">
        <f>InputData[[#This Row],[QUANTITY]]*InputData[[#This Row],[BUYING PRIZE]]</f>
        <v>365</v>
      </c>
      <c r="M417" s="14">
        <f>InputData[[#This Row],[QUANTITY]]*InputData[[#This Row],[SELLING PRICE]]*(1-InputData[[#This Row],[DISCOUNT %]])</f>
        <v>470.85</v>
      </c>
      <c r="N417" s="12">
        <f>DAY(InputData[[#This Row],[DATE]])</f>
        <v>3</v>
      </c>
      <c r="O417" s="12" t="str">
        <f>TEXT(InputData[[#This Row],[DATE]],"MMM")</f>
        <v>Aug</v>
      </c>
      <c r="P417" s="12">
        <f>YEAR(InputData[[#This Row],[DATE]])</f>
        <v>2022</v>
      </c>
    </row>
    <row r="418" spans="1:16" x14ac:dyDescent="0.3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4">
        <f>VLOOKUP(InputData[[#This Row],[PRODUCT ID]],MasterData[],5,0)</f>
        <v>13</v>
      </c>
      <c r="K418" s="14">
        <f>VLOOKUP(InputData[[#This Row],[PRODUCT ID]],MasterData[],6,0)</f>
        <v>16.64</v>
      </c>
      <c r="L418" s="14">
        <f>InputData[[#This Row],[QUANTITY]]*InputData[[#This Row],[BUYING PRIZE]]</f>
        <v>117</v>
      </c>
      <c r="M418" s="14">
        <f>InputData[[#This Row],[QUANTITY]]*InputData[[#This Row],[SELLING PRICE]]*(1-InputData[[#This Row],[DISCOUNT %]])</f>
        <v>149.76</v>
      </c>
      <c r="N418" s="12">
        <f>DAY(InputData[[#This Row],[DATE]])</f>
        <v>6</v>
      </c>
      <c r="O418" s="12" t="str">
        <f>TEXT(InputData[[#This Row],[DATE]],"MMM")</f>
        <v>Aug</v>
      </c>
      <c r="P418" s="12">
        <f>YEAR(InputData[[#This Row],[DATE]])</f>
        <v>2022</v>
      </c>
    </row>
    <row r="419" spans="1:16" x14ac:dyDescent="0.3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4">
        <f>VLOOKUP(InputData[[#This Row],[PRODUCT ID]],MasterData[],5,0)</f>
        <v>13</v>
      </c>
      <c r="K419" s="14">
        <f>VLOOKUP(InputData[[#This Row],[PRODUCT ID]],MasterData[],6,0)</f>
        <v>16.64</v>
      </c>
      <c r="L419" s="14">
        <f>InputData[[#This Row],[QUANTITY]]*InputData[[#This Row],[BUYING PRIZE]]</f>
        <v>26</v>
      </c>
      <c r="M419" s="14">
        <f>InputData[[#This Row],[QUANTITY]]*InputData[[#This Row],[SELLING PRICE]]*(1-InputData[[#This Row],[DISCOUNT %]])</f>
        <v>33.28</v>
      </c>
      <c r="N419" s="12">
        <f>DAY(InputData[[#This Row],[DATE]])</f>
        <v>8</v>
      </c>
      <c r="O419" s="12" t="str">
        <f>TEXT(InputData[[#This Row],[DATE]],"MMM")</f>
        <v>Aug</v>
      </c>
      <c r="P419" s="12">
        <f>YEAR(InputData[[#This Row],[DATE]])</f>
        <v>2022</v>
      </c>
    </row>
    <row r="420" spans="1:16" x14ac:dyDescent="0.3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4">
        <f>VLOOKUP(InputData[[#This Row],[PRODUCT ID]],MasterData[],5,0)</f>
        <v>89</v>
      </c>
      <c r="K420" s="14">
        <f>VLOOKUP(InputData[[#This Row],[PRODUCT ID]],MasterData[],6,0)</f>
        <v>117.48</v>
      </c>
      <c r="L420" s="14">
        <f>InputData[[#This Row],[QUANTITY]]*InputData[[#This Row],[BUYING PRIZE]]</f>
        <v>1068</v>
      </c>
      <c r="M420" s="14">
        <f>InputData[[#This Row],[QUANTITY]]*InputData[[#This Row],[SELLING PRICE]]*(1-InputData[[#This Row],[DISCOUNT %]])</f>
        <v>1409.76</v>
      </c>
      <c r="N420" s="12">
        <f>DAY(InputData[[#This Row],[DATE]])</f>
        <v>8</v>
      </c>
      <c r="O420" s="12" t="str">
        <f>TEXT(InputData[[#This Row],[DATE]],"MMM")</f>
        <v>Aug</v>
      </c>
      <c r="P420" s="12">
        <f>YEAR(InputData[[#This Row],[DATE]])</f>
        <v>2022</v>
      </c>
    </row>
    <row r="421" spans="1:16" x14ac:dyDescent="0.3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4">
        <f>VLOOKUP(InputData[[#This Row],[PRODUCT ID]],MasterData[],5,0)</f>
        <v>126</v>
      </c>
      <c r="K421" s="14">
        <f>VLOOKUP(InputData[[#This Row],[PRODUCT ID]],MasterData[],6,0)</f>
        <v>162.54</v>
      </c>
      <c r="L421" s="14">
        <f>InputData[[#This Row],[QUANTITY]]*InputData[[#This Row],[BUYING PRIZE]]</f>
        <v>1386</v>
      </c>
      <c r="M421" s="14">
        <f>InputData[[#This Row],[QUANTITY]]*InputData[[#This Row],[SELLING PRICE]]*(1-InputData[[#This Row],[DISCOUNT %]])</f>
        <v>1787.9399999999998</v>
      </c>
      <c r="N421" s="12">
        <f>DAY(InputData[[#This Row],[DATE]])</f>
        <v>8</v>
      </c>
      <c r="O421" s="12" t="str">
        <f>TEXT(InputData[[#This Row],[DATE]],"MMM")</f>
        <v>Aug</v>
      </c>
      <c r="P421" s="12">
        <f>YEAR(InputData[[#This Row],[DATE]])</f>
        <v>2022</v>
      </c>
    </row>
    <row r="422" spans="1:16" x14ac:dyDescent="0.3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4">
        <f>VLOOKUP(InputData[[#This Row],[PRODUCT ID]],MasterData[],5,0)</f>
        <v>148</v>
      </c>
      <c r="K422" s="14">
        <f>VLOOKUP(InputData[[#This Row],[PRODUCT ID]],MasterData[],6,0)</f>
        <v>201.28</v>
      </c>
      <c r="L422" s="14">
        <f>InputData[[#This Row],[QUANTITY]]*InputData[[#This Row],[BUYING PRIZE]]</f>
        <v>2072</v>
      </c>
      <c r="M422" s="14">
        <f>InputData[[#This Row],[QUANTITY]]*InputData[[#This Row],[SELLING PRICE]]*(1-InputData[[#This Row],[DISCOUNT %]])</f>
        <v>2817.92</v>
      </c>
      <c r="N422" s="12">
        <f>DAY(InputData[[#This Row],[DATE]])</f>
        <v>14</v>
      </c>
      <c r="O422" s="12" t="str">
        <f>TEXT(InputData[[#This Row],[DATE]],"MMM")</f>
        <v>Aug</v>
      </c>
      <c r="P422" s="12">
        <f>YEAR(InputData[[#This Row],[DATE]])</f>
        <v>2022</v>
      </c>
    </row>
    <row r="423" spans="1:16" x14ac:dyDescent="0.3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4">
        <f>VLOOKUP(InputData[[#This Row],[PRODUCT ID]],MasterData[],5,0)</f>
        <v>44</v>
      </c>
      <c r="K423" s="14">
        <f>VLOOKUP(InputData[[#This Row],[PRODUCT ID]],MasterData[],6,0)</f>
        <v>48.4</v>
      </c>
      <c r="L423" s="14">
        <f>InputData[[#This Row],[QUANTITY]]*InputData[[#This Row],[BUYING PRIZE]]</f>
        <v>440</v>
      </c>
      <c r="M423" s="14">
        <f>InputData[[#This Row],[QUANTITY]]*InputData[[#This Row],[SELLING PRICE]]*(1-InputData[[#This Row],[DISCOUNT %]])</f>
        <v>484</v>
      </c>
      <c r="N423" s="12">
        <f>DAY(InputData[[#This Row],[DATE]])</f>
        <v>15</v>
      </c>
      <c r="O423" s="12" t="str">
        <f>TEXT(InputData[[#This Row],[DATE]],"MMM")</f>
        <v>Aug</v>
      </c>
      <c r="P423" s="12">
        <f>YEAR(InputData[[#This Row],[DATE]])</f>
        <v>2022</v>
      </c>
    </row>
    <row r="424" spans="1:16" x14ac:dyDescent="0.3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4">
        <f>VLOOKUP(InputData[[#This Row],[PRODUCT ID]],MasterData[],5,0)</f>
        <v>12</v>
      </c>
      <c r="K424" s="14">
        <f>VLOOKUP(InputData[[#This Row],[PRODUCT ID]],MasterData[],6,0)</f>
        <v>15.719999999999999</v>
      </c>
      <c r="L424" s="14">
        <f>InputData[[#This Row],[QUANTITY]]*InputData[[#This Row],[BUYING PRIZE]]</f>
        <v>84</v>
      </c>
      <c r="M424" s="14">
        <f>InputData[[#This Row],[QUANTITY]]*InputData[[#This Row],[SELLING PRICE]]*(1-InputData[[#This Row],[DISCOUNT %]])</f>
        <v>110.03999999999999</v>
      </c>
      <c r="N424" s="12">
        <f>DAY(InputData[[#This Row],[DATE]])</f>
        <v>15</v>
      </c>
      <c r="O424" s="12" t="str">
        <f>TEXT(InputData[[#This Row],[DATE]],"MMM")</f>
        <v>Aug</v>
      </c>
      <c r="P424" s="12">
        <f>YEAR(InputData[[#This Row],[DATE]])</f>
        <v>2022</v>
      </c>
    </row>
    <row r="425" spans="1:16" x14ac:dyDescent="0.3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4">
        <f>VLOOKUP(InputData[[#This Row],[PRODUCT ID]],MasterData[],5,0)</f>
        <v>47</v>
      </c>
      <c r="K425" s="14">
        <f>VLOOKUP(InputData[[#This Row],[PRODUCT ID]],MasterData[],6,0)</f>
        <v>53.11</v>
      </c>
      <c r="L425" s="14">
        <f>InputData[[#This Row],[QUANTITY]]*InputData[[#This Row],[BUYING PRIZE]]</f>
        <v>376</v>
      </c>
      <c r="M425" s="14">
        <f>InputData[[#This Row],[QUANTITY]]*InputData[[#This Row],[SELLING PRICE]]*(1-InputData[[#This Row],[DISCOUNT %]])</f>
        <v>424.88</v>
      </c>
      <c r="N425" s="12">
        <f>DAY(InputData[[#This Row],[DATE]])</f>
        <v>18</v>
      </c>
      <c r="O425" s="12" t="str">
        <f>TEXT(InputData[[#This Row],[DATE]],"MMM")</f>
        <v>Aug</v>
      </c>
      <c r="P425" s="12">
        <f>YEAR(InputData[[#This Row],[DATE]])</f>
        <v>2022</v>
      </c>
    </row>
    <row r="426" spans="1:16" x14ac:dyDescent="0.3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4">
        <f>VLOOKUP(InputData[[#This Row],[PRODUCT ID]],MasterData[],5,0)</f>
        <v>148</v>
      </c>
      <c r="K426" s="14">
        <f>VLOOKUP(InputData[[#This Row],[PRODUCT ID]],MasterData[],6,0)</f>
        <v>164.28</v>
      </c>
      <c r="L426" s="14">
        <f>InputData[[#This Row],[QUANTITY]]*InputData[[#This Row],[BUYING PRIZE]]</f>
        <v>296</v>
      </c>
      <c r="M426" s="14">
        <f>InputData[[#This Row],[QUANTITY]]*InputData[[#This Row],[SELLING PRICE]]*(1-InputData[[#This Row],[DISCOUNT %]])</f>
        <v>328.56</v>
      </c>
      <c r="N426" s="12">
        <f>DAY(InputData[[#This Row],[DATE]])</f>
        <v>18</v>
      </c>
      <c r="O426" s="12" t="str">
        <f>TEXT(InputData[[#This Row],[DATE]],"MMM")</f>
        <v>Aug</v>
      </c>
      <c r="P426" s="12">
        <f>YEAR(InputData[[#This Row],[DATE]])</f>
        <v>2022</v>
      </c>
    </row>
    <row r="427" spans="1:16" x14ac:dyDescent="0.3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4">
        <f>VLOOKUP(InputData[[#This Row],[PRODUCT ID]],MasterData[],5,0)</f>
        <v>43</v>
      </c>
      <c r="K427" s="14">
        <f>VLOOKUP(InputData[[#This Row],[PRODUCT ID]],MasterData[],6,0)</f>
        <v>47.730000000000004</v>
      </c>
      <c r="L427" s="14">
        <f>InputData[[#This Row],[QUANTITY]]*InputData[[#This Row],[BUYING PRIZE]]</f>
        <v>129</v>
      </c>
      <c r="M427" s="14">
        <f>InputData[[#This Row],[QUANTITY]]*InputData[[#This Row],[SELLING PRICE]]*(1-InputData[[#This Row],[DISCOUNT %]])</f>
        <v>143.19</v>
      </c>
      <c r="N427" s="12">
        <f>DAY(InputData[[#This Row],[DATE]])</f>
        <v>19</v>
      </c>
      <c r="O427" s="12" t="str">
        <f>TEXT(InputData[[#This Row],[DATE]],"MMM")</f>
        <v>Aug</v>
      </c>
      <c r="P427" s="12">
        <f>YEAR(InputData[[#This Row],[DATE]])</f>
        <v>2022</v>
      </c>
    </row>
    <row r="428" spans="1:16" x14ac:dyDescent="0.3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4">
        <f>VLOOKUP(InputData[[#This Row],[PRODUCT ID]],MasterData[],5,0)</f>
        <v>141</v>
      </c>
      <c r="K428" s="14">
        <f>VLOOKUP(InputData[[#This Row],[PRODUCT ID]],MasterData[],6,0)</f>
        <v>149.46</v>
      </c>
      <c r="L428" s="14">
        <f>InputData[[#This Row],[QUANTITY]]*InputData[[#This Row],[BUYING PRIZE]]</f>
        <v>1833</v>
      </c>
      <c r="M428" s="14">
        <f>InputData[[#This Row],[QUANTITY]]*InputData[[#This Row],[SELLING PRICE]]*(1-InputData[[#This Row],[DISCOUNT %]])</f>
        <v>1942.98</v>
      </c>
      <c r="N428" s="12">
        <f>DAY(InputData[[#This Row],[DATE]])</f>
        <v>20</v>
      </c>
      <c r="O428" s="12" t="str">
        <f>TEXT(InputData[[#This Row],[DATE]],"MMM")</f>
        <v>Aug</v>
      </c>
      <c r="P428" s="12">
        <f>YEAR(InputData[[#This Row],[DATE]])</f>
        <v>2022</v>
      </c>
    </row>
    <row r="429" spans="1:16" x14ac:dyDescent="0.3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4">
        <f>VLOOKUP(InputData[[#This Row],[PRODUCT ID]],MasterData[],5,0)</f>
        <v>95</v>
      </c>
      <c r="K429" s="14">
        <f>VLOOKUP(InputData[[#This Row],[PRODUCT ID]],MasterData[],6,0)</f>
        <v>119.7</v>
      </c>
      <c r="L429" s="14">
        <f>InputData[[#This Row],[QUANTITY]]*InputData[[#This Row],[BUYING PRIZE]]</f>
        <v>1330</v>
      </c>
      <c r="M429" s="14">
        <f>InputData[[#This Row],[QUANTITY]]*InputData[[#This Row],[SELLING PRICE]]*(1-InputData[[#This Row],[DISCOUNT %]])</f>
        <v>1675.8</v>
      </c>
      <c r="N429" s="12">
        <f>DAY(InputData[[#This Row],[DATE]])</f>
        <v>20</v>
      </c>
      <c r="O429" s="12" t="str">
        <f>TEXT(InputData[[#This Row],[DATE]],"MMM")</f>
        <v>Aug</v>
      </c>
      <c r="P429" s="12">
        <f>YEAR(InputData[[#This Row],[DATE]])</f>
        <v>2022</v>
      </c>
    </row>
    <row r="430" spans="1:16" x14ac:dyDescent="0.3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4">
        <f>VLOOKUP(InputData[[#This Row],[PRODUCT ID]],MasterData[],5,0)</f>
        <v>13</v>
      </c>
      <c r="K430" s="14">
        <f>VLOOKUP(InputData[[#This Row],[PRODUCT ID]],MasterData[],6,0)</f>
        <v>16.64</v>
      </c>
      <c r="L430" s="14">
        <f>InputData[[#This Row],[QUANTITY]]*InputData[[#This Row],[BUYING PRIZE]]</f>
        <v>52</v>
      </c>
      <c r="M430" s="14">
        <f>InputData[[#This Row],[QUANTITY]]*InputData[[#This Row],[SELLING PRICE]]*(1-InputData[[#This Row],[DISCOUNT %]])</f>
        <v>66.56</v>
      </c>
      <c r="N430" s="12">
        <f>DAY(InputData[[#This Row],[DATE]])</f>
        <v>21</v>
      </c>
      <c r="O430" s="12" t="str">
        <f>TEXT(InputData[[#This Row],[DATE]],"MMM")</f>
        <v>Aug</v>
      </c>
      <c r="P430" s="12">
        <f>YEAR(InputData[[#This Row],[DATE]])</f>
        <v>2022</v>
      </c>
    </row>
    <row r="431" spans="1:16" x14ac:dyDescent="0.3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4">
        <f>VLOOKUP(InputData[[#This Row],[PRODUCT ID]],MasterData[],5,0)</f>
        <v>76</v>
      </c>
      <c r="K431" s="14">
        <f>VLOOKUP(InputData[[#This Row],[PRODUCT ID]],MasterData[],6,0)</f>
        <v>82.08</v>
      </c>
      <c r="L431" s="14">
        <f>InputData[[#This Row],[QUANTITY]]*InputData[[#This Row],[BUYING PRIZE]]</f>
        <v>836</v>
      </c>
      <c r="M431" s="14">
        <f>InputData[[#This Row],[QUANTITY]]*InputData[[#This Row],[SELLING PRICE]]*(1-InputData[[#This Row],[DISCOUNT %]])</f>
        <v>902.88</v>
      </c>
      <c r="N431" s="12">
        <f>DAY(InputData[[#This Row],[DATE]])</f>
        <v>23</v>
      </c>
      <c r="O431" s="12" t="str">
        <f>TEXT(InputData[[#This Row],[DATE]],"MMM")</f>
        <v>Aug</v>
      </c>
      <c r="P431" s="12">
        <f>YEAR(InputData[[#This Row],[DATE]])</f>
        <v>2022</v>
      </c>
    </row>
    <row r="432" spans="1:16" x14ac:dyDescent="0.3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4">
        <f>VLOOKUP(InputData[[#This Row],[PRODUCT ID]],MasterData[],5,0)</f>
        <v>47</v>
      </c>
      <c r="K432" s="14">
        <f>VLOOKUP(InputData[[#This Row],[PRODUCT ID]],MasterData[],6,0)</f>
        <v>53.11</v>
      </c>
      <c r="L432" s="14">
        <f>InputData[[#This Row],[QUANTITY]]*InputData[[#This Row],[BUYING PRIZE]]</f>
        <v>658</v>
      </c>
      <c r="M432" s="14">
        <f>InputData[[#This Row],[QUANTITY]]*InputData[[#This Row],[SELLING PRICE]]*(1-InputData[[#This Row],[DISCOUNT %]])</f>
        <v>743.54</v>
      </c>
      <c r="N432" s="12">
        <f>DAY(InputData[[#This Row],[DATE]])</f>
        <v>23</v>
      </c>
      <c r="O432" s="12" t="str">
        <f>TEXT(InputData[[#This Row],[DATE]],"MMM")</f>
        <v>Aug</v>
      </c>
      <c r="P432" s="12">
        <f>YEAR(InputData[[#This Row],[DATE]])</f>
        <v>2022</v>
      </c>
    </row>
    <row r="433" spans="1:16" x14ac:dyDescent="0.3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4">
        <f>VLOOKUP(InputData[[#This Row],[PRODUCT ID]],MasterData[],5,0)</f>
        <v>133</v>
      </c>
      <c r="K433" s="14">
        <f>VLOOKUP(InputData[[#This Row],[PRODUCT ID]],MasterData[],6,0)</f>
        <v>155.61000000000001</v>
      </c>
      <c r="L433" s="14">
        <f>InputData[[#This Row],[QUANTITY]]*InputData[[#This Row],[BUYING PRIZE]]</f>
        <v>665</v>
      </c>
      <c r="M433" s="14">
        <f>InputData[[#This Row],[QUANTITY]]*InputData[[#This Row],[SELLING PRICE]]*(1-InputData[[#This Row],[DISCOUNT %]])</f>
        <v>778.05000000000007</v>
      </c>
      <c r="N433" s="12">
        <f>DAY(InputData[[#This Row],[DATE]])</f>
        <v>24</v>
      </c>
      <c r="O433" s="12" t="str">
        <f>TEXT(InputData[[#This Row],[DATE]],"MMM")</f>
        <v>Aug</v>
      </c>
      <c r="P433" s="12">
        <f>YEAR(InputData[[#This Row],[DATE]])</f>
        <v>2022</v>
      </c>
    </row>
    <row r="434" spans="1:16" x14ac:dyDescent="0.3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4">
        <f>VLOOKUP(InputData[[#This Row],[PRODUCT ID]],MasterData[],5,0)</f>
        <v>150</v>
      </c>
      <c r="K434" s="14">
        <f>VLOOKUP(InputData[[#This Row],[PRODUCT ID]],MasterData[],6,0)</f>
        <v>210</v>
      </c>
      <c r="L434" s="14">
        <f>InputData[[#This Row],[QUANTITY]]*InputData[[#This Row],[BUYING PRIZE]]</f>
        <v>1950</v>
      </c>
      <c r="M434" s="14">
        <f>InputData[[#This Row],[QUANTITY]]*InputData[[#This Row],[SELLING PRICE]]*(1-InputData[[#This Row],[DISCOUNT %]])</f>
        <v>2730</v>
      </c>
      <c r="N434" s="12">
        <f>DAY(InputData[[#This Row],[DATE]])</f>
        <v>26</v>
      </c>
      <c r="O434" s="12" t="str">
        <f>TEXT(InputData[[#This Row],[DATE]],"MMM")</f>
        <v>Aug</v>
      </c>
      <c r="P434" s="12">
        <f>YEAR(InputData[[#This Row],[DATE]])</f>
        <v>2022</v>
      </c>
    </row>
    <row r="435" spans="1:16" x14ac:dyDescent="0.3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4">
        <f>VLOOKUP(InputData[[#This Row],[PRODUCT ID]],MasterData[],5,0)</f>
        <v>67</v>
      </c>
      <c r="K435" s="14">
        <f>VLOOKUP(InputData[[#This Row],[PRODUCT ID]],MasterData[],6,0)</f>
        <v>85.76</v>
      </c>
      <c r="L435" s="14">
        <f>InputData[[#This Row],[QUANTITY]]*InputData[[#This Row],[BUYING PRIZE]]</f>
        <v>536</v>
      </c>
      <c r="M435" s="14">
        <f>InputData[[#This Row],[QUANTITY]]*InputData[[#This Row],[SELLING PRICE]]*(1-InputData[[#This Row],[DISCOUNT %]])</f>
        <v>686.08</v>
      </c>
      <c r="N435" s="12">
        <f>DAY(InputData[[#This Row],[DATE]])</f>
        <v>26</v>
      </c>
      <c r="O435" s="12" t="str">
        <f>TEXT(InputData[[#This Row],[DATE]],"MMM")</f>
        <v>Aug</v>
      </c>
      <c r="P435" s="12">
        <f>YEAR(InputData[[#This Row],[DATE]])</f>
        <v>2022</v>
      </c>
    </row>
    <row r="436" spans="1:16" x14ac:dyDescent="0.3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4">
        <f>VLOOKUP(InputData[[#This Row],[PRODUCT ID]],MasterData[],5,0)</f>
        <v>37</v>
      </c>
      <c r="K436" s="14">
        <f>VLOOKUP(InputData[[#This Row],[PRODUCT ID]],MasterData[],6,0)</f>
        <v>42.55</v>
      </c>
      <c r="L436" s="14">
        <f>InputData[[#This Row],[QUANTITY]]*InputData[[#This Row],[BUYING PRIZE]]</f>
        <v>555</v>
      </c>
      <c r="M436" s="14">
        <f>InputData[[#This Row],[QUANTITY]]*InputData[[#This Row],[SELLING PRICE]]*(1-InputData[[#This Row],[DISCOUNT %]])</f>
        <v>638.25</v>
      </c>
      <c r="N436" s="12">
        <f>DAY(InputData[[#This Row],[DATE]])</f>
        <v>27</v>
      </c>
      <c r="O436" s="12" t="str">
        <f>TEXT(InputData[[#This Row],[DATE]],"MMM")</f>
        <v>Aug</v>
      </c>
      <c r="P436" s="12">
        <f>YEAR(InputData[[#This Row],[DATE]])</f>
        <v>2022</v>
      </c>
    </row>
    <row r="437" spans="1:16" x14ac:dyDescent="0.3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4">
        <f>VLOOKUP(InputData[[#This Row],[PRODUCT ID]],MasterData[],5,0)</f>
        <v>133</v>
      </c>
      <c r="K437" s="14">
        <f>VLOOKUP(InputData[[#This Row],[PRODUCT ID]],MasterData[],6,0)</f>
        <v>155.61000000000001</v>
      </c>
      <c r="L437" s="14">
        <f>InputData[[#This Row],[QUANTITY]]*InputData[[#This Row],[BUYING PRIZE]]</f>
        <v>1197</v>
      </c>
      <c r="M437" s="14">
        <f>InputData[[#This Row],[QUANTITY]]*InputData[[#This Row],[SELLING PRICE]]*(1-InputData[[#This Row],[DISCOUNT %]])</f>
        <v>1400.4900000000002</v>
      </c>
      <c r="N437" s="12">
        <f>DAY(InputData[[#This Row],[DATE]])</f>
        <v>28</v>
      </c>
      <c r="O437" s="12" t="str">
        <f>TEXT(InputData[[#This Row],[DATE]],"MMM")</f>
        <v>Aug</v>
      </c>
      <c r="P437" s="12">
        <f>YEAR(InputData[[#This Row],[DATE]])</f>
        <v>2022</v>
      </c>
    </row>
    <row r="438" spans="1:16" x14ac:dyDescent="0.3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4">
        <f>VLOOKUP(InputData[[#This Row],[PRODUCT ID]],MasterData[],5,0)</f>
        <v>37</v>
      </c>
      <c r="K438" s="14">
        <f>VLOOKUP(InputData[[#This Row],[PRODUCT ID]],MasterData[],6,0)</f>
        <v>42.55</v>
      </c>
      <c r="L438" s="14">
        <f>InputData[[#This Row],[QUANTITY]]*InputData[[#This Row],[BUYING PRIZE]]</f>
        <v>185</v>
      </c>
      <c r="M438" s="14">
        <f>InputData[[#This Row],[QUANTITY]]*InputData[[#This Row],[SELLING PRICE]]*(1-InputData[[#This Row],[DISCOUNT %]])</f>
        <v>212.75</v>
      </c>
      <c r="N438" s="12">
        <f>DAY(InputData[[#This Row],[DATE]])</f>
        <v>28</v>
      </c>
      <c r="O438" s="12" t="str">
        <f>TEXT(InputData[[#This Row],[DATE]],"MMM")</f>
        <v>Aug</v>
      </c>
      <c r="P438" s="12">
        <f>YEAR(InputData[[#This Row],[DATE]])</f>
        <v>2022</v>
      </c>
    </row>
    <row r="439" spans="1:16" x14ac:dyDescent="0.3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4">
        <f>VLOOKUP(InputData[[#This Row],[PRODUCT ID]],MasterData[],5,0)</f>
        <v>75</v>
      </c>
      <c r="K439" s="14">
        <f>VLOOKUP(InputData[[#This Row],[PRODUCT ID]],MasterData[],6,0)</f>
        <v>85.5</v>
      </c>
      <c r="L439" s="14">
        <f>InputData[[#This Row],[QUANTITY]]*InputData[[#This Row],[BUYING PRIZE]]</f>
        <v>450</v>
      </c>
      <c r="M439" s="14">
        <f>InputData[[#This Row],[QUANTITY]]*InputData[[#This Row],[SELLING PRICE]]*(1-InputData[[#This Row],[DISCOUNT %]])</f>
        <v>513</v>
      </c>
      <c r="N439" s="12">
        <f>DAY(InputData[[#This Row],[DATE]])</f>
        <v>30</v>
      </c>
      <c r="O439" s="12" t="str">
        <f>TEXT(InputData[[#This Row],[DATE]],"MMM")</f>
        <v>Aug</v>
      </c>
      <c r="P439" s="12">
        <f>YEAR(InputData[[#This Row],[DATE]])</f>
        <v>2022</v>
      </c>
    </row>
    <row r="440" spans="1:16" x14ac:dyDescent="0.3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4">
        <f>VLOOKUP(InputData[[#This Row],[PRODUCT ID]],MasterData[],5,0)</f>
        <v>67</v>
      </c>
      <c r="K440" s="14">
        <f>VLOOKUP(InputData[[#This Row],[PRODUCT ID]],MasterData[],6,0)</f>
        <v>83.08</v>
      </c>
      <c r="L440" s="14">
        <f>InputData[[#This Row],[QUANTITY]]*InputData[[#This Row],[BUYING PRIZE]]</f>
        <v>402</v>
      </c>
      <c r="M440" s="14">
        <f>InputData[[#This Row],[QUANTITY]]*InputData[[#This Row],[SELLING PRICE]]*(1-InputData[[#This Row],[DISCOUNT %]])</f>
        <v>498.48</v>
      </c>
      <c r="N440" s="12">
        <f>DAY(InputData[[#This Row],[DATE]])</f>
        <v>30</v>
      </c>
      <c r="O440" s="12" t="str">
        <f>TEXT(InputData[[#This Row],[DATE]],"MMM")</f>
        <v>Aug</v>
      </c>
      <c r="P440" s="12">
        <f>YEAR(InputData[[#This Row],[DATE]])</f>
        <v>2022</v>
      </c>
    </row>
    <row r="441" spans="1:16" x14ac:dyDescent="0.3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4">
        <f>VLOOKUP(InputData[[#This Row],[PRODUCT ID]],MasterData[],5,0)</f>
        <v>7</v>
      </c>
      <c r="K441" s="14">
        <f>VLOOKUP(InputData[[#This Row],[PRODUCT ID]],MasterData[],6,0)</f>
        <v>8.33</v>
      </c>
      <c r="L441" s="14">
        <f>InputData[[#This Row],[QUANTITY]]*InputData[[#This Row],[BUYING PRIZE]]</f>
        <v>35</v>
      </c>
      <c r="M441" s="14">
        <f>InputData[[#This Row],[QUANTITY]]*InputData[[#This Row],[SELLING PRICE]]*(1-InputData[[#This Row],[DISCOUNT %]])</f>
        <v>41.65</v>
      </c>
      <c r="N441" s="12">
        <f>DAY(InputData[[#This Row],[DATE]])</f>
        <v>30</v>
      </c>
      <c r="O441" s="12" t="str">
        <f>TEXT(InputData[[#This Row],[DATE]],"MMM")</f>
        <v>Aug</v>
      </c>
      <c r="P441" s="12">
        <f>YEAR(InputData[[#This Row],[DATE]])</f>
        <v>2022</v>
      </c>
    </row>
    <row r="442" spans="1:16" x14ac:dyDescent="0.3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4">
        <f>VLOOKUP(InputData[[#This Row],[PRODUCT ID]],MasterData[],5,0)</f>
        <v>12</v>
      </c>
      <c r="K442" s="14">
        <f>VLOOKUP(InputData[[#This Row],[PRODUCT ID]],MasterData[],6,0)</f>
        <v>15.719999999999999</v>
      </c>
      <c r="L442" s="14">
        <f>InputData[[#This Row],[QUANTITY]]*InputData[[#This Row],[BUYING PRIZE]]</f>
        <v>156</v>
      </c>
      <c r="M442" s="14">
        <f>InputData[[#This Row],[QUANTITY]]*InputData[[#This Row],[SELLING PRICE]]*(1-InputData[[#This Row],[DISCOUNT %]])</f>
        <v>204.35999999999999</v>
      </c>
      <c r="N442" s="12">
        <f>DAY(InputData[[#This Row],[DATE]])</f>
        <v>31</v>
      </c>
      <c r="O442" s="12" t="str">
        <f>TEXT(InputData[[#This Row],[DATE]],"MMM")</f>
        <v>Aug</v>
      </c>
      <c r="P442" s="12">
        <f>YEAR(InputData[[#This Row],[DATE]])</f>
        <v>2022</v>
      </c>
    </row>
    <row r="443" spans="1:16" x14ac:dyDescent="0.3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4">
        <f>VLOOKUP(InputData[[#This Row],[PRODUCT ID]],MasterData[],5,0)</f>
        <v>105</v>
      </c>
      <c r="K443" s="14">
        <f>VLOOKUP(InputData[[#This Row],[PRODUCT ID]],MasterData[],6,0)</f>
        <v>142.80000000000001</v>
      </c>
      <c r="L443" s="14">
        <f>InputData[[#This Row],[QUANTITY]]*InputData[[#This Row],[BUYING PRIZE]]</f>
        <v>105</v>
      </c>
      <c r="M443" s="14">
        <f>InputData[[#This Row],[QUANTITY]]*InputData[[#This Row],[SELLING PRICE]]*(1-InputData[[#This Row],[DISCOUNT %]])</f>
        <v>142.80000000000001</v>
      </c>
      <c r="N443" s="12">
        <f>DAY(InputData[[#This Row],[DATE]])</f>
        <v>4</v>
      </c>
      <c r="O443" s="12" t="str">
        <f>TEXT(InputData[[#This Row],[DATE]],"MMM")</f>
        <v>Sep</v>
      </c>
      <c r="P443" s="12">
        <f>YEAR(InputData[[#This Row],[DATE]])</f>
        <v>2022</v>
      </c>
    </row>
    <row r="444" spans="1:16" x14ac:dyDescent="0.3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4">
        <f>VLOOKUP(InputData[[#This Row],[PRODUCT ID]],MasterData[],5,0)</f>
        <v>133</v>
      </c>
      <c r="K444" s="14">
        <f>VLOOKUP(InputData[[#This Row],[PRODUCT ID]],MasterData[],6,0)</f>
        <v>155.61000000000001</v>
      </c>
      <c r="L444" s="14">
        <f>InputData[[#This Row],[QUANTITY]]*InputData[[#This Row],[BUYING PRIZE]]</f>
        <v>1596</v>
      </c>
      <c r="M444" s="14">
        <f>InputData[[#This Row],[QUANTITY]]*InputData[[#This Row],[SELLING PRICE]]*(1-InputData[[#This Row],[DISCOUNT %]])</f>
        <v>1867.3200000000002</v>
      </c>
      <c r="N444" s="12">
        <f>DAY(InputData[[#This Row],[DATE]])</f>
        <v>6</v>
      </c>
      <c r="O444" s="12" t="str">
        <f>TEXT(InputData[[#This Row],[DATE]],"MMM")</f>
        <v>Sep</v>
      </c>
      <c r="P444" s="12">
        <f>YEAR(InputData[[#This Row],[DATE]])</f>
        <v>2022</v>
      </c>
    </row>
    <row r="445" spans="1:16" x14ac:dyDescent="0.3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4">
        <f>VLOOKUP(InputData[[#This Row],[PRODUCT ID]],MasterData[],5,0)</f>
        <v>138</v>
      </c>
      <c r="K445" s="14">
        <f>VLOOKUP(InputData[[#This Row],[PRODUCT ID]],MasterData[],6,0)</f>
        <v>173.88</v>
      </c>
      <c r="L445" s="14">
        <f>InputData[[#This Row],[QUANTITY]]*InputData[[#This Row],[BUYING PRIZE]]</f>
        <v>1242</v>
      </c>
      <c r="M445" s="14">
        <f>InputData[[#This Row],[QUANTITY]]*InputData[[#This Row],[SELLING PRICE]]*(1-InputData[[#This Row],[DISCOUNT %]])</f>
        <v>1564.92</v>
      </c>
      <c r="N445" s="12">
        <f>DAY(InputData[[#This Row],[DATE]])</f>
        <v>9</v>
      </c>
      <c r="O445" s="12" t="str">
        <f>TEXT(InputData[[#This Row],[DATE]],"MMM")</f>
        <v>Sep</v>
      </c>
      <c r="P445" s="12">
        <f>YEAR(InputData[[#This Row],[DATE]])</f>
        <v>2022</v>
      </c>
    </row>
    <row r="446" spans="1:16" x14ac:dyDescent="0.3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4">
        <f>VLOOKUP(InputData[[#This Row],[PRODUCT ID]],MasterData[],5,0)</f>
        <v>71</v>
      </c>
      <c r="K446" s="14">
        <f>VLOOKUP(InputData[[#This Row],[PRODUCT ID]],MasterData[],6,0)</f>
        <v>80.94</v>
      </c>
      <c r="L446" s="14">
        <f>InputData[[#This Row],[QUANTITY]]*InputData[[#This Row],[BUYING PRIZE]]</f>
        <v>213</v>
      </c>
      <c r="M446" s="14">
        <f>InputData[[#This Row],[QUANTITY]]*InputData[[#This Row],[SELLING PRICE]]*(1-InputData[[#This Row],[DISCOUNT %]])</f>
        <v>242.82</v>
      </c>
      <c r="N446" s="12">
        <f>DAY(InputData[[#This Row],[DATE]])</f>
        <v>9</v>
      </c>
      <c r="O446" s="12" t="str">
        <f>TEXT(InputData[[#This Row],[DATE]],"MMM")</f>
        <v>Sep</v>
      </c>
      <c r="P446" s="12">
        <f>YEAR(InputData[[#This Row],[DATE]])</f>
        <v>2022</v>
      </c>
    </row>
    <row r="447" spans="1:16" x14ac:dyDescent="0.3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4">
        <f>VLOOKUP(InputData[[#This Row],[PRODUCT ID]],MasterData[],5,0)</f>
        <v>5</v>
      </c>
      <c r="K447" s="14">
        <f>VLOOKUP(InputData[[#This Row],[PRODUCT ID]],MasterData[],6,0)</f>
        <v>6.7</v>
      </c>
      <c r="L447" s="14">
        <f>InputData[[#This Row],[QUANTITY]]*InputData[[#This Row],[BUYING PRIZE]]</f>
        <v>75</v>
      </c>
      <c r="M447" s="14">
        <f>InputData[[#This Row],[QUANTITY]]*InputData[[#This Row],[SELLING PRICE]]*(1-InputData[[#This Row],[DISCOUNT %]])</f>
        <v>100.5</v>
      </c>
      <c r="N447" s="12">
        <f>DAY(InputData[[#This Row],[DATE]])</f>
        <v>10</v>
      </c>
      <c r="O447" s="12" t="str">
        <f>TEXT(InputData[[#This Row],[DATE]],"MMM")</f>
        <v>Sep</v>
      </c>
      <c r="P447" s="12">
        <f>YEAR(InputData[[#This Row],[DATE]])</f>
        <v>2022</v>
      </c>
    </row>
    <row r="448" spans="1:16" x14ac:dyDescent="0.3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4">
        <f>VLOOKUP(InputData[[#This Row],[PRODUCT ID]],MasterData[],5,0)</f>
        <v>72</v>
      </c>
      <c r="K448" s="14">
        <f>VLOOKUP(InputData[[#This Row],[PRODUCT ID]],MasterData[],6,0)</f>
        <v>79.92</v>
      </c>
      <c r="L448" s="14">
        <f>InputData[[#This Row],[QUANTITY]]*InputData[[#This Row],[BUYING PRIZE]]</f>
        <v>288</v>
      </c>
      <c r="M448" s="14">
        <f>InputData[[#This Row],[QUANTITY]]*InputData[[#This Row],[SELLING PRICE]]*(1-InputData[[#This Row],[DISCOUNT %]])</f>
        <v>319.68</v>
      </c>
      <c r="N448" s="12">
        <f>DAY(InputData[[#This Row],[DATE]])</f>
        <v>10</v>
      </c>
      <c r="O448" s="12" t="str">
        <f>TEXT(InputData[[#This Row],[DATE]],"MMM")</f>
        <v>Sep</v>
      </c>
      <c r="P448" s="12">
        <f>YEAR(InputData[[#This Row],[DATE]])</f>
        <v>2022</v>
      </c>
    </row>
    <row r="449" spans="1:16" x14ac:dyDescent="0.3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4">
        <f>VLOOKUP(InputData[[#This Row],[PRODUCT ID]],MasterData[],5,0)</f>
        <v>47</v>
      </c>
      <c r="K449" s="14">
        <f>VLOOKUP(InputData[[#This Row],[PRODUCT ID]],MasterData[],6,0)</f>
        <v>53.11</v>
      </c>
      <c r="L449" s="14">
        <f>InputData[[#This Row],[QUANTITY]]*InputData[[#This Row],[BUYING PRIZE]]</f>
        <v>141</v>
      </c>
      <c r="M449" s="14">
        <f>InputData[[#This Row],[QUANTITY]]*InputData[[#This Row],[SELLING PRICE]]*(1-InputData[[#This Row],[DISCOUNT %]])</f>
        <v>159.32999999999998</v>
      </c>
      <c r="N449" s="12">
        <f>DAY(InputData[[#This Row],[DATE]])</f>
        <v>14</v>
      </c>
      <c r="O449" s="12" t="str">
        <f>TEXT(InputData[[#This Row],[DATE]],"MMM")</f>
        <v>Sep</v>
      </c>
      <c r="P449" s="12">
        <f>YEAR(InputData[[#This Row],[DATE]])</f>
        <v>2022</v>
      </c>
    </row>
    <row r="450" spans="1:16" x14ac:dyDescent="0.3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4">
        <f>VLOOKUP(InputData[[#This Row],[PRODUCT ID]],MasterData[],5,0)</f>
        <v>67</v>
      </c>
      <c r="K450" s="14">
        <f>VLOOKUP(InputData[[#This Row],[PRODUCT ID]],MasterData[],6,0)</f>
        <v>85.76</v>
      </c>
      <c r="L450" s="14">
        <f>InputData[[#This Row],[QUANTITY]]*InputData[[#This Row],[BUYING PRIZE]]</f>
        <v>1005</v>
      </c>
      <c r="M450" s="14">
        <f>InputData[[#This Row],[QUANTITY]]*InputData[[#This Row],[SELLING PRICE]]*(1-InputData[[#This Row],[DISCOUNT %]])</f>
        <v>1286.4000000000001</v>
      </c>
      <c r="N450" s="12">
        <f>DAY(InputData[[#This Row],[DATE]])</f>
        <v>15</v>
      </c>
      <c r="O450" s="12" t="str">
        <f>TEXT(InputData[[#This Row],[DATE]],"MMM")</f>
        <v>Sep</v>
      </c>
      <c r="P450" s="12">
        <f>YEAR(InputData[[#This Row],[DATE]])</f>
        <v>2022</v>
      </c>
    </row>
    <row r="451" spans="1:16" x14ac:dyDescent="0.3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4">
        <f>VLOOKUP(InputData[[#This Row],[PRODUCT ID]],MasterData[],5,0)</f>
        <v>18</v>
      </c>
      <c r="K451" s="14">
        <f>VLOOKUP(InputData[[#This Row],[PRODUCT ID]],MasterData[],6,0)</f>
        <v>24.66</v>
      </c>
      <c r="L451" s="14">
        <f>InputData[[#This Row],[QUANTITY]]*InputData[[#This Row],[BUYING PRIZE]]</f>
        <v>252</v>
      </c>
      <c r="M451" s="14">
        <f>InputData[[#This Row],[QUANTITY]]*InputData[[#This Row],[SELLING PRICE]]*(1-InputData[[#This Row],[DISCOUNT %]])</f>
        <v>345.24</v>
      </c>
      <c r="N451" s="12">
        <f>DAY(InputData[[#This Row],[DATE]])</f>
        <v>18</v>
      </c>
      <c r="O451" s="12" t="str">
        <f>TEXT(InputData[[#This Row],[DATE]],"MMM")</f>
        <v>Sep</v>
      </c>
      <c r="P451" s="12">
        <f>YEAR(InputData[[#This Row],[DATE]])</f>
        <v>2022</v>
      </c>
    </row>
    <row r="452" spans="1:16" x14ac:dyDescent="0.3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4">
        <f>VLOOKUP(InputData[[#This Row],[PRODUCT ID]],MasterData[],5,0)</f>
        <v>95</v>
      </c>
      <c r="K452" s="14">
        <f>VLOOKUP(InputData[[#This Row],[PRODUCT ID]],MasterData[],6,0)</f>
        <v>119.7</v>
      </c>
      <c r="L452" s="14">
        <f>InputData[[#This Row],[QUANTITY]]*InputData[[#This Row],[BUYING PRIZE]]</f>
        <v>760</v>
      </c>
      <c r="M452" s="14">
        <f>InputData[[#This Row],[QUANTITY]]*InputData[[#This Row],[SELLING PRICE]]*(1-InputData[[#This Row],[DISCOUNT %]])</f>
        <v>957.6</v>
      </c>
      <c r="N452" s="12">
        <f>DAY(InputData[[#This Row],[DATE]])</f>
        <v>19</v>
      </c>
      <c r="O452" s="12" t="str">
        <f>TEXT(InputData[[#This Row],[DATE]],"MMM")</f>
        <v>Sep</v>
      </c>
      <c r="P452" s="12">
        <f>YEAR(InputData[[#This Row],[DATE]])</f>
        <v>2022</v>
      </c>
    </row>
    <row r="453" spans="1:16" x14ac:dyDescent="0.3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4">
        <f>VLOOKUP(InputData[[#This Row],[PRODUCT ID]],MasterData[],5,0)</f>
        <v>95</v>
      </c>
      <c r="K453" s="14">
        <f>VLOOKUP(InputData[[#This Row],[PRODUCT ID]],MasterData[],6,0)</f>
        <v>119.7</v>
      </c>
      <c r="L453" s="14">
        <f>InputData[[#This Row],[QUANTITY]]*InputData[[#This Row],[BUYING PRIZE]]</f>
        <v>570</v>
      </c>
      <c r="M453" s="14">
        <f>InputData[[#This Row],[QUANTITY]]*InputData[[#This Row],[SELLING PRICE]]*(1-InputData[[#This Row],[DISCOUNT %]])</f>
        <v>718.2</v>
      </c>
      <c r="N453" s="12">
        <f>DAY(InputData[[#This Row],[DATE]])</f>
        <v>20</v>
      </c>
      <c r="O453" s="12" t="str">
        <f>TEXT(InputData[[#This Row],[DATE]],"MMM")</f>
        <v>Sep</v>
      </c>
      <c r="P453" s="12">
        <f>YEAR(InputData[[#This Row],[DATE]])</f>
        <v>2022</v>
      </c>
    </row>
    <row r="454" spans="1:16" x14ac:dyDescent="0.3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4">
        <f>VLOOKUP(InputData[[#This Row],[PRODUCT ID]],MasterData[],5,0)</f>
        <v>98</v>
      </c>
      <c r="K454" s="14">
        <f>VLOOKUP(InputData[[#This Row],[PRODUCT ID]],MasterData[],6,0)</f>
        <v>103.88</v>
      </c>
      <c r="L454" s="14">
        <f>InputData[[#This Row],[QUANTITY]]*InputData[[#This Row],[BUYING PRIZE]]</f>
        <v>980</v>
      </c>
      <c r="M454" s="14">
        <f>InputData[[#This Row],[QUANTITY]]*InputData[[#This Row],[SELLING PRICE]]*(1-InputData[[#This Row],[DISCOUNT %]])</f>
        <v>1038.8</v>
      </c>
      <c r="N454" s="12">
        <f>DAY(InputData[[#This Row],[DATE]])</f>
        <v>20</v>
      </c>
      <c r="O454" s="12" t="str">
        <f>TEXT(InputData[[#This Row],[DATE]],"MMM")</f>
        <v>Sep</v>
      </c>
      <c r="P454" s="12">
        <f>YEAR(InputData[[#This Row],[DATE]])</f>
        <v>2022</v>
      </c>
    </row>
    <row r="455" spans="1:16" x14ac:dyDescent="0.3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4">
        <f>VLOOKUP(InputData[[#This Row],[PRODUCT ID]],MasterData[],5,0)</f>
        <v>37</v>
      </c>
      <c r="K455" s="14">
        <f>VLOOKUP(InputData[[#This Row],[PRODUCT ID]],MasterData[],6,0)</f>
        <v>49.21</v>
      </c>
      <c r="L455" s="14">
        <f>InputData[[#This Row],[QUANTITY]]*InputData[[#This Row],[BUYING PRIZE]]</f>
        <v>518</v>
      </c>
      <c r="M455" s="14">
        <f>InputData[[#This Row],[QUANTITY]]*InputData[[#This Row],[SELLING PRICE]]*(1-InputData[[#This Row],[DISCOUNT %]])</f>
        <v>688.94</v>
      </c>
      <c r="N455" s="12">
        <f>DAY(InputData[[#This Row],[DATE]])</f>
        <v>21</v>
      </c>
      <c r="O455" s="12" t="str">
        <f>TEXT(InputData[[#This Row],[DATE]],"MMM")</f>
        <v>Sep</v>
      </c>
      <c r="P455" s="12">
        <f>YEAR(InputData[[#This Row],[DATE]])</f>
        <v>2022</v>
      </c>
    </row>
    <row r="456" spans="1:16" x14ac:dyDescent="0.3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4">
        <f>VLOOKUP(InputData[[#This Row],[PRODUCT ID]],MasterData[],5,0)</f>
        <v>18</v>
      </c>
      <c r="K456" s="14">
        <f>VLOOKUP(InputData[[#This Row],[PRODUCT ID]],MasterData[],6,0)</f>
        <v>24.66</v>
      </c>
      <c r="L456" s="14">
        <f>InputData[[#This Row],[QUANTITY]]*InputData[[#This Row],[BUYING PRIZE]]</f>
        <v>90</v>
      </c>
      <c r="M456" s="14">
        <f>InputData[[#This Row],[QUANTITY]]*InputData[[#This Row],[SELLING PRICE]]*(1-InputData[[#This Row],[DISCOUNT %]])</f>
        <v>123.3</v>
      </c>
      <c r="N456" s="12">
        <f>DAY(InputData[[#This Row],[DATE]])</f>
        <v>21</v>
      </c>
      <c r="O456" s="12" t="str">
        <f>TEXT(InputData[[#This Row],[DATE]],"MMM")</f>
        <v>Sep</v>
      </c>
      <c r="P456" s="12">
        <f>YEAR(InputData[[#This Row],[DATE]])</f>
        <v>2022</v>
      </c>
    </row>
    <row r="457" spans="1:16" x14ac:dyDescent="0.3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4">
        <f>VLOOKUP(InputData[[#This Row],[PRODUCT ID]],MasterData[],5,0)</f>
        <v>67</v>
      </c>
      <c r="K457" s="14">
        <f>VLOOKUP(InputData[[#This Row],[PRODUCT ID]],MasterData[],6,0)</f>
        <v>83.08</v>
      </c>
      <c r="L457" s="14">
        <f>InputData[[#This Row],[QUANTITY]]*InputData[[#This Row],[BUYING PRIZE]]</f>
        <v>804</v>
      </c>
      <c r="M457" s="14">
        <f>InputData[[#This Row],[QUANTITY]]*InputData[[#This Row],[SELLING PRICE]]*(1-InputData[[#This Row],[DISCOUNT %]])</f>
        <v>996.96</v>
      </c>
      <c r="N457" s="12">
        <f>DAY(InputData[[#This Row],[DATE]])</f>
        <v>22</v>
      </c>
      <c r="O457" s="12" t="str">
        <f>TEXT(InputData[[#This Row],[DATE]],"MMM")</f>
        <v>Sep</v>
      </c>
      <c r="P457" s="12">
        <f>YEAR(InputData[[#This Row],[DATE]])</f>
        <v>2022</v>
      </c>
    </row>
    <row r="458" spans="1:16" x14ac:dyDescent="0.3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4">
        <f>VLOOKUP(InputData[[#This Row],[PRODUCT ID]],MasterData[],5,0)</f>
        <v>73</v>
      </c>
      <c r="K458" s="14">
        <f>VLOOKUP(InputData[[#This Row],[PRODUCT ID]],MasterData[],6,0)</f>
        <v>94.17</v>
      </c>
      <c r="L458" s="14">
        <f>InputData[[#This Row],[QUANTITY]]*InputData[[#This Row],[BUYING PRIZE]]</f>
        <v>876</v>
      </c>
      <c r="M458" s="14">
        <f>InputData[[#This Row],[QUANTITY]]*InputData[[#This Row],[SELLING PRICE]]*(1-InputData[[#This Row],[DISCOUNT %]])</f>
        <v>1130.04</v>
      </c>
      <c r="N458" s="12">
        <f>DAY(InputData[[#This Row],[DATE]])</f>
        <v>23</v>
      </c>
      <c r="O458" s="12" t="str">
        <f>TEXT(InputData[[#This Row],[DATE]],"MMM")</f>
        <v>Sep</v>
      </c>
      <c r="P458" s="12">
        <f>YEAR(InputData[[#This Row],[DATE]])</f>
        <v>2022</v>
      </c>
    </row>
    <row r="459" spans="1:16" x14ac:dyDescent="0.3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4">
        <f>VLOOKUP(InputData[[#This Row],[PRODUCT ID]],MasterData[],5,0)</f>
        <v>89</v>
      </c>
      <c r="K459" s="14">
        <f>VLOOKUP(InputData[[#This Row],[PRODUCT ID]],MasterData[],6,0)</f>
        <v>117.48</v>
      </c>
      <c r="L459" s="14">
        <f>InputData[[#This Row],[QUANTITY]]*InputData[[#This Row],[BUYING PRIZE]]</f>
        <v>1246</v>
      </c>
      <c r="M459" s="14">
        <f>InputData[[#This Row],[QUANTITY]]*InputData[[#This Row],[SELLING PRICE]]*(1-InputData[[#This Row],[DISCOUNT %]])</f>
        <v>1644.72</v>
      </c>
      <c r="N459" s="12">
        <f>DAY(InputData[[#This Row],[DATE]])</f>
        <v>24</v>
      </c>
      <c r="O459" s="12" t="str">
        <f>TEXT(InputData[[#This Row],[DATE]],"MMM")</f>
        <v>Sep</v>
      </c>
      <c r="P459" s="12">
        <f>YEAR(InputData[[#This Row],[DATE]])</f>
        <v>2022</v>
      </c>
    </row>
    <row r="460" spans="1:16" x14ac:dyDescent="0.3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4">
        <f>VLOOKUP(InputData[[#This Row],[PRODUCT ID]],MasterData[],5,0)</f>
        <v>89</v>
      </c>
      <c r="K460" s="14">
        <f>VLOOKUP(InputData[[#This Row],[PRODUCT ID]],MasterData[],6,0)</f>
        <v>117.48</v>
      </c>
      <c r="L460" s="14">
        <f>InputData[[#This Row],[QUANTITY]]*InputData[[#This Row],[BUYING PRIZE]]</f>
        <v>712</v>
      </c>
      <c r="M460" s="14">
        <f>InputData[[#This Row],[QUANTITY]]*InputData[[#This Row],[SELLING PRICE]]*(1-InputData[[#This Row],[DISCOUNT %]])</f>
        <v>939.84</v>
      </c>
      <c r="N460" s="12">
        <f>DAY(InputData[[#This Row],[DATE]])</f>
        <v>24</v>
      </c>
      <c r="O460" s="12" t="str">
        <f>TEXT(InputData[[#This Row],[DATE]],"MMM")</f>
        <v>Sep</v>
      </c>
      <c r="P460" s="12">
        <f>YEAR(InputData[[#This Row],[DATE]])</f>
        <v>2022</v>
      </c>
    </row>
    <row r="461" spans="1:16" x14ac:dyDescent="0.3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4">
        <f>VLOOKUP(InputData[[#This Row],[PRODUCT ID]],MasterData[],5,0)</f>
        <v>90</v>
      </c>
      <c r="K461" s="14">
        <f>VLOOKUP(InputData[[#This Row],[PRODUCT ID]],MasterData[],6,0)</f>
        <v>96.3</v>
      </c>
      <c r="L461" s="14">
        <f>InputData[[#This Row],[QUANTITY]]*InputData[[#This Row],[BUYING PRIZE]]</f>
        <v>360</v>
      </c>
      <c r="M461" s="14">
        <f>InputData[[#This Row],[QUANTITY]]*InputData[[#This Row],[SELLING PRICE]]*(1-InputData[[#This Row],[DISCOUNT %]])</f>
        <v>385.2</v>
      </c>
      <c r="N461" s="12">
        <f>DAY(InputData[[#This Row],[DATE]])</f>
        <v>27</v>
      </c>
      <c r="O461" s="12" t="str">
        <f>TEXT(InputData[[#This Row],[DATE]],"MMM")</f>
        <v>Sep</v>
      </c>
      <c r="P461" s="12">
        <f>YEAR(InputData[[#This Row],[DATE]])</f>
        <v>2022</v>
      </c>
    </row>
    <row r="462" spans="1:16" x14ac:dyDescent="0.3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4">
        <f>VLOOKUP(InputData[[#This Row],[PRODUCT ID]],MasterData[],5,0)</f>
        <v>76</v>
      </c>
      <c r="K462" s="14">
        <f>VLOOKUP(InputData[[#This Row],[PRODUCT ID]],MasterData[],6,0)</f>
        <v>82.08</v>
      </c>
      <c r="L462" s="14">
        <f>InputData[[#This Row],[QUANTITY]]*InputData[[#This Row],[BUYING PRIZE]]</f>
        <v>684</v>
      </c>
      <c r="M462" s="14">
        <f>InputData[[#This Row],[QUANTITY]]*InputData[[#This Row],[SELLING PRICE]]*(1-InputData[[#This Row],[DISCOUNT %]])</f>
        <v>738.72</v>
      </c>
      <c r="N462" s="12">
        <f>DAY(InputData[[#This Row],[DATE]])</f>
        <v>27</v>
      </c>
      <c r="O462" s="12" t="str">
        <f>TEXT(InputData[[#This Row],[DATE]],"MMM")</f>
        <v>Sep</v>
      </c>
      <c r="P462" s="12">
        <f>YEAR(InputData[[#This Row],[DATE]])</f>
        <v>2022</v>
      </c>
    </row>
    <row r="463" spans="1:16" x14ac:dyDescent="0.3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4">
        <f>VLOOKUP(InputData[[#This Row],[PRODUCT ID]],MasterData[],5,0)</f>
        <v>72</v>
      </c>
      <c r="K463" s="14">
        <f>VLOOKUP(InputData[[#This Row],[PRODUCT ID]],MasterData[],6,0)</f>
        <v>79.92</v>
      </c>
      <c r="L463" s="14">
        <f>InputData[[#This Row],[QUANTITY]]*InputData[[#This Row],[BUYING PRIZE]]</f>
        <v>216</v>
      </c>
      <c r="M463" s="14">
        <f>InputData[[#This Row],[QUANTITY]]*InputData[[#This Row],[SELLING PRICE]]*(1-InputData[[#This Row],[DISCOUNT %]])</f>
        <v>239.76</v>
      </c>
      <c r="N463" s="12">
        <f>DAY(InputData[[#This Row],[DATE]])</f>
        <v>27</v>
      </c>
      <c r="O463" s="12" t="str">
        <f>TEXT(InputData[[#This Row],[DATE]],"MMM")</f>
        <v>Sep</v>
      </c>
      <c r="P463" s="12">
        <f>YEAR(InputData[[#This Row],[DATE]])</f>
        <v>2022</v>
      </c>
    </row>
    <row r="464" spans="1:16" x14ac:dyDescent="0.3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4">
        <f>VLOOKUP(InputData[[#This Row],[PRODUCT ID]],MasterData[],5,0)</f>
        <v>55</v>
      </c>
      <c r="K464" s="14">
        <f>VLOOKUP(InputData[[#This Row],[PRODUCT ID]],MasterData[],6,0)</f>
        <v>58.3</v>
      </c>
      <c r="L464" s="14">
        <f>InputData[[#This Row],[QUANTITY]]*InputData[[#This Row],[BUYING PRIZE]]</f>
        <v>715</v>
      </c>
      <c r="M464" s="14">
        <f>InputData[[#This Row],[QUANTITY]]*InputData[[#This Row],[SELLING PRICE]]*(1-InputData[[#This Row],[DISCOUNT %]])</f>
        <v>757.9</v>
      </c>
      <c r="N464" s="12">
        <f>DAY(InputData[[#This Row],[DATE]])</f>
        <v>29</v>
      </c>
      <c r="O464" s="12" t="str">
        <f>TEXT(InputData[[#This Row],[DATE]],"MMM")</f>
        <v>Sep</v>
      </c>
      <c r="P464" s="12">
        <f>YEAR(InputData[[#This Row],[DATE]])</f>
        <v>2022</v>
      </c>
    </row>
    <row r="465" spans="1:16" x14ac:dyDescent="0.3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4">
        <f>VLOOKUP(InputData[[#This Row],[PRODUCT ID]],MasterData[],5,0)</f>
        <v>44</v>
      </c>
      <c r="K465" s="14">
        <f>VLOOKUP(InputData[[#This Row],[PRODUCT ID]],MasterData[],6,0)</f>
        <v>48.4</v>
      </c>
      <c r="L465" s="14">
        <f>InputData[[#This Row],[QUANTITY]]*InputData[[#This Row],[BUYING PRIZE]]</f>
        <v>220</v>
      </c>
      <c r="M465" s="14">
        <f>InputData[[#This Row],[QUANTITY]]*InputData[[#This Row],[SELLING PRICE]]*(1-InputData[[#This Row],[DISCOUNT %]])</f>
        <v>242</v>
      </c>
      <c r="N465" s="12">
        <f>DAY(InputData[[#This Row],[DATE]])</f>
        <v>3</v>
      </c>
      <c r="O465" s="12" t="str">
        <f>TEXT(InputData[[#This Row],[DATE]],"MMM")</f>
        <v>Oct</v>
      </c>
      <c r="P465" s="12">
        <f>YEAR(InputData[[#This Row],[DATE]])</f>
        <v>2022</v>
      </c>
    </row>
    <row r="466" spans="1:16" x14ac:dyDescent="0.3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4">
        <f>VLOOKUP(InputData[[#This Row],[PRODUCT ID]],MasterData[],5,0)</f>
        <v>43</v>
      </c>
      <c r="K466" s="14">
        <f>VLOOKUP(InputData[[#This Row],[PRODUCT ID]],MasterData[],6,0)</f>
        <v>47.730000000000004</v>
      </c>
      <c r="L466" s="14">
        <f>InputData[[#This Row],[QUANTITY]]*InputData[[#This Row],[BUYING PRIZE]]</f>
        <v>645</v>
      </c>
      <c r="M466" s="14">
        <f>InputData[[#This Row],[QUANTITY]]*InputData[[#This Row],[SELLING PRICE]]*(1-InputData[[#This Row],[DISCOUNT %]])</f>
        <v>715.95</v>
      </c>
      <c r="N466" s="12">
        <f>DAY(InputData[[#This Row],[DATE]])</f>
        <v>4</v>
      </c>
      <c r="O466" s="12" t="str">
        <f>TEXT(InputData[[#This Row],[DATE]],"MMM")</f>
        <v>Oct</v>
      </c>
      <c r="P466" s="12">
        <f>YEAR(InputData[[#This Row],[DATE]])</f>
        <v>2022</v>
      </c>
    </row>
    <row r="467" spans="1:16" x14ac:dyDescent="0.3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4">
        <f>VLOOKUP(InputData[[#This Row],[PRODUCT ID]],MasterData[],5,0)</f>
        <v>5</v>
      </c>
      <c r="K467" s="14">
        <f>VLOOKUP(InputData[[#This Row],[PRODUCT ID]],MasterData[],6,0)</f>
        <v>6.7</v>
      </c>
      <c r="L467" s="14">
        <f>InputData[[#This Row],[QUANTITY]]*InputData[[#This Row],[BUYING PRIZE]]</f>
        <v>5</v>
      </c>
      <c r="M467" s="14">
        <f>InputData[[#This Row],[QUANTITY]]*InputData[[#This Row],[SELLING PRICE]]*(1-InputData[[#This Row],[DISCOUNT %]])</f>
        <v>6.7</v>
      </c>
      <c r="N467" s="12">
        <f>DAY(InputData[[#This Row],[DATE]])</f>
        <v>6</v>
      </c>
      <c r="O467" s="12" t="str">
        <f>TEXT(InputData[[#This Row],[DATE]],"MMM")</f>
        <v>Oct</v>
      </c>
      <c r="P467" s="12">
        <f>YEAR(InputData[[#This Row],[DATE]])</f>
        <v>2022</v>
      </c>
    </row>
    <row r="468" spans="1:16" x14ac:dyDescent="0.3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4">
        <f>VLOOKUP(InputData[[#This Row],[PRODUCT ID]],MasterData[],5,0)</f>
        <v>72</v>
      </c>
      <c r="K468" s="14">
        <f>VLOOKUP(InputData[[#This Row],[PRODUCT ID]],MasterData[],6,0)</f>
        <v>79.92</v>
      </c>
      <c r="L468" s="14">
        <f>InputData[[#This Row],[QUANTITY]]*InputData[[#This Row],[BUYING PRIZE]]</f>
        <v>1008</v>
      </c>
      <c r="M468" s="14">
        <f>InputData[[#This Row],[QUANTITY]]*InputData[[#This Row],[SELLING PRICE]]*(1-InputData[[#This Row],[DISCOUNT %]])</f>
        <v>1118.8800000000001</v>
      </c>
      <c r="N468" s="12">
        <f>DAY(InputData[[#This Row],[DATE]])</f>
        <v>9</v>
      </c>
      <c r="O468" s="12" t="str">
        <f>TEXT(InputData[[#This Row],[DATE]],"MMM")</f>
        <v>Oct</v>
      </c>
      <c r="P468" s="12">
        <f>YEAR(InputData[[#This Row],[DATE]])</f>
        <v>2022</v>
      </c>
    </row>
    <row r="469" spans="1:16" x14ac:dyDescent="0.3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4">
        <f>VLOOKUP(InputData[[#This Row],[PRODUCT ID]],MasterData[],5,0)</f>
        <v>150</v>
      </c>
      <c r="K469" s="14">
        <f>VLOOKUP(InputData[[#This Row],[PRODUCT ID]],MasterData[],6,0)</f>
        <v>210</v>
      </c>
      <c r="L469" s="14">
        <f>InputData[[#This Row],[QUANTITY]]*InputData[[#This Row],[BUYING PRIZE]]</f>
        <v>1350</v>
      </c>
      <c r="M469" s="14">
        <f>InputData[[#This Row],[QUANTITY]]*InputData[[#This Row],[SELLING PRICE]]*(1-InputData[[#This Row],[DISCOUNT %]])</f>
        <v>1890</v>
      </c>
      <c r="N469" s="12">
        <f>DAY(InputData[[#This Row],[DATE]])</f>
        <v>10</v>
      </c>
      <c r="O469" s="12" t="str">
        <f>TEXT(InputData[[#This Row],[DATE]],"MMM")</f>
        <v>Oct</v>
      </c>
      <c r="P469" s="12">
        <f>YEAR(InputData[[#This Row],[DATE]])</f>
        <v>2022</v>
      </c>
    </row>
    <row r="470" spans="1:16" x14ac:dyDescent="0.3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4">
        <f>VLOOKUP(InputData[[#This Row],[PRODUCT ID]],MasterData[],5,0)</f>
        <v>76</v>
      </c>
      <c r="K470" s="14">
        <f>VLOOKUP(InputData[[#This Row],[PRODUCT ID]],MasterData[],6,0)</f>
        <v>82.08</v>
      </c>
      <c r="L470" s="14">
        <f>InputData[[#This Row],[QUANTITY]]*InputData[[#This Row],[BUYING PRIZE]]</f>
        <v>912</v>
      </c>
      <c r="M470" s="14">
        <f>InputData[[#This Row],[QUANTITY]]*InputData[[#This Row],[SELLING PRICE]]*(1-InputData[[#This Row],[DISCOUNT %]])</f>
        <v>984.96</v>
      </c>
      <c r="N470" s="12">
        <f>DAY(InputData[[#This Row],[DATE]])</f>
        <v>10</v>
      </c>
      <c r="O470" s="12" t="str">
        <f>TEXT(InputData[[#This Row],[DATE]],"MMM")</f>
        <v>Oct</v>
      </c>
      <c r="P470" s="12">
        <f>YEAR(InputData[[#This Row],[DATE]])</f>
        <v>2022</v>
      </c>
    </row>
    <row r="471" spans="1:16" x14ac:dyDescent="0.3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4">
        <f>VLOOKUP(InputData[[#This Row],[PRODUCT ID]],MasterData[],5,0)</f>
        <v>83</v>
      </c>
      <c r="K471" s="14">
        <f>VLOOKUP(InputData[[#This Row],[PRODUCT ID]],MasterData[],6,0)</f>
        <v>94.62</v>
      </c>
      <c r="L471" s="14">
        <f>InputData[[#This Row],[QUANTITY]]*InputData[[#This Row],[BUYING PRIZE]]</f>
        <v>830</v>
      </c>
      <c r="M471" s="14">
        <f>InputData[[#This Row],[QUANTITY]]*InputData[[#This Row],[SELLING PRICE]]*(1-InputData[[#This Row],[DISCOUNT %]])</f>
        <v>946.2</v>
      </c>
      <c r="N471" s="12">
        <f>DAY(InputData[[#This Row],[DATE]])</f>
        <v>11</v>
      </c>
      <c r="O471" s="12" t="str">
        <f>TEXT(InputData[[#This Row],[DATE]],"MMM")</f>
        <v>Oct</v>
      </c>
      <c r="P471" s="12">
        <f>YEAR(InputData[[#This Row],[DATE]])</f>
        <v>2022</v>
      </c>
    </row>
    <row r="472" spans="1:16" x14ac:dyDescent="0.3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4">
        <f>VLOOKUP(InputData[[#This Row],[PRODUCT ID]],MasterData[],5,0)</f>
        <v>105</v>
      </c>
      <c r="K472" s="14">
        <f>VLOOKUP(InputData[[#This Row],[PRODUCT ID]],MasterData[],6,0)</f>
        <v>142.80000000000001</v>
      </c>
      <c r="L472" s="14">
        <f>InputData[[#This Row],[QUANTITY]]*InputData[[#This Row],[BUYING PRIZE]]</f>
        <v>1575</v>
      </c>
      <c r="M472" s="14">
        <f>InputData[[#This Row],[QUANTITY]]*InputData[[#This Row],[SELLING PRICE]]*(1-InputData[[#This Row],[DISCOUNT %]])</f>
        <v>2142</v>
      </c>
      <c r="N472" s="12">
        <f>DAY(InputData[[#This Row],[DATE]])</f>
        <v>13</v>
      </c>
      <c r="O472" s="12" t="str">
        <f>TEXT(InputData[[#This Row],[DATE]],"MMM")</f>
        <v>Oct</v>
      </c>
      <c r="P472" s="12">
        <f>YEAR(InputData[[#This Row],[DATE]])</f>
        <v>2022</v>
      </c>
    </row>
    <row r="473" spans="1:16" x14ac:dyDescent="0.3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4">
        <f>VLOOKUP(InputData[[#This Row],[PRODUCT ID]],MasterData[],5,0)</f>
        <v>76</v>
      </c>
      <c r="K473" s="14">
        <f>VLOOKUP(InputData[[#This Row],[PRODUCT ID]],MasterData[],6,0)</f>
        <v>82.08</v>
      </c>
      <c r="L473" s="14">
        <f>InputData[[#This Row],[QUANTITY]]*InputData[[#This Row],[BUYING PRIZE]]</f>
        <v>1140</v>
      </c>
      <c r="M473" s="14">
        <f>InputData[[#This Row],[QUANTITY]]*InputData[[#This Row],[SELLING PRICE]]*(1-InputData[[#This Row],[DISCOUNT %]])</f>
        <v>1231.2</v>
      </c>
      <c r="N473" s="12">
        <f>DAY(InputData[[#This Row],[DATE]])</f>
        <v>14</v>
      </c>
      <c r="O473" s="12" t="str">
        <f>TEXT(InputData[[#This Row],[DATE]],"MMM")</f>
        <v>Oct</v>
      </c>
      <c r="P473" s="12">
        <f>YEAR(InputData[[#This Row],[DATE]])</f>
        <v>2022</v>
      </c>
    </row>
    <row r="474" spans="1:16" x14ac:dyDescent="0.3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4">
        <f>VLOOKUP(InputData[[#This Row],[PRODUCT ID]],MasterData[],5,0)</f>
        <v>12</v>
      </c>
      <c r="K474" s="14">
        <f>VLOOKUP(InputData[[#This Row],[PRODUCT ID]],MasterData[],6,0)</f>
        <v>15.719999999999999</v>
      </c>
      <c r="L474" s="14">
        <f>InputData[[#This Row],[QUANTITY]]*InputData[[#This Row],[BUYING PRIZE]]</f>
        <v>120</v>
      </c>
      <c r="M474" s="14">
        <f>InputData[[#This Row],[QUANTITY]]*InputData[[#This Row],[SELLING PRICE]]*(1-InputData[[#This Row],[DISCOUNT %]])</f>
        <v>157.19999999999999</v>
      </c>
      <c r="N474" s="12">
        <f>DAY(InputData[[#This Row],[DATE]])</f>
        <v>15</v>
      </c>
      <c r="O474" s="12" t="str">
        <f>TEXT(InputData[[#This Row],[DATE]],"MMM")</f>
        <v>Oct</v>
      </c>
      <c r="P474" s="12">
        <f>YEAR(InputData[[#This Row],[DATE]])</f>
        <v>2022</v>
      </c>
    </row>
    <row r="475" spans="1:16" x14ac:dyDescent="0.3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4">
        <f>VLOOKUP(InputData[[#This Row],[PRODUCT ID]],MasterData[],5,0)</f>
        <v>90</v>
      </c>
      <c r="K475" s="14">
        <f>VLOOKUP(InputData[[#This Row],[PRODUCT ID]],MasterData[],6,0)</f>
        <v>96.3</v>
      </c>
      <c r="L475" s="14">
        <f>InputData[[#This Row],[QUANTITY]]*InputData[[#This Row],[BUYING PRIZE]]</f>
        <v>270</v>
      </c>
      <c r="M475" s="14">
        <f>InputData[[#This Row],[QUANTITY]]*InputData[[#This Row],[SELLING PRICE]]*(1-InputData[[#This Row],[DISCOUNT %]])</f>
        <v>288.89999999999998</v>
      </c>
      <c r="N475" s="12">
        <f>DAY(InputData[[#This Row],[DATE]])</f>
        <v>16</v>
      </c>
      <c r="O475" s="12" t="str">
        <f>TEXT(InputData[[#This Row],[DATE]],"MMM")</f>
        <v>Oct</v>
      </c>
      <c r="P475" s="12">
        <f>YEAR(InputData[[#This Row],[DATE]])</f>
        <v>2022</v>
      </c>
    </row>
    <row r="476" spans="1:16" x14ac:dyDescent="0.3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4">
        <f>VLOOKUP(InputData[[#This Row],[PRODUCT ID]],MasterData[],5,0)</f>
        <v>144</v>
      </c>
      <c r="K476" s="14">
        <f>VLOOKUP(InputData[[#This Row],[PRODUCT ID]],MasterData[],6,0)</f>
        <v>156.96</v>
      </c>
      <c r="L476" s="14">
        <f>InputData[[#This Row],[QUANTITY]]*InputData[[#This Row],[BUYING PRIZE]]</f>
        <v>2016</v>
      </c>
      <c r="M476" s="14">
        <f>InputData[[#This Row],[QUANTITY]]*InputData[[#This Row],[SELLING PRICE]]*(1-InputData[[#This Row],[DISCOUNT %]])</f>
        <v>2197.44</v>
      </c>
      <c r="N476" s="12">
        <f>DAY(InputData[[#This Row],[DATE]])</f>
        <v>23</v>
      </c>
      <c r="O476" s="12" t="str">
        <f>TEXT(InputData[[#This Row],[DATE]],"MMM")</f>
        <v>Oct</v>
      </c>
      <c r="P476" s="12">
        <f>YEAR(InputData[[#This Row],[DATE]])</f>
        <v>2022</v>
      </c>
    </row>
    <row r="477" spans="1:16" x14ac:dyDescent="0.3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4">
        <f>VLOOKUP(InputData[[#This Row],[PRODUCT ID]],MasterData[],5,0)</f>
        <v>120</v>
      </c>
      <c r="K477" s="14">
        <f>VLOOKUP(InputData[[#This Row],[PRODUCT ID]],MasterData[],6,0)</f>
        <v>162</v>
      </c>
      <c r="L477" s="14">
        <f>InputData[[#This Row],[QUANTITY]]*InputData[[#This Row],[BUYING PRIZE]]</f>
        <v>360</v>
      </c>
      <c r="M477" s="14">
        <f>InputData[[#This Row],[QUANTITY]]*InputData[[#This Row],[SELLING PRICE]]*(1-InputData[[#This Row],[DISCOUNT %]])</f>
        <v>486</v>
      </c>
      <c r="N477" s="12">
        <f>DAY(InputData[[#This Row],[DATE]])</f>
        <v>30</v>
      </c>
      <c r="O477" s="12" t="str">
        <f>TEXT(InputData[[#This Row],[DATE]],"MMM")</f>
        <v>Oct</v>
      </c>
      <c r="P477" s="12">
        <f>YEAR(InputData[[#This Row],[DATE]])</f>
        <v>2022</v>
      </c>
    </row>
    <row r="478" spans="1:16" x14ac:dyDescent="0.3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4">
        <f>VLOOKUP(InputData[[#This Row],[PRODUCT ID]],MasterData[],5,0)</f>
        <v>72</v>
      </c>
      <c r="K478" s="14">
        <f>VLOOKUP(InputData[[#This Row],[PRODUCT ID]],MasterData[],6,0)</f>
        <v>79.92</v>
      </c>
      <c r="L478" s="14">
        <f>InputData[[#This Row],[QUANTITY]]*InputData[[#This Row],[BUYING PRIZE]]</f>
        <v>576</v>
      </c>
      <c r="M478" s="14">
        <f>InputData[[#This Row],[QUANTITY]]*InputData[[#This Row],[SELLING PRICE]]*(1-InputData[[#This Row],[DISCOUNT %]])</f>
        <v>639.36</v>
      </c>
      <c r="N478" s="12">
        <f>DAY(InputData[[#This Row],[DATE]])</f>
        <v>31</v>
      </c>
      <c r="O478" s="12" t="str">
        <f>TEXT(InputData[[#This Row],[DATE]],"MMM")</f>
        <v>Oct</v>
      </c>
      <c r="P478" s="12">
        <f>YEAR(InputData[[#This Row],[DATE]])</f>
        <v>2022</v>
      </c>
    </row>
    <row r="479" spans="1:16" x14ac:dyDescent="0.3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4">
        <f>VLOOKUP(InputData[[#This Row],[PRODUCT ID]],MasterData[],5,0)</f>
        <v>73</v>
      </c>
      <c r="K479" s="14">
        <f>VLOOKUP(InputData[[#This Row],[PRODUCT ID]],MasterData[],6,0)</f>
        <v>94.17</v>
      </c>
      <c r="L479" s="14">
        <f>InputData[[#This Row],[QUANTITY]]*InputData[[#This Row],[BUYING PRIZE]]</f>
        <v>1095</v>
      </c>
      <c r="M479" s="14">
        <f>InputData[[#This Row],[QUANTITY]]*InputData[[#This Row],[SELLING PRICE]]*(1-InputData[[#This Row],[DISCOUNT %]])</f>
        <v>1412.55</v>
      </c>
      <c r="N479" s="12">
        <f>DAY(InputData[[#This Row],[DATE]])</f>
        <v>1</v>
      </c>
      <c r="O479" s="12" t="str">
        <f>TEXT(InputData[[#This Row],[DATE]],"MMM")</f>
        <v>Nov</v>
      </c>
      <c r="P479" s="12">
        <f>YEAR(InputData[[#This Row],[DATE]])</f>
        <v>2022</v>
      </c>
    </row>
    <row r="480" spans="1:16" x14ac:dyDescent="0.3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4">
        <f>VLOOKUP(InputData[[#This Row],[PRODUCT ID]],MasterData[],5,0)</f>
        <v>12</v>
      </c>
      <c r="K480" s="14">
        <f>VLOOKUP(InputData[[#This Row],[PRODUCT ID]],MasterData[],6,0)</f>
        <v>15.719999999999999</v>
      </c>
      <c r="L480" s="14">
        <f>InputData[[#This Row],[QUANTITY]]*InputData[[#This Row],[BUYING PRIZE]]</f>
        <v>180</v>
      </c>
      <c r="M480" s="14">
        <f>InputData[[#This Row],[QUANTITY]]*InputData[[#This Row],[SELLING PRICE]]*(1-InputData[[#This Row],[DISCOUNT %]])</f>
        <v>235.79999999999998</v>
      </c>
      <c r="N480" s="12">
        <f>DAY(InputData[[#This Row],[DATE]])</f>
        <v>2</v>
      </c>
      <c r="O480" s="12" t="str">
        <f>TEXT(InputData[[#This Row],[DATE]],"MMM")</f>
        <v>Nov</v>
      </c>
      <c r="P480" s="12">
        <f>YEAR(InputData[[#This Row],[DATE]])</f>
        <v>2022</v>
      </c>
    </row>
    <row r="481" spans="1:16" x14ac:dyDescent="0.3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4">
        <f>VLOOKUP(InputData[[#This Row],[PRODUCT ID]],MasterData[],5,0)</f>
        <v>148</v>
      </c>
      <c r="K481" s="14">
        <f>VLOOKUP(InputData[[#This Row],[PRODUCT ID]],MasterData[],6,0)</f>
        <v>201.28</v>
      </c>
      <c r="L481" s="14">
        <f>InputData[[#This Row],[QUANTITY]]*InputData[[#This Row],[BUYING PRIZE]]</f>
        <v>2220</v>
      </c>
      <c r="M481" s="14">
        <f>InputData[[#This Row],[QUANTITY]]*InputData[[#This Row],[SELLING PRICE]]*(1-InputData[[#This Row],[DISCOUNT %]])</f>
        <v>3019.2</v>
      </c>
      <c r="N481" s="12">
        <f>DAY(InputData[[#This Row],[DATE]])</f>
        <v>2</v>
      </c>
      <c r="O481" s="12" t="str">
        <f>TEXT(InputData[[#This Row],[DATE]],"MMM")</f>
        <v>Nov</v>
      </c>
      <c r="P481" s="12">
        <f>YEAR(InputData[[#This Row],[DATE]])</f>
        <v>2022</v>
      </c>
    </row>
    <row r="482" spans="1:16" x14ac:dyDescent="0.3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4">
        <f>VLOOKUP(InputData[[#This Row],[PRODUCT ID]],MasterData[],5,0)</f>
        <v>5</v>
      </c>
      <c r="K482" s="14">
        <f>VLOOKUP(InputData[[#This Row],[PRODUCT ID]],MasterData[],6,0)</f>
        <v>6.7</v>
      </c>
      <c r="L482" s="14">
        <f>InputData[[#This Row],[QUANTITY]]*InputData[[#This Row],[BUYING PRIZE]]</f>
        <v>25</v>
      </c>
      <c r="M482" s="14">
        <f>InputData[[#This Row],[QUANTITY]]*InputData[[#This Row],[SELLING PRICE]]*(1-InputData[[#This Row],[DISCOUNT %]])</f>
        <v>33.5</v>
      </c>
      <c r="N482" s="12">
        <f>DAY(InputData[[#This Row],[DATE]])</f>
        <v>2</v>
      </c>
      <c r="O482" s="12" t="str">
        <f>TEXT(InputData[[#This Row],[DATE]],"MMM")</f>
        <v>Nov</v>
      </c>
      <c r="P482" s="12">
        <f>YEAR(InputData[[#This Row],[DATE]])</f>
        <v>2022</v>
      </c>
    </row>
    <row r="483" spans="1:16" x14ac:dyDescent="0.3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4">
        <f>VLOOKUP(InputData[[#This Row],[PRODUCT ID]],MasterData[],5,0)</f>
        <v>61</v>
      </c>
      <c r="K483" s="14">
        <f>VLOOKUP(InputData[[#This Row],[PRODUCT ID]],MasterData[],6,0)</f>
        <v>76.25</v>
      </c>
      <c r="L483" s="14">
        <f>InputData[[#This Row],[QUANTITY]]*InputData[[#This Row],[BUYING PRIZE]]</f>
        <v>671</v>
      </c>
      <c r="M483" s="14">
        <f>InputData[[#This Row],[QUANTITY]]*InputData[[#This Row],[SELLING PRICE]]*(1-InputData[[#This Row],[DISCOUNT %]])</f>
        <v>838.75</v>
      </c>
      <c r="N483" s="12">
        <f>DAY(InputData[[#This Row],[DATE]])</f>
        <v>3</v>
      </c>
      <c r="O483" s="12" t="str">
        <f>TEXT(InputData[[#This Row],[DATE]],"MMM")</f>
        <v>Nov</v>
      </c>
      <c r="P483" s="12">
        <f>YEAR(InputData[[#This Row],[DATE]])</f>
        <v>2022</v>
      </c>
    </row>
    <row r="484" spans="1:16" x14ac:dyDescent="0.3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4">
        <f>VLOOKUP(InputData[[#This Row],[PRODUCT ID]],MasterData[],5,0)</f>
        <v>83</v>
      </c>
      <c r="K484" s="14">
        <f>VLOOKUP(InputData[[#This Row],[PRODUCT ID]],MasterData[],6,0)</f>
        <v>94.62</v>
      </c>
      <c r="L484" s="14">
        <f>InputData[[#This Row],[QUANTITY]]*InputData[[#This Row],[BUYING PRIZE]]</f>
        <v>830</v>
      </c>
      <c r="M484" s="14">
        <f>InputData[[#This Row],[QUANTITY]]*InputData[[#This Row],[SELLING PRICE]]*(1-InputData[[#This Row],[DISCOUNT %]])</f>
        <v>946.2</v>
      </c>
      <c r="N484" s="12">
        <f>DAY(InputData[[#This Row],[DATE]])</f>
        <v>4</v>
      </c>
      <c r="O484" s="12" t="str">
        <f>TEXT(InputData[[#This Row],[DATE]],"MMM")</f>
        <v>Nov</v>
      </c>
      <c r="P484" s="12">
        <f>YEAR(InputData[[#This Row],[DATE]])</f>
        <v>2022</v>
      </c>
    </row>
    <row r="485" spans="1:16" x14ac:dyDescent="0.3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4">
        <f>VLOOKUP(InputData[[#This Row],[PRODUCT ID]],MasterData[],5,0)</f>
        <v>150</v>
      </c>
      <c r="K485" s="14">
        <f>VLOOKUP(InputData[[#This Row],[PRODUCT ID]],MasterData[],6,0)</f>
        <v>210</v>
      </c>
      <c r="L485" s="14">
        <f>InputData[[#This Row],[QUANTITY]]*InputData[[#This Row],[BUYING PRIZE]]</f>
        <v>2250</v>
      </c>
      <c r="M485" s="14">
        <f>InputData[[#This Row],[QUANTITY]]*InputData[[#This Row],[SELLING PRICE]]*(1-InputData[[#This Row],[DISCOUNT %]])</f>
        <v>3150</v>
      </c>
      <c r="N485" s="12">
        <f>DAY(InputData[[#This Row],[DATE]])</f>
        <v>5</v>
      </c>
      <c r="O485" s="12" t="str">
        <f>TEXT(InputData[[#This Row],[DATE]],"MMM")</f>
        <v>Nov</v>
      </c>
      <c r="P485" s="12">
        <f>YEAR(InputData[[#This Row],[DATE]])</f>
        <v>2022</v>
      </c>
    </row>
    <row r="486" spans="1:16" x14ac:dyDescent="0.3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4">
        <f>VLOOKUP(InputData[[#This Row],[PRODUCT ID]],MasterData[],5,0)</f>
        <v>67</v>
      </c>
      <c r="K486" s="14">
        <f>VLOOKUP(InputData[[#This Row],[PRODUCT ID]],MasterData[],6,0)</f>
        <v>83.08</v>
      </c>
      <c r="L486" s="14">
        <f>InputData[[#This Row],[QUANTITY]]*InputData[[#This Row],[BUYING PRIZE]]</f>
        <v>871</v>
      </c>
      <c r="M486" s="14">
        <f>InputData[[#This Row],[QUANTITY]]*InputData[[#This Row],[SELLING PRICE]]*(1-InputData[[#This Row],[DISCOUNT %]])</f>
        <v>1080.04</v>
      </c>
      <c r="N486" s="12">
        <f>DAY(InputData[[#This Row],[DATE]])</f>
        <v>6</v>
      </c>
      <c r="O486" s="12" t="str">
        <f>TEXT(InputData[[#This Row],[DATE]],"MMM")</f>
        <v>Nov</v>
      </c>
      <c r="P486" s="12">
        <f>YEAR(InputData[[#This Row],[DATE]])</f>
        <v>2022</v>
      </c>
    </row>
    <row r="487" spans="1:16" x14ac:dyDescent="0.3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4">
        <f>VLOOKUP(InputData[[#This Row],[PRODUCT ID]],MasterData[],5,0)</f>
        <v>12</v>
      </c>
      <c r="K487" s="14">
        <f>VLOOKUP(InputData[[#This Row],[PRODUCT ID]],MasterData[],6,0)</f>
        <v>15.719999999999999</v>
      </c>
      <c r="L487" s="14">
        <f>InputData[[#This Row],[QUANTITY]]*InputData[[#This Row],[BUYING PRIZE]]</f>
        <v>156</v>
      </c>
      <c r="M487" s="14">
        <f>InputData[[#This Row],[QUANTITY]]*InputData[[#This Row],[SELLING PRICE]]*(1-InputData[[#This Row],[DISCOUNT %]])</f>
        <v>204.35999999999999</v>
      </c>
      <c r="N487" s="12">
        <f>DAY(InputData[[#This Row],[DATE]])</f>
        <v>6</v>
      </c>
      <c r="O487" s="12" t="str">
        <f>TEXT(InputData[[#This Row],[DATE]],"MMM")</f>
        <v>Nov</v>
      </c>
      <c r="P487" s="12">
        <f>YEAR(InputData[[#This Row],[DATE]])</f>
        <v>2022</v>
      </c>
    </row>
    <row r="488" spans="1:16" x14ac:dyDescent="0.3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4">
        <f>VLOOKUP(InputData[[#This Row],[PRODUCT ID]],MasterData[],5,0)</f>
        <v>120</v>
      </c>
      <c r="K488" s="14">
        <f>VLOOKUP(InputData[[#This Row],[PRODUCT ID]],MasterData[],6,0)</f>
        <v>162</v>
      </c>
      <c r="L488" s="14">
        <f>InputData[[#This Row],[QUANTITY]]*InputData[[#This Row],[BUYING PRIZE]]</f>
        <v>1560</v>
      </c>
      <c r="M488" s="14">
        <f>InputData[[#This Row],[QUANTITY]]*InputData[[#This Row],[SELLING PRICE]]*(1-InputData[[#This Row],[DISCOUNT %]])</f>
        <v>2106</v>
      </c>
      <c r="N488" s="12">
        <f>DAY(InputData[[#This Row],[DATE]])</f>
        <v>6</v>
      </c>
      <c r="O488" s="12" t="str">
        <f>TEXT(InputData[[#This Row],[DATE]],"MMM")</f>
        <v>Nov</v>
      </c>
      <c r="P488" s="12">
        <f>YEAR(InputData[[#This Row],[DATE]])</f>
        <v>2022</v>
      </c>
    </row>
    <row r="489" spans="1:16" x14ac:dyDescent="0.3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4">
        <f>VLOOKUP(InputData[[#This Row],[PRODUCT ID]],MasterData[],5,0)</f>
        <v>90</v>
      </c>
      <c r="K489" s="14">
        <f>VLOOKUP(InputData[[#This Row],[PRODUCT ID]],MasterData[],6,0)</f>
        <v>115.2</v>
      </c>
      <c r="L489" s="14">
        <f>InputData[[#This Row],[QUANTITY]]*InputData[[#This Row],[BUYING PRIZE]]</f>
        <v>1170</v>
      </c>
      <c r="M489" s="14">
        <f>InputData[[#This Row],[QUANTITY]]*InputData[[#This Row],[SELLING PRICE]]*(1-InputData[[#This Row],[DISCOUNT %]])</f>
        <v>1497.6000000000001</v>
      </c>
      <c r="N489" s="12">
        <f>DAY(InputData[[#This Row],[DATE]])</f>
        <v>7</v>
      </c>
      <c r="O489" s="12" t="str">
        <f>TEXT(InputData[[#This Row],[DATE]],"MMM")</f>
        <v>Nov</v>
      </c>
      <c r="P489" s="12">
        <f>YEAR(InputData[[#This Row],[DATE]])</f>
        <v>2022</v>
      </c>
    </row>
    <row r="490" spans="1:16" x14ac:dyDescent="0.3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4">
        <f>VLOOKUP(InputData[[#This Row],[PRODUCT ID]],MasterData[],5,0)</f>
        <v>90</v>
      </c>
      <c r="K490" s="14">
        <f>VLOOKUP(InputData[[#This Row],[PRODUCT ID]],MasterData[],6,0)</f>
        <v>96.3</v>
      </c>
      <c r="L490" s="14">
        <f>InputData[[#This Row],[QUANTITY]]*InputData[[#This Row],[BUYING PRIZE]]</f>
        <v>990</v>
      </c>
      <c r="M490" s="14">
        <f>InputData[[#This Row],[QUANTITY]]*InputData[[#This Row],[SELLING PRICE]]*(1-InputData[[#This Row],[DISCOUNT %]])</f>
        <v>1059.3</v>
      </c>
      <c r="N490" s="12">
        <f>DAY(InputData[[#This Row],[DATE]])</f>
        <v>8</v>
      </c>
      <c r="O490" s="12" t="str">
        <f>TEXT(InputData[[#This Row],[DATE]],"MMM")</f>
        <v>Nov</v>
      </c>
      <c r="P490" s="12">
        <f>YEAR(InputData[[#This Row],[DATE]])</f>
        <v>2022</v>
      </c>
    </row>
    <row r="491" spans="1:16" x14ac:dyDescent="0.3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4">
        <f>VLOOKUP(InputData[[#This Row],[PRODUCT ID]],MasterData[],5,0)</f>
        <v>150</v>
      </c>
      <c r="K491" s="14">
        <f>VLOOKUP(InputData[[#This Row],[PRODUCT ID]],MasterData[],6,0)</f>
        <v>210</v>
      </c>
      <c r="L491" s="14">
        <f>InputData[[#This Row],[QUANTITY]]*InputData[[#This Row],[BUYING PRIZE]]</f>
        <v>1500</v>
      </c>
      <c r="M491" s="14">
        <f>InputData[[#This Row],[QUANTITY]]*InputData[[#This Row],[SELLING PRICE]]*(1-InputData[[#This Row],[DISCOUNT %]])</f>
        <v>2100</v>
      </c>
      <c r="N491" s="12">
        <f>DAY(InputData[[#This Row],[DATE]])</f>
        <v>8</v>
      </c>
      <c r="O491" s="12" t="str">
        <f>TEXT(InputData[[#This Row],[DATE]],"MMM")</f>
        <v>Nov</v>
      </c>
      <c r="P491" s="12">
        <f>YEAR(InputData[[#This Row],[DATE]])</f>
        <v>2022</v>
      </c>
    </row>
    <row r="492" spans="1:16" x14ac:dyDescent="0.3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4">
        <f>VLOOKUP(InputData[[#This Row],[PRODUCT ID]],MasterData[],5,0)</f>
        <v>48</v>
      </c>
      <c r="K492" s="14">
        <f>VLOOKUP(InputData[[#This Row],[PRODUCT ID]],MasterData[],6,0)</f>
        <v>57.120000000000005</v>
      </c>
      <c r="L492" s="14">
        <f>InputData[[#This Row],[QUANTITY]]*InputData[[#This Row],[BUYING PRIZE]]</f>
        <v>384</v>
      </c>
      <c r="M492" s="14">
        <f>InputData[[#This Row],[QUANTITY]]*InputData[[#This Row],[SELLING PRICE]]*(1-InputData[[#This Row],[DISCOUNT %]])</f>
        <v>456.96000000000004</v>
      </c>
      <c r="N492" s="12">
        <f>DAY(InputData[[#This Row],[DATE]])</f>
        <v>9</v>
      </c>
      <c r="O492" s="12" t="str">
        <f>TEXT(InputData[[#This Row],[DATE]],"MMM")</f>
        <v>Nov</v>
      </c>
      <c r="P492" s="12">
        <f>YEAR(InputData[[#This Row],[DATE]])</f>
        <v>2022</v>
      </c>
    </row>
    <row r="493" spans="1:16" x14ac:dyDescent="0.3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4">
        <f>VLOOKUP(InputData[[#This Row],[PRODUCT ID]],MasterData[],5,0)</f>
        <v>37</v>
      </c>
      <c r="K493" s="14">
        <f>VLOOKUP(InputData[[#This Row],[PRODUCT ID]],MasterData[],6,0)</f>
        <v>49.21</v>
      </c>
      <c r="L493" s="14">
        <f>InputData[[#This Row],[QUANTITY]]*InputData[[#This Row],[BUYING PRIZE]]</f>
        <v>259</v>
      </c>
      <c r="M493" s="14">
        <f>InputData[[#This Row],[QUANTITY]]*InputData[[#This Row],[SELLING PRICE]]*(1-InputData[[#This Row],[DISCOUNT %]])</f>
        <v>344.47</v>
      </c>
      <c r="N493" s="12">
        <f>DAY(InputData[[#This Row],[DATE]])</f>
        <v>10</v>
      </c>
      <c r="O493" s="12" t="str">
        <f>TEXT(InputData[[#This Row],[DATE]],"MMM")</f>
        <v>Nov</v>
      </c>
      <c r="P493" s="12">
        <f>YEAR(InputData[[#This Row],[DATE]])</f>
        <v>2022</v>
      </c>
    </row>
    <row r="494" spans="1:16" x14ac:dyDescent="0.3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4">
        <f>VLOOKUP(InputData[[#This Row],[PRODUCT ID]],MasterData[],5,0)</f>
        <v>48</v>
      </c>
      <c r="K494" s="14">
        <f>VLOOKUP(InputData[[#This Row],[PRODUCT ID]],MasterData[],6,0)</f>
        <v>57.120000000000005</v>
      </c>
      <c r="L494" s="14">
        <f>InputData[[#This Row],[QUANTITY]]*InputData[[#This Row],[BUYING PRIZE]]</f>
        <v>480</v>
      </c>
      <c r="M494" s="14">
        <f>InputData[[#This Row],[QUANTITY]]*InputData[[#This Row],[SELLING PRICE]]*(1-InputData[[#This Row],[DISCOUNT %]])</f>
        <v>571.20000000000005</v>
      </c>
      <c r="N494" s="12">
        <f>DAY(InputData[[#This Row],[DATE]])</f>
        <v>13</v>
      </c>
      <c r="O494" s="12" t="str">
        <f>TEXT(InputData[[#This Row],[DATE]],"MMM")</f>
        <v>Nov</v>
      </c>
      <c r="P494" s="12">
        <f>YEAR(InputData[[#This Row],[DATE]])</f>
        <v>2022</v>
      </c>
    </row>
    <row r="495" spans="1:16" x14ac:dyDescent="0.3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4">
        <f>VLOOKUP(InputData[[#This Row],[PRODUCT ID]],MasterData[],5,0)</f>
        <v>105</v>
      </c>
      <c r="K495" s="14">
        <f>VLOOKUP(InputData[[#This Row],[PRODUCT ID]],MasterData[],6,0)</f>
        <v>142.80000000000001</v>
      </c>
      <c r="L495" s="14">
        <f>InputData[[#This Row],[QUANTITY]]*InputData[[#This Row],[BUYING PRIZE]]</f>
        <v>105</v>
      </c>
      <c r="M495" s="14">
        <f>InputData[[#This Row],[QUANTITY]]*InputData[[#This Row],[SELLING PRICE]]*(1-InputData[[#This Row],[DISCOUNT %]])</f>
        <v>142.80000000000001</v>
      </c>
      <c r="N495" s="12">
        <f>DAY(InputData[[#This Row],[DATE]])</f>
        <v>14</v>
      </c>
      <c r="O495" s="12" t="str">
        <f>TEXT(InputData[[#This Row],[DATE]],"MMM")</f>
        <v>Nov</v>
      </c>
      <c r="P495" s="12">
        <f>YEAR(InputData[[#This Row],[DATE]])</f>
        <v>2022</v>
      </c>
    </row>
    <row r="496" spans="1:16" x14ac:dyDescent="0.3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4">
        <f>VLOOKUP(InputData[[#This Row],[PRODUCT ID]],MasterData[],5,0)</f>
        <v>73</v>
      </c>
      <c r="K496" s="14">
        <f>VLOOKUP(InputData[[#This Row],[PRODUCT ID]],MasterData[],6,0)</f>
        <v>94.17</v>
      </c>
      <c r="L496" s="14">
        <f>InputData[[#This Row],[QUANTITY]]*InputData[[#This Row],[BUYING PRIZE]]</f>
        <v>1022</v>
      </c>
      <c r="M496" s="14">
        <f>InputData[[#This Row],[QUANTITY]]*InputData[[#This Row],[SELLING PRICE]]*(1-InputData[[#This Row],[DISCOUNT %]])</f>
        <v>1318.38</v>
      </c>
      <c r="N496" s="12">
        <f>DAY(InputData[[#This Row],[DATE]])</f>
        <v>15</v>
      </c>
      <c r="O496" s="12" t="str">
        <f>TEXT(InputData[[#This Row],[DATE]],"MMM")</f>
        <v>Nov</v>
      </c>
      <c r="P496" s="12">
        <f>YEAR(InputData[[#This Row],[DATE]])</f>
        <v>2022</v>
      </c>
    </row>
    <row r="497" spans="1:16" x14ac:dyDescent="0.3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4">
        <f>VLOOKUP(InputData[[#This Row],[PRODUCT ID]],MasterData[],5,0)</f>
        <v>134</v>
      </c>
      <c r="K497" s="14">
        <f>VLOOKUP(InputData[[#This Row],[PRODUCT ID]],MasterData[],6,0)</f>
        <v>156.78</v>
      </c>
      <c r="L497" s="14">
        <f>InputData[[#This Row],[QUANTITY]]*InputData[[#This Row],[BUYING PRIZE]]</f>
        <v>1072</v>
      </c>
      <c r="M497" s="14">
        <f>InputData[[#This Row],[QUANTITY]]*InputData[[#This Row],[SELLING PRICE]]*(1-InputData[[#This Row],[DISCOUNT %]])</f>
        <v>1254.24</v>
      </c>
      <c r="N497" s="12">
        <f>DAY(InputData[[#This Row],[DATE]])</f>
        <v>16</v>
      </c>
      <c r="O497" s="12" t="str">
        <f>TEXT(InputData[[#This Row],[DATE]],"MMM")</f>
        <v>Nov</v>
      </c>
      <c r="P497" s="12">
        <f>YEAR(InputData[[#This Row],[DATE]])</f>
        <v>2022</v>
      </c>
    </row>
    <row r="498" spans="1:16" x14ac:dyDescent="0.3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4">
        <f>VLOOKUP(InputData[[#This Row],[PRODUCT ID]],MasterData[],5,0)</f>
        <v>55</v>
      </c>
      <c r="K498" s="14">
        <f>VLOOKUP(InputData[[#This Row],[PRODUCT ID]],MasterData[],6,0)</f>
        <v>58.3</v>
      </c>
      <c r="L498" s="14">
        <f>InputData[[#This Row],[QUANTITY]]*InputData[[#This Row],[BUYING PRIZE]]</f>
        <v>440</v>
      </c>
      <c r="M498" s="14">
        <f>InputData[[#This Row],[QUANTITY]]*InputData[[#This Row],[SELLING PRICE]]*(1-InputData[[#This Row],[DISCOUNT %]])</f>
        <v>466.4</v>
      </c>
      <c r="N498" s="12">
        <f>DAY(InputData[[#This Row],[DATE]])</f>
        <v>18</v>
      </c>
      <c r="O498" s="12" t="str">
        <f>TEXT(InputData[[#This Row],[DATE]],"MMM")</f>
        <v>Nov</v>
      </c>
      <c r="P498" s="12">
        <f>YEAR(InputData[[#This Row],[DATE]])</f>
        <v>2022</v>
      </c>
    </row>
    <row r="499" spans="1:16" x14ac:dyDescent="0.3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4">
        <f>VLOOKUP(InputData[[#This Row],[PRODUCT ID]],MasterData[],5,0)</f>
        <v>61</v>
      </c>
      <c r="K499" s="14">
        <f>VLOOKUP(InputData[[#This Row],[PRODUCT ID]],MasterData[],6,0)</f>
        <v>76.25</v>
      </c>
      <c r="L499" s="14">
        <f>InputData[[#This Row],[QUANTITY]]*InputData[[#This Row],[BUYING PRIZE]]</f>
        <v>366</v>
      </c>
      <c r="M499" s="14">
        <f>InputData[[#This Row],[QUANTITY]]*InputData[[#This Row],[SELLING PRICE]]*(1-InputData[[#This Row],[DISCOUNT %]])</f>
        <v>457.5</v>
      </c>
      <c r="N499" s="12">
        <f>DAY(InputData[[#This Row],[DATE]])</f>
        <v>21</v>
      </c>
      <c r="O499" s="12" t="str">
        <f>TEXT(InputData[[#This Row],[DATE]],"MMM")</f>
        <v>Nov</v>
      </c>
      <c r="P499" s="12">
        <f>YEAR(InputData[[#This Row],[DATE]])</f>
        <v>2022</v>
      </c>
    </row>
    <row r="500" spans="1:16" x14ac:dyDescent="0.3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4">
        <f>VLOOKUP(InputData[[#This Row],[PRODUCT ID]],MasterData[],5,0)</f>
        <v>90</v>
      </c>
      <c r="K500" s="14">
        <f>VLOOKUP(InputData[[#This Row],[PRODUCT ID]],MasterData[],6,0)</f>
        <v>96.3</v>
      </c>
      <c r="L500" s="14">
        <f>InputData[[#This Row],[QUANTITY]]*InputData[[#This Row],[BUYING PRIZE]]</f>
        <v>1080</v>
      </c>
      <c r="M500" s="14">
        <f>InputData[[#This Row],[QUANTITY]]*InputData[[#This Row],[SELLING PRICE]]*(1-InputData[[#This Row],[DISCOUNT %]])</f>
        <v>1155.5999999999999</v>
      </c>
      <c r="N500" s="12">
        <f>DAY(InputData[[#This Row],[DATE]])</f>
        <v>23</v>
      </c>
      <c r="O500" s="12" t="str">
        <f>TEXT(InputData[[#This Row],[DATE]],"MMM")</f>
        <v>Nov</v>
      </c>
      <c r="P500" s="12">
        <f>YEAR(InputData[[#This Row],[DATE]])</f>
        <v>2022</v>
      </c>
    </row>
    <row r="501" spans="1:16" x14ac:dyDescent="0.3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4">
        <f>VLOOKUP(InputData[[#This Row],[PRODUCT ID]],MasterData[],5,0)</f>
        <v>44</v>
      </c>
      <c r="K501" s="14">
        <f>VLOOKUP(InputData[[#This Row],[PRODUCT ID]],MasterData[],6,0)</f>
        <v>48.84</v>
      </c>
      <c r="L501" s="14">
        <f>InputData[[#This Row],[QUANTITY]]*InputData[[#This Row],[BUYING PRIZE]]</f>
        <v>220</v>
      </c>
      <c r="M501" s="14">
        <f>InputData[[#This Row],[QUANTITY]]*InputData[[#This Row],[SELLING PRICE]]*(1-InputData[[#This Row],[DISCOUNT %]])</f>
        <v>244.20000000000002</v>
      </c>
      <c r="N501" s="12">
        <f>DAY(InputData[[#This Row],[DATE]])</f>
        <v>25</v>
      </c>
      <c r="O501" s="12" t="str">
        <f>TEXT(InputData[[#This Row],[DATE]],"MMM")</f>
        <v>Nov</v>
      </c>
      <c r="P501" s="12">
        <f>YEAR(InputData[[#This Row],[DATE]])</f>
        <v>2022</v>
      </c>
    </row>
    <row r="502" spans="1:16" x14ac:dyDescent="0.3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4">
        <f>VLOOKUP(InputData[[#This Row],[PRODUCT ID]],MasterData[],5,0)</f>
        <v>89</v>
      </c>
      <c r="K502" s="14">
        <f>VLOOKUP(InputData[[#This Row],[PRODUCT ID]],MasterData[],6,0)</f>
        <v>117.48</v>
      </c>
      <c r="L502" s="14">
        <f>InputData[[#This Row],[QUANTITY]]*InputData[[#This Row],[BUYING PRIZE]]</f>
        <v>445</v>
      </c>
      <c r="M502" s="14">
        <f>InputData[[#This Row],[QUANTITY]]*InputData[[#This Row],[SELLING PRICE]]*(1-InputData[[#This Row],[DISCOUNT %]])</f>
        <v>587.4</v>
      </c>
      <c r="N502" s="12">
        <f>DAY(InputData[[#This Row],[DATE]])</f>
        <v>26</v>
      </c>
      <c r="O502" s="12" t="str">
        <f>TEXT(InputData[[#This Row],[DATE]],"MMM")</f>
        <v>Nov</v>
      </c>
      <c r="P502" s="12">
        <f>YEAR(InputData[[#This Row],[DATE]])</f>
        <v>2022</v>
      </c>
    </row>
    <row r="503" spans="1:16" x14ac:dyDescent="0.3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4">
        <f>VLOOKUP(InputData[[#This Row],[PRODUCT ID]],MasterData[],5,0)</f>
        <v>55</v>
      </c>
      <c r="K503" s="14">
        <f>VLOOKUP(InputData[[#This Row],[PRODUCT ID]],MasterData[],6,0)</f>
        <v>58.3</v>
      </c>
      <c r="L503" s="14">
        <f>InputData[[#This Row],[QUANTITY]]*InputData[[#This Row],[BUYING PRIZE]]</f>
        <v>825</v>
      </c>
      <c r="M503" s="14">
        <f>InputData[[#This Row],[QUANTITY]]*InputData[[#This Row],[SELLING PRICE]]*(1-InputData[[#This Row],[DISCOUNT %]])</f>
        <v>874.5</v>
      </c>
      <c r="N503" s="12">
        <f>DAY(InputData[[#This Row],[DATE]])</f>
        <v>27</v>
      </c>
      <c r="O503" s="12" t="str">
        <f>TEXT(InputData[[#This Row],[DATE]],"MMM")</f>
        <v>Nov</v>
      </c>
      <c r="P503" s="12">
        <f>YEAR(InputData[[#This Row],[DATE]])</f>
        <v>2022</v>
      </c>
    </row>
    <row r="504" spans="1:16" x14ac:dyDescent="0.3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4">
        <f>VLOOKUP(InputData[[#This Row],[PRODUCT ID]],MasterData[],5,0)</f>
        <v>93</v>
      </c>
      <c r="K504" s="14">
        <f>VLOOKUP(InputData[[#This Row],[PRODUCT ID]],MasterData[],6,0)</f>
        <v>104.16</v>
      </c>
      <c r="L504" s="14">
        <f>InputData[[#This Row],[QUANTITY]]*InputData[[#This Row],[BUYING PRIZE]]</f>
        <v>744</v>
      </c>
      <c r="M504" s="14">
        <f>InputData[[#This Row],[QUANTITY]]*InputData[[#This Row],[SELLING PRICE]]*(1-InputData[[#This Row],[DISCOUNT %]])</f>
        <v>833.28</v>
      </c>
      <c r="N504" s="12">
        <f>DAY(InputData[[#This Row],[DATE]])</f>
        <v>28</v>
      </c>
      <c r="O504" s="12" t="str">
        <f>TEXT(InputData[[#This Row],[DATE]],"MMM")</f>
        <v>Nov</v>
      </c>
      <c r="P504" s="12">
        <f>YEAR(InputData[[#This Row],[DATE]])</f>
        <v>2022</v>
      </c>
    </row>
    <row r="505" spans="1:16" x14ac:dyDescent="0.3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4">
        <f>VLOOKUP(InputData[[#This Row],[PRODUCT ID]],MasterData[],5,0)</f>
        <v>12</v>
      </c>
      <c r="K505" s="14">
        <f>VLOOKUP(InputData[[#This Row],[PRODUCT ID]],MasterData[],6,0)</f>
        <v>15.719999999999999</v>
      </c>
      <c r="L505" s="14">
        <f>InputData[[#This Row],[QUANTITY]]*InputData[[#This Row],[BUYING PRIZE]]</f>
        <v>24</v>
      </c>
      <c r="M505" s="14">
        <f>InputData[[#This Row],[QUANTITY]]*InputData[[#This Row],[SELLING PRICE]]*(1-InputData[[#This Row],[DISCOUNT %]])</f>
        <v>31.439999999999998</v>
      </c>
      <c r="N505" s="12">
        <f>DAY(InputData[[#This Row],[DATE]])</f>
        <v>30</v>
      </c>
      <c r="O505" s="12" t="str">
        <f>TEXT(InputData[[#This Row],[DATE]],"MMM")</f>
        <v>Nov</v>
      </c>
      <c r="P505" s="12">
        <f>YEAR(InputData[[#This Row],[DATE]])</f>
        <v>2022</v>
      </c>
    </row>
    <row r="506" spans="1:16" x14ac:dyDescent="0.3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4">
        <f>VLOOKUP(InputData[[#This Row],[PRODUCT ID]],MasterData[],5,0)</f>
        <v>37</v>
      </c>
      <c r="K506" s="14">
        <f>VLOOKUP(InputData[[#This Row],[PRODUCT ID]],MasterData[],6,0)</f>
        <v>41.81</v>
      </c>
      <c r="L506" s="14">
        <f>InputData[[#This Row],[QUANTITY]]*InputData[[#This Row],[BUYING PRIZE]]</f>
        <v>185</v>
      </c>
      <c r="M506" s="14">
        <f>InputData[[#This Row],[QUANTITY]]*InputData[[#This Row],[SELLING PRICE]]*(1-InputData[[#This Row],[DISCOUNT %]])</f>
        <v>209.05</v>
      </c>
      <c r="N506" s="12">
        <f>DAY(InputData[[#This Row],[DATE]])</f>
        <v>3</v>
      </c>
      <c r="O506" s="12" t="str">
        <f>TEXT(InputData[[#This Row],[DATE]],"MMM")</f>
        <v>Dec</v>
      </c>
      <c r="P506" s="12">
        <f>YEAR(InputData[[#This Row],[DATE]])</f>
        <v>2022</v>
      </c>
    </row>
    <row r="507" spans="1:16" x14ac:dyDescent="0.3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4">
        <f>VLOOKUP(InputData[[#This Row],[PRODUCT ID]],MasterData[],5,0)</f>
        <v>18</v>
      </c>
      <c r="K507" s="14">
        <f>VLOOKUP(InputData[[#This Row],[PRODUCT ID]],MasterData[],6,0)</f>
        <v>24.66</v>
      </c>
      <c r="L507" s="14">
        <f>InputData[[#This Row],[QUANTITY]]*InputData[[#This Row],[BUYING PRIZE]]</f>
        <v>180</v>
      </c>
      <c r="M507" s="14">
        <f>InputData[[#This Row],[QUANTITY]]*InputData[[#This Row],[SELLING PRICE]]*(1-InputData[[#This Row],[DISCOUNT %]])</f>
        <v>246.6</v>
      </c>
      <c r="N507" s="12">
        <f>DAY(InputData[[#This Row],[DATE]])</f>
        <v>4</v>
      </c>
      <c r="O507" s="12" t="str">
        <f>TEXT(InputData[[#This Row],[DATE]],"MMM")</f>
        <v>Dec</v>
      </c>
      <c r="P507" s="12">
        <f>YEAR(InputData[[#This Row],[DATE]])</f>
        <v>2022</v>
      </c>
    </row>
    <row r="508" spans="1:16" x14ac:dyDescent="0.3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4">
        <f>VLOOKUP(InputData[[#This Row],[PRODUCT ID]],MasterData[],5,0)</f>
        <v>76</v>
      </c>
      <c r="K508" s="14">
        <f>VLOOKUP(InputData[[#This Row],[PRODUCT ID]],MasterData[],6,0)</f>
        <v>82.08</v>
      </c>
      <c r="L508" s="14">
        <f>InputData[[#This Row],[QUANTITY]]*InputData[[#This Row],[BUYING PRIZE]]</f>
        <v>1140</v>
      </c>
      <c r="M508" s="14">
        <f>InputData[[#This Row],[QUANTITY]]*InputData[[#This Row],[SELLING PRICE]]*(1-InputData[[#This Row],[DISCOUNT %]])</f>
        <v>1231.2</v>
      </c>
      <c r="N508" s="12">
        <f>DAY(InputData[[#This Row],[DATE]])</f>
        <v>4</v>
      </c>
      <c r="O508" s="12" t="str">
        <f>TEXT(InputData[[#This Row],[DATE]],"MMM")</f>
        <v>Dec</v>
      </c>
      <c r="P508" s="12">
        <f>YEAR(InputData[[#This Row],[DATE]])</f>
        <v>2022</v>
      </c>
    </row>
    <row r="509" spans="1:16" x14ac:dyDescent="0.3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4">
        <f>VLOOKUP(InputData[[#This Row],[PRODUCT ID]],MasterData[],5,0)</f>
        <v>72</v>
      </c>
      <c r="K509" s="14">
        <f>VLOOKUP(InputData[[#This Row],[PRODUCT ID]],MasterData[],6,0)</f>
        <v>79.92</v>
      </c>
      <c r="L509" s="14">
        <f>InputData[[#This Row],[QUANTITY]]*InputData[[#This Row],[BUYING PRIZE]]</f>
        <v>864</v>
      </c>
      <c r="M509" s="14">
        <f>InputData[[#This Row],[QUANTITY]]*InputData[[#This Row],[SELLING PRICE]]*(1-InputData[[#This Row],[DISCOUNT %]])</f>
        <v>959.04</v>
      </c>
      <c r="N509" s="12">
        <f>DAY(InputData[[#This Row],[DATE]])</f>
        <v>7</v>
      </c>
      <c r="O509" s="12" t="str">
        <f>TEXT(InputData[[#This Row],[DATE]],"MMM")</f>
        <v>Dec</v>
      </c>
      <c r="P509" s="12">
        <f>YEAR(InputData[[#This Row],[DATE]])</f>
        <v>2022</v>
      </c>
    </row>
    <row r="510" spans="1:16" x14ac:dyDescent="0.3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4">
        <f>VLOOKUP(InputData[[#This Row],[PRODUCT ID]],MasterData[],5,0)</f>
        <v>13</v>
      </c>
      <c r="K510" s="14">
        <f>VLOOKUP(InputData[[#This Row],[PRODUCT ID]],MasterData[],6,0)</f>
        <v>16.64</v>
      </c>
      <c r="L510" s="14">
        <f>InputData[[#This Row],[QUANTITY]]*InputData[[#This Row],[BUYING PRIZE]]</f>
        <v>169</v>
      </c>
      <c r="M510" s="14">
        <f>InputData[[#This Row],[QUANTITY]]*InputData[[#This Row],[SELLING PRICE]]*(1-InputData[[#This Row],[DISCOUNT %]])</f>
        <v>216.32</v>
      </c>
      <c r="N510" s="12">
        <f>DAY(InputData[[#This Row],[DATE]])</f>
        <v>7</v>
      </c>
      <c r="O510" s="12" t="str">
        <f>TEXT(InputData[[#This Row],[DATE]],"MMM")</f>
        <v>Dec</v>
      </c>
      <c r="P510" s="12">
        <f>YEAR(InputData[[#This Row],[DATE]])</f>
        <v>2022</v>
      </c>
    </row>
    <row r="511" spans="1:16" x14ac:dyDescent="0.3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4">
        <f>VLOOKUP(InputData[[#This Row],[PRODUCT ID]],MasterData[],5,0)</f>
        <v>72</v>
      </c>
      <c r="K511" s="14">
        <f>VLOOKUP(InputData[[#This Row],[PRODUCT ID]],MasterData[],6,0)</f>
        <v>79.92</v>
      </c>
      <c r="L511" s="14">
        <f>InputData[[#This Row],[QUANTITY]]*InputData[[#This Row],[BUYING PRIZE]]</f>
        <v>360</v>
      </c>
      <c r="M511" s="14">
        <f>InputData[[#This Row],[QUANTITY]]*InputData[[#This Row],[SELLING PRICE]]*(1-InputData[[#This Row],[DISCOUNT %]])</f>
        <v>399.6</v>
      </c>
      <c r="N511" s="12">
        <f>DAY(InputData[[#This Row],[DATE]])</f>
        <v>7</v>
      </c>
      <c r="O511" s="12" t="str">
        <f>TEXT(InputData[[#This Row],[DATE]],"MMM")</f>
        <v>Dec</v>
      </c>
      <c r="P511" s="12">
        <f>YEAR(InputData[[#This Row],[DATE]])</f>
        <v>2022</v>
      </c>
    </row>
    <row r="512" spans="1:16" x14ac:dyDescent="0.3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4">
        <f>VLOOKUP(InputData[[#This Row],[PRODUCT ID]],MasterData[],5,0)</f>
        <v>48</v>
      </c>
      <c r="K512" s="14">
        <f>VLOOKUP(InputData[[#This Row],[PRODUCT ID]],MasterData[],6,0)</f>
        <v>57.120000000000005</v>
      </c>
      <c r="L512" s="14">
        <f>InputData[[#This Row],[QUANTITY]]*InputData[[#This Row],[BUYING PRIZE]]</f>
        <v>240</v>
      </c>
      <c r="M512" s="14">
        <f>InputData[[#This Row],[QUANTITY]]*InputData[[#This Row],[SELLING PRICE]]*(1-InputData[[#This Row],[DISCOUNT %]])</f>
        <v>285.60000000000002</v>
      </c>
      <c r="N512" s="12">
        <f>DAY(InputData[[#This Row],[DATE]])</f>
        <v>11</v>
      </c>
      <c r="O512" s="12" t="str">
        <f>TEXT(InputData[[#This Row],[DATE]],"MMM")</f>
        <v>Dec</v>
      </c>
      <c r="P512" s="12">
        <f>YEAR(InputData[[#This Row],[DATE]])</f>
        <v>2022</v>
      </c>
    </row>
    <row r="513" spans="1:16" x14ac:dyDescent="0.3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4">
        <f>VLOOKUP(InputData[[#This Row],[PRODUCT ID]],MasterData[],5,0)</f>
        <v>112</v>
      </c>
      <c r="K513" s="14">
        <f>VLOOKUP(InputData[[#This Row],[PRODUCT ID]],MasterData[],6,0)</f>
        <v>122.08</v>
      </c>
      <c r="L513" s="14">
        <f>InputData[[#This Row],[QUANTITY]]*InputData[[#This Row],[BUYING PRIZE]]</f>
        <v>1008</v>
      </c>
      <c r="M513" s="14">
        <f>InputData[[#This Row],[QUANTITY]]*InputData[[#This Row],[SELLING PRICE]]*(1-InputData[[#This Row],[DISCOUNT %]])</f>
        <v>1098.72</v>
      </c>
      <c r="N513" s="12">
        <f>DAY(InputData[[#This Row],[DATE]])</f>
        <v>11</v>
      </c>
      <c r="O513" s="12" t="str">
        <f>TEXT(InputData[[#This Row],[DATE]],"MMM")</f>
        <v>Dec</v>
      </c>
      <c r="P513" s="12">
        <f>YEAR(InputData[[#This Row],[DATE]])</f>
        <v>2022</v>
      </c>
    </row>
    <row r="514" spans="1:16" x14ac:dyDescent="0.3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4">
        <f>VLOOKUP(InputData[[#This Row],[PRODUCT ID]],MasterData[],5,0)</f>
        <v>112</v>
      </c>
      <c r="K514" s="14">
        <f>VLOOKUP(InputData[[#This Row],[PRODUCT ID]],MasterData[],6,0)</f>
        <v>146.72</v>
      </c>
      <c r="L514" s="14">
        <f>InputData[[#This Row],[QUANTITY]]*InputData[[#This Row],[BUYING PRIZE]]</f>
        <v>1120</v>
      </c>
      <c r="M514" s="14">
        <f>InputData[[#This Row],[QUANTITY]]*InputData[[#This Row],[SELLING PRICE]]*(1-InputData[[#This Row],[DISCOUNT %]])</f>
        <v>1467.2</v>
      </c>
      <c r="N514" s="12">
        <f>DAY(InputData[[#This Row],[DATE]])</f>
        <v>11</v>
      </c>
      <c r="O514" s="12" t="str">
        <f>TEXT(InputData[[#This Row],[DATE]],"MMM")</f>
        <v>Dec</v>
      </c>
      <c r="P514" s="12">
        <f>YEAR(InputData[[#This Row],[DATE]])</f>
        <v>2022</v>
      </c>
    </row>
    <row r="515" spans="1:16" x14ac:dyDescent="0.3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4">
        <f>VLOOKUP(InputData[[#This Row],[PRODUCT ID]],MasterData[],5,0)</f>
        <v>148</v>
      </c>
      <c r="K515" s="14">
        <f>VLOOKUP(InputData[[#This Row],[PRODUCT ID]],MasterData[],6,0)</f>
        <v>201.28</v>
      </c>
      <c r="L515" s="14">
        <f>InputData[[#This Row],[QUANTITY]]*InputData[[#This Row],[BUYING PRIZE]]</f>
        <v>1332</v>
      </c>
      <c r="M515" s="14">
        <f>InputData[[#This Row],[QUANTITY]]*InputData[[#This Row],[SELLING PRICE]]*(1-InputData[[#This Row],[DISCOUNT %]])</f>
        <v>1811.52</v>
      </c>
      <c r="N515" s="12">
        <f>DAY(InputData[[#This Row],[DATE]])</f>
        <v>12</v>
      </c>
      <c r="O515" s="12" t="str">
        <f>TEXT(InputData[[#This Row],[DATE]],"MMM")</f>
        <v>Dec</v>
      </c>
      <c r="P515" s="12">
        <f>YEAR(InputData[[#This Row],[DATE]])</f>
        <v>2022</v>
      </c>
    </row>
    <row r="516" spans="1:16" x14ac:dyDescent="0.3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4">
        <f>VLOOKUP(InputData[[#This Row],[PRODUCT ID]],MasterData[],5,0)</f>
        <v>138</v>
      </c>
      <c r="K516" s="14">
        <f>VLOOKUP(InputData[[#This Row],[PRODUCT ID]],MasterData[],6,0)</f>
        <v>173.88</v>
      </c>
      <c r="L516" s="14">
        <f>InputData[[#This Row],[QUANTITY]]*InputData[[#This Row],[BUYING PRIZE]]</f>
        <v>1380</v>
      </c>
      <c r="M516" s="14">
        <f>InputData[[#This Row],[QUANTITY]]*InputData[[#This Row],[SELLING PRICE]]*(1-InputData[[#This Row],[DISCOUNT %]])</f>
        <v>1738.8</v>
      </c>
      <c r="N516" s="12">
        <f>DAY(InputData[[#This Row],[DATE]])</f>
        <v>12</v>
      </c>
      <c r="O516" s="12" t="str">
        <f>TEXT(InputData[[#This Row],[DATE]],"MMM")</f>
        <v>Dec</v>
      </c>
      <c r="P516" s="12">
        <f>YEAR(InputData[[#This Row],[DATE]])</f>
        <v>2022</v>
      </c>
    </row>
    <row r="517" spans="1:16" x14ac:dyDescent="0.3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4">
        <f>VLOOKUP(InputData[[#This Row],[PRODUCT ID]],MasterData[],5,0)</f>
        <v>133</v>
      </c>
      <c r="K517" s="14">
        <f>VLOOKUP(InputData[[#This Row],[PRODUCT ID]],MasterData[],6,0)</f>
        <v>155.61000000000001</v>
      </c>
      <c r="L517" s="14">
        <f>InputData[[#This Row],[QUANTITY]]*InputData[[#This Row],[BUYING PRIZE]]</f>
        <v>532</v>
      </c>
      <c r="M517" s="14">
        <f>InputData[[#This Row],[QUANTITY]]*InputData[[#This Row],[SELLING PRICE]]*(1-InputData[[#This Row],[DISCOUNT %]])</f>
        <v>622.44000000000005</v>
      </c>
      <c r="N517" s="12">
        <f>DAY(InputData[[#This Row],[DATE]])</f>
        <v>14</v>
      </c>
      <c r="O517" s="12" t="str">
        <f>TEXT(InputData[[#This Row],[DATE]],"MMM")</f>
        <v>Dec</v>
      </c>
      <c r="P517" s="12">
        <f>YEAR(InputData[[#This Row],[DATE]])</f>
        <v>2022</v>
      </c>
    </row>
    <row r="518" spans="1:16" x14ac:dyDescent="0.3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4">
        <f>VLOOKUP(InputData[[#This Row],[PRODUCT ID]],MasterData[],5,0)</f>
        <v>6</v>
      </c>
      <c r="K518" s="14">
        <f>VLOOKUP(InputData[[#This Row],[PRODUCT ID]],MasterData[],6,0)</f>
        <v>7.8599999999999994</v>
      </c>
      <c r="L518" s="14">
        <f>InputData[[#This Row],[QUANTITY]]*InputData[[#This Row],[BUYING PRIZE]]</f>
        <v>78</v>
      </c>
      <c r="M518" s="14">
        <f>InputData[[#This Row],[QUANTITY]]*InputData[[#This Row],[SELLING PRICE]]*(1-InputData[[#This Row],[DISCOUNT %]])</f>
        <v>102.17999999999999</v>
      </c>
      <c r="N518" s="12">
        <f>DAY(InputData[[#This Row],[DATE]])</f>
        <v>15</v>
      </c>
      <c r="O518" s="12" t="str">
        <f>TEXT(InputData[[#This Row],[DATE]],"MMM")</f>
        <v>Dec</v>
      </c>
      <c r="P518" s="12">
        <f>YEAR(InputData[[#This Row],[DATE]])</f>
        <v>2022</v>
      </c>
    </row>
    <row r="519" spans="1:16" x14ac:dyDescent="0.3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4">
        <f>VLOOKUP(InputData[[#This Row],[PRODUCT ID]],MasterData[],5,0)</f>
        <v>76</v>
      </c>
      <c r="K519" s="14">
        <f>VLOOKUP(InputData[[#This Row],[PRODUCT ID]],MasterData[],6,0)</f>
        <v>82.08</v>
      </c>
      <c r="L519" s="14">
        <f>InputData[[#This Row],[QUANTITY]]*InputData[[#This Row],[BUYING PRIZE]]</f>
        <v>532</v>
      </c>
      <c r="M519" s="14">
        <f>InputData[[#This Row],[QUANTITY]]*InputData[[#This Row],[SELLING PRICE]]*(1-InputData[[#This Row],[DISCOUNT %]])</f>
        <v>574.55999999999995</v>
      </c>
      <c r="N519" s="12">
        <f>DAY(InputData[[#This Row],[DATE]])</f>
        <v>19</v>
      </c>
      <c r="O519" s="12" t="str">
        <f>TEXT(InputData[[#This Row],[DATE]],"MMM")</f>
        <v>Dec</v>
      </c>
      <c r="P519" s="12">
        <f>YEAR(InputData[[#This Row],[DATE]])</f>
        <v>2022</v>
      </c>
    </row>
    <row r="520" spans="1:16" x14ac:dyDescent="0.3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4">
        <f>VLOOKUP(InputData[[#This Row],[PRODUCT ID]],MasterData[],5,0)</f>
        <v>44</v>
      </c>
      <c r="K520" s="14">
        <f>VLOOKUP(InputData[[#This Row],[PRODUCT ID]],MasterData[],6,0)</f>
        <v>48.4</v>
      </c>
      <c r="L520" s="14">
        <f>InputData[[#This Row],[QUANTITY]]*InputData[[#This Row],[BUYING PRIZE]]</f>
        <v>616</v>
      </c>
      <c r="M520" s="14">
        <f>InputData[[#This Row],[QUANTITY]]*InputData[[#This Row],[SELLING PRICE]]*(1-InputData[[#This Row],[DISCOUNT %]])</f>
        <v>677.6</v>
      </c>
      <c r="N520" s="12">
        <f>DAY(InputData[[#This Row],[DATE]])</f>
        <v>19</v>
      </c>
      <c r="O520" s="12" t="str">
        <f>TEXT(InputData[[#This Row],[DATE]],"MMM")</f>
        <v>Dec</v>
      </c>
      <c r="P520" s="12">
        <f>YEAR(InputData[[#This Row],[DATE]])</f>
        <v>2022</v>
      </c>
    </row>
    <row r="521" spans="1:16" x14ac:dyDescent="0.3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4">
        <f>VLOOKUP(InputData[[#This Row],[PRODUCT ID]],MasterData[],5,0)</f>
        <v>6</v>
      </c>
      <c r="K521" s="14">
        <f>VLOOKUP(InputData[[#This Row],[PRODUCT ID]],MasterData[],6,0)</f>
        <v>7.8599999999999994</v>
      </c>
      <c r="L521" s="14">
        <f>InputData[[#This Row],[QUANTITY]]*InputData[[#This Row],[BUYING PRIZE]]</f>
        <v>66</v>
      </c>
      <c r="M521" s="14">
        <f>InputData[[#This Row],[QUANTITY]]*InputData[[#This Row],[SELLING PRICE]]*(1-InputData[[#This Row],[DISCOUNT %]])</f>
        <v>86.46</v>
      </c>
      <c r="N521" s="12">
        <f>DAY(InputData[[#This Row],[DATE]])</f>
        <v>19</v>
      </c>
      <c r="O521" s="12" t="str">
        <f>TEXT(InputData[[#This Row],[DATE]],"MMM")</f>
        <v>Dec</v>
      </c>
      <c r="P521" s="12">
        <f>YEAR(InputData[[#This Row],[DATE]])</f>
        <v>2022</v>
      </c>
    </row>
    <row r="522" spans="1:16" x14ac:dyDescent="0.3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4">
        <f>VLOOKUP(InputData[[#This Row],[PRODUCT ID]],MasterData[],5,0)</f>
        <v>75</v>
      </c>
      <c r="K522" s="14">
        <f>VLOOKUP(InputData[[#This Row],[PRODUCT ID]],MasterData[],6,0)</f>
        <v>85.5</v>
      </c>
      <c r="L522" s="14">
        <f>InputData[[#This Row],[QUANTITY]]*InputData[[#This Row],[BUYING PRIZE]]</f>
        <v>750</v>
      </c>
      <c r="M522" s="14">
        <f>InputData[[#This Row],[QUANTITY]]*InputData[[#This Row],[SELLING PRICE]]*(1-InputData[[#This Row],[DISCOUNT %]])</f>
        <v>855</v>
      </c>
      <c r="N522" s="12">
        <f>DAY(InputData[[#This Row],[DATE]])</f>
        <v>21</v>
      </c>
      <c r="O522" s="12" t="str">
        <f>TEXT(InputData[[#This Row],[DATE]],"MMM")</f>
        <v>Dec</v>
      </c>
      <c r="P522" s="12">
        <f>YEAR(InputData[[#This Row],[DATE]])</f>
        <v>2022</v>
      </c>
    </row>
    <row r="523" spans="1:16" x14ac:dyDescent="0.3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4">
        <f>VLOOKUP(InputData[[#This Row],[PRODUCT ID]],MasterData[],5,0)</f>
        <v>83</v>
      </c>
      <c r="K523" s="14">
        <f>VLOOKUP(InputData[[#This Row],[PRODUCT ID]],MasterData[],6,0)</f>
        <v>94.62</v>
      </c>
      <c r="L523" s="14">
        <f>InputData[[#This Row],[QUANTITY]]*InputData[[#This Row],[BUYING PRIZE]]</f>
        <v>1245</v>
      </c>
      <c r="M523" s="14">
        <f>InputData[[#This Row],[QUANTITY]]*InputData[[#This Row],[SELLING PRICE]]*(1-InputData[[#This Row],[DISCOUNT %]])</f>
        <v>1419.3000000000002</v>
      </c>
      <c r="N523" s="12">
        <f>DAY(InputData[[#This Row],[DATE]])</f>
        <v>29</v>
      </c>
      <c r="O523" s="12" t="str">
        <f>TEXT(InputData[[#This Row],[DATE]],"MMM")</f>
        <v>Dec</v>
      </c>
      <c r="P523" s="12">
        <f>YEAR(InputData[[#This Row],[DATE]])</f>
        <v>2022</v>
      </c>
    </row>
    <row r="524" spans="1:16" x14ac:dyDescent="0.3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4">
        <f>VLOOKUP(InputData[[#This Row],[PRODUCT ID]],MasterData[],5,0)</f>
        <v>120</v>
      </c>
      <c r="K524" s="14">
        <f>VLOOKUP(InputData[[#This Row],[PRODUCT ID]],MasterData[],6,0)</f>
        <v>162</v>
      </c>
      <c r="L524" s="14">
        <f>InputData[[#This Row],[QUANTITY]]*InputData[[#This Row],[BUYING PRIZE]]</f>
        <v>120</v>
      </c>
      <c r="M524" s="14">
        <f>InputData[[#This Row],[QUANTITY]]*InputData[[#This Row],[SELLING PRICE]]*(1-InputData[[#This Row],[DISCOUNT %]])</f>
        <v>162</v>
      </c>
      <c r="N524" s="12">
        <f>DAY(InputData[[#This Row],[DATE]])</f>
        <v>29</v>
      </c>
      <c r="O524" s="12" t="str">
        <f>TEXT(InputData[[#This Row],[DATE]],"MMM")</f>
        <v>Dec</v>
      </c>
      <c r="P524" s="12">
        <f>YEAR(InputData[[#This Row],[DATE]])</f>
        <v>2022</v>
      </c>
    </row>
    <row r="525" spans="1:16" x14ac:dyDescent="0.3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4">
        <f>VLOOKUP(InputData[[#This Row],[PRODUCT ID]],MasterData[],5,0)</f>
        <v>138</v>
      </c>
      <c r="K525" s="14">
        <f>VLOOKUP(InputData[[#This Row],[PRODUCT ID]],MasterData[],6,0)</f>
        <v>173.88</v>
      </c>
      <c r="L525" s="14">
        <f>InputData[[#This Row],[QUANTITY]]*InputData[[#This Row],[BUYING PRIZE]]</f>
        <v>1932</v>
      </c>
      <c r="M525" s="14">
        <f>InputData[[#This Row],[QUANTITY]]*InputData[[#This Row],[SELLING PRICE]]*(1-InputData[[#This Row],[DISCOUNT %]])</f>
        <v>2434.3199999999997</v>
      </c>
      <c r="N525" s="12">
        <f>DAY(InputData[[#This Row],[DATE]])</f>
        <v>30</v>
      </c>
      <c r="O525" s="12" t="str">
        <f>TEXT(InputData[[#This Row],[DATE]],"MMM")</f>
        <v>Dec</v>
      </c>
      <c r="P525" s="12">
        <f>YEAR(InputData[[#This Row],[DATE]])</f>
        <v>2022</v>
      </c>
    </row>
    <row r="526" spans="1:16" x14ac:dyDescent="0.3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4">
        <f>VLOOKUP(InputData[[#This Row],[PRODUCT ID]],MasterData[],5,0)</f>
        <v>95</v>
      </c>
      <c r="K526" s="14">
        <f>VLOOKUP(InputData[[#This Row],[PRODUCT ID]],MasterData[],6,0)</f>
        <v>119.7</v>
      </c>
      <c r="L526" s="14">
        <f>InputData[[#This Row],[QUANTITY]]*InputData[[#This Row],[BUYING PRIZE]]</f>
        <v>1140</v>
      </c>
      <c r="M526" s="14">
        <f>InputData[[#This Row],[QUANTITY]]*InputData[[#This Row],[SELLING PRICE]]*(1-InputData[[#This Row],[DISCOUNT %]])</f>
        <v>1436.4</v>
      </c>
      <c r="N526" s="12">
        <f>DAY(InputData[[#This Row],[DATE]])</f>
        <v>31</v>
      </c>
      <c r="O526" s="12" t="str">
        <f>TEXT(InputData[[#This Row],[DATE]],"MMM")</f>
        <v>Dec</v>
      </c>
      <c r="P526" s="12">
        <f>YEAR(InputData[[#This Row],[DATE]])</f>
        <v>2022</v>
      </c>
    </row>
    <row r="527" spans="1:16" x14ac:dyDescent="0.3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4">
        <f>VLOOKUP(InputData[[#This Row],[PRODUCT ID]],MasterData[],5,0)</f>
        <v>44</v>
      </c>
      <c r="K527" s="14">
        <f>VLOOKUP(InputData[[#This Row],[PRODUCT ID]],MasterData[],6,0)</f>
        <v>48.4</v>
      </c>
      <c r="L527" s="14">
        <f>InputData[[#This Row],[QUANTITY]]*InputData[[#This Row],[BUYING PRIZE]]</f>
        <v>264</v>
      </c>
      <c r="M527" s="14">
        <f>InputData[[#This Row],[QUANTITY]]*InputData[[#This Row],[SELLING PRICE]]*(1-InputData[[#This Row],[DISCOUNT %]])</f>
        <v>290.39999999999998</v>
      </c>
      <c r="N527" s="12">
        <f>DAY(InputData[[#This Row],[DATE]])</f>
        <v>31</v>
      </c>
      <c r="O527" s="12" t="str">
        <f>TEXT(InputData[[#This Row],[DATE]],"MMM")</f>
        <v>Dec</v>
      </c>
      <c r="P527" s="12">
        <f>YEAR(InputData[[#This Row],[DATE]])</f>
        <v>2022</v>
      </c>
    </row>
    <row r="528" spans="1:16" x14ac:dyDescent="0.35">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s="14">
        <f>VLOOKUP(InputData[[#This Row],[PRODUCT ID]],MasterData[],5,0)</f>
        <v>44</v>
      </c>
      <c r="K528" s="14">
        <f>VLOOKUP(InputData[[#This Row],[PRODUCT ID]],MasterData[],6,0)</f>
        <v>48.4</v>
      </c>
      <c r="L528" s="14">
        <f>InputData[[#This Row],[QUANTITY]]*InputData[[#This Row],[BUYING PRIZE]]</f>
        <v>132</v>
      </c>
      <c r="M528" s="14">
        <f>InputData[[#This Row],[QUANTITY]]*InputData[[#This Row],[SELLING PRICE]]*(1-InputData[[#This Row],[DISCOUNT %]])</f>
        <v>145.19999999999999</v>
      </c>
      <c r="N528" s="12">
        <f>DAY(InputData[[#This Row],[DATE]])</f>
        <v>31</v>
      </c>
      <c r="O528" s="12" t="str">
        <f>TEXT(InputData[[#This Row],[DATE]],"MMM")</f>
        <v>Dec</v>
      </c>
      <c r="P528" s="12">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84"/>
  <sheetViews>
    <sheetView workbookViewId="0">
      <selection activeCell="B2" sqref="B2"/>
    </sheetView>
  </sheetViews>
  <sheetFormatPr defaultRowHeight="17.25" x14ac:dyDescent="0.35"/>
  <cols>
    <col min="2" max="2" width="13.875" customWidth="1"/>
    <col min="3" max="3" width="12.375" customWidth="1"/>
    <col min="4" max="4" width="11.875" customWidth="1"/>
    <col min="5" max="5" width="17.875" customWidth="1"/>
    <col min="6" max="6" width="14.375" customWidth="1"/>
    <col min="7" max="7" width="11.625" customWidth="1"/>
    <col min="8" max="8" width="12.625" customWidth="1"/>
    <col min="10" max="10" width="15.5" customWidth="1"/>
    <col min="11" max="11" width="15.625" customWidth="1"/>
    <col min="12" max="13" width="22.5" customWidth="1"/>
    <col min="15" max="15" width="10" customWidth="1"/>
  </cols>
  <sheetData>
    <row r="1" spans="1:16" x14ac:dyDescent="0.35">
      <c r="A1" t="s">
        <v>100</v>
      </c>
      <c r="B1" t="s">
        <v>0</v>
      </c>
      <c r="C1" t="s">
        <v>101</v>
      </c>
      <c r="D1" t="s">
        <v>102</v>
      </c>
      <c r="E1" t="s">
        <v>103</v>
      </c>
      <c r="F1" t="s">
        <v>104</v>
      </c>
      <c r="G1" t="s">
        <v>1</v>
      </c>
      <c r="H1" t="s">
        <v>2</v>
      </c>
      <c r="I1" t="s">
        <v>3</v>
      </c>
      <c r="J1" t="s">
        <v>4</v>
      </c>
      <c r="K1" t="s">
        <v>5</v>
      </c>
      <c r="L1" t="s">
        <v>114</v>
      </c>
      <c r="M1" t="s">
        <v>115</v>
      </c>
      <c r="N1" t="s">
        <v>116</v>
      </c>
      <c r="O1" t="s">
        <v>117</v>
      </c>
      <c r="P1" t="s">
        <v>118</v>
      </c>
    </row>
    <row r="2" spans="1:16" x14ac:dyDescent="0.35">
      <c r="A2" s="22">
        <v>44925</v>
      </c>
      <c r="B2" t="s">
        <v>92</v>
      </c>
      <c r="C2">
        <v>14</v>
      </c>
      <c r="D2" t="s">
        <v>108</v>
      </c>
      <c r="E2" t="s">
        <v>106</v>
      </c>
      <c r="F2">
        <v>0</v>
      </c>
      <c r="G2" t="s">
        <v>93</v>
      </c>
      <c r="H2" t="s">
        <v>85</v>
      </c>
      <c r="I2" t="s">
        <v>110</v>
      </c>
      <c r="J2">
        <v>138</v>
      </c>
      <c r="K2">
        <v>173.88</v>
      </c>
      <c r="L2">
        <v>1932</v>
      </c>
      <c r="M2">
        <v>2434.3199999999997</v>
      </c>
      <c r="N2">
        <v>30</v>
      </c>
      <c r="O2" t="s">
        <v>131</v>
      </c>
      <c r="P2">
        <v>2022</v>
      </c>
    </row>
    <row r="3" spans="1:16" x14ac:dyDescent="0.35">
      <c r="A3" s="22">
        <v>44924</v>
      </c>
      <c r="B3" t="s">
        <v>22</v>
      </c>
      <c r="C3">
        <v>15</v>
      </c>
      <c r="D3" t="s">
        <v>108</v>
      </c>
      <c r="E3" t="s">
        <v>106</v>
      </c>
      <c r="F3">
        <v>0</v>
      </c>
      <c r="G3" t="s">
        <v>23</v>
      </c>
      <c r="H3" t="s">
        <v>8</v>
      </c>
      <c r="I3" t="s">
        <v>9</v>
      </c>
      <c r="J3">
        <v>83</v>
      </c>
      <c r="K3">
        <v>94.62</v>
      </c>
      <c r="L3">
        <v>1245</v>
      </c>
      <c r="M3">
        <v>1419.3000000000002</v>
      </c>
      <c r="N3">
        <v>29</v>
      </c>
      <c r="O3" t="s">
        <v>131</v>
      </c>
      <c r="P3">
        <v>2022</v>
      </c>
    </row>
    <row r="4" spans="1:16" x14ac:dyDescent="0.35">
      <c r="A4" s="22">
        <v>44198</v>
      </c>
      <c r="B4" t="s">
        <v>33</v>
      </c>
      <c r="C4">
        <v>6</v>
      </c>
      <c r="D4" t="s">
        <v>108</v>
      </c>
      <c r="E4" t="s">
        <v>107</v>
      </c>
      <c r="F4">
        <v>0</v>
      </c>
      <c r="G4" t="s">
        <v>34</v>
      </c>
      <c r="H4" t="s">
        <v>28</v>
      </c>
      <c r="I4" t="s">
        <v>9</v>
      </c>
      <c r="J4">
        <v>112</v>
      </c>
      <c r="K4">
        <v>122.08</v>
      </c>
      <c r="L4">
        <v>672</v>
      </c>
      <c r="M4">
        <v>732.48</v>
      </c>
      <c r="N4">
        <v>2</v>
      </c>
      <c r="O4" t="s">
        <v>120</v>
      </c>
      <c r="P4">
        <v>2021</v>
      </c>
    </row>
    <row r="5" spans="1:16" x14ac:dyDescent="0.35">
      <c r="A5" s="22">
        <v>44199</v>
      </c>
      <c r="B5" t="s">
        <v>14</v>
      </c>
      <c r="C5">
        <v>5</v>
      </c>
      <c r="D5" t="s">
        <v>108</v>
      </c>
      <c r="E5" t="s">
        <v>106</v>
      </c>
      <c r="F5">
        <v>0</v>
      </c>
      <c r="G5" t="s">
        <v>15</v>
      </c>
      <c r="H5" t="s">
        <v>8</v>
      </c>
      <c r="I5" t="s">
        <v>109</v>
      </c>
      <c r="J5">
        <v>44</v>
      </c>
      <c r="K5">
        <v>48.84</v>
      </c>
      <c r="L5">
        <v>220</v>
      </c>
      <c r="M5">
        <v>244.20000000000002</v>
      </c>
      <c r="N5">
        <v>3</v>
      </c>
      <c r="O5" t="s">
        <v>120</v>
      </c>
      <c r="P5">
        <v>2021</v>
      </c>
    </row>
    <row r="6" spans="1:16" x14ac:dyDescent="0.35">
      <c r="A6" s="22">
        <v>44916</v>
      </c>
      <c r="B6" t="s">
        <v>18</v>
      </c>
      <c r="C6">
        <v>10</v>
      </c>
      <c r="D6" t="s">
        <v>108</v>
      </c>
      <c r="E6" t="s">
        <v>106</v>
      </c>
      <c r="F6">
        <v>0</v>
      </c>
      <c r="G6" t="s">
        <v>19</v>
      </c>
      <c r="H6" t="s">
        <v>8</v>
      </c>
      <c r="I6" t="s">
        <v>9</v>
      </c>
      <c r="J6">
        <v>75</v>
      </c>
      <c r="K6">
        <v>85.5</v>
      </c>
      <c r="L6">
        <v>750</v>
      </c>
      <c r="M6">
        <v>855</v>
      </c>
      <c r="N6">
        <v>21</v>
      </c>
      <c r="O6" t="s">
        <v>131</v>
      </c>
      <c r="P6">
        <v>2022</v>
      </c>
    </row>
    <row r="7" spans="1:16" x14ac:dyDescent="0.35">
      <c r="A7" s="22">
        <v>44205</v>
      </c>
      <c r="B7" t="s">
        <v>71</v>
      </c>
      <c r="C7">
        <v>1</v>
      </c>
      <c r="D7" t="s">
        <v>108</v>
      </c>
      <c r="E7" t="s">
        <v>107</v>
      </c>
      <c r="F7">
        <v>0</v>
      </c>
      <c r="G7" t="s">
        <v>72</v>
      </c>
      <c r="H7" t="s">
        <v>62</v>
      </c>
      <c r="I7" t="s">
        <v>9</v>
      </c>
      <c r="J7">
        <v>93</v>
      </c>
      <c r="K7">
        <v>104.16</v>
      </c>
      <c r="L7">
        <v>93</v>
      </c>
      <c r="M7">
        <v>104.16</v>
      </c>
      <c r="N7">
        <v>9</v>
      </c>
      <c r="O7" t="s">
        <v>120</v>
      </c>
      <c r="P7">
        <v>2021</v>
      </c>
    </row>
    <row r="8" spans="1:16" x14ac:dyDescent="0.35">
      <c r="A8" s="22">
        <v>44205</v>
      </c>
      <c r="B8" t="s">
        <v>12</v>
      </c>
      <c r="C8">
        <v>8</v>
      </c>
      <c r="D8" t="s">
        <v>108</v>
      </c>
      <c r="E8" t="s">
        <v>107</v>
      </c>
      <c r="F8">
        <v>0</v>
      </c>
      <c r="G8" t="s">
        <v>13</v>
      </c>
      <c r="H8" t="s">
        <v>8</v>
      </c>
      <c r="I8" t="s">
        <v>9</v>
      </c>
      <c r="J8">
        <v>71</v>
      </c>
      <c r="K8">
        <v>80.94</v>
      </c>
      <c r="L8">
        <v>568</v>
      </c>
      <c r="M8">
        <v>647.52</v>
      </c>
      <c r="N8">
        <v>9</v>
      </c>
      <c r="O8" t="s">
        <v>120</v>
      </c>
      <c r="P8">
        <v>2021</v>
      </c>
    </row>
    <row r="9" spans="1:16" x14ac:dyDescent="0.35">
      <c r="A9" s="22">
        <v>44205</v>
      </c>
      <c r="B9" t="s">
        <v>58</v>
      </c>
      <c r="C9">
        <v>4</v>
      </c>
      <c r="D9" t="s">
        <v>108</v>
      </c>
      <c r="E9" t="s">
        <v>106</v>
      </c>
      <c r="F9">
        <v>0</v>
      </c>
      <c r="G9" t="s">
        <v>59</v>
      </c>
      <c r="H9" t="s">
        <v>49</v>
      </c>
      <c r="I9" t="s">
        <v>111</v>
      </c>
      <c r="J9">
        <v>7</v>
      </c>
      <c r="K9">
        <v>8.33</v>
      </c>
      <c r="L9">
        <v>28</v>
      </c>
      <c r="M9">
        <v>33.32</v>
      </c>
      <c r="N9">
        <v>9</v>
      </c>
      <c r="O9" t="s">
        <v>120</v>
      </c>
      <c r="P9">
        <v>2021</v>
      </c>
    </row>
    <row r="10" spans="1:16" x14ac:dyDescent="0.35">
      <c r="A10" s="22">
        <v>44207</v>
      </c>
      <c r="B10" t="s">
        <v>83</v>
      </c>
      <c r="C10">
        <v>3</v>
      </c>
      <c r="D10" t="s">
        <v>108</v>
      </c>
      <c r="E10" t="s">
        <v>107</v>
      </c>
      <c r="F10">
        <v>0</v>
      </c>
      <c r="G10" t="s">
        <v>84</v>
      </c>
      <c r="H10" t="s">
        <v>85</v>
      </c>
      <c r="I10" t="s">
        <v>9</v>
      </c>
      <c r="J10">
        <v>67</v>
      </c>
      <c r="K10">
        <v>85.76</v>
      </c>
      <c r="L10">
        <v>201</v>
      </c>
      <c r="M10">
        <v>257.28000000000003</v>
      </c>
      <c r="N10">
        <v>11</v>
      </c>
      <c r="O10" t="s">
        <v>120</v>
      </c>
      <c r="P10">
        <v>2021</v>
      </c>
    </row>
    <row r="11" spans="1:16" x14ac:dyDescent="0.35">
      <c r="A11" s="22">
        <v>44914</v>
      </c>
      <c r="B11" t="s">
        <v>29</v>
      </c>
      <c r="C11">
        <v>14</v>
      </c>
      <c r="D11" t="s">
        <v>108</v>
      </c>
      <c r="E11" t="s">
        <v>107</v>
      </c>
      <c r="F11">
        <v>0</v>
      </c>
      <c r="G11" t="s">
        <v>30</v>
      </c>
      <c r="H11" t="s">
        <v>28</v>
      </c>
      <c r="I11" t="s">
        <v>109</v>
      </c>
      <c r="J11">
        <v>44</v>
      </c>
      <c r="K11">
        <v>48.4</v>
      </c>
      <c r="L11">
        <v>616</v>
      </c>
      <c r="M11">
        <v>677.6</v>
      </c>
      <c r="N11">
        <v>19</v>
      </c>
      <c r="O11" t="s">
        <v>131</v>
      </c>
      <c r="P11">
        <v>2022</v>
      </c>
    </row>
    <row r="12" spans="1:16" x14ac:dyDescent="0.35">
      <c r="A12" s="22">
        <v>44207</v>
      </c>
      <c r="B12" t="s">
        <v>94</v>
      </c>
      <c r="C12">
        <v>4</v>
      </c>
      <c r="D12" t="s">
        <v>108</v>
      </c>
      <c r="E12" t="s">
        <v>106</v>
      </c>
      <c r="F12">
        <v>0</v>
      </c>
      <c r="G12" t="s">
        <v>95</v>
      </c>
      <c r="H12" t="s">
        <v>85</v>
      </c>
      <c r="I12" t="s">
        <v>110</v>
      </c>
      <c r="J12">
        <v>120</v>
      </c>
      <c r="K12">
        <v>162</v>
      </c>
      <c r="L12">
        <v>480</v>
      </c>
      <c r="M12">
        <v>648</v>
      </c>
      <c r="N12">
        <v>11</v>
      </c>
      <c r="O12" t="s">
        <v>120</v>
      </c>
      <c r="P12">
        <v>2021</v>
      </c>
    </row>
    <row r="13" spans="1:16" x14ac:dyDescent="0.35">
      <c r="A13" s="22">
        <v>44914</v>
      </c>
      <c r="B13" t="s">
        <v>98</v>
      </c>
      <c r="C13">
        <v>7</v>
      </c>
      <c r="D13" t="s">
        <v>108</v>
      </c>
      <c r="E13" t="s">
        <v>106</v>
      </c>
      <c r="F13">
        <v>0</v>
      </c>
      <c r="G13" t="s">
        <v>99</v>
      </c>
      <c r="H13" t="s">
        <v>85</v>
      </c>
      <c r="I13" t="s">
        <v>9</v>
      </c>
      <c r="J13">
        <v>76</v>
      </c>
      <c r="K13">
        <v>82.08</v>
      </c>
      <c r="L13">
        <v>532</v>
      </c>
      <c r="M13">
        <v>574.55999999999995</v>
      </c>
      <c r="N13">
        <v>19</v>
      </c>
      <c r="O13" t="s">
        <v>131</v>
      </c>
      <c r="P13">
        <v>2022</v>
      </c>
    </row>
    <row r="14" spans="1:16" x14ac:dyDescent="0.35">
      <c r="A14" s="22">
        <v>44214</v>
      </c>
      <c r="B14" t="s">
        <v>98</v>
      </c>
      <c r="C14">
        <v>13</v>
      </c>
      <c r="D14" t="s">
        <v>108</v>
      </c>
      <c r="E14" t="s">
        <v>106</v>
      </c>
      <c r="F14">
        <v>0</v>
      </c>
      <c r="G14" t="s">
        <v>99</v>
      </c>
      <c r="H14" t="s">
        <v>85</v>
      </c>
      <c r="I14" t="s">
        <v>9</v>
      </c>
      <c r="J14">
        <v>76</v>
      </c>
      <c r="K14">
        <v>82.08</v>
      </c>
      <c r="L14">
        <v>988</v>
      </c>
      <c r="M14">
        <v>1067.04</v>
      </c>
      <c r="N14">
        <v>18</v>
      </c>
      <c r="O14" t="s">
        <v>120</v>
      </c>
      <c r="P14">
        <v>2021</v>
      </c>
    </row>
    <row r="15" spans="1:16" x14ac:dyDescent="0.35">
      <c r="A15" s="22">
        <v>44910</v>
      </c>
      <c r="B15" t="s">
        <v>24</v>
      </c>
      <c r="C15">
        <v>13</v>
      </c>
      <c r="D15" t="s">
        <v>108</v>
      </c>
      <c r="E15" t="s">
        <v>106</v>
      </c>
      <c r="F15">
        <v>0</v>
      </c>
      <c r="G15" t="s">
        <v>25</v>
      </c>
      <c r="H15" t="s">
        <v>8</v>
      </c>
      <c r="I15" t="s">
        <v>111</v>
      </c>
      <c r="J15">
        <v>6</v>
      </c>
      <c r="K15">
        <v>7.8599999999999994</v>
      </c>
      <c r="L15">
        <v>78</v>
      </c>
      <c r="M15">
        <v>102.17999999999999</v>
      </c>
      <c r="N15">
        <v>15</v>
      </c>
      <c r="O15" t="s">
        <v>131</v>
      </c>
      <c r="P15">
        <v>2022</v>
      </c>
    </row>
    <row r="16" spans="1:16" x14ac:dyDescent="0.35">
      <c r="A16" s="22">
        <v>44215</v>
      </c>
      <c r="B16" t="s">
        <v>79</v>
      </c>
      <c r="C16">
        <v>6</v>
      </c>
      <c r="D16" t="s">
        <v>108</v>
      </c>
      <c r="E16" t="s">
        <v>107</v>
      </c>
      <c r="F16">
        <v>0</v>
      </c>
      <c r="G16" t="s">
        <v>80</v>
      </c>
      <c r="H16" t="s">
        <v>62</v>
      </c>
      <c r="I16" t="s">
        <v>111</v>
      </c>
      <c r="J16">
        <v>5</v>
      </c>
      <c r="K16">
        <v>6.7</v>
      </c>
      <c r="L16">
        <v>30</v>
      </c>
      <c r="M16">
        <v>40.200000000000003</v>
      </c>
      <c r="N16">
        <v>19</v>
      </c>
      <c r="O16" t="s">
        <v>120</v>
      </c>
      <c r="P16">
        <v>2021</v>
      </c>
    </row>
    <row r="17" spans="1:16" x14ac:dyDescent="0.35">
      <c r="A17" s="22">
        <v>44216</v>
      </c>
      <c r="B17" t="s">
        <v>77</v>
      </c>
      <c r="C17">
        <v>4</v>
      </c>
      <c r="D17" t="s">
        <v>108</v>
      </c>
      <c r="E17" t="s">
        <v>107</v>
      </c>
      <c r="F17">
        <v>0</v>
      </c>
      <c r="G17" t="s">
        <v>78</v>
      </c>
      <c r="H17" t="s">
        <v>62</v>
      </c>
      <c r="I17" t="s">
        <v>109</v>
      </c>
      <c r="J17">
        <v>55</v>
      </c>
      <c r="K17">
        <v>58.3</v>
      </c>
      <c r="L17">
        <v>220</v>
      </c>
      <c r="M17">
        <v>233.2</v>
      </c>
      <c r="N17">
        <v>20</v>
      </c>
      <c r="O17" t="s">
        <v>120</v>
      </c>
      <c r="P17">
        <v>2021</v>
      </c>
    </row>
    <row r="18" spans="1:16" x14ac:dyDescent="0.35">
      <c r="A18" s="22">
        <v>44216</v>
      </c>
      <c r="B18" t="s">
        <v>47</v>
      </c>
      <c r="C18">
        <v>4</v>
      </c>
      <c r="D18" t="s">
        <v>108</v>
      </c>
      <c r="E18" t="s">
        <v>107</v>
      </c>
      <c r="F18">
        <v>0</v>
      </c>
      <c r="G18" t="s">
        <v>48</v>
      </c>
      <c r="H18" t="s">
        <v>49</v>
      </c>
      <c r="I18" t="s">
        <v>109</v>
      </c>
      <c r="J18">
        <v>61</v>
      </c>
      <c r="K18">
        <v>76.25</v>
      </c>
      <c r="L18">
        <v>244</v>
      </c>
      <c r="M18">
        <v>305</v>
      </c>
      <c r="N18">
        <v>20</v>
      </c>
      <c r="O18" t="s">
        <v>120</v>
      </c>
      <c r="P18">
        <v>2021</v>
      </c>
    </row>
    <row r="19" spans="1:16" x14ac:dyDescent="0.35">
      <c r="A19" s="22">
        <v>44909</v>
      </c>
      <c r="B19" t="s">
        <v>16</v>
      </c>
      <c r="C19">
        <v>4</v>
      </c>
      <c r="D19" t="s">
        <v>108</v>
      </c>
      <c r="E19" t="s">
        <v>107</v>
      </c>
      <c r="F19">
        <v>0</v>
      </c>
      <c r="G19" t="s">
        <v>17</v>
      </c>
      <c r="H19" t="s">
        <v>8</v>
      </c>
      <c r="I19" t="s">
        <v>110</v>
      </c>
      <c r="J19">
        <v>133</v>
      </c>
      <c r="K19">
        <v>155.61000000000001</v>
      </c>
      <c r="L19">
        <v>532</v>
      </c>
      <c r="M19">
        <v>622.44000000000005</v>
      </c>
      <c r="N19">
        <v>14</v>
      </c>
      <c r="O19" t="s">
        <v>131</v>
      </c>
      <c r="P19">
        <v>2022</v>
      </c>
    </row>
    <row r="20" spans="1:16" x14ac:dyDescent="0.35">
      <c r="A20" s="22">
        <v>44217</v>
      </c>
      <c r="B20" t="s">
        <v>12</v>
      </c>
      <c r="C20">
        <v>9</v>
      </c>
      <c r="D20" t="s">
        <v>108</v>
      </c>
      <c r="E20" t="s">
        <v>106</v>
      </c>
      <c r="F20">
        <v>0</v>
      </c>
      <c r="G20" t="s">
        <v>13</v>
      </c>
      <c r="H20" t="s">
        <v>8</v>
      </c>
      <c r="I20" t="s">
        <v>9</v>
      </c>
      <c r="J20">
        <v>71</v>
      </c>
      <c r="K20">
        <v>80.94</v>
      </c>
      <c r="L20">
        <v>639</v>
      </c>
      <c r="M20">
        <v>728.46</v>
      </c>
      <c r="N20">
        <v>21</v>
      </c>
      <c r="O20" t="s">
        <v>120</v>
      </c>
      <c r="P20">
        <v>2021</v>
      </c>
    </row>
    <row r="21" spans="1:16" x14ac:dyDescent="0.35">
      <c r="A21" s="22">
        <v>44217</v>
      </c>
      <c r="B21" t="s">
        <v>94</v>
      </c>
      <c r="C21">
        <v>6</v>
      </c>
      <c r="D21" t="s">
        <v>108</v>
      </c>
      <c r="E21" t="s">
        <v>106</v>
      </c>
      <c r="F21">
        <v>0</v>
      </c>
      <c r="G21" t="s">
        <v>95</v>
      </c>
      <c r="H21" t="s">
        <v>85</v>
      </c>
      <c r="I21" t="s">
        <v>110</v>
      </c>
      <c r="J21">
        <v>120</v>
      </c>
      <c r="K21">
        <v>162</v>
      </c>
      <c r="L21">
        <v>720</v>
      </c>
      <c r="M21">
        <v>972</v>
      </c>
      <c r="N21">
        <v>21</v>
      </c>
      <c r="O21" t="s">
        <v>120</v>
      </c>
      <c r="P21">
        <v>2021</v>
      </c>
    </row>
    <row r="22" spans="1:16" x14ac:dyDescent="0.35">
      <c r="A22" s="22">
        <v>44221</v>
      </c>
      <c r="B22" t="s">
        <v>77</v>
      </c>
      <c r="C22">
        <v>6</v>
      </c>
      <c r="D22" t="s">
        <v>108</v>
      </c>
      <c r="E22" t="s">
        <v>107</v>
      </c>
      <c r="F22">
        <v>0</v>
      </c>
      <c r="G22" t="s">
        <v>78</v>
      </c>
      <c r="H22" t="s">
        <v>62</v>
      </c>
      <c r="I22" t="s">
        <v>109</v>
      </c>
      <c r="J22">
        <v>55</v>
      </c>
      <c r="K22">
        <v>58.3</v>
      </c>
      <c r="L22">
        <v>330</v>
      </c>
      <c r="M22">
        <v>349.79999999999995</v>
      </c>
      <c r="N22">
        <v>25</v>
      </c>
      <c r="O22" t="s">
        <v>120</v>
      </c>
      <c r="P22">
        <v>2021</v>
      </c>
    </row>
    <row r="23" spans="1:16" x14ac:dyDescent="0.35">
      <c r="A23" s="22">
        <v>44221</v>
      </c>
      <c r="B23" t="s">
        <v>79</v>
      </c>
      <c r="C23">
        <v>7</v>
      </c>
      <c r="D23" t="s">
        <v>108</v>
      </c>
      <c r="E23" t="s">
        <v>106</v>
      </c>
      <c r="F23">
        <v>0</v>
      </c>
      <c r="G23" t="s">
        <v>80</v>
      </c>
      <c r="H23" t="s">
        <v>62</v>
      </c>
      <c r="I23" t="s">
        <v>111</v>
      </c>
      <c r="J23">
        <v>5</v>
      </c>
      <c r="K23">
        <v>6.7</v>
      </c>
      <c r="L23">
        <v>35</v>
      </c>
      <c r="M23">
        <v>46.9</v>
      </c>
      <c r="N23">
        <v>25</v>
      </c>
      <c r="O23" t="s">
        <v>120</v>
      </c>
      <c r="P23">
        <v>2021</v>
      </c>
    </row>
    <row r="24" spans="1:16" x14ac:dyDescent="0.35">
      <c r="A24" s="22">
        <v>44221</v>
      </c>
      <c r="B24" t="s">
        <v>71</v>
      </c>
      <c r="C24">
        <v>14</v>
      </c>
      <c r="D24" t="s">
        <v>108</v>
      </c>
      <c r="E24" t="s">
        <v>106</v>
      </c>
      <c r="F24">
        <v>0</v>
      </c>
      <c r="G24" t="s">
        <v>72</v>
      </c>
      <c r="H24" t="s">
        <v>62</v>
      </c>
      <c r="I24" t="s">
        <v>9</v>
      </c>
      <c r="J24">
        <v>93</v>
      </c>
      <c r="K24">
        <v>104.16</v>
      </c>
      <c r="L24">
        <v>1302</v>
      </c>
      <c r="M24">
        <v>1458.24</v>
      </c>
      <c r="N24">
        <v>25</v>
      </c>
      <c r="O24" t="s">
        <v>120</v>
      </c>
      <c r="P24">
        <v>2021</v>
      </c>
    </row>
    <row r="25" spans="1:16" x14ac:dyDescent="0.35">
      <c r="A25" s="22">
        <v>44906</v>
      </c>
      <c r="B25" t="s">
        <v>63</v>
      </c>
      <c r="C25">
        <v>5</v>
      </c>
      <c r="D25" t="s">
        <v>108</v>
      </c>
      <c r="E25" t="s">
        <v>106</v>
      </c>
      <c r="F25">
        <v>0</v>
      </c>
      <c r="G25" t="s">
        <v>64</v>
      </c>
      <c r="H25" t="s">
        <v>62</v>
      </c>
      <c r="I25" t="s">
        <v>109</v>
      </c>
      <c r="J25">
        <v>48</v>
      </c>
      <c r="K25">
        <v>57.120000000000005</v>
      </c>
      <c r="L25">
        <v>240</v>
      </c>
      <c r="M25">
        <v>285.60000000000002</v>
      </c>
      <c r="N25">
        <v>11</v>
      </c>
      <c r="O25" t="s">
        <v>131</v>
      </c>
      <c r="P25">
        <v>2022</v>
      </c>
    </row>
    <row r="26" spans="1:16" x14ac:dyDescent="0.35">
      <c r="A26" s="22">
        <v>44902</v>
      </c>
      <c r="B26" t="s">
        <v>86</v>
      </c>
      <c r="C26">
        <v>5</v>
      </c>
      <c r="D26" t="s">
        <v>108</v>
      </c>
      <c r="E26" t="s">
        <v>107</v>
      </c>
      <c r="F26">
        <v>0</v>
      </c>
      <c r="G26" t="s">
        <v>87</v>
      </c>
      <c r="H26" t="s">
        <v>85</v>
      </c>
      <c r="I26" t="s">
        <v>9</v>
      </c>
      <c r="J26">
        <v>72</v>
      </c>
      <c r="K26">
        <v>79.92</v>
      </c>
      <c r="L26">
        <v>360</v>
      </c>
      <c r="M26">
        <v>399.6</v>
      </c>
      <c r="N26">
        <v>7</v>
      </c>
      <c r="O26" t="s">
        <v>131</v>
      </c>
      <c r="P26">
        <v>2022</v>
      </c>
    </row>
    <row r="27" spans="1:16" x14ac:dyDescent="0.35">
      <c r="A27" s="22">
        <v>44902</v>
      </c>
      <c r="B27" t="s">
        <v>39</v>
      </c>
      <c r="C27">
        <v>13</v>
      </c>
      <c r="D27" t="s">
        <v>108</v>
      </c>
      <c r="E27" t="s">
        <v>106</v>
      </c>
      <c r="F27">
        <v>0</v>
      </c>
      <c r="G27" t="s">
        <v>40</v>
      </c>
      <c r="H27" t="s">
        <v>28</v>
      </c>
      <c r="I27" t="s">
        <v>111</v>
      </c>
      <c r="J27">
        <v>13</v>
      </c>
      <c r="K27">
        <v>16.64</v>
      </c>
      <c r="L27">
        <v>169</v>
      </c>
      <c r="M27">
        <v>216.32</v>
      </c>
      <c r="N27">
        <v>7</v>
      </c>
      <c r="O27" t="s">
        <v>131</v>
      </c>
      <c r="P27">
        <v>2022</v>
      </c>
    </row>
    <row r="28" spans="1:16" x14ac:dyDescent="0.35">
      <c r="A28" s="22">
        <v>44902</v>
      </c>
      <c r="B28" t="s">
        <v>86</v>
      </c>
      <c r="C28">
        <v>12</v>
      </c>
      <c r="D28" t="s">
        <v>108</v>
      </c>
      <c r="E28" t="s">
        <v>107</v>
      </c>
      <c r="F28">
        <v>0</v>
      </c>
      <c r="G28" t="s">
        <v>87</v>
      </c>
      <c r="H28" t="s">
        <v>85</v>
      </c>
      <c r="I28" t="s">
        <v>9</v>
      </c>
      <c r="J28">
        <v>72</v>
      </c>
      <c r="K28">
        <v>79.92</v>
      </c>
      <c r="L28">
        <v>864</v>
      </c>
      <c r="M28">
        <v>959.04</v>
      </c>
      <c r="N28">
        <v>7</v>
      </c>
      <c r="O28" t="s">
        <v>131</v>
      </c>
      <c r="P28">
        <v>2022</v>
      </c>
    </row>
    <row r="29" spans="1:16" x14ac:dyDescent="0.35">
      <c r="A29" s="22">
        <v>44899</v>
      </c>
      <c r="B29" t="s">
        <v>98</v>
      </c>
      <c r="C29">
        <v>15</v>
      </c>
      <c r="D29" t="s">
        <v>108</v>
      </c>
      <c r="E29" t="s">
        <v>107</v>
      </c>
      <c r="F29">
        <v>0</v>
      </c>
      <c r="G29" t="s">
        <v>99</v>
      </c>
      <c r="H29" t="s">
        <v>85</v>
      </c>
      <c r="I29" t="s">
        <v>9</v>
      </c>
      <c r="J29">
        <v>76</v>
      </c>
      <c r="K29">
        <v>82.08</v>
      </c>
      <c r="L29">
        <v>1140</v>
      </c>
      <c r="M29">
        <v>1231.2</v>
      </c>
      <c r="N29">
        <v>4</v>
      </c>
      <c r="O29" t="s">
        <v>131</v>
      </c>
      <c r="P29">
        <v>2022</v>
      </c>
    </row>
    <row r="30" spans="1:16" x14ac:dyDescent="0.35">
      <c r="A30" s="22">
        <v>44899</v>
      </c>
      <c r="B30" t="s">
        <v>60</v>
      </c>
      <c r="C30">
        <v>10</v>
      </c>
      <c r="D30" t="s">
        <v>108</v>
      </c>
      <c r="E30" t="s">
        <v>107</v>
      </c>
      <c r="F30">
        <v>0</v>
      </c>
      <c r="G30" t="s">
        <v>61</v>
      </c>
      <c r="H30" t="s">
        <v>62</v>
      </c>
      <c r="I30" t="s">
        <v>111</v>
      </c>
      <c r="J30">
        <v>18</v>
      </c>
      <c r="K30">
        <v>24.66</v>
      </c>
      <c r="L30">
        <v>180</v>
      </c>
      <c r="M30">
        <v>246.6</v>
      </c>
      <c r="N30">
        <v>4</v>
      </c>
      <c r="O30" t="s">
        <v>131</v>
      </c>
      <c r="P30">
        <v>2022</v>
      </c>
    </row>
    <row r="31" spans="1:16" x14ac:dyDescent="0.35">
      <c r="A31" s="22">
        <v>44224</v>
      </c>
      <c r="B31" t="s">
        <v>67</v>
      </c>
      <c r="C31">
        <v>2</v>
      </c>
      <c r="D31" t="s">
        <v>108</v>
      </c>
      <c r="E31" t="s">
        <v>107</v>
      </c>
      <c r="F31">
        <v>0</v>
      </c>
      <c r="G31" t="s">
        <v>68</v>
      </c>
      <c r="H31" t="s">
        <v>62</v>
      </c>
      <c r="I31" t="s">
        <v>109</v>
      </c>
      <c r="J31">
        <v>47</v>
      </c>
      <c r="K31">
        <v>53.11</v>
      </c>
      <c r="L31">
        <v>94</v>
      </c>
      <c r="M31">
        <v>106.22</v>
      </c>
      <c r="N31">
        <v>28</v>
      </c>
      <c r="O31" t="s">
        <v>120</v>
      </c>
      <c r="P31">
        <v>2021</v>
      </c>
    </row>
    <row r="32" spans="1:16" x14ac:dyDescent="0.35">
      <c r="A32" s="22">
        <v>44895</v>
      </c>
      <c r="B32" t="s">
        <v>37</v>
      </c>
      <c r="C32">
        <v>2</v>
      </c>
      <c r="D32" t="s">
        <v>108</v>
      </c>
      <c r="E32" t="s">
        <v>106</v>
      </c>
      <c r="F32">
        <v>0</v>
      </c>
      <c r="G32" t="s">
        <v>38</v>
      </c>
      <c r="H32" t="s">
        <v>28</v>
      </c>
      <c r="I32" t="s">
        <v>111</v>
      </c>
      <c r="J32">
        <v>12</v>
      </c>
      <c r="K32">
        <v>15.719999999999999</v>
      </c>
      <c r="L32">
        <v>24</v>
      </c>
      <c r="M32">
        <v>31.439999999999998</v>
      </c>
      <c r="N32">
        <v>30</v>
      </c>
      <c r="O32" t="s">
        <v>130</v>
      </c>
      <c r="P32">
        <v>2022</v>
      </c>
    </row>
    <row r="33" spans="1:16" x14ac:dyDescent="0.35">
      <c r="A33" s="22">
        <v>44230</v>
      </c>
      <c r="B33" t="s">
        <v>39</v>
      </c>
      <c r="C33">
        <v>13</v>
      </c>
      <c r="D33" t="s">
        <v>108</v>
      </c>
      <c r="E33" t="s">
        <v>106</v>
      </c>
      <c r="F33">
        <v>0</v>
      </c>
      <c r="G33" t="s">
        <v>40</v>
      </c>
      <c r="H33" t="s">
        <v>28</v>
      </c>
      <c r="I33" t="s">
        <v>111</v>
      </c>
      <c r="J33">
        <v>13</v>
      </c>
      <c r="K33">
        <v>16.64</v>
      </c>
      <c r="L33">
        <v>169</v>
      </c>
      <c r="M33">
        <v>216.32</v>
      </c>
      <c r="N33">
        <v>3</v>
      </c>
      <c r="O33" t="s">
        <v>121</v>
      </c>
      <c r="P33">
        <v>2021</v>
      </c>
    </row>
    <row r="34" spans="1:16" x14ac:dyDescent="0.35">
      <c r="A34" s="22">
        <v>44893</v>
      </c>
      <c r="B34" t="s">
        <v>71</v>
      </c>
      <c r="C34">
        <v>8</v>
      </c>
      <c r="D34" t="s">
        <v>108</v>
      </c>
      <c r="E34" t="s">
        <v>107</v>
      </c>
      <c r="F34">
        <v>0</v>
      </c>
      <c r="G34" t="s">
        <v>72</v>
      </c>
      <c r="H34" t="s">
        <v>62</v>
      </c>
      <c r="I34" t="s">
        <v>9</v>
      </c>
      <c r="J34">
        <v>93</v>
      </c>
      <c r="K34">
        <v>104.16</v>
      </c>
      <c r="L34">
        <v>744</v>
      </c>
      <c r="M34">
        <v>833.28</v>
      </c>
      <c r="N34">
        <v>28</v>
      </c>
      <c r="O34" t="s">
        <v>130</v>
      </c>
      <c r="P34">
        <v>2022</v>
      </c>
    </row>
    <row r="35" spans="1:16" x14ac:dyDescent="0.35">
      <c r="A35" s="22">
        <v>44892</v>
      </c>
      <c r="B35" t="s">
        <v>77</v>
      </c>
      <c r="C35">
        <v>15</v>
      </c>
      <c r="D35" t="s">
        <v>108</v>
      </c>
      <c r="E35" t="s">
        <v>106</v>
      </c>
      <c r="F35">
        <v>0</v>
      </c>
      <c r="G35" t="s">
        <v>78</v>
      </c>
      <c r="H35" t="s">
        <v>62</v>
      </c>
      <c r="I35" t="s">
        <v>109</v>
      </c>
      <c r="J35">
        <v>55</v>
      </c>
      <c r="K35">
        <v>58.3</v>
      </c>
      <c r="L35">
        <v>825</v>
      </c>
      <c r="M35">
        <v>874.5</v>
      </c>
      <c r="N35">
        <v>27</v>
      </c>
      <c r="O35" t="s">
        <v>130</v>
      </c>
      <c r="P35">
        <v>2022</v>
      </c>
    </row>
    <row r="36" spans="1:16" x14ac:dyDescent="0.35">
      <c r="A36" s="22">
        <v>44891</v>
      </c>
      <c r="B36" t="s">
        <v>73</v>
      </c>
      <c r="C36">
        <v>5</v>
      </c>
      <c r="D36" t="s">
        <v>108</v>
      </c>
      <c r="E36" t="s">
        <v>106</v>
      </c>
      <c r="F36">
        <v>0</v>
      </c>
      <c r="G36" t="s">
        <v>74</v>
      </c>
      <c r="H36" t="s">
        <v>62</v>
      </c>
      <c r="I36" t="s">
        <v>9</v>
      </c>
      <c r="J36">
        <v>89</v>
      </c>
      <c r="K36">
        <v>117.48</v>
      </c>
      <c r="L36">
        <v>445</v>
      </c>
      <c r="M36">
        <v>587.4</v>
      </c>
      <c r="N36">
        <v>26</v>
      </c>
      <c r="O36" t="s">
        <v>130</v>
      </c>
      <c r="P36">
        <v>2022</v>
      </c>
    </row>
    <row r="37" spans="1:16" x14ac:dyDescent="0.35">
      <c r="A37" s="22">
        <v>44232</v>
      </c>
      <c r="B37" t="s">
        <v>16</v>
      </c>
      <c r="C37">
        <v>1</v>
      </c>
      <c r="D37" t="s">
        <v>108</v>
      </c>
      <c r="E37" t="s">
        <v>107</v>
      </c>
      <c r="F37">
        <v>0</v>
      </c>
      <c r="G37" t="s">
        <v>17</v>
      </c>
      <c r="H37" t="s">
        <v>8</v>
      </c>
      <c r="I37" t="s">
        <v>110</v>
      </c>
      <c r="J37">
        <v>133</v>
      </c>
      <c r="K37">
        <v>155.61000000000001</v>
      </c>
      <c r="L37">
        <v>133</v>
      </c>
      <c r="M37">
        <v>155.61000000000001</v>
      </c>
      <c r="N37">
        <v>5</v>
      </c>
      <c r="O37" t="s">
        <v>121</v>
      </c>
      <c r="P37">
        <v>2021</v>
      </c>
    </row>
    <row r="38" spans="1:16" x14ac:dyDescent="0.35">
      <c r="A38" s="22">
        <v>44232</v>
      </c>
      <c r="B38" t="s">
        <v>96</v>
      </c>
      <c r="C38">
        <v>9</v>
      </c>
      <c r="D38" t="s">
        <v>108</v>
      </c>
      <c r="E38" t="s">
        <v>107</v>
      </c>
      <c r="F38">
        <v>0</v>
      </c>
      <c r="G38" t="s">
        <v>97</v>
      </c>
      <c r="H38" t="s">
        <v>85</v>
      </c>
      <c r="I38" t="s">
        <v>9</v>
      </c>
      <c r="J38">
        <v>67</v>
      </c>
      <c r="K38">
        <v>83.08</v>
      </c>
      <c r="L38">
        <v>603</v>
      </c>
      <c r="M38">
        <v>747.72</v>
      </c>
      <c r="N38">
        <v>5</v>
      </c>
      <c r="O38" t="s">
        <v>121</v>
      </c>
      <c r="P38">
        <v>2021</v>
      </c>
    </row>
    <row r="39" spans="1:16" x14ac:dyDescent="0.35">
      <c r="A39" s="22">
        <v>44233</v>
      </c>
      <c r="B39" t="s">
        <v>79</v>
      </c>
      <c r="C39">
        <v>1</v>
      </c>
      <c r="D39" t="s">
        <v>108</v>
      </c>
      <c r="E39" t="s">
        <v>107</v>
      </c>
      <c r="F39">
        <v>0</v>
      </c>
      <c r="G39" t="s">
        <v>80</v>
      </c>
      <c r="H39" t="s">
        <v>62</v>
      </c>
      <c r="I39" t="s">
        <v>111</v>
      </c>
      <c r="J39">
        <v>5</v>
      </c>
      <c r="K39">
        <v>6.7</v>
      </c>
      <c r="L39">
        <v>5</v>
      </c>
      <c r="M39">
        <v>6.7</v>
      </c>
      <c r="N39">
        <v>6</v>
      </c>
      <c r="O39" t="s">
        <v>121</v>
      </c>
      <c r="P39">
        <v>2021</v>
      </c>
    </row>
    <row r="40" spans="1:16" x14ac:dyDescent="0.35">
      <c r="A40" s="22">
        <v>44236</v>
      </c>
      <c r="B40" t="s">
        <v>77</v>
      </c>
      <c r="C40">
        <v>14</v>
      </c>
      <c r="D40" t="s">
        <v>108</v>
      </c>
      <c r="E40" t="s">
        <v>106</v>
      </c>
      <c r="F40">
        <v>0</v>
      </c>
      <c r="G40" t="s">
        <v>78</v>
      </c>
      <c r="H40" t="s">
        <v>62</v>
      </c>
      <c r="I40" t="s">
        <v>109</v>
      </c>
      <c r="J40">
        <v>55</v>
      </c>
      <c r="K40">
        <v>58.3</v>
      </c>
      <c r="L40">
        <v>770</v>
      </c>
      <c r="M40">
        <v>816.19999999999993</v>
      </c>
      <c r="N40">
        <v>9</v>
      </c>
      <c r="O40" t="s">
        <v>121</v>
      </c>
      <c r="P40">
        <v>2021</v>
      </c>
    </row>
    <row r="41" spans="1:16" x14ac:dyDescent="0.35">
      <c r="A41" s="22">
        <v>44239</v>
      </c>
      <c r="B41" t="s">
        <v>22</v>
      </c>
      <c r="C41">
        <v>7</v>
      </c>
      <c r="D41" t="s">
        <v>108</v>
      </c>
      <c r="E41" t="s">
        <v>107</v>
      </c>
      <c r="F41">
        <v>0</v>
      </c>
      <c r="G41" t="s">
        <v>23</v>
      </c>
      <c r="H41" t="s">
        <v>8</v>
      </c>
      <c r="I41" t="s">
        <v>9</v>
      </c>
      <c r="J41">
        <v>83</v>
      </c>
      <c r="K41">
        <v>94.62</v>
      </c>
      <c r="L41">
        <v>581</v>
      </c>
      <c r="M41">
        <v>662.34</v>
      </c>
      <c r="N41">
        <v>12</v>
      </c>
      <c r="O41" t="s">
        <v>121</v>
      </c>
      <c r="P41">
        <v>2021</v>
      </c>
    </row>
    <row r="42" spans="1:16" x14ac:dyDescent="0.35">
      <c r="A42" s="22">
        <v>44890</v>
      </c>
      <c r="B42" t="s">
        <v>14</v>
      </c>
      <c r="C42">
        <v>5</v>
      </c>
      <c r="D42" t="s">
        <v>108</v>
      </c>
      <c r="E42" t="s">
        <v>107</v>
      </c>
      <c r="F42">
        <v>0</v>
      </c>
      <c r="G42" t="s">
        <v>15</v>
      </c>
      <c r="H42" t="s">
        <v>8</v>
      </c>
      <c r="I42" t="s">
        <v>109</v>
      </c>
      <c r="J42">
        <v>44</v>
      </c>
      <c r="K42">
        <v>48.84</v>
      </c>
      <c r="L42">
        <v>220</v>
      </c>
      <c r="M42">
        <v>244.20000000000002</v>
      </c>
      <c r="N42">
        <v>25</v>
      </c>
      <c r="O42" t="s">
        <v>130</v>
      </c>
      <c r="P42">
        <v>2022</v>
      </c>
    </row>
    <row r="43" spans="1:16" x14ac:dyDescent="0.35">
      <c r="A43" s="22">
        <v>44242</v>
      </c>
      <c r="B43" t="s">
        <v>63</v>
      </c>
      <c r="C43">
        <v>4</v>
      </c>
      <c r="D43" t="s">
        <v>108</v>
      </c>
      <c r="E43" t="s">
        <v>106</v>
      </c>
      <c r="F43">
        <v>0</v>
      </c>
      <c r="G43" t="s">
        <v>64</v>
      </c>
      <c r="H43" t="s">
        <v>62</v>
      </c>
      <c r="I43" t="s">
        <v>109</v>
      </c>
      <c r="J43">
        <v>48</v>
      </c>
      <c r="K43">
        <v>57.120000000000005</v>
      </c>
      <c r="L43">
        <v>192</v>
      </c>
      <c r="M43">
        <v>228.48000000000002</v>
      </c>
      <c r="N43">
        <v>15</v>
      </c>
      <c r="O43" t="s">
        <v>121</v>
      </c>
      <c r="P43">
        <v>2021</v>
      </c>
    </row>
    <row r="44" spans="1:16" x14ac:dyDescent="0.35">
      <c r="A44" s="22">
        <v>44886</v>
      </c>
      <c r="B44" t="s">
        <v>47</v>
      </c>
      <c r="C44">
        <v>6</v>
      </c>
      <c r="D44" t="s">
        <v>108</v>
      </c>
      <c r="E44" t="s">
        <v>107</v>
      </c>
      <c r="F44">
        <v>0</v>
      </c>
      <c r="G44" t="s">
        <v>48</v>
      </c>
      <c r="H44" t="s">
        <v>49</v>
      </c>
      <c r="I44" t="s">
        <v>109</v>
      </c>
      <c r="J44">
        <v>61</v>
      </c>
      <c r="K44">
        <v>76.25</v>
      </c>
      <c r="L44">
        <v>366</v>
      </c>
      <c r="M44">
        <v>457.5</v>
      </c>
      <c r="N44">
        <v>21</v>
      </c>
      <c r="O44" t="s">
        <v>130</v>
      </c>
      <c r="P44">
        <v>2022</v>
      </c>
    </row>
    <row r="45" spans="1:16" x14ac:dyDescent="0.35">
      <c r="A45" s="22">
        <v>44883</v>
      </c>
      <c r="B45" t="s">
        <v>77</v>
      </c>
      <c r="C45">
        <v>8</v>
      </c>
      <c r="D45" t="s">
        <v>108</v>
      </c>
      <c r="E45" t="s">
        <v>107</v>
      </c>
      <c r="F45">
        <v>0</v>
      </c>
      <c r="G45" t="s">
        <v>78</v>
      </c>
      <c r="H45" t="s">
        <v>62</v>
      </c>
      <c r="I45" t="s">
        <v>109</v>
      </c>
      <c r="J45">
        <v>55</v>
      </c>
      <c r="K45">
        <v>58.3</v>
      </c>
      <c r="L45">
        <v>440</v>
      </c>
      <c r="M45">
        <v>466.4</v>
      </c>
      <c r="N45">
        <v>18</v>
      </c>
      <c r="O45" t="s">
        <v>130</v>
      </c>
      <c r="P45">
        <v>2022</v>
      </c>
    </row>
    <row r="46" spans="1:16" x14ac:dyDescent="0.35">
      <c r="A46" s="22">
        <v>44880</v>
      </c>
      <c r="B46" t="s">
        <v>31</v>
      </c>
      <c r="C46">
        <v>14</v>
      </c>
      <c r="D46" t="s">
        <v>108</v>
      </c>
      <c r="E46" t="s">
        <v>107</v>
      </c>
      <c r="F46">
        <v>0</v>
      </c>
      <c r="G46" t="s">
        <v>32</v>
      </c>
      <c r="H46" t="s">
        <v>28</v>
      </c>
      <c r="I46" t="s">
        <v>9</v>
      </c>
      <c r="J46">
        <v>73</v>
      </c>
      <c r="K46">
        <v>94.17</v>
      </c>
      <c r="L46">
        <v>1022</v>
      </c>
      <c r="M46">
        <v>1318.38</v>
      </c>
      <c r="N46">
        <v>15</v>
      </c>
      <c r="O46" t="s">
        <v>130</v>
      </c>
      <c r="P46">
        <v>2022</v>
      </c>
    </row>
    <row r="47" spans="1:16" x14ac:dyDescent="0.35">
      <c r="A47" s="22">
        <v>44250</v>
      </c>
      <c r="B47" t="s">
        <v>58</v>
      </c>
      <c r="C47">
        <v>3</v>
      </c>
      <c r="D47" t="s">
        <v>108</v>
      </c>
      <c r="E47" t="s">
        <v>107</v>
      </c>
      <c r="F47">
        <v>0</v>
      </c>
      <c r="G47" t="s">
        <v>59</v>
      </c>
      <c r="H47" t="s">
        <v>49</v>
      </c>
      <c r="I47" t="s">
        <v>111</v>
      </c>
      <c r="J47">
        <v>7</v>
      </c>
      <c r="K47">
        <v>8.33</v>
      </c>
      <c r="L47">
        <v>21</v>
      </c>
      <c r="M47">
        <v>24.990000000000002</v>
      </c>
      <c r="N47">
        <v>23</v>
      </c>
      <c r="O47" t="s">
        <v>121</v>
      </c>
      <c r="P47">
        <v>2021</v>
      </c>
    </row>
    <row r="48" spans="1:16" x14ac:dyDescent="0.35">
      <c r="A48" s="22">
        <v>44250</v>
      </c>
      <c r="B48" t="s">
        <v>16</v>
      </c>
      <c r="C48">
        <v>2</v>
      </c>
      <c r="D48" t="s">
        <v>108</v>
      </c>
      <c r="E48" t="s">
        <v>106</v>
      </c>
      <c r="F48">
        <v>0</v>
      </c>
      <c r="G48" t="s">
        <v>17</v>
      </c>
      <c r="H48" t="s">
        <v>8</v>
      </c>
      <c r="I48" t="s">
        <v>110</v>
      </c>
      <c r="J48">
        <v>133</v>
      </c>
      <c r="K48">
        <v>155.61000000000001</v>
      </c>
      <c r="L48">
        <v>266</v>
      </c>
      <c r="M48">
        <v>311.22000000000003</v>
      </c>
      <c r="N48">
        <v>23</v>
      </c>
      <c r="O48" t="s">
        <v>121</v>
      </c>
      <c r="P48">
        <v>2021</v>
      </c>
    </row>
    <row r="49" spans="1:16" x14ac:dyDescent="0.35">
      <c r="A49" s="22">
        <v>44879</v>
      </c>
      <c r="B49" t="s">
        <v>10</v>
      </c>
      <c r="C49">
        <v>1</v>
      </c>
      <c r="D49" t="s">
        <v>108</v>
      </c>
      <c r="E49" t="s">
        <v>107</v>
      </c>
      <c r="F49">
        <v>0</v>
      </c>
      <c r="G49" t="s">
        <v>11</v>
      </c>
      <c r="H49" t="s">
        <v>8</v>
      </c>
      <c r="I49" t="s">
        <v>9</v>
      </c>
      <c r="J49">
        <v>105</v>
      </c>
      <c r="K49">
        <v>142.80000000000001</v>
      </c>
      <c r="L49">
        <v>105</v>
      </c>
      <c r="M49">
        <v>142.80000000000001</v>
      </c>
      <c r="N49">
        <v>14</v>
      </c>
      <c r="O49" t="s">
        <v>130</v>
      </c>
      <c r="P49">
        <v>2022</v>
      </c>
    </row>
    <row r="50" spans="1:16" x14ac:dyDescent="0.35">
      <c r="A50" s="22">
        <v>44875</v>
      </c>
      <c r="B50" t="s">
        <v>43</v>
      </c>
      <c r="C50">
        <v>7</v>
      </c>
      <c r="D50" t="s">
        <v>108</v>
      </c>
      <c r="E50" t="s">
        <v>106</v>
      </c>
      <c r="F50">
        <v>0</v>
      </c>
      <c r="G50" t="s">
        <v>44</v>
      </c>
      <c r="H50" t="s">
        <v>28</v>
      </c>
      <c r="I50" t="s">
        <v>111</v>
      </c>
      <c r="J50">
        <v>37</v>
      </c>
      <c r="K50">
        <v>49.21</v>
      </c>
      <c r="L50">
        <v>259</v>
      </c>
      <c r="M50">
        <v>344.47</v>
      </c>
      <c r="N50">
        <v>10</v>
      </c>
      <c r="O50" t="s">
        <v>130</v>
      </c>
      <c r="P50">
        <v>2022</v>
      </c>
    </row>
    <row r="51" spans="1:16" x14ac:dyDescent="0.35">
      <c r="A51" s="22">
        <v>44252</v>
      </c>
      <c r="B51" t="s">
        <v>69</v>
      </c>
      <c r="C51">
        <v>2</v>
      </c>
      <c r="D51" t="s">
        <v>108</v>
      </c>
      <c r="E51" t="s">
        <v>106</v>
      </c>
      <c r="F51">
        <v>0</v>
      </c>
      <c r="G51" t="s">
        <v>70</v>
      </c>
      <c r="H51" t="s">
        <v>62</v>
      </c>
      <c r="I51" t="s">
        <v>110</v>
      </c>
      <c r="J51">
        <v>148</v>
      </c>
      <c r="K51">
        <v>201.28</v>
      </c>
      <c r="L51">
        <v>296</v>
      </c>
      <c r="M51">
        <v>402.56</v>
      </c>
      <c r="N51">
        <v>25</v>
      </c>
      <c r="O51" t="s">
        <v>121</v>
      </c>
      <c r="P51">
        <v>2021</v>
      </c>
    </row>
    <row r="52" spans="1:16" x14ac:dyDescent="0.35">
      <c r="A52" s="22">
        <v>44871</v>
      </c>
      <c r="B52" t="s">
        <v>94</v>
      </c>
      <c r="C52">
        <v>13</v>
      </c>
      <c r="D52" t="s">
        <v>108</v>
      </c>
      <c r="E52" t="s">
        <v>107</v>
      </c>
      <c r="F52">
        <v>0</v>
      </c>
      <c r="G52" t="s">
        <v>95</v>
      </c>
      <c r="H52" t="s">
        <v>85</v>
      </c>
      <c r="I52" t="s">
        <v>110</v>
      </c>
      <c r="J52">
        <v>120</v>
      </c>
      <c r="K52">
        <v>162</v>
      </c>
      <c r="L52">
        <v>1560</v>
      </c>
      <c r="M52">
        <v>2106</v>
      </c>
      <c r="N52">
        <v>6</v>
      </c>
      <c r="O52" t="s">
        <v>130</v>
      </c>
      <c r="P52">
        <v>2022</v>
      </c>
    </row>
    <row r="53" spans="1:16" x14ac:dyDescent="0.35">
      <c r="A53" s="22">
        <v>44258</v>
      </c>
      <c r="B53" t="s">
        <v>29</v>
      </c>
      <c r="C53">
        <v>1</v>
      </c>
      <c r="D53" t="s">
        <v>108</v>
      </c>
      <c r="E53" t="s">
        <v>106</v>
      </c>
      <c r="F53">
        <v>0</v>
      </c>
      <c r="G53" t="s">
        <v>30</v>
      </c>
      <c r="H53" t="s">
        <v>28</v>
      </c>
      <c r="I53" t="s">
        <v>109</v>
      </c>
      <c r="J53">
        <v>44</v>
      </c>
      <c r="K53">
        <v>48.4</v>
      </c>
      <c r="L53">
        <v>44</v>
      </c>
      <c r="M53">
        <v>48.4</v>
      </c>
      <c r="N53">
        <v>3</v>
      </c>
      <c r="O53" t="s">
        <v>122</v>
      </c>
      <c r="P53">
        <v>2021</v>
      </c>
    </row>
    <row r="54" spans="1:16" x14ac:dyDescent="0.35">
      <c r="A54" s="22">
        <v>44262</v>
      </c>
      <c r="B54" t="s">
        <v>50</v>
      </c>
      <c r="C54">
        <v>9</v>
      </c>
      <c r="D54" t="s">
        <v>108</v>
      </c>
      <c r="E54" t="s">
        <v>107</v>
      </c>
      <c r="F54">
        <v>0</v>
      </c>
      <c r="G54" t="s">
        <v>51</v>
      </c>
      <c r="H54" t="s">
        <v>49</v>
      </c>
      <c r="I54" t="s">
        <v>110</v>
      </c>
      <c r="J54">
        <v>126</v>
      </c>
      <c r="K54">
        <v>162.54</v>
      </c>
      <c r="L54">
        <v>1134</v>
      </c>
      <c r="M54">
        <v>1462.86</v>
      </c>
      <c r="N54">
        <v>7</v>
      </c>
      <c r="O54" t="s">
        <v>122</v>
      </c>
      <c r="P54">
        <v>2021</v>
      </c>
    </row>
    <row r="55" spans="1:16" x14ac:dyDescent="0.35">
      <c r="A55" s="22">
        <v>44871</v>
      </c>
      <c r="B55" t="s">
        <v>96</v>
      </c>
      <c r="C55">
        <v>13</v>
      </c>
      <c r="D55" t="s">
        <v>108</v>
      </c>
      <c r="E55" t="s">
        <v>107</v>
      </c>
      <c r="F55">
        <v>0</v>
      </c>
      <c r="G55" t="s">
        <v>97</v>
      </c>
      <c r="H55" t="s">
        <v>85</v>
      </c>
      <c r="I55" t="s">
        <v>9</v>
      </c>
      <c r="J55">
        <v>67</v>
      </c>
      <c r="K55">
        <v>83.08</v>
      </c>
      <c r="L55">
        <v>871</v>
      </c>
      <c r="M55">
        <v>1080.04</v>
      </c>
      <c r="N55">
        <v>6</v>
      </c>
      <c r="O55" t="s">
        <v>130</v>
      </c>
      <c r="P55">
        <v>2022</v>
      </c>
    </row>
    <row r="56" spans="1:16" x14ac:dyDescent="0.35">
      <c r="A56" s="22">
        <v>44870</v>
      </c>
      <c r="B56" t="s">
        <v>45</v>
      </c>
      <c r="C56">
        <v>15</v>
      </c>
      <c r="D56" t="s">
        <v>108</v>
      </c>
      <c r="E56" t="s">
        <v>107</v>
      </c>
      <c r="F56">
        <v>0</v>
      </c>
      <c r="G56" t="s">
        <v>46</v>
      </c>
      <c r="H56" t="s">
        <v>28</v>
      </c>
      <c r="I56" t="s">
        <v>110</v>
      </c>
      <c r="J56">
        <v>150</v>
      </c>
      <c r="K56">
        <v>210</v>
      </c>
      <c r="L56">
        <v>2250</v>
      </c>
      <c r="M56">
        <v>3150</v>
      </c>
      <c r="N56">
        <v>5</v>
      </c>
      <c r="O56" t="s">
        <v>130</v>
      </c>
      <c r="P56">
        <v>2022</v>
      </c>
    </row>
    <row r="57" spans="1:16" x14ac:dyDescent="0.35">
      <c r="A57" s="22">
        <v>44869</v>
      </c>
      <c r="B57" t="s">
        <v>22</v>
      </c>
      <c r="C57">
        <v>10</v>
      </c>
      <c r="D57" t="s">
        <v>108</v>
      </c>
      <c r="E57" t="s">
        <v>106</v>
      </c>
      <c r="F57">
        <v>0</v>
      </c>
      <c r="G57" t="s">
        <v>23</v>
      </c>
      <c r="H57" t="s">
        <v>8</v>
      </c>
      <c r="I57" t="s">
        <v>9</v>
      </c>
      <c r="J57">
        <v>83</v>
      </c>
      <c r="K57">
        <v>94.62</v>
      </c>
      <c r="L57">
        <v>830</v>
      </c>
      <c r="M57">
        <v>946.2</v>
      </c>
      <c r="N57">
        <v>4</v>
      </c>
      <c r="O57" t="s">
        <v>130</v>
      </c>
      <c r="P57">
        <v>2022</v>
      </c>
    </row>
    <row r="58" spans="1:16" x14ac:dyDescent="0.35">
      <c r="A58" s="22">
        <v>44266</v>
      </c>
      <c r="B58" t="s">
        <v>58</v>
      </c>
      <c r="C58">
        <v>11</v>
      </c>
      <c r="D58" t="s">
        <v>108</v>
      </c>
      <c r="E58" t="s">
        <v>107</v>
      </c>
      <c r="F58">
        <v>0</v>
      </c>
      <c r="G58" t="s">
        <v>59</v>
      </c>
      <c r="H58" t="s">
        <v>49</v>
      </c>
      <c r="I58" t="s">
        <v>111</v>
      </c>
      <c r="J58">
        <v>7</v>
      </c>
      <c r="K58">
        <v>8.33</v>
      </c>
      <c r="L58">
        <v>77</v>
      </c>
      <c r="M58">
        <v>91.63</v>
      </c>
      <c r="N58">
        <v>11</v>
      </c>
      <c r="O58" t="s">
        <v>122</v>
      </c>
      <c r="P58">
        <v>2021</v>
      </c>
    </row>
    <row r="59" spans="1:16" x14ac:dyDescent="0.35">
      <c r="A59" s="22">
        <v>44867</v>
      </c>
      <c r="B59" t="s">
        <v>79</v>
      </c>
      <c r="C59">
        <v>5</v>
      </c>
      <c r="D59" t="s">
        <v>108</v>
      </c>
      <c r="E59" t="s">
        <v>107</v>
      </c>
      <c r="F59">
        <v>0</v>
      </c>
      <c r="G59" t="s">
        <v>80</v>
      </c>
      <c r="H59" t="s">
        <v>62</v>
      </c>
      <c r="I59" t="s">
        <v>111</v>
      </c>
      <c r="J59">
        <v>5</v>
      </c>
      <c r="K59">
        <v>6.7</v>
      </c>
      <c r="L59">
        <v>25</v>
      </c>
      <c r="M59">
        <v>33.5</v>
      </c>
      <c r="N59">
        <v>2</v>
      </c>
      <c r="O59" t="s">
        <v>130</v>
      </c>
      <c r="P59">
        <v>2022</v>
      </c>
    </row>
    <row r="60" spans="1:16" x14ac:dyDescent="0.35">
      <c r="A60" s="22">
        <v>44867</v>
      </c>
      <c r="B60" t="s">
        <v>69</v>
      </c>
      <c r="C60">
        <v>15</v>
      </c>
      <c r="D60" t="s">
        <v>108</v>
      </c>
      <c r="E60" t="s">
        <v>107</v>
      </c>
      <c r="F60">
        <v>0</v>
      </c>
      <c r="G60" t="s">
        <v>70</v>
      </c>
      <c r="H60" t="s">
        <v>62</v>
      </c>
      <c r="I60" t="s">
        <v>110</v>
      </c>
      <c r="J60">
        <v>148</v>
      </c>
      <c r="K60">
        <v>201.28</v>
      </c>
      <c r="L60">
        <v>2220</v>
      </c>
      <c r="M60">
        <v>3019.2</v>
      </c>
      <c r="N60">
        <v>2</v>
      </c>
      <c r="O60" t="s">
        <v>130</v>
      </c>
      <c r="P60">
        <v>2022</v>
      </c>
    </row>
    <row r="61" spans="1:16" x14ac:dyDescent="0.35">
      <c r="A61" s="22">
        <v>44271</v>
      </c>
      <c r="B61" t="s">
        <v>31</v>
      </c>
      <c r="C61">
        <v>14</v>
      </c>
      <c r="D61" t="s">
        <v>108</v>
      </c>
      <c r="E61" t="s">
        <v>107</v>
      </c>
      <c r="F61">
        <v>0</v>
      </c>
      <c r="G61" t="s">
        <v>32</v>
      </c>
      <c r="H61" t="s">
        <v>28</v>
      </c>
      <c r="I61" t="s">
        <v>9</v>
      </c>
      <c r="J61">
        <v>73</v>
      </c>
      <c r="K61">
        <v>94.17</v>
      </c>
      <c r="L61">
        <v>1022</v>
      </c>
      <c r="M61">
        <v>1318.38</v>
      </c>
      <c r="N61">
        <v>16</v>
      </c>
      <c r="O61" t="s">
        <v>122</v>
      </c>
      <c r="P61">
        <v>2021</v>
      </c>
    </row>
    <row r="62" spans="1:16" x14ac:dyDescent="0.35">
      <c r="A62" s="22">
        <v>44865</v>
      </c>
      <c r="B62" t="s">
        <v>86</v>
      </c>
      <c r="C62">
        <v>8</v>
      </c>
      <c r="D62" t="s">
        <v>108</v>
      </c>
      <c r="E62" t="s">
        <v>106</v>
      </c>
      <c r="F62">
        <v>0</v>
      </c>
      <c r="G62" t="s">
        <v>87</v>
      </c>
      <c r="H62" t="s">
        <v>85</v>
      </c>
      <c r="I62" t="s">
        <v>9</v>
      </c>
      <c r="J62">
        <v>72</v>
      </c>
      <c r="K62">
        <v>79.92</v>
      </c>
      <c r="L62">
        <v>576</v>
      </c>
      <c r="M62">
        <v>639.36</v>
      </c>
      <c r="N62">
        <v>31</v>
      </c>
      <c r="O62" t="s">
        <v>129</v>
      </c>
      <c r="P62">
        <v>2022</v>
      </c>
    </row>
    <row r="63" spans="1:16" x14ac:dyDescent="0.35">
      <c r="A63" s="22">
        <v>44864</v>
      </c>
      <c r="B63" t="s">
        <v>94</v>
      </c>
      <c r="C63">
        <v>3</v>
      </c>
      <c r="D63" t="s">
        <v>108</v>
      </c>
      <c r="E63" t="s">
        <v>107</v>
      </c>
      <c r="F63">
        <v>0</v>
      </c>
      <c r="G63" t="s">
        <v>95</v>
      </c>
      <c r="H63" t="s">
        <v>85</v>
      </c>
      <c r="I63" t="s">
        <v>110</v>
      </c>
      <c r="J63">
        <v>120</v>
      </c>
      <c r="K63">
        <v>162</v>
      </c>
      <c r="L63">
        <v>360</v>
      </c>
      <c r="M63">
        <v>486</v>
      </c>
      <c r="N63">
        <v>30</v>
      </c>
      <c r="O63" t="s">
        <v>129</v>
      </c>
      <c r="P63">
        <v>2022</v>
      </c>
    </row>
    <row r="64" spans="1:16" x14ac:dyDescent="0.35">
      <c r="A64" s="22">
        <v>44849</v>
      </c>
      <c r="B64" t="s">
        <v>37</v>
      </c>
      <c r="C64">
        <v>10</v>
      </c>
      <c r="D64" t="s">
        <v>108</v>
      </c>
      <c r="E64" t="s">
        <v>107</v>
      </c>
      <c r="F64">
        <v>0</v>
      </c>
      <c r="G64" t="s">
        <v>38</v>
      </c>
      <c r="H64" t="s">
        <v>28</v>
      </c>
      <c r="I64" t="s">
        <v>111</v>
      </c>
      <c r="J64">
        <v>12</v>
      </c>
      <c r="K64">
        <v>15.719999999999999</v>
      </c>
      <c r="L64">
        <v>120</v>
      </c>
      <c r="M64">
        <v>157.19999999999999</v>
      </c>
      <c r="N64">
        <v>15</v>
      </c>
      <c r="O64" t="s">
        <v>129</v>
      </c>
      <c r="P64">
        <v>2022</v>
      </c>
    </row>
    <row r="65" spans="1:16" x14ac:dyDescent="0.35">
      <c r="A65" s="22">
        <v>44276</v>
      </c>
      <c r="B65" t="s">
        <v>88</v>
      </c>
      <c r="C65">
        <v>7</v>
      </c>
      <c r="D65" t="s">
        <v>108</v>
      </c>
      <c r="E65" t="s">
        <v>106</v>
      </c>
      <c r="F65">
        <v>0</v>
      </c>
      <c r="G65" t="s">
        <v>89</v>
      </c>
      <c r="H65" t="s">
        <v>85</v>
      </c>
      <c r="I65" t="s">
        <v>111</v>
      </c>
      <c r="J65">
        <v>37</v>
      </c>
      <c r="K65">
        <v>42.55</v>
      </c>
      <c r="L65">
        <v>259</v>
      </c>
      <c r="M65">
        <v>297.84999999999997</v>
      </c>
      <c r="N65">
        <v>21</v>
      </c>
      <c r="O65" t="s">
        <v>122</v>
      </c>
      <c r="P65">
        <v>2021</v>
      </c>
    </row>
    <row r="66" spans="1:16" x14ac:dyDescent="0.35">
      <c r="A66" s="22">
        <v>44845</v>
      </c>
      <c r="B66" t="s">
        <v>22</v>
      </c>
      <c r="C66">
        <v>10</v>
      </c>
      <c r="D66" t="s">
        <v>108</v>
      </c>
      <c r="E66" t="s">
        <v>106</v>
      </c>
      <c r="F66">
        <v>0</v>
      </c>
      <c r="G66" t="s">
        <v>23</v>
      </c>
      <c r="H66" t="s">
        <v>8</v>
      </c>
      <c r="I66" t="s">
        <v>9</v>
      </c>
      <c r="J66">
        <v>83</v>
      </c>
      <c r="K66">
        <v>94.62</v>
      </c>
      <c r="L66">
        <v>830</v>
      </c>
      <c r="M66">
        <v>946.2</v>
      </c>
      <c r="N66">
        <v>11</v>
      </c>
      <c r="O66" t="s">
        <v>129</v>
      </c>
      <c r="P66">
        <v>2022</v>
      </c>
    </row>
    <row r="67" spans="1:16" x14ac:dyDescent="0.35">
      <c r="A67" s="22">
        <v>44844</v>
      </c>
      <c r="B67" t="s">
        <v>45</v>
      </c>
      <c r="C67">
        <v>9</v>
      </c>
      <c r="D67" t="s">
        <v>108</v>
      </c>
      <c r="E67" t="s">
        <v>106</v>
      </c>
      <c r="F67">
        <v>0</v>
      </c>
      <c r="G67" t="s">
        <v>46</v>
      </c>
      <c r="H67" t="s">
        <v>28</v>
      </c>
      <c r="I67" t="s">
        <v>110</v>
      </c>
      <c r="J67">
        <v>150</v>
      </c>
      <c r="K67">
        <v>210</v>
      </c>
      <c r="L67">
        <v>1350</v>
      </c>
      <c r="M67">
        <v>1890</v>
      </c>
      <c r="N67">
        <v>10</v>
      </c>
      <c r="O67" t="s">
        <v>129</v>
      </c>
      <c r="P67">
        <v>2022</v>
      </c>
    </row>
    <row r="68" spans="1:16" x14ac:dyDescent="0.35">
      <c r="A68" s="22">
        <v>44840</v>
      </c>
      <c r="B68" t="s">
        <v>79</v>
      </c>
      <c r="C68">
        <v>1</v>
      </c>
      <c r="D68" t="s">
        <v>108</v>
      </c>
      <c r="E68" t="s">
        <v>106</v>
      </c>
      <c r="F68">
        <v>0</v>
      </c>
      <c r="G68" t="s">
        <v>80</v>
      </c>
      <c r="H68" t="s">
        <v>62</v>
      </c>
      <c r="I68" t="s">
        <v>111</v>
      </c>
      <c r="J68">
        <v>5</v>
      </c>
      <c r="K68">
        <v>6.7</v>
      </c>
      <c r="L68">
        <v>5</v>
      </c>
      <c r="M68">
        <v>6.7</v>
      </c>
      <c r="N68">
        <v>6</v>
      </c>
      <c r="O68" t="s">
        <v>129</v>
      </c>
      <c r="P68">
        <v>2022</v>
      </c>
    </row>
    <row r="69" spans="1:16" x14ac:dyDescent="0.35">
      <c r="A69" s="22">
        <v>44280</v>
      </c>
      <c r="B69" t="s">
        <v>18</v>
      </c>
      <c r="C69">
        <v>4</v>
      </c>
      <c r="D69" t="s">
        <v>108</v>
      </c>
      <c r="E69" t="s">
        <v>107</v>
      </c>
      <c r="F69">
        <v>0</v>
      </c>
      <c r="G69" t="s">
        <v>19</v>
      </c>
      <c r="H69" t="s">
        <v>8</v>
      </c>
      <c r="I69" t="s">
        <v>9</v>
      </c>
      <c r="J69">
        <v>75</v>
      </c>
      <c r="K69">
        <v>85.5</v>
      </c>
      <c r="L69">
        <v>300</v>
      </c>
      <c r="M69">
        <v>342</v>
      </c>
      <c r="N69">
        <v>25</v>
      </c>
      <c r="O69" t="s">
        <v>122</v>
      </c>
      <c r="P69">
        <v>2021</v>
      </c>
    </row>
    <row r="70" spans="1:16" x14ac:dyDescent="0.35">
      <c r="A70" s="22">
        <v>44280</v>
      </c>
      <c r="B70" t="s">
        <v>67</v>
      </c>
      <c r="C70">
        <v>8</v>
      </c>
      <c r="D70" t="s">
        <v>108</v>
      </c>
      <c r="E70" t="s">
        <v>107</v>
      </c>
      <c r="F70">
        <v>0</v>
      </c>
      <c r="G70" t="s">
        <v>68</v>
      </c>
      <c r="H70" t="s">
        <v>62</v>
      </c>
      <c r="I70" t="s">
        <v>109</v>
      </c>
      <c r="J70">
        <v>47</v>
      </c>
      <c r="K70">
        <v>53.11</v>
      </c>
      <c r="L70">
        <v>376</v>
      </c>
      <c r="M70">
        <v>424.88</v>
      </c>
      <c r="N70">
        <v>25</v>
      </c>
      <c r="O70" t="s">
        <v>122</v>
      </c>
      <c r="P70">
        <v>2021</v>
      </c>
    </row>
    <row r="71" spans="1:16" x14ac:dyDescent="0.35">
      <c r="A71" s="22">
        <v>44280</v>
      </c>
      <c r="B71" t="s">
        <v>86</v>
      </c>
      <c r="C71">
        <v>2</v>
      </c>
      <c r="D71" t="s">
        <v>108</v>
      </c>
      <c r="E71" t="s">
        <v>106</v>
      </c>
      <c r="F71">
        <v>0</v>
      </c>
      <c r="G71" t="s">
        <v>87</v>
      </c>
      <c r="H71" t="s">
        <v>85</v>
      </c>
      <c r="I71" t="s">
        <v>9</v>
      </c>
      <c r="J71">
        <v>72</v>
      </c>
      <c r="K71">
        <v>79.92</v>
      </c>
      <c r="L71">
        <v>144</v>
      </c>
      <c r="M71">
        <v>159.84</v>
      </c>
      <c r="N71">
        <v>25</v>
      </c>
      <c r="O71" t="s">
        <v>122</v>
      </c>
      <c r="P71">
        <v>2021</v>
      </c>
    </row>
    <row r="72" spans="1:16" x14ac:dyDescent="0.35">
      <c r="A72" s="22">
        <v>44281</v>
      </c>
      <c r="B72" t="s">
        <v>6</v>
      </c>
      <c r="C72">
        <v>4</v>
      </c>
      <c r="D72" t="s">
        <v>108</v>
      </c>
      <c r="E72" t="s">
        <v>107</v>
      </c>
      <c r="F72">
        <v>0</v>
      </c>
      <c r="G72" t="s">
        <v>7</v>
      </c>
      <c r="H72" t="s">
        <v>8</v>
      </c>
      <c r="I72" t="s">
        <v>9</v>
      </c>
      <c r="J72">
        <v>98</v>
      </c>
      <c r="K72">
        <v>103.88</v>
      </c>
      <c r="L72">
        <v>392</v>
      </c>
      <c r="M72">
        <v>415.52</v>
      </c>
      <c r="N72">
        <v>26</v>
      </c>
      <c r="O72" t="s">
        <v>122</v>
      </c>
      <c r="P72">
        <v>2021</v>
      </c>
    </row>
    <row r="73" spans="1:16" x14ac:dyDescent="0.35">
      <c r="A73" s="22">
        <v>44281</v>
      </c>
      <c r="B73" t="s">
        <v>94</v>
      </c>
      <c r="C73">
        <v>1</v>
      </c>
      <c r="D73" t="s">
        <v>108</v>
      </c>
      <c r="E73" t="s">
        <v>107</v>
      </c>
      <c r="F73">
        <v>0</v>
      </c>
      <c r="G73" t="s">
        <v>95</v>
      </c>
      <c r="H73" t="s">
        <v>85</v>
      </c>
      <c r="I73" t="s">
        <v>110</v>
      </c>
      <c r="J73">
        <v>120</v>
      </c>
      <c r="K73">
        <v>162</v>
      </c>
      <c r="L73">
        <v>120</v>
      </c>
      <c r="M73">
        <v>162</v>
      </c>
      <c r="N73">
        <v>26</v>
      </c>
      <c r="O73" t="s">
        <v>122</v>
      </c>
      <c r="P73">
        <v>2021</v>
      </c>
    </row>
    <row r="74" spans="1:16" x14ac:dyDescent="0.35">
      <c r="A74" s="22">
        <v>44281</v>
      </c>
      <c r="B74" t="s">
        <v>26</v>
      </c>
      <c r="C74">
        <v>9</v>
      </c>
      <c r="D74" t="s">
        <v>108</v>
      </c>
      <c r="E74" t="s">
        <v>106</v>
      </c>
      <c r="F74">
        <v>0</v>
      </c>
      <c r="G74" t="s">
        <v>27</v>
      </c>
      <c r="H74" t="s">
        <v>28</v>
      </c>
      <c r="I74" t="s">
        <v>110</v>
      </c>
      <c r="J74">
        <v>148</v>
      </c>
      <c r="K74">
        <v>164.28</v>
      </c>
      <c r="L74">
        <v>1332</v>
      </c>
      <c r="M74">
        <v>1478.52</v>
      </c>
      <c r="N74">
        <v>26</v>
      </c>
      <c r="O74" t="s">
        <v>122</v>
      </c>
      <c r="P74">
        <v>2021</v>
      </c>
    </row>
    <row r="75" spans="1:16" x14ac:dyDescent="0.35">
      <c r="A75" s="22">
        <v>44282</v>
      </c>
      <c r="B75" t="s">
        <v>69</v>
      </c>
      <c r="C75">
        <v>3</v>
      </c>
      <c r="D75" t="s">
        <v>108</v>
      </c>
      <c r="E75" t="s">
        <v>106</v>
      </c>
      <c r="F75">
        <v>0</v>
      </c>
      <c r="G75" t="s">
        <v>70</v>
      </c>
      <c r="H75" t="s">
        <v>62</v>
      </c>
      <c r="I75" t="s">
        <v>110</v>
      </c>
      <c r="J75">
        <v>148</v>
      </c>
      <c r="K75">
        <v>201.28</v>
      </c>
      <c r="L75">
        <v>444</v>
      </c>
      <c r="M75">
        <v>603.84</v>
      </c>
      <c r="N75">
        <v>27</v>
      </c>
      <c r="O75" t="s">
        <v>122</v>
      </c>
      <c r="P75">
        <v>2021</v>
      </c>
    </row>
    <row r="76" spans="1:16" x14ac:dyDescent="0.35">
      <c r="A76" s="22">
        <v>44838</v>
      </c>
      <c r="B76" t="s">
        <v>20</v>
      </c>
      <c r="C76">
        <v>15</v>
      </c>
      <c r="D76" t="s">
        <v>108</v>
      </c>
      <c r="E76" t="s">
        <v>106</v>
      </c>
      <c r="F76">
        <v>0</v>
      </c>
      <c r="G76" t="s">
        <v>21</v>
      </c>
      <c r="H76" t="s">
        <v>8</v>
      </c>
      <c r="I76" t="s">
        <v>109</v>
      </c>
      <c r="J76">
        <v>43</v>
      </c>
      <c r="K76">
        <v>47.730000000000004</v>
      </c>
      <c r="L76">
        <v>645</v>
      </c>
      <c r="M76">
        <v>715.95</v>
      </c>
      <c r="N76">
        <v>4</v>
      </c>
      <c r="O76" t="s">
        <v>129</v>
      </c>
      <c r="P76">
        <v>2022</v>
      </c>
    </row>
    <row r="77" spans="1:16" x14ac:dyDescent="0.35">
      <c r="A77" s="22">
        <v>44837</v>
      </c>
      <c r="B77" t="s">
        <v>29</v>
      </c>
      <c r="C77">
        <v>5</v>
      </c>
      <c r="D77" t="s">
        <v>108</v>
      </c>
      <c r="E77" t="s">
        <v>107</v>
      </c>
      <c r="F77">
        <v>0</v>
      </c>
      <c r="G77" t="s">
        <v>30</v>
      </c>
      <c r="H77" t="s">
        <v>28</v>
      </c>
      <c r="I77" t="s">
        <v>109</v>
      </c>
      <c r="J77">
        <v>44</v>
      </c>
      <c r="K77">
        <v>48.4</v>
      </c>
      <c r="L77">
        <v>220</v>
      </c>
      <c r="M77">
        <v>242</v>
      </c>
      <c r="N77">
        <v>3</v>
      </c>
      <c r="O77" t="s">
        <v>129</v>
      </c>
      <c r="P77">
        <v>2022</v>
      </c>
    </row>
    <row r="78" spans="1:16" x14ac:dyDescent="0.35">
      <c r="A78" s="22">
        <v>44286</v>
      </c>
      <c r="B78" t="s">
        <v>94</v>
      </c>
      <c r="C78">
        <v>3</v>
      </c>
      <c r="D78" t="s">
        <v>108</v>
      </c>
      <c r="E78" t="s">
        <v>107</v>
      </c>
      <c r="F78">
        <v>0</v>
      </c>
      <c r="G78" t="s">
        <v>95</v>
      </c>
      <c r="H78" t="s">
        <v>85</v>
      </c>
      <c r="I78" t="s">
        <v>110</v>
      </c>
      <c r="J78">
        <v>120</v>
      </c>
      <c r="K78">
        <v>162</v>
      </c>
      <c r="L78">
        <v>360</v>
      </c>
      <c r="M78">
        <v>486</v>
      </c>
      <c r="N78">
        <v>31</v>
      </c>
      <c r="O78" t="s">
        <v>122</v>
      </c>
      <c r="P78">
        <v>2021</v>
      </c>
    </row>
    <row r="79" spans="1:16" x14ac:dyDescent="0.35">
      <c r="A79" s="22">
        <v>44290</v>
      </c>
      <c r="B79" t="s">
        <v>90</v>
      </c>
      <c r="C79">
        <v>4</v>
      </c>
      <c r="D79" t="s">
        <v>108</v>
      </c>
      <c r="E79" t="s">
        <v>107</v>
      </c>
      <c r="F79">
        <v>0</v>
      </c>
      <c r="G79" t="s">
        <v>91</v>
      </c>
      <c r="H79" t="s">
        <v>85</v>
      </c>
      <c r="I79" t="s">
        <v>9</v>
      </c>
      <c r="J79">
        <v>90</v>
      </c>
      <c r="K79">
        <v>115.2</v>
      </c>
      <c r="L79">
        <v>360</v>
      </c>
      <c r="M79">
        <v>460.8</v>
      </c>
      <c r="N79">
        <v>4</v>
      </c>
      <c r="O79" t="s">
        <v>123</v>
      </c>
      <c r="P79">
        <v>2021</v>
      </c>
    </row>
    <row r="80" spans="1:16" x14ac:dyDescent="0.35">
      <c r="A80" s="22">
        <v>44833</v>
      </c>
      <c r="B80" t="s">
        <v>77</v>
      </c>
      <c r="C80">
        <v>13</v>
      </c>
      <c r="D80" t="s">
        <v>108</v>
      </c>
      <c r="E80" t="s">
        <v>106</v>
      </c>
      <c r="F80">
        <v>0</v>
      </c>
      <c r="G80" t="s">
        <v>78</v>
      </c>
      <c r="H80" t="s">
        <v>62</v>
      </c>
      <c r="I80" t="s">
        <v>109</v>
      </c>
      <c r="J80">
        <v>55</v>
      </c>
      <c r="K80">
        <v>58.3</v>
      </c>
      <c r="L80">
        <v>715</v>
      </c>
      <c r="M80">
        <v>757.9</v>
      </c>
      <c r="N80">
        <v>29</v>
      </c>
      <c r="O80" t="s">
        <v>128</v>
      </c>
      <c r="P80">
        <v>2022</v>
      </c>
    </row>
    <row r="81" spans="1:16" x14ac:dyDescent="0.35">
      <c r="A81" s="22">
        <v>44831</v>
      </c>
      <c r="B81" t="s">
        <v>98</v>
      </c>
      <c r="C81">
        <v>9</v>
      </c>
      <c r="D81" t="s">
        <v>108</v>
      </c>
      <c r="E81" t="s">
        <v>107</v>
      </c>
      <c r="F81">
        <v>0</v>
      </c>
      <c r="G81" t="s">
        <v>99</v>
      </c>
      <c r="H81" t="s">
        <v>85</v>
      </c>
      <c r="I81" t="s">
        <v>9</v>
      </c>
      <c r="J81">
        <v>76</v>
      </c>
      <c r="K81">
        <v>82.08</v>
      </c>
      <c r="L81">
        <v>684</v>
      </c>
      <c r="M81">
        <v>738.72</v>
      </c>
      <c r="N81">
        <v>27</v>
      </c>
      <c r="O81" t="s">
        <v>128</v>
      </c>
      <c r="P81">
        <v>2022</v>
      </c>
    </row>
    <row r="82" spans="1:16" x14ac:dyDescent="0.35">
      <c r="A82" s="22">
        <v>44831</v>
      </c>
      <c r="B82" t="s">
        <v>81</v>
      </c>
      <c r="C82">
        <v>4</v>
      </c>
      <c r="D82" t="s">
        <v>108</v>
      </c>
      <c r="E82" t="s">
        <v>107</v>
      </c>
      <c r="F82">
        <v>0</v>
      </c>
      <c r="G82" t="s">
        <v>82</v>
      </c>
      <c r="H82" t="s">
        <v>62</v>
      </c>
      <c r="I82" t="s">
        <v>9</v>
      </c>
      <c r="J82">
        <v>90</v>
      </c>
      <c r="K82">
        <v>96.3</v>
      </c>
      <c r="L82">
        <v>360</v>
      </c>
      <c r="M82">
        <v>385.2</v>
      </c>
      <c r="N82">
        <v>27</v>
      </c>
      <c r="O82" t="s">
        <v>128</v>
      </c>
      <c r="P82">
        <v>2022</v>
      </c>
    </row>
    <row r="83" spans="1:16" x14ac:dyDescent="0.35">
      <c r="A83" s="22">
        <v>44296</v>
      </c>
      <c r="B83" t="s">
        <v>52</v>
      </c>
      <c r="C83">
        <v>14</v>
      </c>
      <c r="D83" t="s">
        <v>108</v>
      </c>
      <c r="E83" t="s">
        <v>106</v>
      </c>
      <c r="F83">
        <v>0</v>
      </c>
      <c r="G83" t="s">
        <v>53</v>
      </c>
      <c r="H83" t="s">
        <v>49</v>
      </c>
      <c r="I83" t="s">
        <v>110</v>
      </c>
      <c r="J83">
        <v>121</v>
      </c>
      <c r="K83">
        <v>141.57</v>
      </c>
      <c r="L83">
        <v>1694</v>
      </c>
      <c r="M83">
        <v>1981.98</v>
      </c>
      <c r="N83">
        <v>10</v>
      </c>
      <c r="O83" t="s">
        <v>123</v>
      </c>
      <c r="P83">
        <v>2021</v>
      </c>
    </row>
    <row r="84" spans="1:16" x14ac:dyDescent="0.35">
      <c r="A84" s="22">
        <v>44298</v>
      </c>
      <c r="B84" t="s">
        <v>83</v>
      </c>
      <c r="C84">
        <v>3</v>
      </c>
      <c r="D84" t="s">
        <v>108</v>
      </c>
      <c r="E84" t="s">
        <v>107</v>
      </c>
      <c r="F84">
        <v>0</v>
      </c>
      <c r="G84" t="s">
        <v>84</v>
      </c>
      <c r="H84" t="s">
        <v>85</v>
      </c>
      <c r="I84" t="s">
        <v>9</v>
      </c>
      <c r="J84">
        <v>67</v>
      </c>
      <c r="K84">
        <v>85.76</v>
      </c>
      <c r="L84">
        <v>201</v>
      </c>
      <c r="M84">
        <v>257.28000000000003</v>
      </c>
      <c r="N84">
        <v>12</v>
      </c>
      <c r="O84" t="s">
        <v>123</v>
      </c>
      <c r="P84">
        <v>2021</v>
      </c>
    </row>
    <row r="85" spans="1:16" x14ac:dyDescent="0.35">
      <c r="A85" s="22">
        <v>44298</v>
      </c>
      <c r="B85" t="s">
        <v>67</v>
      </c>
      <c r="C85">
        <v>4</v>
      </c>
      <c r="D85" t="s">
        <v>108</v>
      </c>
      <c r="E85" t="s">
        <v>106</v>
      </c>
      <c r="F85">
        <v>0</v>
      </c>
      <c r="G85" t="s">
        <v>68</v>
      </c>
      <c r="H85" t="s">
        <v>62</v>
      </c>
      <c r="I85" t="s">
        <v>109</v>
      </c>
      <c r="J85">
        <v>47</v>
      </c>
      <c r="K85">
        <v>53.11</v>
      </c>
      <c r="L85">
        <v>188</v>
      </c>
      <c r="M85">
        <v>212.44</v>
      </c>
      <c r="N85">
        <v>12</v>
      </c>
      <c r="O85" t="s">
        <v>123</v>
      </c>
      <c r="P85">
        <v>2021</v>
      </c>
    </row>
    <row r="86" spans="1:16" x14ac:dyDescent="0.35">
      <c r="A86" s="22">
        <v>44298</v>
      </c>
      <c r="B86" t="s">
        <v>63</v>
      </c>
      <c r="C86">
        <v>9</v>
      </c>
      <c r="D86" t="s">
        <v>108</v>
      </c>
      <c r="E86" t="s">
        <v>106</v>
      </c>
      <c r="F86">
        <v>0</v>
      </c>
      <c r="G86" t="s">
        <v>64</v>
      </c>
      <c r="H86" t="s">
        <v>62</v>
      </c>
      <c r="I86" t="s">
        <v>109</v>
      </c>
      <c r="J86">
        <v>48</v>
      </c>
      <c r="K86">
        <v>57.120000000000005</v>
      </c>
      <c r="L86">
        <v>432</v>
      </c>
      <c r="M86">
        <v>514.08000000000004</v>
      </c>
      <c r="N86">
        <v>12</v>
      </c>
      <c r="O86" t="s">
        <v>123</v>
      </c>
      <c r="P86">
        <v>2021</v>
      </c>
    </row>
    <row r="87" spans="1:16" x14ac:dyDescent="0.35">
      <c r="A87" s="22">
        <v>44298</v>
      </c>
      <c r="B87" t="s">
        <v>75</v>
      </c>
      <c r="C87">
        <v>13</v>
      </c>
      <c r="D87" t="s">
        <v>108</v>
      </c>
      <c r="E87" t="s">
        <v>107</v>
      </c>
      <c r="F87">
        <v>0</v>
      </c>
      <c r="G87" t="s">
        <v>76</v>
      </c>
      <c r="H87" t="s">
        <v>62</v>
      </c>
      <c r="I87" t="s">
        <v>9</v>
      </c>
      <c r="J87">
        <v>95</v>
      </c>
      <c r="K87">
        <v>119.7</v>
      </c>
      <c r="L87">
        <v>1235</v>
      </c>
      <c r="M87">
        <v>1556.1000000000001</v>
      </c>
      <c r="N87">
        <v>12</v>
      </c>
      <c r="O87" t="s">
        <v>123</v>
      </c>
      <c r="P87">
        <v>2021</v>
      </c>
    </row>
    <row r="88" spans="1:16" x14ac:dyDescent="0.35">
      <c r="A88" s="22">
        <v>44301</v>
      </c>
      <c r="B88" t="s">
        <v>41</v>
      </c>
      <c r="C88">
        <v>3</v>
      </c>
      <c r="D88" t="s">
        <v>108</v>
      </c>
      <c r="E88" t="s">
        <v>106</v>
      </c>
      <c r="F88">
        <v>0</v>
      </c>
      <c r="G88" t="s">
        <v>42</v>
      </c>
      <c r="H88" t="s">
        <v>28</v>
      </c>
      <c r="I88" t="s">
        <v>110</v>
      </c>
      <c r="J88">
        <v>134</v>
      </c>
      <c r="K88">
        <v>156.78</v>
      </c>
      <c r="L88">
        <v>402</v>
      </c>
      <c r="M88">
        <v>470.34000000000003</v>
      </c>
      <c r="N88">
        <v>15</v>
      </c>
      <c r="O88" t="s">
        <v>123</v>
      </c>
      <c r="P88">
        <v>2021</v>
      </c>
    </row>
    <row r="89" spans="1:16" x14ac:dyDescent="0.35">
      <c r="A89" s="22">
        <v>44302</v>
      </c>
      <c r="B89" t="s">
        <v>43</v>
      </c>
      <c r="C89">
        <v>15</v>
      </c>
      <c r="D89" t="s">
        <v>108</v>
      </c>
      <c r="E89" t="s">
        <v>107</v>
      </c>
      <c r="F89">
        <v>0</v>
      </c>
      <c r="G89" t="s">
        <v>44</v>
      </c>
      <c r="H89" t="s">
        <v>28</v>
      </c>
      <c r="I89" t="s">
        <v>111</v>
      </c>
      <c r="J89">
        <v>37</v>
      </c>
      <c r="K89">
        <v>49.21</v>
      </c>
      <c r="L89">
        <v>555</v>
      </c>
      <c r="M89">
        <v>738.15</v>
      </c>
      <c r="N89">
        <v>16</v>
      </c>
      <c r="O89" t="s">
        <v>123</v>
      </c>
      <c r="P89">
        <v>2021</v>
      </c>
    </row>
    <row r="90" spans="1:16" x14ac:dyDescent="0.35">
      <c r="A90" s="22">
        <v>44828</v>
      </c>
      <c r="B90" t="s">
        <v>73</v>
      </c>
      <c r="C90">
        <v>8</v>
      </c>
      <c r="D90" t="s">
        <v>108</v>
      </c>
      <c r="E90" t="s">
        <v>107</v>
      </c>
      <c r="F90">
        <v>0</v>
      </c>
      <c r="G90" t="s">
        <v>74</v>
      </c>
      <c r="H90" t="s">
        <v>62</v>
      </c>
      <c r="I90" t="s">
        <v>9</v>
      </c>
      <c r="J90">
        <v>89</v>
      </c>
      <c r="K90">
        <v>117.48</v>
      </c>
      <c r="L90">
        <v>712</v>
      </c>
      <c r="M90">
        <v>939.84</v>
      </c>
      <c r="N90">
        <v>24</v>
      </c>
      <c r="O90" t="s">
        <v>128</v>
      </c>
      <c r="P90">
        <v>2022</v>
      </c>
    </row>
    <row r="91" spans="1:16" x14ac:dyDescent="0.35">
      <c r="A91" s="22">
        <v>44304</v>
      </c>
      <c r="B91" t="s">
        <v>45</v>
      </c>
      <c r="C91">
        <v>13</v>
      </c>
      <c r="D91" t="s">
        <v>108</v>
      </c>
      <c r="E91" t="s">
        <v>107</v>
      </c>
      <c r="F91">
        <v>0</v>
      </c>
      <c r="G91" t="s">
        <v>46</v>
      </c>
      <c r="H91" t="s">
        <v>28</v>
      </c>
      <c r="I91" t="s">
        <v>110</v>
      </c>
      <c r="J91">
        <v>150</v>
      </c>
      <c r="K91">
        <v>210</v>
      </c>
      <c r="L91">
        <v>1950</v>
      </c>
      <c r="M91">
        <v>2730</v>
      </c>
      <c r="N91">
        <v>18</v>
      </c>
      <c r="O91" t="s">
        <v>123</v>
      </c>
      <c r="P91">
        <v>2021</v>
      </c>
    </row>
    <row r="92" spans="1:16" x14ac:dyDescent="0.35">
      <c r="A92" s="22">
        <v>44309</v>
      </c>
      <c r="B92" t="s">
        <v>94</v>
      </c>
      <c r="C92">
        <v>6</v>
      </c>
      <c r="D92" t="s">
        <v>108</v>
      </c>
      <c r="E92" t="s">
        <v>106</v>
      </c>
      <c r="F92">
        <v>0</v>
      </c>
      <c r="G92" t="s">
        <v>95</v>
      </c>
      <c r="H92" t="s">
        <v>85</v>
      </c>
      <c r="I92" t="s">
        <v>110</v>
      </c>
      <c r="J92">
        <v>120</v>
      </c>
      <c r="K92">
        <v>162</v>
      </c>
      <c r="L92">
        <v>720</v>
      </c>
      <c r="M92">
        <v>972</v>
      </c>
      <c r="N92">
        <v>23</v>
      </c>
      <c r="O92" t="s">
        <v>123</v>
      </c>
      <c r="P92">
        <v>2021</v>
      </c>
    </row>
    <row r="93" spans="1:16" x14ac:dyDescent="0.35">
      <c r="A93" s="22">
        <v>44309</v>
      </c>
      <c r="B93" t="s">
        <v>65</v>
      </c>
      <c r="C93">
        <v>10</v>
      </c>
      <c r="D93" t="s">
        <v>108</v>
      </c>
      <c r="E93" t="s">
        <v>106</v>
      </c>
      <c r="F93">
        <v>0</v>
      </c>
      <c r="G93" t="s">
        <v>66</v>
      </c>
      <c r="H93" t="s">
        <v>62</v>
      </c>
      <c r="I93" t="s">
        <v>111</v>
      </c>
      <c r="J93">
        <v>37</v>
      </c>
      <c r="K93">
        <v>41.81</v>
      </c>
      <c r="L93">
        <v>370</v>
      </c>
      <c r="M93">
        <v>418.1</v>
      </c>
      <c r="N93">
        <v>23</v>
      </c>
      <c r="O93" t="s">
        <v>123</v>
      </c>
      <c r="P93">
        <v>2021</v>
      </c>
    </row>
    <row r="94" spans="1:16" x14ac:dyDescent="0.35">
      <c r="A94" s="22">
        <v>44828</v>
      </c>
      <c r="B94" t="s">
        <v>73</v>
      </c>
      <c r="C94">
        <v>14</v>
      </c>
      <c r="D94" t="s">
        <v>108</v>
      </c>
      <c r="E94" t="s">
        <v>106</v>
      </c>
      <c r="F94">
        <v>0</v>
      </c>
      <c r="G94" t="s">
        <v>74</v>
      </c>
      <c r="H94" t="s">
        <v>62</v>
      </c>
      <c r="I94" t="s">
        <v>9</v>
      </c>
      <c r="J94">
        <v>89</v>
      </c>
      <c r="K94">
        <v>117.48</v>
      </c>
      <c r="L94">
        <v>1246</v>
      </c>
      <c r="M94">
        <v>1644.72</v>
      </c>
      <c r="N94">
        <v>24</v>
      </c>
      <c r="O94" t="s">
        <v>128</v>
      </c>
      <c r="P94">
        <v>2022</v>
      </c>
    </row>
    <row r="95" spans="1:16" x14ac:dyDescent="0.35">
      <c r="A95" s="22">
        <v>44312</v>
      </c>
      <c r="B95" t="s">
        <v>83</v>
      </c>
      <c r="C95">
        <v>3</v>
      </c>
      <c r="D95" t="s">
        <v>108</v>
      </c>
      <c r="E95" t="s">
        <v>106</v>
      </c>
      <c r="F95">
        <v>0</v>
      </c>
      <c r="G95" t="s">
        <v>84</v>
      </c>
      <c r="H95" t="s">
        <v>85</v>
      </c>
      <c r="I95" t="s">
        <v>9</v>
      </c>
      <c r="J95">
        <v>67</v>
      </c>
      <c r="K95">
        <v>85.76</v>
      </c>
      <c r="L95">
        <v>201</v>
      </c>
      <c r="M95">
        <v>257.28000000000003</v>
      </c>
      <c r="N95">
        <v>26</v>
      </c>
      <c r="O95" t="s">
        <v>123</v>
      </c>
      <c r="P95">
        <v>2021</v>
      </c>
    </row>
    <row r="96" spans="1:16" x14ac:dyDescent="0.35">
      <c r="A96" s="22">
        <v>44315</v>
      </c>
      <c r="B96" t="s">
        <v>69</v>
      </c>
      <c r="C96">
        <v>7</v>
      </c>
      <c r="D96" t="s">
        <v>108</v>
      </c>
      <c r="E96" t="s">
        <v>106</v>
      </c>
      <c r="F96">
        <v>0</v>
      </c>
      <c r="G96" t="s">
        <v>70</v>
      </c>
      <c r="H96" t="s">
        <v>62</v>
      </c>
      <c r="I96" t="s">
        <v>110</v>
      </c>
      <c r="J96">
        <v>148</v>
      </c>
      <c r="K96">
        <v>201.28</v>
      </c>
      <c r="L96">
        <v>1036</v>
      </c>
      <c r="M96">
        <v>1408.96</v>
      </c>
      <c r="N96">
        <v>29</v>
      </c>
      <c r="O96" t="s">
        <v>123</v>
      </c>
      <c r="P96">
        <v>2021</v>
      </c>
    </row>
    <row r="97" spans="1:16" x14ac:dyDescent="0.35">
      <c r="A97" s="22">
        <v>44316</v>
      </c>
      <c r="B97" t="s">
        <v>67</v>
      </c>
      <c r="C97">
        <v>1</v>
      </c>
      <c r="D97" t="s">
        <v>108</v>
      </c>
      <c r="E97" t="s">
        <v>106</v>
      </c>
      <c r="F97">
        <v>0</v>
      </c>
      <c r="G97" t="s">
        <v>68</v>
      </c>
      <c r="H97" t="s">
        <v>62</v>
      </c>
      <c r="I97" t="s">
        <v>109</v>
      </c>
      <c r="J97">
        <v>47</v>
      </c>
      <c r="K97">
        <v>53.11</v>
      </c>
      <c r="L97">
        <v>47</v>
      </c>
      <c r="M97">
        <v>53.11</v>
      </c>
      <c r="N97">
        <v>30</v>
      </c>
      <c r="O97" t="s">
        <v>123</v>
      </c>
      <c r="P97">
        <v>2021</v>
      </c>
    </row>
    <row r="98" spans="1:16" x14ac:dyDescent="0.35">
      <c r="A98" s="22">
        <v>44827</v>
      </c>
      <c r="B98" t="s">
        <v>31</v>
      </c>
      <c r="C98">
        <v>12</v>
      </c>
      <c r="D98" t="s">
        <v>108</v>
      </c>
      <c r="E98" t="s">
        <v>106</v>
      </c>
      <c r="F98">
        <v>0</v>
      </c>
      <c r="G98" t="s">
        <v>32</v>
      </c>
      <c r="H98" t="s">
        <v>28</v>
      </c>
      <c r="I98" t="s">
        <v>9</v>
      </c>
      <c r="J98">
        <v>73</v>
      </c>
      <c r="K98">
        <v>94.17</v>
      </c>
      <c r="L98">
        <v>876</v>
      </c>
      <c r="M98">
        <v>1130.04</v>
      </c>
      <c r="N98">
        <v>23</v>
      </c>
      <c r="O98" t="s">
        <v>128</v>
      </c>
      <c r="P98">
        <v>2022</v>
      </c>
    </row>
    <row r="99" spans="1:16" x14ac:dyDescent="0.35">
      <c r="A99" s="22">
        <v>44825</v>
      </c>
      <c r="B99" t="s">
        <v>60</v>
      </c>
      <c r="C99">
        <v>5</v>
      </c>
      <c r="D99" t="s">
        <v>108</v>
      </c>
      <c r="E99" t="s">
        <v>107</v>
      </c>
      <c r="F99">
        <v>0</v>
      </c>
      <c r="G99" t="s">
        <v>61</v>
      </c>
      <c r="H99" t="s">
        <v>62</v>
      </c>
      <c r="I99" t="s">
        <v>111</v>
      </c>
      <c r="J99">
        <v>18</v>
      </c>
      <c r="K99">
        <v>24.66</v>
      </c>
      <c r="L99">
        <v>90</v>
      </c>
      <c r="M99">
        <v>123.3</v>
      </c>
      <c r="N99">
        <v>21</v>
      </c>
      <c r="O99" t="s">
        <v>128</v>
      </c>
      <c r="P99">
        <v>2022</v>
      </c>
    </row>
    <row r="100" spans="1:16" x14ac:dyDescent="0.35">
      <c r="A100" s="22">
        <v>44824</v>
      </c>
      <c r="B100" t="s">
        <v>6</v>
      </c>
      <c r="C100">
        <v>10</v>
      </c>
      <c r="D100" t="s">
        <v>108</v>
      </c>
      <c r="E100" t="s">
        <v>106</v>
      </c>
      <c r="F100">
        <v>0</v>
      </c>
      <c r="G100" t="s">
        <v>7</v>
      </c>
      <c r="H100" t="s">
        <v>8</v>
      </c>
      <c r="I100" t="s">
        <v>9</v>
      </c>
      <c r="J100">
        <v>98</v>
      </c>
      <c r="K100">
        <v>103.88</v>
      </c>
      <c r="L100">
        <v>980</v>
      </c>
      <c r="M100">
        <v>1038.8</v>
      </c>
      <c r="N100">
        <v>20</v>
      </c>
      <c r="O100" t="s">
        <v>128</v>
      </c>
      <c r="P100">
        <v>2022</v>
      </c>
    </row>
    <row r="101" spans="1:16" x14ac:dyDescent="0.35">
      <c r="A101" s="22">
        <v>44824</v>
      </c>
      <c r="B101" t="s">
        <v>75</v>
      </c>
      <c r="C101">
        <v>6</v>
      </c>
      <c r="D101" t="s">
        <v>108</v>
      </c>
      <c r="E101" t="s">
        <v>106</v>
      </c>
      <c r="F101">
        <v>0</v>
      </c>
      <c r="G101" t="s">
        <v>76</v>
      </c>
      <c r="H101" t="s">
        <v>62</v>
      </c>
      <c r="I101" t="s">
        <v>9</v>
      </c>
      <c r="J101">
        <v>95</v>
      </c>
      <c r="K101">
        <v>119.7</v>
      </c>
      <c r="L101">
        <v>570</v>
      </c>
      <c r="M101">
        <v>718.2</v>
      </c>
      <c r="N101">
        <v>20</v>
      </c>
      <c r="O101" t="s">
        <v>128</v>
      </c>
      <c r="P101">
        <v>2022</v>
      </c>
    </row>
    <row r="102" spans="1:16" x14ac:dyDescent="0.35">
      <c r="A102" s="22">
        <v>44320</v>
      </c>
      <c r="B102" t="s">
        <v>35</v>
      </c>
      <c r="C102">
        <v>4</v>
      </c>
      <c r="D102" t="s">
        <v>108</v>
      </c>
      <c r="E102" t="s">
        <v>107</v>
      </c>
      <c r="F102">
        <v>0</v>
      </c>
      <c r="G102" t="s">
        <v>36</v>
      </c>
      <c r="H102" t="s">
        <v>28</v>
      </c>
      <c r="I102" t="s">
        <v>9</v>
      </c>
      <c r="J102">
        <v>112</v>
      </c>
      <c r="K102">
        <v>146.72</v>
      </c>
      <c r="L102">
        <v>448</v>
      </c>
      <c r="M102">
        <v>586.88</v>
      </c>
      <c r="N102">
        <v>4</v>
      </c>
      <c r="O102" t="s">
        <v>124</v>
      </c>
      <c r="P102">
        <v>2021</v>
      </c>
    </row>
    <row r="103" spans="1:16" x14ac:dyDescent="0.35">
      <c r="A103" s="22">
        <v>44321</v>
      </c>
      <c r="B103" t="s">
        <v>24</v>
      </c>
      <c r="C103">
        <v>13</v>
      </c>
      <c r="D103" t="s">
        <v>108</v>
      </c>
      <c r="E103" t="s">
        <v>107</v>
      </c>
      <c r="F103">
        <v>0</v>
      </c>
      <c r="G103" t="s">
        <v>25</v>
      </c>
      <c r="H103" t="s">
        <v>8</v>
      </c>
      <c r="I103" t="s">
        <v>111</v>
      </c>
      <c r="J103">
        <v>6</v>
      </c>
      <c r="K103">
        <v>7.8599999999999994</v>
      </c>
      <c r="L103">
        <v>78</v>
      </c>
      <c r="M103">
        <v>102.17999999999999</v>
      </c>
      <c r="N103">
        <v>5</v>
      </c>
      <c r="O103" t="s">
        <v>124</v>
      </c>
      <c r="P103">
        <v>2021</v>
      </c>
    </row>
    <row r="104" spans="1:16" x14ac:dyDescent="0.35">
      <c r="A104" s="22">
        <v>44322</v>
      </c>
      <c r="B104" t="s">
        <v>22</v>
      </c>
      <c r="C104">
        <v>15</v>
      </c>
      <c r="D104" t="s">
        <v>108</v>
      </c>
      <c r="E104" t="s">
        <v>106</v>
      </c>
      <c r="F104">
        <v>0</v>
      </c>
      <c r="G104" t="s">
        <v>23</v>
      </c>
      <c r="H104" t="s">
        <v>8</v>
      </c>
      <c r="I104" t="s">
        <v>9</v>
      </c>
      <c r="J104">
        <v>83</v>
      </c>
      <c r="K104">
        <v>94.62</v>
      </c>
      <c r="L104">
        <v>1245</v>
      </c>
      <c r="M104">
        <v>1419.3000000000002</v>
      </c>
      <c r="N104">
        <v>6</v>
      </c>
      <c r="O104" t="s">
        <v>124</v>
      </c>
      <c r="P104">
        <v>2021</v>
      </c>
    </row>
    <row r="105" spans="1:16" x14ac:dyDescent="0.35">
      <c r="A105" s="22">
        <v>44818</v>
      </c>
      <c r="B105" t="s">
        <v>67</v>
      </c>
      <c r="C105">
        <v>3</v>
      </c>
      <c r="D105" t="s">
        <v>108</v>
      </c>
      <c r="E105" t="s">
        <v>107</v>
      </c>
      <c r="F105">
        <v>0</v>
      </c>
      <c r="G105" t="s">
        <v>68</v>
      </c>
      <c r="H105" t="s">
        <v>62</v>
      </c>
      <c r="I105" t="s">
        <v>109</v>
      </c>
      <c r="J105">
        <v>47</v>
      </c>
      <c r="K105">
        <v>53.11</v>
      </c>
      <c r="L105">
        <v>141</v>
      </c>
      <c r="M105">
        <v>159.32999999999998</v>
      </c>
      <c r="N105">
        <v>14</v>
      </c>
      <c r="O105" t="s">
        <v>128</v>
      </c>
      <c r="P105">
        <v>2022</v>
      </c>
    </row>
    <row r="106" spans="1:16" x14ac:dyDescent="0.35">
      <c r="A106" s="22">
        <v>44323</v>
      </c>
      <c r="B106" t="s">
        <v>43</v>
      </c>
      <c r="C106">
        <v>1</v>
      </c>
      <c r="D106" t="s">
        <v>108</v>
      </c>
      <c r="E106" t="s">
        <v>107</v>
      </c>
      <c r="F106">
        <v>0</v>
      </c>
      <c r="G106" t="s">
        <v>44</v>
      </c>
      <c r="H106" t="s">
        <v>28</v>
      </c>
      <c r="I106" t="s">
        <v>111</v>
      </c>
      <c r="J106">
        <v>37</v>
      </c>
      <c r="K106">
        <v>49.21</v>
      </c>
      <c r="L106">
        <v>37</v>
      </c>
      <c r="M106">
        <v>49.21</v>
      </c>
      <c r="N106">
        <v>7</v>
      </c>
      <c r="O106" t="s">
        <v>124</v>
      </c>
      <c r="P106">
        <v>2021</v>
      </c>
    </row>
    <row r="107" spans="1:16" x14ac:dyDescent="0.35">
      <c r="A107" s="22">
        <v>44814</v>
      </c>
      <c r="B107" t="s">
        <v>86</v>
      </c>
      <c r="C107">
        <v>4</v>
      </c>
      <c r="D107" t="s">
        <v>108</v>
      </c>
      <c r="E107" t="s">
        <v>107</v>
      </c>
      <c r="F107">
        <v>0</v>
      </c>
      <c r="G107" t="s">
        <v>87</v>
      </c>
      <c r="H107" t="s">
        <v>85</v>
      </c>
      <c r="I107" t="s">
        <v>9</v>
      </c>
      <c r="J107">
        <v>72</v>
      </c>
      <c r="K107">
        <v>79.92</v>
      </c>
      <c r="L107">
        <v>288</v>
      </c>
      <c r="M107">
        <v>319.68</v>
      </c>
      <c r="N107">
        <v>10</v>
      </c>
      <c r="O107" t="s">
        <v>128</v>
      </c>
      <c r="P107">
        <v>2022</v>
      </c>
    </row>
    <row r="108" spans="1:16" x14ac:dyDescent="0.35">
      <c r="A108" s="22">
        <v>44325</v>
      </c>
      <c r="B108" t="s">
        <v>65</v>
      </c>
      <c r="C108">
        <v>8</v>
      </c>
      <c r="D108" t="s">
        <v>108</v>
      </c>
      <c r="E108" t="s">
        <v>107</v>
      </c>
      <c r="F108">
        <v>0</v>
      </c>
      <c r="G108" t="s">
        <v>66</v>
      </c>
      <c r="H108" t="s">
        <v>62</v>
      </c>
      <c r="I108" t="s">
        <v>111</v>
      </c>
      <c r="J108">
        <v>37</v>
      </c>
      <c r="K108">
        <v>41.81</v>
      </c>
      <c r="L108">
        <v>296</v>
      </c>
      <c r="M108">
        <v>334.48</v>
      </c>
      <c r="N108">
        <v>9</v>
      </c>
      <c r="O108" t="s">
        <v>124</v>
      </c>
      <c r="P108">
        <v>2021</v>
      </c>
    </row>
    <row r="109" spans="1:16" x14ac:dyDescent="0.35">
      <c r="A109" s="22">
        <v>44328</v>
      </c>
      <c r="B109" t="s">
        <v>39</v>
      </c>
      <c r="C109">
        <v>3</v>
      </c>
      <c r="D109" t="s">
        <v>108</v>
      </c>
      <c r="E109" t="s">
        <v>106</v>
      </c>
      <c r="F109">
        <v>0</v>
      </c>
      <c r="G109" t="s">
        <v>40</v>
      </c>
      <c r="H109" t="s">
        <v>28</v>
      </c>
      <c r="I109" t="s">
        <v>111</v>
      </c>
      <c r="J109">
        <v>13</v>
      </c>
      <c r="K109">
        <v>16.64</v>
      </c>
      <c r="L109">
        <v>39</v>
      </c>
      <c r="M109">
        <v>49.92</v>
      </c>
      <c r="N109">
        <v>12</v>
      </c>
      <c r="O109" t="s">
        <v>124</v>
      </c>
      <c r="P109">
        <v>2021</v>
      </c>
    </row>
    <row r="110" spans="1:16" x14ac:dyDescent="0.35">
      <c r="A110" s="22">
        <v>44328</v>
      </c>
      <c r="B110" t="s">
        <v>79</v>
      </c>
      <c r="C110">
        <v>15</v>
      </c>
      <c r="D110" t="s">
        <v>108</v>
      </c>
      <c r="E110" t="s">
        <v>106</v>
      </c>
      <c r="F110">
        <v>0</v>
      </c>
      <c r="G110" t="s">
        <v>80</v>
      </c>
      <c r="H110" t="s">
        <v>62</v>
      </c>
      <c r="I110" t="s">
        <v>111</v>
      </c>
      <c r="J110">
        <v>5</v>
      </c>
      <c r="K110">
        <v>6.7</v>
      </c>
      <c r="L110">
        <v>75</v>
      </c>
      <c r="M110">
        <v>100.5</v>
      </c>
      <c r="N110">
        <v>12</v>
      </c>
      <c r="O110" t="s">
        <v>124</v>
      </c>
      <c r="P110">
        <v>2021</v>
      </c>
    </row>
    <row r="111" spans="1:16" x14ac:dyDescent="0.35">
      <c r="A111" s="22">
        <v>44329</v>
      </c>
      <c r="B111" t="s">
        <v>67</v>
      </c>
      <c r="C111">
        <v>4</v>
      </c>
      <c r="D111" t="s">
        <v>108</v>
      </c>
      <c r="E111" t="s">
        <v>106</v>
      </c>
      <c r="F111">
        <v>0</v>
      </c>
      <c r="G111" t="s">
        <v>68</v>
      </c>
      <c r="H111" t="s">
        <v>62</v>
      </c>
      <c r="I111" t="s">
        <v>109</v>
      </c>
      <c r="J111">
        <v>47</v>
      </c>
      <c r="K111">
        <v>53.11</v>
      </c>
      <c r="L111">
        <v>188</v>
      </c>
      <c r="M111">
        <v>212.44</v>
      </c>
      <c r="N111">
        <v>13</v>
      </c>
      <c r="O111" t="s">
        <v>124</v>
      </c>
      <c r="P111">
        <v>2021</v>
      </c>
    </row>
    <row r="112" spans="1:16" x14ac:dyDescent="0.35">
      <c r="A112" s="22">
        <v>44813</v>
      </c>
      <c r="B112" t="s">
        <v>12</v>
      </c>
      <c r="C112">
        <v>3</v>
      </c>
      <c r="D112" t="s">
        <v>108</v>
      </c>
      <c r="E112" t="s">
        <v>106</v>
      </c>
      <c r="F112">
        <v>0</v>
      </c>
      <c r="G112" t="s">
        <v>13</v>
      </c>
      <c r="H112" t="s">
        <v>8</v>
      </c>
      <c r="I112" t="s">
        <v>9</v>
      </c>
      <c r="J112">
        <v>71</v>
      </c>
      <c r="K112">
        <v>80.94</v>
      </c>
      <c r="L112">
        <v>213</v>
      </c>
      <c r="M112">
        <v>242.82</v>
      </c>
      <c r="N112">
        <v>9</v>
      </c>
      <c r="O112" t="s">
        <v>128</v>
      </c>
      <c r="P112">
        <v>2022</v>
      </c>
    </row>
    <row r="113" spans="1:16" x14ac:dyDescent="0.35">
      <c r="A113" s="22">
        <v>44339</v>
      </c>
      <c r="B113" t="s">
        <v>90</v>
      </c>
      <c r="C113">
        <v>11</v>
      </c>
      <c r="D113" t="s">
        <v>108</v>
      </c>
      <c r="E113" t="s">
        <v>106</v>
      </c>
      <c r="F113">
        <v>0</v>
      </c>
      <c r="G113" t="s">
        <v>91</v>
      </c>
      <c r="H113" t="s">
        <v>85</v>
      </c>
      <c r="I113" t="s">
        <v>9</v>
      </c>
      <c r="J113">
        <v>90</v>
      </c>
      <c r="K113">
        <v>115.2</v>
      </c>
      <c r="L113">
        <v>990</v>
      </c>
      <c r="M113">
        <v>1267.2</v>
      </c>
      <c r="N113">
        <v>23</v>
      </c>
      <c r="O113" t="s">
        <v>124</v>
      </c>
      <c r="P113">
        <v>2021</v>
      </c>
    </row>
    <row r="114" spans="1:16" x14ac:dyDescent="0.35">
      <c r="A114" s="22">
        <v>44813</v>
      </c>
      <c r="B114" t="s">
        <v>92</v>
      </c>
      <c r="C114">
        <v>9</v>
      </c>
      <c r="D114" t="s">
        <v>108</v>
      </c>
      <c r="E114" t="s">
        <v>106</v>
      </c>
      <c r="F114">
        <v>0</v>
      </c>
      <c r="G114" t="s">
        <v>93</v>
      </c>
      <c r="H114" t="s">
        <v>85</v>
      </c>
      <c r="I114" t="s">
        <v>110</v>
      </c>
      <c r="J114">
        <v>138</v>
      </c>
      <c r="K114">
        <v>173.88</v>
      </c>
      <c r="L114">
        <v>1242</v>
      </c>
      <c r="M114">
        <v>1564.92</v>
      </c>
      <c r="N114">
        <v>9</v>
      </c>
      <c r="O114" t="s">
        <v>128</v>
      </c>
      <c r="P114">
        <v>2022</v>
      </c>
    </row>
    <row r="115" spans="1:16" x14ac:dyDescent="0.35">
      <c r="A115" s="22">
        <v>44808</v>
      </c>
      <c r="B115" t="s">
        <v>10</v>
      </c>
      <c r="C115">
        <v>1</v>
      </c>
      <c r="D115" t="s">
        <v>108</v>
      </c>
      <c r="E115" t="s">
        <v>107</v>
      </c>
      <c r="F115">
        <v>0</v>
      </c>
      <c r="G115" t="s">
        <v>11</v>
      </c>
      <c r="H115" t="s">
        <v>8</v>
      </c>
      <c r="I115" t="s">
        <v>9</v>
      </c>
      <c r="J115">
        <v>105</v>
      </c>
      <c r="K115">
        <v>142.80000000000001</v>
      </c>
      <c r="L115">
        <v>105</v>
      </c>
      <c r="M115">
        <v>142.80000000000001</v>
      </c>
      <c r="N115">
        <v>4</v>
      </c>
      <c r="O115" t="s">
        <v>128</v>
      </c>
      <c r="P115">
        <v>2022</v>
      </c>
    </row>
    <row r="116" spans="1:16" x14ac:dyDescent="0.35">
      <c r="A116" s="22">
        <v>44350</v>
      </c>
      <c r="B116" t="s">
        <v>50</v>
      </c>
      <c r="C116">
        <v>10</v>
      </c>
      <c r="D116" t="s">
        <v>108</v>
      </c>
      <c r="E116" t="s">
        <v>107</v>
      </c>
      <c r="F116">
        <v>0</v>
      </c>
      <c r="G116" t="s">
        <v>51</v>
      </c>
      <c r="H116" t="s">
        <v>49</v>
      </c>
      <c r="I116" t="s">
        <v>110</v>
      </c>
      <c r="J116">
        <v>126</v>
      </c>
      <c r="K116">
        <v>162.54</v>
      </c>
      <c r="L116">
        <v>1260</v>
      </c>
      <c r="M116">
        <v>1625.3999999999999</v>
      </c>
      <c r="N116">
        <v>3</v>
      </c>
      <c r="O116" t="s">
        <v>125</v>
      </c>
      <c r="P116">
        <v>2021</v>
      </c>
    </row>
    <row r="117" spans="1:16" x14ac:dyDescent="0.35">
      <c r="A117" s="22">
        <v>44804</v>
      </c>
      <c r="B117" t="s">
        <v>37</v>
      </c>
      <c r="C117">
        <v>13</v>
      </c>
      <c r="D117" t="s">
        <v>108</v>
      </c>
      <c r="E117" t="s">
        <v>107</v>
      </c>
      <c r="F117">
        <v>0</v>
      </c>
      <c r="G117" t="s">
        <v>38</v>
      </c>
      <c r="H117" t="s">
        <v>28</v>
      </c>
      <c r="I117" t="s">
        <v>111</v>
      </c>
      <c r="J117">
        <v>12</v>
      </c>
      <c r="K117">
        <v>15.719999999999999</v>
      </c>
      <c r="L117">
        <v>156</v>
      </c>
      <c r="M117">
        <v>204.35999999999999</v>
      </c>
      <c r="N117">
        <v>31</v>
      </c>
      <c r="O117" t="s">
        <v>127</v>
      </c>
      <c r="P117">
        <v>2022</v>
      </c>
    </row>
    <row r="118" spans="1:16" x14ac:dyDescent="0.35">
      <c r="A118" s="22">
        <v>44803</v>
      </c>
      <c r="B118" t="s">
        <v>58</v>
      </c>
      <c r="C118">
        <v>5</v>
      </c>
      <c r="D118" t="s">
        <v>108</v>
      </c>
      <c r="E118" t="s">
        <v>107</v>
      </c>
      <c r="F118">
        <v>0</v>
      </c>
      <c r="G118" t="s">
        <v>59</v>
      </c>
      <c r="H118" t="s">
        <v>49</v>
      </c>
      <c r="I118" t="s">
        <v>111</v>
      </c>
      <c r="J118">
        <v>7</v>
      </c>
      <c r="K118">
        <v>8.33</v>
      </c>
      <c r="L118">
        <v>35</v>
      </c>
      <c r="M118">
        <v>41.65</v>
      </c>
      <c r="N118">
        <v>30</v>
      </c>
      <c r="O118" t="s">
        <v>127</v>
      </c>
      <c r="P118">
        <v>2022</v>
      </c>
    </row>
    <row r="119" spans="1:16" x14ac:dyDescent="0.35">
      <c r="A119" s="22">
        <v>44803</v>
      </c>
      <c r="B119" t="s">
        <v>96</v>
      </c>
      <c r="C119">
        <v>6</v>
      </c>
      <c r="D119" t="s">
        <v>108</v>
      </c>
      <c r="E119" t="s">
        <v>107</v>
      </c>
      <c r="F119">
        <v>0</v>
      </c>
      <c r="G119" t="s">
        <v>97</v>
      </c>
      <c r="H119" t="s">
        <v>85</v>
      </c>
      <c r="I119" t="s">
        <v>9</v>
      </c>
      <c r="J119">
        <v>67</v>
      </c>
      <c r="K119">
        <v>83.08</v>
      </c>
      <c r="L119">
        <v>402</v>
      </c>
      <c r="M119">
        <v>498.48</v>
      </c>
      <c r="N119">
        <v>30</v>
      </c>
      <c r="O119" t="s">
        <v>127</v>
      </c>
      <c r="P119">
        <v>2022</v>
      </c>
    </row>
    <row r="120" spans="1:16" x14ac:dyDescent="0.35">
      <c r="A120" s="22">
        <v>44352</v>
      </c>
      <c r="B120" t="s">
        <v>79</v>
      </c>
      <c r="C120">
        <v>10</v>
      </c>
      <c r="D120" t="s">
        <v>108</v>
      </c>
      <c r="E120" t="s">
        <v>106</v>
      </c>
      <c r="F120">
        <v>0</v>
      </c>
      <c r="G120" t="s">
        <v>80</v>
      </c>
      <c r="H120" t="s">
        <v>62</v>
      </c>
      <c r="I120" t="s">
        <v>111</v>
      </c>
      <c r="J120">
        <v>5</v>
      </c>
      <c r="K120">
        <v>6.7</v>
      </c>
      <c r="L120">
        <v>50</v>
      </c>
      <c r="M120">
        <v>67</v>
      </c>
      <c r="N120">
        <v>5</v>
      </c>
      <c r="O120" t="s">
        <v>125</v>
      </c>
      <c r="P120">
        <v>2021</v>
      </c>
    </row>
    <row r="121" spans="1:16" x14ac:dyDescent="0.35">
      <c r="A121" s="22">
        <v>44353</v>
      </c>
      <c r="B121" t="s">
        <v>75</v>
      </c>
      <c r="C121">
        <v>6</v>
      </c>
      <c r="D121" t="s">
        <v>108</v>
      </c>
      <c r="E121" t="s">
        <v>106</v>
      </c>
      <c r="F121">
        <v>0</v>
      </c>
      <c r="G121" t="s">
        <v>76</v>
      </c>
      <c r="H121" t="s">
        <v>62</v>
      </c>
      <c r="I121" t="s">
        <v>9</v>
      </c>
      <c r="J121">
        <v>95</v>
      </c>
      <c r="K121">
        <v>119.7</v>
      </c>
      <c r="L121">
        <v>570</v>
      </c>
      <c r="M121">
        <v>718.2</v>
      </c>
      <c r="N121">
        <v>6</v>
      </c>
      <c r="O121" t="s">
        <v>125</v>
      </c>
      <c r="P121">
        <v>2021</v>
      </c>
    </row>
    <row r="122" spans="1:16" x14ac:dyDescent="0.35">
      <c r="A122" s="22">
        <v>44355</v>
      </c>
      <c r="B122" t="s">
        <v>65</v>
      </c>
      <c r="C122">
        <v>11</v>
      </c>
      <c r="D122" t="s">
        <v>108</v>
      </c>
      <c r="E122" t="s">
        <v>106</v>
      </c>
      <c r="F122">
        <v>0</v>
      </c>
      <c r="G122" t="s">
        <v>66</v>
      </c>
      <c r="H122" t="s">
        <v>62</v>
      </c>
      <c r="I122" t="s">
        <v>111</v>
      </c>
      <c r="J122">
        <v>37</v>
      </c>
      <c r="K122">
        <v>41.81</v>
      </c>
      <c r="L122">
        <v>407</v>
      </c>
      <c r="M122">
        <v>459.91</v>
      </c>
      <c r="N122">
        <v>8</v>
      </c>
      <c r="O122" t="s">
        <v>125</v>
      </c>
      <c r="P122">
        <v>2021</v>
      </c>
    </row>
    <row r="123" spans="1:16" x14ac:dyDescent="0.35">
      <c r="A123" s="22">
        <v>44801</v>
      </c>
      <c r="B123" t="s">
        <v>88</v>
      </c>
      <c r="C123">
        <v>5</v>
      </c>
      <c r="D123" t="s">
        <v>108</v>
      </c>
      <c r="E123" t="s">
        <v>106</v>
      </c>
      <c r="F123">
        <v>0</v>
      </c>
      <c r="G123" t="s">
        <v>89</v>
      </c>
      <c r="H123" t="s">
        <v>85</v>
      </c>
      <c r="I123" t="s">
        <v>111</v>
      </c>
      <c r="J123">
        <v>37</v>
      </c>
      <c r="K123">
        <v>42.55</v>
      </c>
      <c r="L123">
        <v>185</v>
      </c>
      <c r="M123">
        <v>212.75</v>
      </c>
      <c r="N123">
        <v>28</v>
      </c>
      <c r="O123" t="s">
        <v>127</v>
      </c>
      <c r="P123">
        <v>2022</v>
      </c>
    </row>
    <row r="124" spans="1:16" x14ac:dyDescent="0.35">
      <c r="A124" s="22">
        <v>44356</v>
      </c>
      <c r="B124" t="s">
        <v>6</v>
      </c>
      <c r="C124">
        <v>7</v>
      </c>
      <c r="D124" t="s">
        <v>108</v>
      </c>
      <c r="E124" t="s">
        <v>106</v>
      </c>
      <c r="F124">
        <v>0</v>
      </c>
      <c r="G124" t="s">
        <v>7</v>
      </c>
      <c r="H124" t="s">
        <v>8</v>
      </c>
      <c r="I124" t="s">
        <v>9</v>
      </c>
      <c r="J124">
        <v>98</v>
      </c>
      <c r="K124">
        <v>103.88</v>
      </c>
      <c r="L124">
        <v>686</v>
      </c>
      <c r="M124">
        <v>727.16</v>
      </c>
      <c r="N124">
        <v>9</v>
      </c>
      <c r="O124" t="s">
        <v>125</v>
      </c>
      <c r="P124">
        <v>2021</v>
      </c>
    </row>
    <row r="125" spans="1:16" x14ac:dyDescent="0.35">
      <c r="A125" s="22">
        <v>44797</v>
      </c>
      <c r="B125" t="s">
        <v>16</v>
      </c>
      <c r="C125">
        <v>5</v>
      </c>
      <c r="D125" t="s">
        <v>108</v>
      </c>
      <c r="E125" t="s">
        <v>107</v>
      </c>
      <c r="F125">
        <v>0</v>
      </c>
      <c r="G125" t="s">
        <v>17</v>
      </c>
      <c r="H125" t="s">
        <v>8</v>
      </c>
      <c r="I125" t="s">
        <v>110</v>
      </c>
      <c r="J125">
        <v>133</v>
      </c>
      <c r="K125">
        <v>155.61000000000001</v>
      </c>
      <c r="L125">
        <v>665</v>
      </c>
      <c r="M125">
        <v>778.05000000000007</v>
      </c>
      <c r="N125">
        <v>24</v>
      </c>
      <c r="O125" t="s">
        <v>127</v>
      </c>
      <c r="P125">
        <v>2022</v>
      </c>
    </row>
    <row r="126" spans="1:16" x14ac:dyDescent="0.35">
      <c r="A126" s="22">
        <v>44359</v>
      </c>
      <c r="B126" t="s">
        <v>92</v>
      </c>
      <c r="C126">
        <v>6</v>
      </c>
      <c r="D126" t="s">
        <v>108</v>
      </c>
      <c r="E126" t="s">
        <v>106</v>
      </c>
      <c r="F126">
        <v>0</v>
      </c>
      <c r="G126" t="s">
        <v>93</v>
      </c>
      <c r="H126" t="s">
        <v>85</v>
      </c>
      <c r="I126" t="s">
        <v>110</v>
      </c>
      <c r="J126">
        <v>138</v>
      </c>
      <c r="K126">
        <v>173.88</v>
      </c>
      <c r="L126">
        <v>828</v>
      </c>
      <c r="M126">
        <v>1043.28</v>
      </c>
      <c r="N126">
        <v>12</v>
      </c>
      <c r="O126" t="s">
        <v>125</v>
      </c>
      <c r="P126">
        <v>2021</v>
      </c>
    </row>
    <row r="127" spans="1:16" x14ac:dyDescent="0.35">
      <c r="A127" s="22">
        <v>44796</v>
      </c>
      <c r="B127" t="s">
        <v>67</v>
      </c>
      <c r="C127">
        <v>14</v>
      </c>
      <c r="D127" t="s">
        <v>108</v>
      </c>
      <c r="E127" t="s">
        <v>107</v>
      </c>
      <c r="F127">
        <v>0</v>
      </c>
      <c r="G127" t="s">
        <v>68</v>
      </c>
      <c r="H127" t="s">
        <v>62</v>
      </c>
      <c r="I127" t="s">
        <v>109</v>
      </c>
      <c r="J127">
        <v>47</v>
      </c>
      <c r="K127">
        <v>53.11</v>
      </c>
      <c r="L127">
        <v>658</v>
      </c>
      <c r="M127">
        <v>743.54</v>
      </c>
      <c r="N127">
        <v>23</v>
      </c>
      <c r="O127" t="s">
        <v>127</v>
      </c>
      <c r="P127">
        <v>2022</v>
      </c>
    </row>
    <row r="128" spans="1:16" x14ac:dyDescent="0.35">
      <c r="A128" s="22">
        <v>44794</v>
      </c>
      <c r="B128" t="s">
        <v>39</v>
      </c>
      <c r="C128">
        <v>4</v>
      </c>
      <c r="D128" t="s">
        <v>108</v>
      </c>
      <c r="E128" t="s">
        <v>106</v>
      </c>
      <c r="F128">
        <v>0</v>
      </c>
      <c r="G128" t="s">
        <v>40</v>
      </c>
      <c r="H128" t="s">
        <v>28</v>
      </c>
      <c r="I128" t="s">
        <v>111</v>
      </c>
      <c r="J128">
        <v>13</v>
      </c>
      <c r="K128">
        <v>16.64</v>
      </c>
      <c r="L128">
        <v>52</v>
      </c>
      <c r="M128">
        <v>66.56</v>
      </c>
      <c r="N128">
        <v>21</v>
      </c>
      <c r="O128" t="s">
        <v>127</v>
      </c>
      <c r="P128">
        <v>2022</v>
      </c>
    </row>
    <row r="129" spans="1:16" x14ac:dyDescent="0.35">
      <c r="A129" s="22">
        <v>44793</v>
      </c>
      <c r="B129" t="s">
        <v>75</v>
      </c>
      <c r="C129">
        <v>14</v>
      </c>
      <c r="D129" t="s">
        <v>108</v>
      </c>
      <c r="E129" t="s">
        <v>106</v>
      </c>
      <c r="F129">
        <v>0</v>
      </c>
      <c r="G129" t="s">
        <v>76</v>
      </c>
      <c r="H129" t="s">
        <v>62</v>
      </c>
      <c r="I129" t="s">
        <v>9</v>
      </c>
      <c r="J129">
        <v>95</v>
      </c>
      <c r="K129">
        <v>119.7</v>
      </c>
      <c r="L129">
        <v>1330</v>
      </c>
      <c r="M129">
        <v>1675.8</v>
      </c>
      <c r="N129">
        <v>20</v>
      </c>
      <c r="O129" t="s">
        <v>127</v>
      </c>
      <c r="P129">
        <v>2022</v>
      </c>
    </row>
    <row r="130" spans="1:16" x14ac:dyDescent="0.35">
      <c r="A130" s="22">
        <v>44363</v>
      </c>
      <c r="B130" t="s">
        <v>88</v>
      </c>
      <c r="C130">
        <v>11</v>
      </c>
      <c r="D130" t="s">
        <v>108</v>
      </c>
      <c r="E130" t="s">
        <v>107</v>
      </c>
      <c r="F130">
        <v>0</v>
      </c>
      <c r="G130" t="s">
        <v>89</v>
      </c>
      <c r="H130" t="s">
        <v>85</v>
      </c>
      <c r="I130" t="s">
        <v>111</v>
      </c>
      <c r="J130">
        <v>37</v>
      </c>
      <c r="K130">
        <v>42.55</v>
      </c>
      <c r="L130">
        <v>407</v>
      </c>
      <c r="M130">
        <v>468.04999999999995</v>
      </c>
      <c r="N130">
        <v>16</v>
      </c>
      <c r="O130" t="s">
        <v>125</v>
      </c>
      <c r="P130">
        <v>2021</v>
      </c>
    </row>
    <row r="131" spans="1:16" x14ac:dyDescent="0.35">
      <c r="A131" s="22">
        <v>44365</v>
      </c>
      <c r="B131" t="s">
        <v>58</v>
      </c>
      <c r="C131">
        <v>13</v>
      </c>
      <c r="D131" t="s">
        <v>108</v>
      </c>
      <c r="E131" t="s">
        <v>107</v>
      </c>
      <c r="F131">
        <v>0</v>
      </c>
      <c r="G131" t="s">
        <v>59</v>
      </c>
      <c r="H131" t="s">
        <v>49</v>
      </c>
      <c r="I131" t="s">
        <v>111</v>
      </c>
      <c r="J131">
        <v>7</v>
      </c>
      <c r="K131">
        <v>8.33</v>
      </c>
      <c r="L131">
        <v>91</v>
      </c>
      <c r="M131">
        <v>108.29</v>
      </c>
      <c r="N131">
        <v>18</v>
      </c>
      <c r="O131" t="s">
        <v>125</v>
      </c>
      <c r="P131">
        <v>2021</v>
      </c>
    </row>
    <row r="132" spans="1:16" x14ac:dyDescent="0.35">
      <c r="A132" s="22">
        <v>44366</v>
      </c>
      <c r="B132" t="s">
        <v>92</v>
      </c>
      <c r="C132">
        <v>5</v>
      </c>
      <c r="D132" t="s">
        <v>108</v>
      </c>
      <c r="E132" t="s">
        <v>106</v>
      </c>
      <c r="F132">
        <v>0</v>
      </c>
      <c r="G132" t="s">
        <v>93</v>
      </c>
      <c r="H132" t="s">
        <v>85</v>
      </c>
      <c r="I132" t="s">
        <v>110</v>
      </c>
      <c r="J132">
        <v>138</v>
      </c>
      <c r="K132">
        <v>173.88</v>
      </c>
      <c r="L132">
        <v>690</v>
      </c>
      <c r="M132">
        <v>869.4</v>
      </c>
      <c r="N132">
        <v>19</v>
      </c>
      <c r="O132" t="s">
        <v>125</v>
      </c>
      <c r="P132">
        <v>2021</v>
      </c>
    </row>
    <row r="133" spans="1:16" x14ac:dyDescent="0.35">
      <c r="A133" s="22">
        <v>44793</v>
      </c>
      <c r="B133" t="s">
        <v>54</v>
      </c>
      <c r="C133">
        <v>13</v>
      </c>
      <c r="D133" t="s">
        <v>108</v>
      </c>
      <c r="E133" t="s">
        <v>106</v>
      </c>
      <c r="F133">
        <v>0</v>
      </c>
      <c r="G133" t="s">
        <v>55</v>
      </c>
      <c r="H133" t="s">
        <v>49</v>
      </c>
      <c r="I133" t="s">
        <v>110</v>
      </c>
      <c r="J133">
        <v>141</v>
      </c>
      <c r="K133">
        <v>149.46</v>
      </c>
      <c r="L133">
        <v>1833</v>
      </c>
      <c r="M133">
        <v>1942.98</v>
      </c>
      <c r="N133">
        <v>20</v>
      </c>
      <c r="O133" t="s">
        <v>127</v>
      </c>
      <c r="P133">
        <v>2022</v>
      </c>
    </row>
    <row r="134" spans="1:16" x14ac:dyDescent="0.35">
      <c r="A134" s="22">
        <v>44370</v>
      </c>
      <c r="B134" t="s">
        <v>39</v>
      </c>
      <c r="C134">
        <v>4</v>
      </c>
      <c r="D134" t="s">
        <v>108</v>
      </c>
      <c r="E134" t="s">
        <v>106</v>
      </c>
      <c r="F134">
        <v>0</v>
      </c>
      <c r="G134" t="s">
        <v>40</v>
      </c>
      <c r="H134" t="s">
        <v>28</v>
      </c>
      <c r="I134" t="s">
        <v>111</v>
      </c>
      <c r="J134">
        <v>13</v>
      </c>
      <c r="K134">
        <v>16.64</v>
      </c>
      <c r="L134">
        <v>52</v>
      </c>
      <c r="M134">
        <v>66.56</v>
      </c>
      <c r="N134">
        <v>23</v>
      </c>
      <c r="O134" t="s">
        <v>125</v>
      </c>
      <c r="P134">
        <v>2021</v>
      </c>
    </row>
    <row r="135" spans="1:16" x14ac:dyDescent="0.35">
      <c r="A135" s="22">
        <v>44371</v>
      </c>
      <c r="B135" t="s">
        <v>29</v>
      </c>
      <c r="C135">
        <v>13</v>
      </c>
      <c r="D135" t="s">
        <v>108</v>
      </c>
      <c r="E135" t="s">
        <v>106</v>
      </c>
      <c r="F135">
        <v>0</v>
      </c>
      <c r="G135" t="s">
        <v>30</v>
      </c>
      <c r="H135" t="s">
        <v>28</v>
      </c>
      <c r="I135" t="s">
        <v>109</v>
      </c>
      <c r="J135">
        <v>44</v>
      </c>
      <c r="K135">
        <v>48.4</v>
      </c>
      <c r="L135">
        <v>572</v>
      </c>
      <c r="M135">
        <v>629.19999999999993</v>
      </c>
      <c r="N135">
        <v>24</v>
      </c>
      <c r="O135" t="s">
        <v>125</v>
      </c>
      <c r="P135">
        <v>2021</v>
      </c>
    </row>
    <row r="136" spans="1:16" x14ac:dyDescent="0.35">
      <c r="A136" s="22">
        <v>44788</v>
      </c>
      <c r="B136" t="s">
        <v>37</v>
      </c>
      <c r="C136">
        <v>7</v>
      </c>
      <c r="D136" t="s">
        <v>108</v>
      </c>
      <c r="E136" t="s">
        <v>106</v>
      </c>
      <c r="F136">
        <v>0</v>
      </c>
      <c r="G136" t="s">
        <v>38</v>
      </c>
      <c r="H136" t="s">
        <v>28</v>
      </c>
      <c r="I136" t="s">
        <v>111</v>
      </c>
      <c r="J136">
        <v>12</v>
      </c>
      <c r="K136">
        <v>15.719999999999999</v>
      </c>
      <c r="L136">
        <v>84</v>
      </c>
      <c r="M136">
        <v>110.03999999999999</v>
      </c>
      <c r="N136">
        <v>15</v>
      </c>
      <c r="O136" t="s">
        <v>127</v>
      </c>
      <c r="P136">
        <v>2022</v>
      </c>
    </row>
    <row r="137" spans="1:16" x14ac:dyDescent="0.35">
      <c r="A137" s="22">
        <v>44374</v>
      </c>
      <c r="B137" t="s">
        <v>16</v>
      </c>
      <c r="C137">
        <v>11</v>
      </c>
      <c r="D137" t="s">
        <v>108</v>
      </c>
      <c r="E137" t="s">
        <v>107</v>
      </c>
      <c r="F137">
        <v>0</v>
      </c>
      <c r="G137" t="s">
        <v>17</v>
      </c>
      <c r="H137" t="s">
        <v>8</v>
      </c>
      <c r="I137" t="s">
        <v>110</v>
      </c>
      <c r="J137">
        <v>133</v>
      </c>
      <c r="K137">
        <v>155.61000000000001</v>
      </c>
      <c r="L137">
        <v>1463</v>
      </c>
      <c r="M137">
        <v>1711.71</v>
      </c>
      <c r="N137">
        <v>27</v>
      </c>
      <c r="O137" t="s">
        <v>125</v>
      </c>
      <c r="P137">
        <v>2021</v>
      </c>
    </row>
    <row r="138" spans="1:16" x14ac:dyDescent="0.35">
      <c r="A138" s="22">
        <v>44787</v>
      </c>
      <c r="B138" t="s">
        <v>69</v>
      </c>
      <c r="C138">
        <v>14</v>
      </c>
      <c r="D138" t="s">
        <v>108</v>
      </c>
      <c r="E138" t="s">
        <v>107</v>
      </c>
      <c r="F138">
        <v>0</v>
      </c>
      <c r="G138" t="s">
        <v>70</v>
      </c>
      <c r="H138" t="s">
        <v>62</v>
      </c>
      <c r="I138" t="s">
        <v>110</v>
      </c>
      <c r="J138">
        <v>148</v>
      </c>
      <c r="K138">
        <v>201.28</v>
      </c>
      <c r="L138">
        <v>2072</v>
      </c>
      <c r="M138">
        <v>2817.92</v>
      </c>
      <c r="N138">
        <v>14</v>
      </c>
      <c r="O138" t="s">
        <v>127</v>
      </c>
      <c r="P138">
        <v>2022</v>
      </c>
    </row>
    <row r="139" spans="1:16" x14ac:dyDescent="0.35">
      <c r="A139" s="22">
        <v>44781</v>
      </c>
      <c r="B139" t="s">
        <v>50</v>
      </c>
      <c r="C139">
        <v>11</v>
      </c>
      <c r="D139" t="s">
        <v>108</v>
      </c>
      <c r="E139" t="s">
        <v>107</v>
      </c>
      <c r="F139">
        <v>0</v>
      </c>
      <c r="G139" t="s">
        <v>51</v>
      </c>
      <c r="H139" t="s">
        <v>49</v>
      </c>
      <c r="I139" t="s">
        <v>110</v>
      </c>
      <c r="J139">
        <v>126</v>
      </c>
      <c r="K139">
        <v>162.54</v>
      </c>
      <c r="L139">
        <v>1386</v>
      </c>
      <c r="M139">
        <v>1787.9399999999998</v>
      </c>
      <c r="N139">
        <v>8</v>
      </c>
      <c r="O139" t="s">
        <v>127</v>
      </c>
      <c r="P139">
        <v>2022</v>
      </c>
    </row>
    <row r="140" spans="1:16" x14ac:dyDescent="0.35">
      <c r="A140" s="22">
        <v>44376</v>
      </c>
      <c r="B140" t="s">
        <v>35</v>
      </c>
      <c r="C140">
        <v>4</v>
      </c>
      <c r="D140" t="s">
        <v>108</v>
      </c>
      <c r="E140" t="s">
        <v>106</v>
      </c>
      <c r="F140">
        <v>0</v>
      </c>
      <c r="G140" t="s">
        <v>36</v>
      </c>
      <c r="H140" t="s">
        <v>28</v>
      </c>
      <c r="I140" t="s">
        <v>9</v>
      </c>
      <c r="J140">
        <v>112</v>
      </c>
      <c r="K140">
        <v>146.72</v>
      </c>
      <c r="L140">
        <v>448</v>
      </c>
      <c r="M140">
        <v>586.88</v>
      </c>
      <c r="N140">
        <v>29</v>
      </c>
      <c r="O140" t="s">
        <v>125</v>
      </c>
      <c r="P140">
        <v>2021</v>
      </c>
    </row>
    <row r="141" spans="1:16" x14ac:dyDescent="0.35">
      <c r="A141" s="22">
        <v>44378</v>
      </c>
      <c r="B141" t="s">
        <v>16</v>
      </c>
      <c r="C141">
        <v>11</v>
      </c>
      <c r="D141" t="s">
        <v>108</v>
      </c>
      <c r="E141" t="s">
        <v>107</v>
      </c>
      <c r="F141">
        <v>0</v>
      </c>
      <c r="G141" t="s">
        <v>17</v>
      </c>
      <c r="H141" t="s">
        <v>8</v>
      </c>
      <c r="I141" t="s">
        <v>110</v>
      </c>
      <c r="J141">
        <v>133</v>
      </c>
      <c r="K141">
        <v>155.61000000000001</v>
      </c>
      <c r="L141">
        <v>1463</v>
      </c>
      <c r="M141">
        <v>1711.71</v>
      </c>
      <c r="N141">
        <v>1</v>
      </c>
      <c r="O141" t="s">
        <v>126</v>
      </c>
      <c r="P141">
        <v>2021</v>
      </c>
    </row>
    <row r="142" spans="1:16" x14ac:dyDescent="0.35">
      <c r="A142" s="22">
        <v>44379</v>
      </c>
      <c r="B142" t="s">
        <v>26</v>
      </c>
      <c r="C142">
        <v>11</v>
      </c>
      <c r="D142" t="s">
        <v>108</v>
      </c>
      <c r="E142" t="s">
        <v>107</v>
      </c>
      <c r="F142">
        <v>0</v>
      </c>
      <c r="G142" t="s">
        <v>27</v>
      </c>
      <c r="H142" t="s">
        <v>28</v>
      </c>
      <c r="I142" t="s">
        <v>110</v>
      </c>
      <c r="J142">
        <v>148</v>
      </c>
      <c r="K142">
        <v>164.28</v>
      </c>
      <c r="L142">
        <v>1628</v>
      </c>
      <c r="M142">
        <v>1807.08</v>
      </c>
      <c r="N142">
        <v>2</v>
      </c>
      <c r="O142" t="s">
        <v>126</v>
      </c>
      <c r="P142">
        <v>2021</v>
      </c>
    </row>
    <row r="143" spans="1:16" x14ac:dyDescent="0.35">
      <c r="A143" s="22">
        <v>44781</v>
      </c>
      <c r="B143" t="s">
        <v>73</v>
      </c>
      <c r="C143">
        <v>12</v>
      </c>
      <c r="D143" t="s">
        <v>108</v>
      </c>
      <c r="E143" t="s">
        <v>107</v>
      </c>
      <c r="F143">
        <v>0</v>
      </c>
      <c r="G143" t="s">
        <v>74</v>
      </c>
      <c r="H143" t="s">
        <v>62</v>
      </c>
      <c r="I143" t="s">
        <v>9</v>
      </c>
      <c r="J143">
        <v>89</v>
      </c>
      <c r="K143">
        <v>117.48</v>
      </c>
      <c r="L143">
        <v>1068</v>
      </c>
      <c r="M143">
        <v>1409.76</v>
      </c>
      <c r="N143">
        <v>8</v>
      </c>
      <c r="O143" t="s">
        <v>127</v>
      </c>
      <c r="P143">
        <v>2022</v>
      </c>
    </row>
    <row r="144" spans="1:16" x14ac:dyDescent="0.35">
      <c r="A144" s="22">
        <v>44781</v>
      </c>
      <c r="B144" t="s">
        <v>39</v>
      </c>
      <c r="C144">
        <v>2</v>
      </c>
      <c r="D144" t="s">
        <v>108</v>
      </c>
      <c r="E144" t="s">
        <v>106</v>
      </c>
      <c r="F144">
        <v>0</v>
      </c>
      <c r="G144" t="s">
        <v>40</v>
      </c>
      <c r="H144" t="s">
        <v>28</v>
      </c>
      <c r="I144" t="s">
        <v>111</v>
      </c>
      <c r="J144">
        <v>13</v>
      </c>
      <c r="K144">
        <v>16.64</v>
      </c>
      <c r="L144">
        <v>26</v>
      </c>
      <c r="M144">
        <v>33.28</v>
      </c>
      <c r="N144">
        <v>8</v>
      </c>
      <c r="O144" t="s">
        <v>127</v>
      </c>
      <c r="P144">
        <v>2022</v>
      </c>
    </row>
    <row r="145" spans="1:16" x14ac:dyDescent="0.35">
      <c r="A145" s="22">
        <v>44382</v>
      </c>
      <c r="B145" t="s">
        <v>10</v>
      </c>
      <c r="C145">
        <v>8</v>
      </c>
      <c r="D145" t="s">
        <v>108</v>
      </c>
      <c r="E145" t="s">
        <v>106</v>
      </c>
      <c r="F145">
        <v>0</v>
      </c>
      <c r="G145" t="s">
        <v>11</v>
      </c>
      <c r="H145" t="s">
        <v>8</v>
      </c>
      <c r="I145" t="s">
        <v>9</v>
      </c>
      <c r="J145">
        <v>105</v>
      </c>
      <c r="K145">
        <v>142.80000000000001</v>
      </c>
      <c r="L145">
        <v>840</v>
      </c>
      <c r="M145">
        <v>1142.4000000000001</v>
      </c>
      <c r="N145">
        <v>5</v>
      </c>
      <c r="O145" t="s">
        <v>126</v>
      </c>
      <c r="P145">
        <v>2021</v>
      </c>
    </row>
    <row r="146" spans="1:16" x14ac:dyDescent="0.35">
      <c r="A146" s="22">
        <v>44383</v>
      </c>
      <c r="B146" t="s">
        <v>92</v>
      </c>
      <c r="C146">
        <v>15</v>
      </c>
      <c r="D146" t="s">
        <v>108</v>
      </c>
      <c r="E146" t="s">
        <v>107</v>
      </c>
      <c r="F146">
        <v>0</v>
      </c>
      <c r="G146" t="s">
        <v>93</v>
      </c>
      <c r="H146" t="s">
        <v>85</v>
      </c>
      <c r="I146" t="s">
        <v>110</v>
      </c>
      <c r="J146">
        <v>138</v>
      </c>
      <c r="K146">
        <v>173.88</v>
      </c>
      <c r="L146">
        <v>2070</v>
      </c>
      <c r="M146">
        <v>2608.1999999999998</v>
      </c>
      <c r="N146">
        <v>6</v>
      </c>
      <c r="O146" t="s">
        <v>126</v>
      </c>
      <c r="P146">
        <v>2021</v>
      </c>
    </row>
    <row r="147" spans="1:16" x14ac:dyDescent="0.35">
      <c r="A147" s="22">
        <v>44385</v>
      </c>
      <c r="B147" t="s">
        <v>14</v>
      </c>
      <c r="C147">
        <v>10</v>
      </c>
      <c r="D147" t="s">
        <v>108</v>
      </c>
      <c r="E147" t="s">
        <v>106</v>
      </c>
      <c r="F147">
        <v>0</v>
      </c>
      <c r="G147" t="s">
        <v>15</v>
      </c>
      <c r="H147" t="s">
        <v>8</v>
      </c>
      <c r="I147" t="s">
        <v>109</v>
      </c>
      <c r="J147">
        <v>44</v>
      </c>
      <c r="K147">
        <v>48.84</v>
      </c>
      <c r="L147">
        <v>440</v>
      </c>
      <c r="M147">
        <v>488.40000000000003</v>
      </c>
      <c r="N147">
        <v>8</v>
      </c>
      <c r="O147" t="s">
        <v>126</v>
      </c>
      <c r="P147">
        <v>2021</v>
      </c>
    </row>
    <row r="148" spans="1:16" x14ac:dyDescent="0.35">
      <c r="A148" s="22">
        <v>44776</v>
      </c>
      <c r="B148" t="s">
        <v>31</v>
      </c>
      <c r="C148">
        <v>5</v>
      </c>
      <c r="D148" t="s">
        <v>108</v>
      </c>
      <c r="E148" t="s">
        <v>107</v>
      </c>
      <c r="F148">
        <v>0</v>
      </c>
      <c r="G148" t="s">
        <v>32</v>
      </c>
      <c r="H148" t="s">
        <v>28</v>
      </c>
      <c r="I148" t="s">
        <v>9</v>
      </c>
      <c r="J148">
        <v>73</v>
      </c>
      <c r="K148">
        <v>94.17</v>
      </c>
      <c r="L148">
        <v>365</v>
      </c>
      <c r="M148">
        <v>470.85</v>
      </c>
      <c r="N148">
        <v>3</v>
      </c>
      <c r="O148" t="s">
        <v>127</v>
      </c>
      <c r="P148">
        <v>2022</v>
      </c>
    </row>
    <row r="149" spans="1:16" x14ac:dyDescent="0.35">
      <c r="A149" s="22">
        <v>44767</v>
      </c>
      <c r="B149" t="s">
        <v>41</v>
      </c>
      <c r="C149">
        <v>12</v>
      </c>
      <c r="D149" t="s">
        <v>108</v>
      </c>
      <c r="E149" t="s">
        <v>107</v>
      </c>
      <c r="F149">
        <v>0</v>
      </c>
      <c r="G149" t="s">
        <v>42</v>
      </c>
      <c r="H149" t="s">
        <v>28</v>
      </c>
      <c r="I149" t="s">
        <v>110</v>
      </c>
      <c r="J149">
        <v>134</v>
      </c>
      <c r="K149">
        <v>156.78</v>
      </c>
      <c r="L149">
        <v>1608</v>
      </c>
      <c r="M149">
        <v>1881.3600000000001</v>
      </c>
      <c r="N149">
        <v>25</v>
      </c>
      <c r="O149" t="s">
        <v>126</v>
      </c>
      <c r="P149">
        <v>2022</v>
      </c>
    </row>
    <row r="150" spans="1:16" x14ac:dyDescent="0.35">
      <c r="A150" s="22">
        <v>44390</v>
      </c>
      <c r="B150" t="s">
        <v>45</v>
      </c>
      <c r="C150">
        <v>1</v>
      </c>
      <c r="D150" t="s">
        <v>108</v>
      </c>
      <c r="E150" t="s">
        <v>107</v>
      </c>
      <c r="F150">
        <v>0</v>
      </c>
      <c r="G150" t="s">
        <v>46</v>
      </c>
      <c r="H150" t="s">
        <v>28</v>
      </c>
      <c r="I150" t="s">
        <v>110</v>
      </c>
      <c r="J150">
        <v>150</v>
      </c>
      <c r="K150">
        <v>210</v>
      </c>
      <c r="L150">
        <v>150</v>
      </c>
      <c r="M150">
        <v>210</v>
      </c>
      <c r="N150">
        <v>13</v>
      </c>
      <c r="O150" t="s">
        <v>126</v>
      </c>
      <c r="P150">
        <v>2021</v>
      </c>
    </row>
    <row r="151" spans="1:16" x14ac:dyDescent="0.35">
      <c r="A151" s="22">
        <v>44767</v>
      </c>
      <c r="B151" t="s">
        <v>98</v>
      </c>
      <c r="C151">
        <v>2</v>
      </c>
      <c r="D151" t="s">
        <v>108</v>
      </c>
      <c r="E151" t="s">
        <v>107</v>
      </c>
      <c r="F151">
        <v>0</v>
      </c>
      <c r="G151" t="s">
        <v>99</v>
      </c>
      <c r="H151" t="s">
        <v>85</v>
      </c>
      <c r="I151" t="s">
        <v>9</v>
      </c>
      <c r="J151">
        <v>76</v>
      </c>
      <c r="K151">
        <v>82.08</v>
      </c>
      <c r="L151">
        <v>152</v>
      </c>
      <c r="M151">
        <v>164.16</v>
      </c>
      <c r="N151">
        <v>25</v>
      </c>
      <c r="O151" t="s">
        <v>126</v>
      </c>
      <c r="P151">
        <v>2022</v>
      </c>
    </row>
    <row r="152" spans="1:16" x14ac:dyDescent="0.35">
      <c r="A152" s="22">
        <v>44766</v>
      </c>
      <c r="B152" t="s">
        <v>18</v>
      </c>
      <c r="C152">
        <v>14</v>
      </c>
      <c r="D152" t="s">
        <v>108</v>
      </c>
      <c r="E152" t="s">
        <v>107</v>
      </c>
      <c r="F152">
        <v>0</v>
      </c>
      <c r="G152" t="s">
        <v>19</v>
      </c>
      <c r="H152" t="s">
        <v>8</v>
      </c>
      <c r="I152" t="s">
        <v>9</v>
      </c>
      <c r="J152">
        <v>75</v>
      </c>
      <c r="K152">
        <v>85.5</v>
      </c>
      <c r="L152">
        <v>1050</v>
      </c>
      <c r="M152">
        <v>1197</v>
      </c>
      <c r="N152">
        <v>24</v>
      </c>
      <c r="O152" t="s">
        <v>126</v>
      </c>
      <c r="P152">
        <v>2022</v>
      </c>
    </row>
    <row r="153" spans="1:16" x14ac:dyDescent="0.35">
      <c r="A153" s="22">
        <v>44764</v>
      </c>
      <c r="B153" t="s">
        <v>77</v>
      </c>
      <c r="C153">
        <v>6</v>
      </c>
      <c r="D153" t="s">
        <v>108</v>
      </c>
      <c r="E153" t="s">
        <v>107</v>
      </c>
      <c r="F153">
        <v>0</v>
      </c>
      <c r="G153" t="s">
        <v>78</v>
      </c>
      <c r="H153" t="s">
        <v>62</v>
      </c>
      <c r="I153" t="s">
        <v>109</v>
      </c>
      <c r="J153">
        <v>55</v>
      </c>
      <c r="K153">
        <v>58.3</v>
      </c>
      <c r="L153">
        <v>330</v>
      </c>
      <c r="M153">
        <v>349.79999999999995</v>
      </c>
      <c r="N153">
        <v>22</v>
      </c>
      <c r="O153" t="s">
        <v>126</v>
      </c>
      <c r="P153">
        <v>2022</v>
      </c>
    </row>
    <row r="154" spans="1:16" x14ac:dyDescent="0.35">
      <c r="A154" s="22">
        <v>44397</v>
      </c>
      <c r="B154" t="s">
        <v>96</v>
      </c>
      <c r="C154">
        <v>5</v>
      </c>
      <c r="D154" t="s">
        <v>108</v>
      </c>
      <c r="E154" t="s">
        <v>106</v>
      </c>
      <c r="F154">
        <v>0</v>
      </c>
      <c r="G154" t="s">
        <v>97</v>
      </c>
      <c r="H154" t="s">
        <v>85</v>
      </c>
      <c r="I154" t="s">
        <v>9</v>
      </c>
      <c r="J154">
        <v>67</v>
      </c>
      <c r="K154">
        <v>83.08</v>
      </c>
      <c r="L154">
        <v>335</v>
      </c>
      <c r="M154">
        <v>415.4</v>
      </c>
      <c r="N154">
        <v>20</v>
      </c>
      <c r="O154" t="s">
        <v>126</v>
      </c>
      <c r="P154">
        <v>2021</v>
      </c>
    </row>
    <row r="155" spans="1:16" x14ac:dyDescent="0.35">
      <c r="A155" s="22">
        <v>44398</v>
      </c>
      <c r="B155" t="s">
        <v>67</v>
      </c>
      <c r="C155">
        <v>15</v>
      </c>
      <c r="D155" t="s">
        <v>108</v>
      </c>
      <c r="E155" t="s">
        <v>106</v>
      </c>
      <c r="F155">
        <v>0</v>
      </c>
      <c r="G155" t="s">
        <v>68</v>
      </c>
      <c r="H155" t="s">
        <v>62</v>
      </c>
      <c r="I155" t="s">
        <v>109</v>
      </c>
      <c r="J155">
        <v>47</v>
      </c>
      <c r="K155">
        <v>53.11</v>
      </c>
      <c r="L155">
        <v>705</v>
      </c>
      <c r="M155">
        <v>796.65</v>
      </c>
      <c r="N155">
        <v>21</v>
      </c>
      <c r="O155" t="s">
        <v>126</v>
      </c>
      <c r="P155">
        <v>2021</v>
      </c>
    </row>
    <row r="156" spans="1:16" x14ac:dyDescent="0.35">
      <c r="A156" s="22">
        <v>44760</v>
      </c>
      <c r="B156" t="s">
        <v>26</v>
      </c>
      <c r="C156">
        <v>12</v>
      </c>
      <c r="D156" t="s">
        <v>108</v>
      </c>
      <c r="E156" t="s">
        <v>106</v>
      </c>
      <c r="F156">
        <v>0</v>
      </c>
      <c r="G156" t="s">
        <v>27</v>
      </c>
      <c r="H156" t="s">
        <v>28</v>
      </c>
      <c r="I156" t="s">
        <v>110</v>
      </c>
      <c r="J156">
        <v>148</v>
      </c>
      <c r="K156">
        <v>164.28</v>
      </c>
      <c r="L156">
        <v>1776</v>
      </c>
      <c r="M156">
        <v>1971.3600000000001</v>
      </c>
      <c r="N156">
        <v>18</v>
      </c>
      <c r="O156" t="s">
        <v>126</v>
      </c>
      <c r="P156">
        <v>2022</v>
      </c>
    </row>
    <row r="157" spans="1:16" x14ac:dyDescent="0.35">
      <c r="A157" s="22">
        <v>44756</v>
      </c>
      <c r="B157" t="s">
        <v>75</v>
      </c>
      <c r="C157">
        <v>9</v>
      </c>
      <c r="D157" t="s">
        <v>108</v>
      </c>
      <c r="E157" t="s">
        <v>106</v>
      </c>
      <c r="F157">
        <v>0</v>
      </c>
      <c r="G157" t="s">
        <v>76</v>
      </c>
      <c r="H157" t="s">
        <v>62</v>
      </c>
      <c r="I157" t="s">
        <v>9</v>
      </c>
      <c r="J157">
        <v>95</v>
      </c>
      <c r="K157">
        <v>119.7</v>
      </c>
      <c r="L157">
        <v>855</v>
      </c>
      <c r="M157">
        <v>1077.3</v>
      </c>
      <c r="N157">
        <v>14</v>
      </c>
      <c r="O157" t="s">
        <v>126</v>
      </c>
      <c r="P157">
        <v>2022</v>
      </c>
    </row>
    <row r="158" spans="1:16" x14ac:dyDescent="0.35">
      <c r="A158" s="22">
        <v>44755</v>
      </c>
      <c r="B158" t="s">
        <v>58</v>
      </c>
      <c r="C158">
        <v>7</v>
      </c>
      <c r="D158" t="s">
        <v>108</v>
      </c>
      <c r="E158" t="s">
        <v>106</v>
      </c>
      <c r="F158">
        <v>0</v>
      </c>
      <c r="G158" t="s">
        <v>59</v>
      </c>
      <c r="H158" t="s">
        <v>49</v>
      </c>
      <c r="I158" t="s">
        <v>111</v>
      </c>
      <c r="J158">
        <v>7</v>
      </c>
      <c r="K158">
        <v>8.33</v>
      </c>
      <c r="L158">
        <v>49</v>
      </c>
      <c r="M158">
        <v>58.31</v>
      </c>
      <c r="N158">
        <v>13</v>
      </c>
      <c r="O158" t="s">
        <v>126</v>
      </c>
      <c r="P158">
        <v>2022</v>
      </c>
    </row>
    <row r="159" spans="1:16" x14ac:dyDescent="0.35">
      <c r="A159" s="22">
        <v>44400</v>
      </c>
      <c r="B159" t="s">
        <v>83</v>
      </c>
      <c r="C159">
        <v>8</v>
      </c>
      <c r="D159" t="s">
        <v>108</v>
      </c>
      <c r="E159" t="s">
        <v>106</v>
      </c>
      <c r="F159">
        <v>0</v>
      </c>
      <c r="G159" t="s">
        <v>84</v>
      </c>
      <c r="H159" t="s">
        <v>85</v>
      </c>
      <c r="I159" t="s">
        <v>9</v>
      </c>
      <c r="J159">
        <v>67</v>
      </c>
      <c r="K159">
        <v>85.76</v>
      </c>
      <c r="L159">
        <v>536</v>
      </c>
      <c r="M159">
        <v>686.08</v>
      </c>
      <c r="N159">
        <v>23</v>
      </c>
      <c r="O159" t="s">
        <v>126</v>
      </c>
      <c r="P159">
        <v>2021</v>
      </c>
    </row>
    <row r="160" spans="1:16" x14ac:dyDescent="0.35">
      <c r="A160" s="22">
        <v>44754</v>
      </c>
      <c r="B160" t="s">
        <v>65</v>
      </c>
      <c r="C160">
        <v>12</v>
      </c>
      <c r="D160" t="s">
        <v>108</v>
      </c>
      <c r="E160" t="s">
        <v>107</v>
      </c>
      <c r="F160">
        <v>0</v>
      </c>
      <c r="G160" t="s">
        <v>66</v>
      </c>
      <c r="H160" t="s">
        <v>62</v>
      </c>
      <c r="I160" t="s">
        <v>111</v>
      </c>
      <c r="J160">
        <v>37</v>
      </c>
      <c r="K160">
        <v>41.81</v>
      </c>
      <c r="L160">
        <v>444</v>
      </c>
      <c r="M160">
        <v>501.72</v>
      </c>
      <c r="N160">
        <v>12</v>
      </c>
      <c r="O160" t="s">
        <v>126</v>
      </c>
      <c r="P160">
        <v>2022</v>
      </c>
    </row>
    <row r="161" spans="1:16" x14ac:dyDescent="0.35">
      <c r="A161" s="22">
        <v>44750</v>
      </c>
      <c r="B161" t="s">
        <v>43</v>
      </c>
      <c r="C161">
        <v>2</v>
      </c>
      <c r="D161" t="s">
        <v>108</v>
      </c>
      <c r="E161" t="s">
        <v>106</v>
      </c>
      <c r="F161">
        <v>0</v>
      </c>
      <c r="G161" t="s">
        <v>44</v>
      </c>
      <c r="H161" t="s">
        <v>28</v>
      </c>
      <c r="I161" t="s">
        <v>111</v>
      </c>
      <c r="J161">
        <v>37</v>
      </c>
      <c r="K161">
        <v>49.21</v>
      </c>
      <c r="L161">
        <v>74</v>
      </c>
      <c r="M161">
        <v>98.42</v>
      </c>
      <c r="N161">
        <v>8</v>
      </c>
      <c r="O161" t="s">
        <v>126</v>
      </c>
      <c r="P161">
        <v>2022</v>
      </c>
    </row>
    <row r="162" spans="1:16" x14ac:dyDescent="0.35">
      <c r="A162" s="22">
        <v>44409</v>
      </c>
      <c r="B162" t="s">
        <v>6</v>
      </c>
      <c r="C162">
        <v>11</v>
      </c>
      <c r="D162" t="s">
        <v>108</v>
      </c>
      <c r="E162" t="s">
        <v>107</v>
      </c>
      <c r="F162">
        <v>0</v>
      </c>
      <c r="G162" t="s">
        <v>7</v>
      </c>
      <c r="H162" t="s">
        <v>8</v>
      </c>
      <c r="I162" t="s">
        <v>9</v>
      </c>
      <c r="J162">
        <v>98</v>
      </c>
      <c r="K162">
        <v>103.88</v>
      </c>
      <c r="L162">
        <v>1078</v>
      </c>
      <c r="M162">
        <v>1142.6799999999998</v>
      </c>
      <c r="N162">
        <v>1</v>
      </c>
      <c r="O162" t="s">
        <v>127</v>
      </c>
      <c r="P162">
        <v>2021</v>
      </c>
    </row>
    <row r="163" spans="1:16" x14ac:dyDescent="0.35">
      <c r="A163" s="22">
        <v>44410</v>
      </c>
      <c r="B163" t="s">
        <v>54</v>
      </c>
      <c r="C163">
        <v>3</v>
      </c>
      <c r="D163" t="s">
        <v>108</v>
      </c>
      <c r="E163" t="s">
        <v>106</v>
      </c>
      <c r="F163">
        <v>0</v>
      </c>
      <c r="G163" t="s">
        <v>55</v>
      </c>
      <c r="H163" t="s">
        <v>49</v>
      </c>
      <c r="I163" t="s">
        <v>110</v>
      </c>
      <c r="J163">
        <v>141</v>
      </c>
      <c r="K163">
        <v>149.46</v>
      </c>
      <c r="L163">
        <v>423</v>
      </c>
      <c r="M163">
        <v>448.38</v>
      </c>
      <c r="N163">
        <v>2</v>
      </c>
      <c r="O163" t="s">
        <v>127</v>
      </c>
      <c r="P163">
        <v>2021</v>
      </c>
    </row>
    <row r="164" spans="1:16" x14ac:dyDescent="0.35">
      <c r="A164" s="22">
        <v>44748</v>
      </c>
      <c r="B164" t="s">
        <v>92</v>
      </c>
      <c r="C164">
        <v>2</v>
      </c>
      <c r="D164" t="s">
        <v>108</v>
      </c>
      <c r="E164" t="s">
        <v>107</v>
      </c>
      <c r="F164">
        <v>0</v>
      </c>
      <c r="G164" t="s">
        <v>93</v>
      </c>
      <c r="H164" t="s">
        <v>85</v>
      </c>
      <c r="I164" t="s">
        <v>110</v>
      </c>
      <c r="J164">
        <v>138</v>
      </c>
      <c r="K164">
        <v>173.88</v>
      </c>
      <c r="L164">
        <v>276</v>
      </c>
      <c r="M164">
        <v>347.76</v>
      </c>
      <c r="N164">
        <v>6</v>
      </c>
      <c r="O164" t="s">
        <v>126</v>
      </c>
      <c r="P164">
        <v>2022</v>
      </c>
    </row>
    <row r="165" spans="1:16" x14ac:dyDescent="0.35">
      <c r="A165" s="22">
        <v>44747</v>
      </c>
      <c r="B165" t="s">
        <v>37</v>
      </c>
      <c r="C165">
        <v>8</v>
      </c>
      <c r="D165" t="s">
        <v>108</v>
      </c>
      <c r="E165" t="s">
        <v>106</v>
      </c>
      <c r="F165">
        <v>0</v>
      </c>
      <c r="G165" t="s">
        <v>38</v>
      </c>
      <c r="H165" t="s">
        <v>28</v>
      </c>
      <c r="I165" t="s">
        <v>111</v>
      </c>
      <c r="J165">
        <v>12</v>
      </c>
      <c r="K165">
        <v>15.719999999999999</v>
      </c>
      <c r="L165">
        <v>96</v>
      </c>
      <c r="M165">
        <v>125.75999999999999</v>
      </c>
      <c r="N165">
        <v>5</v>
      </c>
      <c r="O165" t="s">
        <v>126</v>
      </c>
      <c r="P165">
        <v>2022</v>
      </c>
    </row>
    <row r="166" spans="1:16" x14ac:dyDescent="0.35">
      <c r="A166" s="22">
        <v>44413</v>
      </c>
      <c r="B166" t="s">
        <v>65</v>
      </c>
      <c r="C166">
        <v>14</v>
      </c>
      <c r="D166" t="s">
        <v>108</v>
      </c>
      <c r="E166" t="s">
        <v>107</v>
      </c>
      <c r="F166">
        <v>0</v>
      </c>
      <c r="G166" t="s">
        <v>66</v>
      </c>
      <c r="H166" t="s">
        <v>62</v>
      </c>
      <c r="I166" t="s">
        <v>111</v>
      </c>
      <c r="J166">
        <v>37</v>
      </c>
      <c r="K166">
        <v>41.81</v>
      </c>
      <c r="L166">
        <v>518</v>
      </c>
      <c r="M166">
        <v>585.34</v>
      </c>
      <c r="N166">
        <v>5</v>
      </c>
      <c r="O166" t="s">
        <v>127</v>
      </c>
      <c r="P166">
        <v>2021</v>
      </c>
    </row>
    <row r="167" spans="1:16" x14ac:dyDescent="0.35">
      <c r="A167" s="22">
        <v>44746</v>
      </c>
      <c r="B167" t="s">
        <v>20</v>
      </c>
      <c r="C167">
        <v>7</v>
      </c>
      <c r="D167" t="s">
        <v>108</v>
      </c>
      <c r="E167" t="s">
        <v>106</v>
      </c>
      <c r="F167">
        <v>0</v>
      </c>
      <c r="G167" t="s">
        <v>21</v>
      </c>
      <c r="H167" t="s">
        <v>8</v>
      </c>
      <c r="I167" t="s">
        <v>109</v>
      </c>
      <c r="J167">
        <v>43</v>
      </c>
      <c r="K167">
        <v>47.730000000000004</v>
      </c>
      <c r="L167">
        <v>301</v>
      </c>
      <c r="M167">
        <v>334.11</v>
      </c>
      <c r="N167">
        <v>4</v>
      </c>
      <c r="O167" t="s">
        <v>126</v>
      </c>
      <c r="P167">
        <v>2022</v>
      </c>
    </row>
    <row r="168" spans="1:16" x14ac:dyDescent="0.35">
      <c r="A168" s="22">
        <v>44745</v>
      </c>
      <c r="B168" t="s">
        <v>75</v>
      </c>
      <c r="C168">
        <v>15</v>
      </c>
      <c r="D168" t="s">
        <v>108</v>
      </c>
      <c r="E168" t="s">
        <v>107</v>
      </c>
      <c r="F168">
        <v>0</v>
      </c>
      <c r="G168" t="s">
        <v>76</v>
      </c>
      <c r="H168" t="s">
        <v>62</v>
      </c>
      <c r="I168" t="s">
        <v>9</v>
      </c>
      <c r="J168">
        <v>95</v>
      </c>
      <c r="K168">
        <v>119.7</v>
      </c>
      <c r="L168">
        <v>1425</v>
      </c>
      <c r="M168">
        <v>1795.5</v>
      </c>
      <c r="N168">
        <v>3</v>
      </c>
      <c r="O168" t="s">
        <v>126</v>
      </c>
      <c r="P168">
        <v>2022</v>
      </c>
    </row>
    <row r="169" spans="1:16" x14ac:dyDescent="0.35">
      <c r="A169" s="22">
        <v>44738</v>
      </c>
      <c r="B169" t="s">
        <v>96</v>
      </c>
      <c r="C169">
        <v>12</v>
      </c>
      <c r="D169" t="s">
        <v>108</v>
      </c>
      <c r="E169" t="s">
        <v>106</v>
      </c>
      <c r="F169">
        <v>0</v>
      </c>
      <c r="G169" t="s">
        <v>97</v>
      </c>
      <c r="H169" t="s">
        <v>85</v>
      </c>
      <c r="I169" t="s">
        <v>9</v>
      </c>
      <c r="J169">
        <v>67</v>
      </c>
      <c r="K169">
        <v>83.08</v>
      </c>
      <c r="L169">
        <v>804</v>
      </c>
      <c r="M169">
        <v>996.96</v>
      </c>
      <c r="N169">
        <v>26</v>
      </c>
      <c r="O169" t="s">
        <v>125</v>
      </c>
      <c r="P169">
        <v>2022</v>
      </c>
    </row>
    <row r="170" spans="1:16" x14ac:dyDescent="0.35">
      <c r="A170" s="22">
        <v>44418</v>
      </c>
      <c r="B170" t="s">
        <v>18</v>
      </c>
      <c r="C170">
        <v>6</v>
      </c>
      <c r="D170" t="s">
        <v>108</v>
      </c>
      <c r="E170" t="s">
        <v>107</v>
      </c>
      <c r="F170">
        <v>0</v>
      </c>
      <c r="G170" t="s">
        <v>19</v>
      </c>
      <c r="H170" t="s">
        <v>8</v>
      </c>
      <c r="I170" t="s">
        <v>9</v>
      </c>
      <c r="J170">
        <v>75</v>
      </c>
      <c r="K170">
        <v>85.5</v>
      </c>
      <c r="L170">
        <v>450</v>
      </c>
      <c r="M170">
        <v>513</v>
      </c>
      <c r="N170">
        <v>10</v>
      </c>
      <c r="O170" t="s">
        <v>127</v>
      </c>
      <c r="P170">
        <v>2021</v>
      </c>
    </row>
    <row r="171" spans="1:16" x14ac:dyDescent="0.35">
      <c r="A171" s="22">
        <v>44419</v>
      </c>
      <c r="B171" t="s">
        <v>54</v>
      </c>
      <c r="C171">
        <v>4</v>
      </c>
      <c r="D171" t="s">
        <v>108</v>
      </c>
      <c r="E171" t="s">
        <v>106</v>
      </c>
      <c r="F171">
        <v>0</v>
      </c>
      <c r="G171" t="s">
        <v>55</v>
      </c>
      <c r="H171" t="s">
        <v>49</v>
      </c>
      <c r="I171" t="s">
        <v>110</v>
      </c>
      <c r="J171">
        <v>141</v>
      </c>
      <c r="K171">
        <v>149.46</v>
      </c>
      <c r="L171">
        <v>564</v>
      </c>
      <c r="M171">
        <v>597.84</v>
      </c>
      <c r="N171">
        <v>11</v>
      </c>
      <c r="O171" t="s">
        <v>127</v>
      </c>
      <c r="P171">
        <v>2021</v>
      </c>
    </row>
    <row r="172" spans="1:16" x14ac:dyDescent="0.35">
      <c r="A172" s="22">
        <v>44421</v>
      </c>
      <c r="B172" t="s">
        <v>29</v>
      </c>
      <c r="C172">
        <v>13</v>
      </c>
      <c r="D172" t="s">
        <v>108</v>
      </c>
      <c r="E172" t="s">
        <v>106</v>
      </c>
      <c r="F172">
        <v>0</v>
      </c>
      <c r="G172" t="s">
        <v>30</v>
      </c>
      <c r="H172" t="s">
        <v>28</v>
      </c>
      <c r="I172" t="s">
        <v>109</v>
      </c>
      <c r="J172">
        <v>44</v>
      </c>
      <c r="K172">
        <v>48.4</v>
      </c>
      <c r="L172">
        <v>572</v>
      </c>
      <c r="M172">
        <v>629.19999999999993</v>
      </c>
      <c r="N172">
        <v>13</v>
      </c>
      <c r="O172" t="s">
        <v>127</v>
      </c>
      <c r="P172">
        <v>2021</v>
      </c>
    </row>
    <row r="173" spans="1:16" x14ac:dyDescent="0.35">
      <c r="A173" s="22">
        <v>44421</v>
      </c>
      <c r="B173" t="s">
        <v>63</v>
      </c>
      <c r="C173">
        <v>9</v>
      </c>
      <c r="D173" t="s">
        <v>108</v>
      </c>
      <c r="E173" t="s">
        <v>106</v>
      </c>
      <c r="F173">
        <v>0</v>
      </c>
      <c r="G173" t="s">
        <v>64</v>
      </c>
      <c r="H173" t="s">
        <v>62</v>
      </c>
      <c r="I173" t="s">
        <v>109</v>
      </c>
      <c r="J173">
        <v>48</v>
      </c>
      <c r="K173">
        <v>57.120000000000005</v>
      </c>
      <c r="L173">
        <v>432</v>
      </c>
      <c r="M173">
        <v>514.08000000000004</v>
      </c>
      <c r="N173">
        <v>13</v>
      </c>
      <c r="O173" t="s">
        <v>127</v>
      </c>
      <c r="P173">
        <v>2021</v>
      </c>
    </row>
    <row r="174" spans="1:16" x14ac:dyDescent="0.35">
      <c r="A174" s="22">
        <v>44738</v>
      </c>
      <c r="B174" t="s">
        <v>77</v>
      </c>
      <c r="C174">
        <v>4</v>
      </c>
      <c r="D174" t="s">
        <v>108</v>
      </c>
      <c r="E174" t="s">
        <v>107</v>
      </c>
      <c r="F174">
        <v>0</v>
      </c>
      <c r="G174" t="s">
        <v>78</v>
      </c>
      <c r="H174" t="s">
        <v>62</v>
      </c>
      <c r="I174" t="s">
        <v>109</v>
      </c>
      <c r="J174">
        <v>55</v>
      </c>
      <c r="K174">
        <v>58.3</v>
      </c>
      <c r="L174">
        <v>220</v>
      </c>
      <c r="M174">
        <v>233.2</v>
      </c>
      <c r="N174">
        <v>26</v>
      </c>
      <c r="O174" t="s">
        <v>125</v>
      </c>
      <c r="P174">
        <v>2022</v>
      </c>
    </row>
    <row r="175" spans="1:16" x14ac:dyDescent="0.35">
      <c r="A175" s="22">
        <v>44426</v>
      </c>
      <c r="B175" t="s">
        <v>58</v>
      </c>
      <c r="C175">
        <v>6</v>
      </c>
      <c r="D175" t="s">
        <v>108</v>
      </c>
      <c r="E175" t="s">
        <v>106</v>
      </c>
      <c r="F175">
        <v>0</v>
      </c>
      <c r="G175" t="s">
        <v>59</v>
      </c>
      <c r="H175" t="s">
        <v>49</v>
      </c>
      <c r="I175" t="s">
        <v>111</v>
      </c>
      <c r="J175">
        <v>7</v>
      </c>
      <c r="K175">
        <v>8.33</v>
      </c>
      <c r="L175">
        <v>42</v>
      </c>
      <c r="M175">
        <v>49.980000000000004</v>
      </c>
      <c r="N175">
        <v>18</v>
      </c>
      <c r="O175" t="s">
        <v>127</v>
      </c>
      <c r="P175">
        <v>2021</v>
      </c>
    </row>
    <row r="176" spans="1:16" x14ac:dyDescent="0.35">
      <c r="A176" s="22">
        <v>44428</v>
      </c>
      <c r="B176" t="s">
        <v>47</v>
      </c>
      <c r="C176">
        <v>15</v>
      </c>
      <c r="D176" t="s">
        <v>108</v>
      </c>
      <c r="E176" t="s">
        <v>107</v>
      </c>
      <c r="F176">
        <v>0</v>
      </c>
      <c r="G176" t="s">
        <v>48</v>
      </c>
      <c r="H176" t="s">
        <v>49</v>
      </c>
      <c r="I176" t="s">
        <v>109</v>
      </c>
      <c r="J176">
        <v>61</v>
      </c>
      <c r="K176">
        <v>76.25</v>
      </c>
      <c r="L176">
        <v>915</v>
      </c>
      <c r="M176">
        <v>1143.75</v>
      </c>
      <c r="N176">
        <v>20</v>
      </c>
      <c r="O176" t="s">
        <v>127</v>
      </c>
      <c r="P176">
        <v>2021</v>
      </c>
    </row>
    <row r="177" spans="1:16" x14ac:dyDescent="0.35">
      <c r="A177" s="22">
        <v>44428</v>
      </c>
      <c r="B177" t="s">
        <v>71</v>
      </c>
      <c r="C177">
        <v>9</v>
      </c>
      <c r="D177" t="s">
        <v>108</v>
      </c>
      <c r="E177" t="s">
        <v>106</v>
      </c>
      <c r="F177">
        <v>0</v>
      </c>
      <c r="G177" t="s">
        <v>72</v>
      </c>
      <c r="H177" t="s">
        <v>62</v>
      </c>
      <c r="I177" t="s">
        <v>9</v>
      </c>
      <c r="J177">
        <v>93</v>
      </c>
      <c r="K177">
        <v>104.16</v>
      </c>
      <c r="L177">
        <v>837</v>
      </c>
      <c r="M177">
        <v>937.43999999999994</v>
      </c>
      <c r="N177">
        <v>20</v>
      </c>
      <c r="O177" t="s">
        <v>127</v>
      </c>
      <c r="P177">
        <v>2021</v>
      </c>
    </row>
    <row r="178" spans="1:16" x14ac:dyDescent="0.35">
      <c r="A178" s="22">
        <v>44428</v>
      </c>
      <c r="B178" t="s">
        <v>65</v>
      </c>
      <c r="C178">
        <v>13</v>
      </c>
      <c r="D178" t="s">
        <v>108</v>
      </c>
      <c r="E178" t="s">
        <v>106</v>
      </c>
      <c r="F178">
        <v>0</v>
      </c>
      <c r="G178" t="s">
        <v>66</v>
      </c>
      <c r="H178" t="s">
        <v>62</v>
      </c>
      <c r="I178" t="s">
        <v>111</v>
      </c>
      <c r="J178">
        <v>37</v>
      </c>
      <c r="K178">
        <v>41.81</v>
      </c>
      <c r="L178">
        <v>481</v>
      </c>
      <c r="M178">
        <v>543.53</v>
      </c>
      <c r="N178">
        <v>20</v>
      </c>
      <c r="O178" t="s">
        <v>127</v>
      </c>
      <c r="P178">
        <v>2021</v>
      </c>
    </row>
    <row r="179" spans="1:16" x14ac:dyDescent="0.35">
      <c r="A179" s="22">
        <v>44434</v>
      </c>
      <c r="B179" t="s">
        <v>88</v>
      </c>
      <c r="C179">
        <v>4</v>
      </c>
      <c r="D179" t="s">
        <v>108</v>
      </c>
      <c r="E179" t="s">
        <v>106</v>
      </c>
      <c r="F179">
        <v>0</v>
      </c>
      <c r="G179" t="s">
        <v>89</v>
      </c>
      <c r="H179" t="s">
        <v>85</v>
      </c>
      <c r="I179" t="s">
        <v>111</v>
      </c>
      <c r="J179">
        <v>37</v>
      </c>
      <c r="K179">
        <v>42.55</v>
      </c>
      <c r="L179">
        <v>148</v>
      </c>
      <c r="M179">
        <v>170.2</v>
      </c>
      <c r="N179">
        <v>26</v>
      </c>
      <c r="O179" t="s">
        <v>127</v>
      </c>
      <c r="P179">
        <v>2021</v>
      </c>
    </row>
    <row r="180" spans="1:16" x14ac:dyDescent="0.35">
      <c r="A180" s="22">
        <v>44736</v>
      </c>
      <c r="B180" t="s">
        <v>43</v>
      </c>
      <c r="C180">
        <v>7</v>
      </c>
      <c r="D180" t="s">
        <v>108</v>
      </c>
      <c r="E180" t="s">
        <v>107</v>
      </c>
      <c r="F180">
        <v>0</v>
      </c>
      <c r="G180" t="s">
        <v>44</v>
      </c>
      <c r="H180" t="s">
        <v>28</v>
      </c>
      <c r="I180" t="s">
        <v>111</v>
      </c>
      <c r="J180">
        <v>37</v>
      </c>
      <c r="K180">
        <v>49.21</v>
      </c>
      <c r="L180">
        <v>259</v>
      </c>
      <c r="M180">
        <v>344.47</v>
      </c>
      <c r="N180">
        <v>24</v>
      </c>
      <c r="O180" t="s">
        <v>125</v>
      </c>
      <c r="P180">
        <v>2022</v>
      </c>
    </row>
    <row r="181" spans="1:16" x14ac:dyDescent="0.35">
      <c r="A181" s="22">
        <v>44438</v>
      </c>
      <c r="B181" t="s">
        <v>33</v>
      </c>
      <c r="C181">
        <v>13</v>
      </c>
      <c r="D181" t="s">
        <v>108</v>
      </c>
      <c r="E181" t="s">
        <v>106</v>
      </c>
      <c r="F181">
        <v>0</v>
      </c>
      <c r="G181" t="s">
        <v>34</v>
      </c>
      <c r="H181" t="s">
        <v>28</v>
      </c>
      <c r="I181" t="s">
        <v>9</v>
      </c>
      <c r="J181">
        <v>112</v>
      </c>
      <c r="K181">
        <v>122.08</v>
      </c>
      <c r="L181">
        <v>1456</v>
      </c>
      <c r="M181">
        <v>1587.04</v>
      </c>
      <c r="N181">
        <v>30</v>
      </c>
      <c r="O181" t="s">
        <v>127</v>
      </c>
      <c r="P181">
        <v>2021</v>
      </c>
    </row>
    <row r="182" spans="1:16" x14ac:dyDescent="0.35">
      <c r="A182" s="22">
        <v>44439</v>
      </c>
      <c r="B182" t="s">
        <v>6</v>
      </c>
      <c r="C182">
        <v>2</v>
      </c>
      <c r="D182" t="s">
        <v>108</v>
      </c>
      <c r="E182" t="s">
        <v>106</v>
      </c>
      <c r="F182">
        <v>0</v>
      </c>
      <c r="G182" t="s">
        <v>7</v>
      </c>
      <c r="H182" t="s">
        <v>8</v>
      </c>
      <c r="I182" t="s">
        <v>9</v>
      </c>
      <c r="J182">
        <v>98</v>
      </c>
      <c r="K182">
        <v>103.88</v>
      </c>
      <c r="L182">
        <v>196</v>
      </c>
      <c r="M182">
        <v>207.76</v>
      </c>
      <c r="N182">
        <v>31</v>
      </c>
      <c r="O182" t="s">
        <v>127</v>
      </c>
      <c r="P182">
        <v>2021</v>
      </c>
    </row>
    <row r="183" spans="1:16" x14ac:dyDescent="0.35">
      <c r="A183" s="22">
        <v>44439</v>
      </c>
      <c r="B183" t="s">
        <v>79</v>
      </c>
      <c r="C183">
        <v>11</v>
      </c>
      <c r="D183" t="s">
        <v>108</v>
      </c>
      <c r="E183" t="s">
        <v>106</v>
      </c>
      <c r="F183">
        <v>0</v>
      </c>
      <c r="G183" t="s">
        <v>80</v>
      </c>
      <c r="H183" t="s">
        <v>62</v>
      </c>
      <c r="I183" t="s">
        <v>111</v>
      </c>
      <c r="J183">
        <v>5</v>
      </c>
      <c r="K183">
        <v>6.7</v>
      </c>
      <c r="L183">
        <v>55</v>
      </c>
      <c r="M183">
        <v>73.7</v>
      </c>
      <c r="N183">
        <v>31</v>
      </c>
      <c r="O183" t="s">
        <v>127</v>
      </c>
      <c r="P183">
        <v>2021</v>
      </c>
    </row>
    <row r="184" spans="1:16" x14ac:dyDescent="0.35">
      <c r="A184" s="22">
        <v>44735</v>
      </c>
      <c r="B184" t="s">
        <v>14</v>
      </c>
      <c r="C184">
        <v>8</v>
      </c>
      <c r="D184" t="s">
        <v>108</v>
      </c>
      <c r="E184" t="s">
        <v>106</v>
      </c>
      <c r="F184">
        <v>0</v>
      </c>
      <c r="G184" t="s">
        <v>15</v>
      </c>
      <c r="H184" t="s">
        <v>8</v>
      </c>
      <c r="I184" t="s">
        <v>109</v>
      </c>
      <c r="J184">
        <v>44</v>
      </c>
      <c r="K184">
        <v>48.84</v>
      </c>
      <c r="L184">
        <v>352</v>
      </c>
      <c r="M184">
        <v>390.72</v>
      </c>
      <c r="N184">
        <v>23</v>
      </c>
      <c r="O184" t="s">
        <v>125</v>
      </c>
      <c r="P184">
        <v>2022</v>
      </c>
    </row>
    <row r="185" spans="1:16" x14ac:dyDescent="0.35">
      <c r="A185" s="22">
        <v>44734</v>
      </c>
      <c r="B185" t="s">
        <v>6</v>
      </c>
      <c r="C185">
        <v>4</v>
      </c>
      <c r="D185" t="s">
        <v>108</v>
      </c>
      <c r="E185" t="s">
        <v>107</v>
      </c>
      <c r="F185">
        <v>0</v>
      </c>
      <c r="G185" t="s">
        <v>7</v>
      </c>
      <c r="H185" t="s">
        <v>8</v>
      </c>
      <c r="I185" t="s">
        <v>9</v>
      </c>
      <c r="J185">
        <v>98</v>
      </c>
      <c r="K185">
        <v>103.88</v>
      </c>
      <c r="L185">
        <v>392</v>
      </c>
      <c r="M185">
        <v>415.52</v>
      </c>
      <c r="N185">
        <v>22</v>
      </c>
      <c r="O185" t="s">
        <v>125</v>
      </c>
      <c r="P185">
        <v>2022</v>
      </c>
    </row>
    <row r="186" spans="1:16" x14ac:dyDescent="0.35">
      <c r="A186" s="22">
        <v>44442</v>
      </c>
      <c r="B186" t="s">
        <v>92</v>
      </c>
      <c r="C186">
        <v>8</v>
      </c>
      <c r="D186" t="s">
        <v>108</v>
      </c>
      <c r="E186" t="s">
        <v>106</v>
      </c>
      <c r="F186">
        <v>0</v>
      </c>
      <c r="G186" t="s">
        <v>93</v>
      </c>
      <c r="H186" t="s">
        <v>85</v>
      </c>
      <c r="I186" t="s">
        <v>110</v>
      </c>
      <c r="J186">
        <v>138</v>
      </c>
      <c r="K186">
        <v>173.88</v>
      </c>
      <c r="L186">
        <v>1104</v>
      </c>
      <c r="M186">
        <v>1391.04</v>
      </c>
      <c r="N186">
        <v>3</v>
      </c>
      <c r="O186" t="s">
        <v>128</v>
      </c>
      <c r="P186">
        <v>2021</v>
      </c>
    </row>
    <row r="187" spans="1:16" x14ac:dyDescent="0.35">
      <c r="A187" s="22">
        <v>44443</v>
      </c>
      <c r="B187" t="s">
        <v>65</v>
      </c>
      <c r="C187">
        <v>7</v>
      </c>
      <c r="D187" t="s">
        <v>108</v>
      </c>
      <c r="E187" t="s">
        <v>106</v>
      </c>
      <c r="F187">
        <v>0</v>
      </c>
      <c r="G187" t="s">
        <v>66</v>
      </c>
      <c r="H187" t="s">
        <v>62</v>
      </c>
      <c r="I187" t="s">
        <v>111</v>
      </c>
      <c r="J187">
        <v>37</v>
      </c>
      <c r="K187">
        <v>41.81</v>
      </c>
      <c r="L187">
        <v>259</v>
      </c>
      <c r="M187">
        <v>292.67</v>
      </c>
      <c r="N187">
        <v>4</v>
      </c>
      <c r="O187" t="s">
        <v>128</v>
      </c>
      <c r="P187">
        <v>2021</v>
      </c>
    </row>
    <row r="188" spans="1:16" x14ac:dyDescent="0.35">
      <c r="A188" s="22">
        <v>44443</v>
      </c>
      <c r="B188" t="s">
        <v>54</v>
      </c>
      <c r="C188">
        <v>15</v>
      </c>
      <c r="D188" t="s">
        <v>108</v>
      </c>
      <c r="E188" t="s">
        <v>106</v>
      </c>
      <c r="F188">
        <v>0</v>
      </c>
      <c r="G188" t="s">
        <v>55</v>
      </c>
      <c r="H188" t="s">
        <v>49</v>
      </c>
      <c r="I188" t="s">
        <v>110</v>
      </c>
      <c r="J188">
        <v>141</v>
      </c>
      <c r="K188">
        <v>149.46</v>
      </c>
      <c r="L188">
        <v>2115</v>
      </c>
      <c r="M188">
        <v>2241.9</v>
      </c>
      <c r="N188">
        <v>4</v>
      </c>
      <c r="O188" t="s">
        <v>128</v>
      </c>
      <c r="P188">
        <v>2021</v>
      </c>
    </row>
    <row r="189" spans="1:16" x14ac:dyDescent="0.35">
      <c r="A189" s="22">
        <v>44444</v>
      </c>
      <c r="B189" t="s">
        <v>73</v>
      </c>
      <c r="C189">
        <v>1</v>
      </c>
      <c r="D189" t="s">
        <v>108</v>
      </c>
      <c r="E189" t="s">
        <v>107</v>
      </c>
      <c r="F189">
        <v>0</v>
      </c>
      <c r="G189" t="s">
        <v>74</v>
      </c>
      <c r="H189" t="s">
        <v>62</v>
      </c>
      <c r="I189" t="s">
        <v>9</v>
      </c>
      <c r="J189">
        <v>89</v>
      </c>
      <c r="K189">
        <v>117.48</v>
      </c>
      <c r="L189">
        <v>89</v>
      </c>
      <c r="M189">
        <v>117.48</v>
      </c>
      <c r="N189">
        <v>5</v>
      </c>
      <c r="O189" t="s">
        <v>128</v>
      </c>
      <c r="P189">
        <v>2021</v>
      </c>
    </row>
    <row r="190" spans="1:16" x14ac:dyDescent="0.35">
      <c r="A190" s="22">
        <v>44446</v>
      </c>
      <c r="B190" t="s">
        <v>45</v>
      </c>
      <c r="C190">
        <v>5</v>
      </c>
      <c r="D190" t="s">
        <v>108</v>
      </c>
      <c r="E190" t="s">
        <v>106</v>
      </c>
      <c r="F190">
        <v>0</v>
      </c>
      <c r="G190" t="s">
        <v>46</v>
      </c>
      <c r="H190" t="s">
        <v>28</v>
      </c>
      <c r="I190" t="s">
        <v>110</v>
      </c>
      <c r="J190">
        <v>150</v>
      </c>
      <c r="K190">
        <v>210</v>
      </c>
      <c r="L190">
        <v>750</v>
      </c>
      <c r="M190">
        <v>1050</v>
      </c>
      <c r="N190">
        <v>7</v>
      </c>
      <c r="O190" t="s">
        <v>128</v>
      </c>
      <c r="P190">
        <v>2021</v>
      </c>
    </row>
    <row r="191" spans="1:16" x14ac:dyDescent="0.35">
      <c r="A191" s="22">
        <v>44448</v>
      </c>
      <c r="B191" t="s">
        <v>98</v>
      </c>
      <c r="C191">
        <v>4</v>
      </c>
      <c r="D191" t="s">
        <v>108</v>
      </c>
      <c r="E191" t="s">
        <v>106</v>
      </c>
      <c r="F191">
        <v>0</v>
      </c>
      <c r="G191" t="s">
        <v>99</v>
      </c>
      <c r="H191" t="s">
        <v>85</v>
      </c>
      <c r="I191" t="s">
        <v>9</v>
      </c>
      <c r="J191">
        <v>76</v>
      </c>
      <c r="K191">
        <v>82.08</v>
      </c>
      <c r="L191">
        <v>304</v>
      </c>
      <c r="M191">
        <v>328.32</v>
      </c>
      <c r="N191">
        <v>9</v>
      </c>
      <c r="O191" t="s">
        <v>128</v>
      </c>
      <c r="P191">
        <v>2021</v>
      </c>
    </row>
    <row r="192" spans="1:16" x14ac:dyDescent="0.35">
      <c r="A192" s="22">
        <v>44449</v>
      </c>
      <c r="B192" t="s">
        <v>69</v>
      </c>
      <c r="C192">
        <v>6</v>
      </c>
      <c r="D192" t="s">
        <v>108</v>
      </c>
      <c r="E192" t="s">
        <v>106</v>
      </c>
      <c r="F192">
        <v>0</v>
      </c>
      <c r="G192" t="s">
        <v>70</v>
      </c>
      <c r="H192" t="s">
        <v>62</v>
      </c>
      <c r="I192" t="s">
        <v>110</v>
      </c>
      <c r="J192">
        <v>148</v>
      </c>
      <c r="K192">
        <v>201.28</v>
      </c>
      <c r="L192">
        <v>888</v>
      </c>
      <c r="M192">
        <v>1207.68</v>
      </c>
      <c r="N192">
        <v>10</v>
      </c>
      <c r="O192" t="s">
        <v>128</v>
      </c>
      <c r="P192">
        <v>2021</v>
      </c>
    </row>
    <row r="193" spans="1:16" x14ac:dyDescent="0.35">
      <c r="A193" s="22">
        <v>44733</v>
      </c>
      <c r="B193" t="s">
        <v>41</v>
      </c>
      <c r="C193">
        <v>14</v>
      </c>
      <c r="D193" t="s">
        <v>108</v>
      </c>
      <c r="E193" t="s">
        <v>107</v>
      </c>
      <c r="F193">
        <v>0</v>
      </c>
      <c r="G193" t="s">
        <v>42</v>
      </c>
      <c r="H193" t="s">
        <v>28</v>
      </c>
      <c r="I193" t="s">
        <v>110</v>
      </c>
      <c r="J193">
        <v>134</v>
      </c>
      <c r="K193">
        <v>156.78</v>
      </c>
      <c r="L193">
        <v>1876</v>
      </c>
      <c r="M193">
        <v>2194.92</v>
      </c>
      <c r="N193">
        <v>21</v>
      </c>
      <c r="O193" t="s">
        <v>125</v>
      </c>
      <c r="P193">
        <v>2022</v>
      </c>
    </row>
    <row r="194" spans="1:16" x14ac:dyDescent="0.35">
      <c r="A194" s="22">
        <v>44449</v>
      </c>
      <c r="B194" t="s">
        <v>60</v>
      </c>
      <c r="C194">
        <v>2</v>
      </c>
      <c r="D194" t="s">
        <v>108</v>
      </c>
      <c r="E194" t="s">
        <v>106</v>
      </c>
      <c r="F194">
        <v>0</v>
      </c>
      <c r="G194" t="s">
        <v>61</v>
      </c>
      <c r="H194" t="s">
        <v>62</v>
      </c>
      <c r="I194" t="s">
        <v>111</v>
      </c>
      <c r="J194">
        <v>18</v>
      </c>
      <c r="K194">
        <v>24.66</v>
      </c>
      <c r="L194">
        <v>36</v>
      </c>
      <c r="M194">
        <v>49.32</v>
      </c>
      <c r="N194">
        <v>10</v>
      </c>
      <c r="O194" t="s">
        <v>128</v>
      </c>
      <c r="P194">
        <v>2021</v>
      </c>
    </row>
    <row r="195" spans="1:16" x14ac:dyDescent="0.35">
      <c r="A195" s="22">
        <v>44731</v>
      </c>
      <c r="B195" t="s">
        <v>10</v>
      </c>
      <c r="C195">
        <v>8</v>
      </c>
      <c r="D195" t="s">
        <v>108</v>
      </c>
      <c r="E195" t="s">
        <v>107</v>
      </c>
      <c r="F195">
        <v>0</v>
      </c>
      <c r="G195" t="s">
        <v>11</v>
      </c>
      <c r="H195" t="s">
        <v>8</v>
      </c>
      <c r="I195" t="s">
        <v>9</v>
      </c>
      <c r="J195">
        <v>105</v>
      </c>
      <c r="K195">
        <v>142.80000000000001</v>
      </c>
      <c r="L195">
        <v>840</v>
      </c>
      <c r="M195">
        <v>1142.4000000000001</v>
      </c>
      <c r="N195">
        <v>19</v>
      </c>
      <c r="O195" t="s">
        <v>125</v>
      </c>
      <c r="P195">
        <v>2022</v>
      </c>
    </row>
    <row r="196" spans="1:16" x14ac:dyDescent="0.35">
      <c r="A196" s="22">
        <v>44452</v>
      </c>
      <c r="B196" t="s">
        <v>92</v>
      </c>
      <c r="C196">
        <v>7</v>
      </c>
      <c r="D196" t="s">
        <v>108</v>
      </c>
      <c r="E196" t="s">
        <v>107</v>
      </c>
      <c r="F196">
        <v>0</v>
      </c>
      <c r="G196" t="s">
        <v>93</v>
      </c>
      <c r="H196" t="s">
        <v>85</v>
      </c>
      <c r="I196" t="s">
        <v>110</v>
      </c>
      <c r="J196">
        <v>138</v>
      </c>
      <c r="K196">
        <v>173.88</v>
      </c>
      <c r="L196">
        <v>966</v>
      </c>
      <c r="M196">
        <v>1217.1599999999999</v>
      </c>
      <c r="N196">
        <v>13</v>
      </c>
      <c r="O196" t="s">
        <v>128</v>
      </c>
      <c r="P196">
        <v>2021</v>
      </c>
    </row>
    <row r="197" spans="1:16" x14ac:dyDescent="0.35">
      <c r="A197" s="22">
        <v>44454</v>
      </c>
      <c r="B197" t="s">
        <v>94</v>
      </c>
      <c r="C197">
        <v>6</v>
      </c>
      <c r="D197" t="s">
        <v>108</v>
      </c>
      <c r="E197" t="s">
        <v>106</v>
      </c>
      <c r="F197">
        <v>0</v>
      </c>
      <c r="G197" t="s">
        <v>95</v>
      </c>
      <c r="H197" t="s">
        <v>85</v>
      </c>
      <c r="I197" t="s">
        <v>110</v>
      </c>
      <c r="J197">
        <v>120</v>
      </c>
      <c r="K197">
        <v>162</v>
      </c>
      <c r="L197">
        <v>720</v>
      </c>
      <c r="M197">
        <v>972</v>
      </c>
      <c r="N197">
        <v>15</v>
      </c>
      <c r="O197" t="s">
        <v>128</v>
      </c>
      <c r="P197">
        <v>2021</v>
      </c>
    </row>
    <row r="198" spans="1:16" x14ac:dyDescent="0.35">
      <c r="A198" s="22">
        <v>44454</v>
      </c>
      <c r="B198" t="s">
        <v>94</v>
      </c>
      <c r="C198">
        <v>14</v>
      </c>
      <c r="D198" t="s">
        <v>108</v>
      </c>
      <c r="E198" t="s">
        <v>106</v>
      </c>
      <c r="F198">
        <v>0</v>
      </c>
      <c r="G198" t="s">
        <v>95</v>
      </c>
      <c r="H198" t="s">
        <v>85</v>
      </c>
      <c r="I198" t="s">
        <v>110</v>
      </c>
      <c r="J198">
        <v>120</v>
      </c>
      <c r="K198">
        <v>162</v>
      </c>
      <c r="L198">
        <v>1680</v>
      </c>
      <c r="M198">
        <v>2268</v>
      </c>
      <c r="N198">
        <v>15</v>
      </c>
      <c r="O198" t="s">
        <v>128</v>
      </c>
      <c r="P198">
        <v>2021</v>
      </c>
    </row>
    <row r="199" spans="1:16" x14ac:dyDescent="0.35">
      <c r="A199" s="22">
        <v>44725</v>
      </c>
      <c r="B199" t="s">
        <v>60</v>
      </c>
      <c r="C199">
        <v>6</v>
      </c>
      <c r="D199" t="s">
        <v>108</v>
      </c>
      <c r="E199" t="s">
        <v>107</v>
      </c>
      <c r="F199">
        <v>0</v>
      </c>
      <c r="G199" t="s">
        <v>61</v>
      </c>
      <c r="H199" t="s">
        <v>62</v>
      </c>
      <c r="I199" t="s">
        <v>111</v>
      </c>
      <c r="J199">
        <v>18</v>
      </c>
      <c r="K199">
        <v>24.66</v>
      </c>
      <c r="L199">
        <v>108</v>
      </c>
      <c r="M199">
        <v>147.96</v>
      </c>
      <c r="N199">
        <v>13</v>
      </c>
      <c r="O199" t="s">
        <v>125</v>
      </c>
      <c r="P199">
        <v>2022</v>
      </c>
    </row>
    <row r="200" spans="1:16" x14ac:dyDescent="0.35">
      <c r="A200" s="22">
        <v>44723</v>
      </c>
      <c r="B200" t="s">
        <v>50</v>
      </c>
      <c r="C200">
        <v>6</v>
      </c>
      <c r="D200" t="s">
        <v>108</v>
      </c>
      <c r="E200" t="s">
        <v>106</v>
      </c>
      <c r="F200">
        <v>0</v>
      </c>
      <c r="G200" t="s">
        <v>51</v>
      </c>
      <c r="H200" t="s">
        <v>49</v>
      </c>
      <c r="I200" t="s">
        <v>110</v>
      </c>
      <c r="J200">
        <v>126</v>
      </c>
      <c r="K200">
        <v>162.54</v>
      </c>
      <c r="L200">
        <v>756</v>
      </c>
      <c r="M200">
        <v>975.24</v>
      </c>
      <c r="N200">
        <v>11</v>
      </c>
      <c r="O200" t="s">
        <v>125</v>
      </c>
      <c r="P200">
        <v>2022</v>
      </c>
    </row>
    <row r="201" spans="1:16" x14ac:dyDescent="0.35">
      <c r="A201" s="22">
        <v>44461</v>
      </c>
      <c r="B201" t="s">
        <v>10</v>
      </c>
      <c r="C201">
        <v>4</v>
      </c>
      <c r="D201" t="s">
        <v>108</v>
      </c>
      <c r="E201" t="s">
        <v>107</v>
      </c>
      <c r="F201">
        <v>0</v>
      </c>
      <c r="G201" t="s">
        <v>11</v>
      </c>
      <c r="H201" t="s">
        <v>8</v>
      </c>
      <c r="I201" t="s">
        <v>9</v>
      </c>
      <c r="J201">
        <v>105</v>
      </c>
      <c r="K201">
        <v>142.80000000000001</v>
      </c>
      <c r="L201">
        <v>420</v>
      </c>
      <c r="M201">
        <v>571.20000000000005</v>
      </c>
      <c r="N201">
        <v>22</v>
      </c>
      <c r="O201" t="s">
        <v>128</v>
      </c>
      <c r="P201">
        <v>2021</v>
      </c>
    </row>
    <row r="202" spans="1:16" x14ac:dyDescent="0.35">
      <c r="A202" s="22">
        <v>44462</v>
      </c>
      <c r="B202" t="s">
        <v>43</v>
      </c>
      <c r="C202">
        <v>12</v>
      </c>
      <c r="D202" t="s">
        <v>108</v>
      </c>
      <c r="E202" t="s">
        <v>107</v>
      </c>
      <c r="F202">
        <v>0</v>
      </c>
      <c r="G202" t="s">
        <v>44</v>
      </c>
      <c r="H202" t="s">
        <v>28</v>
      </c>
      <c r="I202" t="s">
        <v>111</v>
      </c>
      <c r="J202">
        <v>37</v>
      </c>
      <c r="K202">
        <v>49.21</v>
      </c>
      <c r="L202">
        <v>444</v>
      </c>
      <c r="M202">
        <v>590.52</v>
      </c>
      <c r="N202">
        <v>23</v>
      </c>
      <c r="O202" t="s">
        <v>128</v>
      </c>
      <c r="P202">
        <v>2021</v>
      </c>
    </row>
    <row r="203" spans="1:16" x14ac:dyDescent="0.35">
      <c r="A203" s="22">
        <v>44711</v>
      </c>
      <c r="B203" t="s">
        <v>98</v>
      </c>
      <c r="C203">
        <v>9</v>
      </c>
      <c r="D203" t="s">
        <v>108</v>
      </c>
      <c r="E203" t="s">
        <v>106</v>
      </c>
      <c r="F203">
        <v>0</v>
      </c>
      <c r="G203" t="s">
        <v>99</v>
      </c>
      <c r="H203" t="s">
        <v>85</v>
      </c>
      <c r="I203" t="s">
        <v>9</v>
      </c>
      <c r="J203">
        <v>76</v>
      </c>
      <c r="K203">
        <v>82.08</v>
      </c>
      <c r="L203">
        <v>684</v>
      </c>
      <c r="M203">
        <v>738.72</v>
      </c>
      <c r="N203">
        <v>30</v>
      </c>
      <c r="O203" t="s">
        <v>124</v>
      </c>
      <c r="P203">
        <v>2022</v>
      </c>
    </row>
    <row r="204" spans="1:16" x14ac:dyDescent="0.35">
      <c r="A204" s="22">
        <v>44466</v>
      </c>
      <c r="B204" t="s">
        <v>77</v>
      </c>
      <c r="C204">
        <v>1</v>
      </c>
      <c r="D204" t="s">
        <v>108</v>
      </c>
      <c r="E204" t="s">
        <v>107</v>
      </c>
      <c r="F204">
        <v>0</v>
      </c>
      <c r="G204" t="s">
        <v>78</v>
      </c>
      <c r="H204" t="s">
        <v>62</v>
      </c>
      <c r="I204" t="s">
        <v>109</v>
      </c>
      <c r="J204">
        <v>55</v>
      </c>
      <c r="K204">
        <v>58.3</v>
      </c>
      <c r="L204">
        <v>55</v>
      </c>
      <c r="M204">
        <v>58.3</v>
      </c>
      <c r="N204">
        <v>27</v>
      </c>
      <c r="O204" t="s">
        <v>128</v>
      </c>
      <c r="P204">
        <v>2021</v>
      </c>
    </row>
    <row r="205" spans="1:16" x14ac:dyDescent="0.35">
      <c r="A205" s="22">
        <v>44709</v>
      </c>
      <c r="B205" t="s">
        <v>47</v>
      </c>
      <c r="C205">
        <v>14</v>
      </c>
      <c r="D205" t="s">
        <v>108</v>
      </c>
      <c r="E205" t="s">
        <v>107</v>
      </c>
      <c r="F205">
        <v>0</v>
      </c>
      <c r="G205" t="s">
        <v>48</v>
      </c>
      <c r="H205" t="s">
        <v>49</v>
      </c>
      <c r="I205" t="s">
        <v>109</v>
      </c>
      <c r="J205">
        <v>61</v>
      </c>
      <c r="K205">
        <v>76.25</v>
      </c>
      <c r="L205">
        <v>854</v>
      </c>
      <c r="M205">
        <v>1067.5</v>
      </c>
      <c r="N205">
        <v>28</v>
      </c>
      <c r="O205" t="s">
        <v>124</v>
      </c>
      <c r="P205">
        <v>2022</v>
      </c>
    </row>
    <row r="206" spans="1:16" x14ac:dyDescent="0.35">
      <c r="A206" s="22">
        <v>44707</v>
      </c>
      <c r="B206" t="s">
        <v>65</v>
      </c>
      <c r="C206">
        <v>2</v>
      </c>
      <c r="D206" t="s">
        <v>108</v>
      </c>
      <c r="E206" t="s">
        <v>106</v>
      </c>
      <c r="F206">
        <v>0</v>
      </c>
      <c r="G206" t="s">
        <v>66</v>
      </c>
      <c r="H206" t="s">
        <v>62</v>
      </c>
      <c r="I206" t="s">
        <v>111</v>
      </c>
      <c r="J206">
        <v>37</v>
      </c>
      <c r="K206">
        <v>41.81</v>
      </c>
      <c r="L206">
        <v>74</v>
      </c>
      <c r="M206">
        <v>83.62</v>
      </c>
      <c r="N206">
        <v>26</v>
      </c>
      <c r="O206" t="s">
        <v>124</v>
      </c>
      <c r="P206">
        <v>2022</v>
      </c>
    </row>
    <row r="207" spans="1:16" x14ac:dyDescent="0.35">
      <c r="A207" s="22">
        <v>44703</v>
      </c>
      <c r="B207" t="s">
        <v>37</v>
      </c>
      <c r="C207">
        <v>12</v>
      </c>
      <c r="D207" t="s">
        <v>108</v>
      </c>
      <c r="E207" t="s">
        <v>106</v>
      </c>
      <c r="F207">
        <v>0</v>
      </c>
      <c r="G207" t="s">
        <v>38</v>
      </c>
      <c r="H207" t="s">
        <v>28</v>
      </c>
      <c r="I207" t="s">
        <v>111</v>
      </c>
      <c r="J207">
        <v>12</v>
      </c>
      <c r="K207">
        <v>15.719999999999999</v>
      </c>
      <c r="L207">
        <v>144</v>
      </c>
      <c r="M207">
        <v>188.64</v>
      </c>
      <c r="N207">
        <v>22</v>
      </c>
      <c r="O207" t="s">
        <v>124</v>
      </c>
      <c r="P207">
        <v>2022</v>
      </c>
    </row>
    <row r="208" spans="1:16" x14ac:dyDescent="0.35">
      <c r="A208" s="22">
        <v>44471</v>
      </c>
      <c r="B208" t="s">
        <v>35</v>
      </c>
      <c r="C208">
        <v>15</v>
      </c>
      <c r="D208" t="s">
        <v>108</v>
      </c>
      <c r="E208" t="s">
        <v>106</v>
      </c>
      <c r="F208">
        <v>0</v>
      </c>
      <c r="G208" t="s">
        <v>36</v>
      </c>
      <c r="H208" t="s">
        <v>28</v>
      </c>
      <c r="I208" t="s">
        <v>9</v>
      </c>
      <c r="J208">
        <v>112</v>
      </c>
      <c r="K208">
        <v>146.72</v>
      </c>
      <c r="L208">
        <v>1680</v>
      </c>
      <c r="M208">
        <v>2200.8000000000002</v>
      </c>
      <c r="N208">
        <v>2</v>
      </c>
      <c r="O208" t="s">
        <v>129</v>
      </c>
      <c r="P208">
        <v>2021</v>
      </c>
    </row>
    <row r="209" spans="1:16" x14ac:dyDescent="0.35">
      <c r="A209" s="22">
        <v>44472</v>
      </c>
      <c r="B209" t="s">
        <v>45</v>
      </c>
      <c r="C209">
        <v>9</v>
      </c>
      <c r="D209" t="s">
        <v>108</v>
      </c>
      <c r="E209" t="s">
        <v>106</v>
      </c>
      <c r="F209">
        <v>0</v>
      </c>
      <c r="G209" t="s">
        <v>46</v>
      </c>
      <c r="H209" t="s">
        <v>28</v>
      </c>
      <c r="I209" t="s">
        <v>110</v>
      </c>
      <c r="J209">
        <v>150</v>
      </c>
      <c r="K209">
        <v>210</v>
      </c>
      <c r="L209">
        <v>1350</v>
      </c>
      <c r="M209">
        <v>1890</v>
      </c>
      <c r="N209">
        <v>3</v>
      </c>
      <c r="O209" t="s">
        <v>129</v>
      </c>
      <c r="P209">
        <v>2021</v>
      </c>
    </row>
    <row r="210" spans="1:16" x14ac:dyDescent="0.35">
      <c r="A210" s="22">
        <v>44475</v>
      </c>
      <c r="B210" t="s">
        <v>79</v>
      </c>
      <c r="C210">
        <v>1</v>
      </c>
      <c r="D210" t="s">
        <v>108</v>
      </c>
      <c r="E210" t="s">
        <v>106</v>
      </c>
      <c r="F210">
        <v>0</v>
      </c>
      <c r="G210" t="s">
        <v>80</v>
      </c>
      <c r="H210" t="s">
        <v>62</v>
      </c>
      <c r="I210" t="s">
        <v>111</v>
      </c>
      <c r="J210">
        <v>5</v>
      </c>
      <c r="K210">
        <v>6.7</v>
      </c>
      <c r="L210">
        <v>5</v>
      </c>
      <c r="M210">
        <v>6.7</v>
      </c>
      <c r="N210">
        <v>6</v>
      </c>
      <c r="O210" t="s">
        <v>129</v>
      </c>
      <c r="P210">
        <v>2021</v>
      </c>
    </row>
    <row r="211" spans="1:16" x14ac:dyDescent="0.35">
      <c r="A211" s="22">
        <v>44698</v>
      </c>
      <c r="B211" t="s">
        <v>63</v>
      </c>
      <c r="C211">
        <v>8</v>
      </c>
      <c r="D211" t="s">
        <v>108</v>
      </c>
      <c r="E211" t="s">
        <v>107</v>
      </c>
      <c r="F211">
        <v>0</v>
      </c>
      <c r="G211" t="s">
        <v>64</v>
      </c>
      <c r="H211" t="s">
        <v>62</v>
      </c>
      <c r="I211" t="s">
        <v>109</v>
      </c>
      <c r="J211">
        <v>48</v>
      </c>
      <c r="K211">
        <v>57.120000000000005</v>
      </c>
      <c r="L211">
        <v>384</v>
      </c>
      <c r="M211">
        <v>456.96000000000004</v>
      </c>
      <c r="N211">
        <v>17</v>
      </c>
      <c r="O211" t="s">
        <v>124</v>
      </c>
      <c r="P211">
        <v>2022</v>
      </c>
    </row>
    <row r="212" spans="1:16" x14ac:dyDescent="0.35">
      <c r="A212" s="22">
        <v>44476</v>
      </c>
      <c r="B212" t="s">
        <v>60</v>
      </c>
      <c r="C212">
        <v>6</v>
      </c>
      <c r="D212" t="s">
        <v>108</v>
      </c>
      <c r="E212" t="s">
        <v>107</v>
      </c>
      <c r="F212">
        <v>0</v>
      </c>
      <c r="G212" t="s">
        <v>61</v>
      </c>
      <c r="H212" t="s">
        <v>62</v>
      </c>
      <c r="I212" t="s">
        <v>111</v>
      </c>
      <c r="J212">
        <v>18</v>
      </c>
      <c r="K212">
        <v>24.66</v>
      </c>
      <c r="L212">
        <v>108</v>
      </c>
      <c r="M212">
        <v>147.96</v>
      </c>
      <c r="N212">
        <v>7</v>
      </c>
      <c r="O212" t="s">
        <v>129</v>
      </c>
      <c r="P212">
        <v>2021</v>
      </c>
    </row>
    <row r="213" spans="1:16" x14ac:dyDescent="0.35">
      <c r="A213" s="22">
        <v>44478</v>
      </c>
      <c r="B213" t="s">
        <v>86</v>
      </c>
      <c r="C213">
        <v>5</v>
      </c>
      <c r="D213" t="s">
        <v>108</v>
      </c>
      <c r="E213" t="s">
        <v>107</v>
      </c>
      <c r="F213">
        <v>0</v>
      </c>
      <c r="G213" t="s">
        <v>87</v>
      </c>
      <c r="H213" t="s">
        <v>85</v>
      </c>
      <c r="I213" t="s">
        <v>9</v>
      </c>
      <c r="J213">
        <v>72</v>
      </c>
      <c r="K213">
        <v>79.92</v>
      </c>
      <c r="L213">
        <v>360</v>
      </c>
      <c r="M213">
        <v>399.6</v>
      </c>
      <c r="N213">
        <v>9</v>
      </c>
      <c r="O213" t="s">
        <v>129</v>
      </c>
      <c r="P213">
        <v>2021</v>
      </c>
    </row>
    <row r="214" spans="1:16" x14ac:dyDescent="0.35">
      <c r="A214" s="22">
        <v>44697</v>
      </c>
      <c r="B214" t="s">
        <v>26</v>
      </c>
      <c r="C214">
        <v>13</v>
      </c>
      <c r="D214" t="s">
        <v>108</v>
      </c>
      <c r="E214" t="s">
        <v>107</v>
      </c>
      <c r="F214">
        <v>0</v>
      </c>
      <c r="G214" t="s">
        <v>27</v>
      </c>
      <c r="H214" t="s">
        <v>28</v>
      </c>
      <c r="I214" t="s">
        <v>110</v>
      </c>
      <c r="J214">
        <v>148</v>
      </c>
      <c r="K214">
        <v>164.28</v>
      </c>
      <c r="L214">
        <v>1924</v>
      </c>
      <c r="M214">
        <v>2135.64</v>
      </c>
      <c r="N214">
        <v>16</v>
      </c>
      <c r="O214" t="s">
        <v>124</v>
      </c>
      <c r="P214">
        <v>2022</v>
      </c>
    </row>
    <row r="215" spans="1:16" x14ac:dyDescent="0.35">
      <c r="A215" s="22">
        <v>44479</v>
      </c>
      <c r="B215" t="s">
        <v>79</v>
      </c>
      <c r="C215">
        <v>14</v>
      </c>
      <c r="D215" t="s">
        <v>108</v>
      </c>
      <c r="E215" t="s">
        <v>107</v>
      </c>
      <c r="F215">
        <v>0</v>
      </c>
      <c r="G215" t="s">
        <v>80</v>
      </c>
      <c r="H215" t="s">
        <v>62</v>
      </c>
      <c r="I215" t="s">
        <v>111</v>
      </c>
      <c r="J215">
        <v>5</v>
      </c>
      <c r="K215">
        <v>6.7</v>
      </c>
      <c r="L215">
        <v>70</v>
      </c>
      <c r="M215">
        <v>93.8</v>
      </c>
      <c r="N215">
        <v>10</v>
      </c>
      <c r="O215" t="s">
        <v>129</v>
      </c>
      <c r="P215">
        <v>2021</v>
      </c>
    </row>
    <row r="216" spans="1:16" x14ac:dyDescent="0.35">
      <c r="A216" s="22">
        <v>44480</v>
      </c>
      <c r="B216" t="s">
        <v>29</v>
      </c>
      <c r="C216">
        <v>15</v>
      </c>
      <c r="D216" t="s">
        <v>108</v>
      </c>
      <c r="E216" t="s">
        <v>107</v>
      </c>
      <c r="F216">
        <v>0</v>
      </c>
      <c r="G216" t="s">
        <v>30</v>
      </c>
      <c r="H216" t="s">
        <v>28</v>
      </c>
      <c r="I216" t="s">
        <v>109</v>
      </c>
      <c r="J216">
        <v>44</v>
      </c>
      <c r="K216">
        <v>48.4</v>
      </c>
      <c r="L216">
        <v>660</v>
      </c>
      <c r="M216">
        <v>726</v>
      </c>
      <c r="N216">
        <v>11</v>
      </c>
      <c r="O216" t="s">
        <v>129</v>
      </c>
      <c r="P216">
        <v>2021</v>
      </c>
    </row>
    <row r="217" spans="1:16" x14ac:dyDescent="0.35">
      <c r="A217" s="22">
        <v>44695</v>
      </c>
      <c r="B217" t="s">
        <v>22</v>
      </c>
      <c r="C217">
        <v>14</v>
      </c>
      <c r="D217" t="s">
        <v>108</v>
      </c>
      <c r="E217" t="s">
        <v>107</v>
      </c>
      <c r="F217">
        <v>0</v>
      </c>
      <c r="G217" t="s">
        <v>23</v>
      </c>
      <c r="H217" t="s">
        <v>8</v>
      </c>
      <c r="I217" t="s">
        <v>9</v>
      </c>
      <c r="J217">
        <v>83</v>
      </c>
      <c r="K217">
        <v>94.62</v>
      </c>
      <c r="L217">
        <v>1162</v>
      </c>
      <c r="M217">
        <v>1324.68</v>
      </c>
      <c r="N217">
        <v>14</v>
      </c>
      <c r="O217" t="s">
        <v>124</v>
      </c>
      <c r="P217">
        <v>2022</v>
      </c>
    </row>
    <row r="218" spans="1:16" x14ac:dyDescent="0.35">
      <c r="A218" s="22">
        <v>44486</v>
      </c>
      <c r="B218" t="s">
        <v>6</v>
      </c>
      <c r="C218">
        <v>13</v>
      </c>
      <c r="D218" t="s">
        <v>108</v>
      </c>
      <c r="E218" t="s">
        <v>106</v>
      </c>
      <c r="F218">
        <v>0</v>
      </c>
      <c r="G218" t="s">
        <v>7</v>
      </c>
      <c r="H218" t="s">
        <v>8</v>
      </c>
      <c r="I218" t="s">
        <v>9</v>
      </c>
      <c r="J218">
        <v>98</v>
      </c>
      <c r="K218">
        <v>103.88</v>
      </c>
      <c r="L218">
        <v>1274</v>
      </c>
      <c r="M218">
        <v>1350.44</v>
      </c>
      <c r="N218">
        <v>17</v>
      </c>
      <c r="O218" t="s">
        <v>129</v>
      </c>
      <c r="P218">
        <v>2021</v>
      </c>
    </row>
    <row r="219" spans="1:16" x14ac:dyDescent="0.35">
      <c r="A219" s="22">
        <v>44694</v>
      </c>
      <c r="B219" t="s">
        <v>31</v>
      </c>
      <c r="C219">
        <v>5</v>
      </c>
      <c r="D219" t="s">
        <v>108</v>
      </c>
      <c r="E219" t="s">
        <v>106</v>
      </c>
      <c r="F219">
        <v>0</v>
      </c>
      <c r="G219" t="s">
        <v>32</v>
      </c>
      <c r="H219" t="s">
        <v>28</v>
      </c>
      <c r="I219" t="s">
        <v>9</v>
      </c>
      <c r="J219">
        <v>73</v>
      </c>
      <c r="K219">
        <v>94.17</v>
      </c>
      <c r="L219">
        <v>365</v>
      </c>
      <c r="M219">
        <v>470.85</v>
      </c>
      <c r="N219">
        <v>13</v>
      </c>
      <c r="O219" t="s">
        <v>124</v>
      </c>
      <c r="P219">
        <v>2022</v>
      </c>
    </row>
    <row r="220" spans="1:16" x14ac:dyDescent="0.35">
      <c r="A220" s="22">
        <v>44691</v>
      </c>
      <c r="B220" t="s">
        <v>24</v>
      </c>
      <c r="C220">
        <v>6</v>
      </c>
      <c r="D220" t="s">
        <v>108</v>
      </c>
      <c r="E220" t="s">
        <v>106</v>
      </c>
      <c r="F220">
        <v>0</v>
      </c>
      <c r="G220" t="s">
        <v>25</v>
      </c>
      <c r="H220" t="s">
        <v>8</v>
      </c>
      <c r="I220" t="s">
        <v>111</v>
      </c>
      <c r="J220">
        <v>6</v>
      </c>
      <c r="K220">
        <v>7.8599999999999994</v>
      </c>
      <c r="L220">
        <v>36</v>
      </c>
      <c r="M220">
        <v>47.16</v>
      </c>
      <c r="N220">
        <v>10</v>
      </c>
      <c r="O220" t="s">
        <v>124</v>
      </c>
      <c r="P220">
        <v>2022</v>
      </c>
    </row>
    <row r="221" spans="1:16" x14ac:dyDescent="0.35">
      <c r="A221" s="22">
        <v>44491</v>
      </c>
      <c r="B221" t="s">
        <v>29</v>
      </c>
      <c r="C221">
        <v>7</v>
      </c>
      <c r="D221" t="s">
        <v>108</v>
      </c>
      <c r="E221" t="s">
        <v>107</v>
      </c>
      <c r="F221">
        <v>0</v>
      </c>
      <c r="G221" t="s">
        <v>30</v>
      </c>
      <c r="H221" t="s">
        <v>28</v>
      </c>
      <c r="I221" t="s">
        <v>109</v>
      </c>
      <c r="J221">
        <v>44</v>
      </c>
      <c r="K221">
        <v>48.4</v>
      </c>
      <c r="L221">
        <v>308</v>
      </c>
      <c r="M221">
        <v>338.8</v>
      </c>
      <c r="N221">
        <v>22</v>
      </c>
      <c r="O221" t="s">
        <v>129</v>
      </c>
      <c r="P221">
        <v>2021</v>
      </c>
    </row>
    <row r="222" spans="1:16" x14ac:dyDescent="0.35">
      <c r="A222" s="22">
        <v>44687</v>
      </c>
      <c r="B222" t="s">
        <v>77</v>
      </c>
      <c r="C222">
        <v>7</v>
      </c>
      <c r="D222" t="s">
        <v>108</v>
      </c>
      <c r="E222" t="s">
        <v>106</v>
      </c>
      <c r="F222">
        <v>0</v>
      </c>
      <c r="G222" t="s">
        <v>78</v>
      </c>
      <c r="H222" t="s">
        <v>62</v>
      </c>
      <c r="I222" t="s">
        <v>109</v>
      </c>
      <c r="J222">
        <v>55</v>
      </c>
      <c r="K222">
        <v>58.3</v>
      </c>
      <c r="L222">
        <v>385</v>
      </c>
      <c r="M222">
        <v>408.09999999999997</v>
      </c>
      <c r="N222">
        <v>6</v>
      </c>
      <c r="O222" t="s">
        <v>124</v>
      </c>
      <c r="P222">
        <v>2022</v>
      </c>
    </row>
    <row r="223" spans="1:16" x14ac:dyDescent="0.35">
      <c r="A223" s="22">
        <v>44491</v>
      </c>
      <c r="B223" t="s">
        <v>24</v>
      </c>
      <c r="C223">
        <v>1</v>
      </c>
      <c r="D223" t="s">
        <v>108</v>
      </c>
      <c r="E223" t="s">
        <v>107</v>
      </c>
      <c r="F223">
        <v>0</v>
      </c>
      <c r="G223" t="s">
        <v>25</v>
      </c>
      <c r="H223" t="s">
        <v>8</v>
      </c>
      <c r="I223" t="s">
        <v>111</v>
      </c>
      <c r="J223">
        <v>6</v>
      </c>
      <c r="K223">
        <v>7.8599999999999994</v>
      </c>
      <c r="L223">
        <v>6</v>
      </c>
      <c r="M223">
        <v>7.8599999999999994</v>
      </c>
      <c r="N223">
        <v>22</v>
      </c>
      <c r="O223" t="s">
        <v>129</v>
      </c>
      <c r="P223">
        <v>2021</v>
      </c>
    </row>
    <row r="224" spans="1:16" x14ac:dyDescent="0.35">
      <c r="A224" s="22">
        <v>44685</v>
      </c>
      <c r="B224" t="s">
        <v>47</v>
      </c>
      <c r="C224">
        <v>10</v>
      </c>
      <c r="D224" t="s">
        <v>108</v>
      </c>
      <c r="E224" t="s">
        <v>106</v>
      </c>
      <c r="F224">
        <v>0</v>
      </c>
      <c r="G224" t="s">
        <v>48</v>
      </c>
      <c r="H224" t="s">
        <v>49</v>
      </c>
      <c r="I224" t="s">
        <v>109</v>
      </c>
      <c r="J224">
        <v>61</v>
      </c>
      <c r="K224">
        <v>76.25</v>
      </c>
      <c r="L224">
        <v>610</v>
      </c>
      <c r="M224">
        <v>762.5</v>
      </c>
      <c r="N224">
        <v>4</v>
      </c>
      <c r="O224" t="s">
        <v>124</v>
      </c>
      <c r="P224">
        <v>2022</v>
      </c>
    </row>
    <row r="225" spans="1:16" x14ac:dyDescent="0.35">
      <c r="A225" s="22">
        <v>44681</v>
      </c>
      <c r="B225" t="s">
        <v>63</v>
      </c>
      <c r="C225">
        <v>8</v>
      </c>
      <c r="D225" t="s">
        <v>108</v>
      </c>
      <c r="E225" t="s">
        <v>106</v>
      </c>
      <c r="F225">
        <v>0</v>
      </c>
      <c r="G225" t="s">
        <v>64</v>
      </c>
      <c r="H225" t="s">
        <v>62</v>
      </c>
      <c r="I225" t="s">
        <v>109</v>
      </c>
      <c r="J225">
        <v>48</v>
      </c>
      <c r="K225">
        <v>57.120000000000005</v>
      </c>
      <c r="L225">
        <v>384</v>
      </c>
      <c r="M225">
        <v>456.96000000000004</v>
      </c>
      <c r="N225">
        <v>30</v>
      </c>
      <c r="O225" t="s">
        <v>123</v>
      </c>
      <c r="P225">
        <v>2022</v>
      </c>
    </row>
    <row r="226" spans="1:16" x14ac:dyDescent="0.35">
      <c r="A226" s="22">
        <v>44679</v>
      </c>
      <c r="B226" t="s">
        <v>35</v>
      </c>
      <c r="C226">
        <v>14</v>
      </c>
      <c r="D226" t="s">
        <v>108</v>
      </c>
      <c r="E226" t="s">
        <v>107</v>
      </c>
      <c r="F226">
        <v>0</v>
      </c>
      <c r="G226" t="s">
        <v>36</v>
      </c>
      <c r="H226" t="s">
        <v>28</v>
      </c>
      <c r="I226" t="s">
        <v>9</v>
      </c>
      <c r="J226">
        <v>112</v>
      </c>
      <c r="K226">
        <v>146.72</v>
      </c>
      <c r="L226">
        <v>1568</v>
      </c>
      <c r="M226">
        <v>2054.08</v>
      </c>
      <c r="N226">
        <v>28</v>
      </c>
      <c r="O226" t="s">
        <v>123</v>
      </c>
      <c r="P226">
        <v>2022</v>
      </c>
    </row>
    <row r="227" spans="1:16" x14ac:dyDescent="0.35">
      <c r="A227" s="22">
        <v>44497</v>
      </c>
      <c r="B227" t="s">
        <v>22</v>
      </c>
      <c r="C227">
        <v>1</v>
      </c>
      <c r="D227" t="s">
        <v>108</v>
      </c>
      <c r="E227" t="s">
        <v>107</v>
      </c>
      <c r="F227">
        <v>0</v>
      </c>
      <c r="G227" t="s">
        <v>23</v>
      </c>
      <c r="H227" t="s">
        <v>8</v>
      </c>
      <c r="I227" t="s">
        <v>9</v>
      </c>
      <c r="J227">
        <v>83</v>
      </c>
      <c r="K227">
        <v>94.62</v>
      </c>
      <c r="L227">
        <v>83</v>
      </c>
      <c r="M227">
        <v>94.62</v>
      </c>
      <c r="N227">
        <v>28</v>
      </c>
      <c r="O227" t="s">
        <v>129</v>
      </c>
      <c r="P227">
        <v>2021</v>
      </c>
    </row>
    <row r="228" spans="1:16" x14ac:dyDescent="0.35">
      <c r="A228" s="22">
        <v>44677</v>
      </c>
      <c r="B228" t="s">
        <v>63</v>
      </c>
      <c r="C228">
        <v>2</v>
      </c>
      <c r="D228" t="s">
        <v>108</v>
      </c>
      <c r="E228" t="s">
        <v>107</v>
      </c>
      <c r="F228">
        <v>0</v>
      </c>
      <c r="G228" t="s">
        <v>64</v>
      </c>
      <c r="H228" t="s">
        <v>62</v>
      </c>
      <c r="I228" t="s">
        <v>109</v>
      </c>
      <c r="J228">
        <v>48</v>
      </c>
      <c r="K228">
        <v>57.120000000000005</v>
      </c>
      <c r="L228">
        <v>96</v>
      </c>
      <c r="M228">
        <v>114.24000000000001</v>
      </c>
      <c r="N228">
        <v>26</v>
      </c>
      <c r="O228" t="s">
        <v>123</v>
      </c>
      <c r="P228">
        <v>2022</v>
      </c>
    </row>
    <row r="229" spans="1:16" x14ac:dyDescent="0.35">
      <c r="A229" s="22">
        <v>44676</v>
      </c>
      <c r="B229" t="s">
        <v>14</v>
      </c>
      <c r="C229">
        <v>9</v>
      </c>
      <c r="D229" t="s">
        <v>108</v>
      </c>
      <c r="E229" t="s">
        <v>107</v>
      </c>
      <c r="F229">
        <v>0</v>
      </c>
      <c r="G229" t="s">
        <v>15</v>
      </c>
      <c r="H229" t="s">
        <v>8</v>
      </c>
      <c r="I229" t="s">
        <v>109</v>
      </c>
      <c r="J229">
        <v>44</v>
      </c>
      <c r="K229">
        <v>48.84</v>
      </c>
      <c r="L229">
        <v>396</v>
      </c>
      <c r="M229">
        <v>439.56000000000006</v>
      </c>
      <c r="N229">
        <v>25</v>
      </c>
      <c r="O229" t="s">
        <v>123</v>
      </c>
      <c r="P229">
        <v>2022</v>
      </c>
    </row>
    <row r="230" spans="1:16" x14ac:dyDescent="0.35">
      <c r="A230" s="22">
        <v>44503</v>
      </c>
      <c r="B230" t="s">
        <v>33</v>
      </c>
      <c r="C230">
        <v>12</v>
      </c>
      <c r="D230" t="s">
        <v>108</v>
      </c>
      <c r="E230" t="s">
        <v>107</v>
      </c>
      <c r="F230">
        <v>0</v>
      </c>
      <c r="G230" t="s">
        <v>34</v>
      </c>
      <c r="H230" t="s">
        <v>28</v>
      </c>
      <c r="I230" t="s">
        <v>9</v>
      </c>
      <c r="J230">
        <v>112</v>
      </c>
      <c r="K230">
        <v>122.08</v>
      </c>
      <c r="L230">
        <v>1344</v>
      </c>
      <c r="M230">
        <v>1464.96</v>
      </c>
      <c r="N230">
        <v>3</v>
      </c>
      <c r="O230" t="s">
        <v>130</v>
      </c>
      <c r="P230">
        <v>2021</v>
      </c>
    </row>
    <row r="231" spans="1:16" x14ac:dyDescent="0.35">
      <c r="A231" s="22">
        <v>44506</v>
      </c>
      <c r="B231" t="s">
        <v>81</v>
      </c>
      <c r="C231">
        <v>10</v>
      </c>
      <c r="D231" t="s">
        <v>108</v>
      </c>
      <c r="E231" t="s">
        <v>106</v>
      </c>
      <c r="F231">
        <v>0</v>
      </c>
      <c r="G231" t="s">
        <v>82</v>
      </c>
      <c r="H231" t="s">
        <v>62</v>
      </c>
      <c r="I231" t="s">
        <v>9</v>
      </c>
      <c r="J231">
        <v>90</v>
      </c>
      <c r="K231">
        <v>96.3</v>
      </c>
      <c r="L231">
        <v>900</v>
      </c>
      <c r="M231">
        <v>963</v>
      </c>
      <c r="N231">
        <v>6</v>
      </c>
      <c r="O231" t="s">
        <v>130</v>
      </c>
      <c r="P231">
        <v>2021</v>
      </c>
    </row>
    <row r="232" spans="1:16" x14ac:dyDescent="0.35">
      <c r="A232" s="22">
        <v>44508</v>
      </c>
      <c r="B232" t="s">
        <v>20</v>
      </c>
      <c r="C232">
        <v>15</v>
      </c>
      <c r="D232" t="s">
        <v>108</v>
      </c>
      <c r="E232" t="s">
        <v>106</v>
      </c>
      <c r="F232">
        <v>0</v>
      </c>
      <c r="G232" t="s">
        <v>21</v>
      </c>
      <c r="H232" t="s">
        <v>8</v>
      </c>
      <c r="I232" t="s">
        <v>109</v>
      </c>
      <c r="J232">
        <v>43</v>
      </c>
      <c r="K232">
        <v>47.730000000000004</v>
      </c>
      <c r="L232">
        <v>645</v>
      </c>
      <c r="M232">
        <v>715.95</v>
      </c>
      <c r="N232">
        <v>8</v>
      </c>
      <c r="O232" t="s">
        <v>130</v>
      </c>
      <c r="P232">
        <v>2021</v>
      </c>
    </row>
    <row r="233" spans="1:16" x14ac:dyDescent="0.35">
      <c r="A233" s="22">
        <v>44675</v>
      </c>
      <c r="B233" t="s">
        <v>77</v>
      </c>
      <c r="C233">
        <v>4</v>
      </c>
      <c r="D233" t="s">
        <v>108</v>
      </c>
      <c r="E233" t="s">
        <v>106</v>
      </c>
      <c r="F233">
        <v>0</v>
      </c>
      <c r="G233" t="s">
        <v>78</v>
      </c>
      <c r="H233" t="s">
        <v>62</v>
      </c>
      <c r="I233" t="s">
        <v>109</v>
      </c>
      <c r="J233">
        <v>55</v>
      </c>
      <c r="K233">
        <v>58.3</v>
      </c>
      <c r="L233">
        <v>220</v>
      </c>
      <c r="M233">
        <v>233.2</v>
      </c>
      <c r="N233">
        <v>24</v>
      </c>
      <c r="O233" t="s">
        <v>123</v>
      </c>
      <c r="P233">
        <v>2022</v>
      </c>
    </row>
    <row r="234" spans="1:16" x14ac:dyDescent="0.35">
      <c r="A234" s="22">
        <v>44672</v>
      </c>
      <c r="B234" t="s">
        <v>69</v>
      </c>
      <c r="C234">
        <v>2</v>
      </c>
      <c r="D234" t="s">
        <v>108</v>
      </c>
      <c r="E234" t="s">
        <v>107</v>
      </c>
      <c r="F234">
        <v>0</v>
      </c>
      <c r="G234" t="s">
        <v>70</v>
      </c>
      <c r="H234" t="s">
        <v>62</v>
      </c>
      <c r="I234" t="s">
        <v>110</v>
      </c>
      <c r="J234">
        <v>148</v>
      </c>
      <c r="K234">
        <v>201.28</v>
      </c>
      <c r="L234">
        <v>296</v>
      </c>
      <c r="M234">
        <v>402.56</v>
      </c>
      <c r="N234">
        <v>21</v>
      </c>
      <c r="O234" t="s">
        <v>123</v>
      </c>
      <c r="P234">
        <v>2022</v>
      </c>
    </row>
    <row r="235" spans="1:16" x14ac:dyDescent="0.35">
      <c r="A235" s="22">
        <v>44671</v>
      </c>
      <c r="B235" t="s">
        <v>31</v>
      </c>
      <c r="C235">
        <v>4</v>
      </c>
      <c r="D235" t="s">
        <v>108</v>
      </c>
      <c r="E235" t="s">
        <v>106</v>
      </c>
      <c r="F235">
        <v>0</v>
      </c>
      <c r="G235" t="s">
        <v>32</v>
      </c>
      <c r="H235" t="s">
        <v>28</v>
      </c>
      <c r="I235" t="s">
        <v>9</v>
      </c>
      <c r="J235">
        <v>73</v>
      </c>
      <c r="K235">
        <v>94.17</v>
      </c>
      <c r="L235">
        <v>292</v>
      </c>
      <c r="M235">
        <v>376.68</v>
      </c>
      <c r="N235">
        <v>20</v>
      </c>
      <c r="O235" t="s">
        <v>123</v>
      </c>
      <c r="P235">
        <v>2022</v>
      </c>
    </row>
    <row r="236" spans="1:16" x14ac:dyDescent="0.35">
      <c r="A236" s="22">
        <v>44669</v>
      </c>
      <c r="B236" t="s">
        <v>92</v>
      </c>
      <c r="C236">
        <v>9</v>
      </c>
      <c r="D236" t="s">
        <v>108</v>
      </c>
      <c r="E236" t="s">
        <v>107</v>
      </c>
      <c r="F236">
        <v>0</v>
      </c>
      <c r="G236" t="s">
        <v>93</v>
      </c>
      <c r="H236" t="s">
        <v>85</v>
      </c>
      <c r="I236" t="s">
        <v>110</v>
      </c>
      <c r="J236">
        <v>138</v>
      </c>
      <c r="K236">
        <v>173.88</v>
      </c>
      <c r="L236">
        <v>1242</v>
      </c>
      <c r="M236">
        <v>1564.92</v>
      </c>
      <c r="N236">
        <v>18</v>
      </c>
      <c r="O236" t="s">
        <v>123</v>
      </c>
      <c r="P236">
        <v>2022</v>
      </c>
    </row>
    <row r="237" spans="1:16" x14ac:dyDescent="0.35">
      <c r="A237" s="22">
        <v>44658</v>
      </c>
      <c r="B237" t="s">
        <v>60</v>
      </c>
      <c r="C237">
        <v>7</v>
      </c>
      <c r="D237" t="s">
        <v>108</v>
      </c>
      <c r="E237" t="s">
        <v>106</v>
      </c>
      <c r="F237">
        <v>0</v>
      </c>
      <c r="G237" t="s">
        <v>61</v>
      </c>
      <c r="H237" t="s">
        <v>62</v>
      </c>
      <c r="I237" t="s">
        <v>111</v>
      </c>
      <c r="J237">
        <v>18</v>
      </c>
      <c r="K237">
        <v>24.66</v>
      </c>
      <c r="L237">
        <v>126</v>
      </c>
      <c r="M237">
        <v>172.62</v>
      </c>
      <c r="N237">
        <v>7</v>
      </c>
      <c r="O237" t="s">
        <v>123</v>
      </c>
      <c r="P237">
        <v>2022</v>
      </c>
    </row>
    <row r="238" spans="1:16" x14ac:dyDescent="0.35">
      <c r="A238" s="22">
        <v>44653</v>
      </c>
      <c r="B238" t="s">
        <v>10</v>
      </c>
      <c r="C238">
        <v>3</v>
      </c>
      <c r="D238" t="s">
        <v>108</v>
      </c>
      <c r="E238" t="s">
        <v>107</v>
      </c>
      <c r="F238">
        <v>0</v>
      </c>
      <c r="G238" t="s">
        <v>11</v>
      </c>
      <c r="H238" t="s">
        <v>8</v>
      </c>
      <c r="I238" t="s">
        <v>9</v>
      </c>
      <c r="J238">
        <v>105</v>
      </c>
      <c r="K238">
        <v>142.80000000000001</v>
      </c>
      <c r="L238">
        <v>315</v>
      </c>
      <c r="M238">
        <v>428.40000000000003</v>
      </c>
      <c r="N238">
        <v>2</v>
      </c>
      <c r="O238" t="s">
        <v>123</v>
      </c>
      <c r="P238">
        <v>2022</v>
      </c>
    </row>
    <row r="239" spans="1:16" x14ac:dyDescent="0.35">
      <c r="A239" s="22">
        <v>44645</v>
      </c>
      <c r="B239" t="s">
        <v>69</v>
      </c>
      <c r="C239">
        <v>11</v>
      </c>
      <c r="D239" t="s">
        <v>108</v>
      </c>
      <c r="E239" t="s">
        <v>106</v>
      </c>
      <c r="F239">
        <v>0</v>
      </c>
      <c r="G239" t="s">
        <v>70</v>
      </c>
      <c r="H239" t="s">
        <v>62</v>
      </c>
      <c r="I239" t="s">
        <v>110</v>
      </c>
      <c r="J239">
        <v>148</v>
      </c>
      <c r="K239">
        <v>201.28</v>
      </c>
      <c r="L239">
        <v>1628</v>
      </c>
      <c r="M239">
        <v>2214.08</v>
      </c>
      <c r="N239">
        <v>25</v>
      </c>
      <c r="O239" t="s">
        <v>122</v>
      </c>
      <c r="P239">
        <v>2022</v>
      </c>
    </row>
    <row r="240" spans="1:16" x14ac:dyDescent="0.35">
      <c r="A240" s="22">
        <v>44643</v>
      </c>
      <c r="B240" t="s">
        <v>73</v>
      </c>
      <c r="C240">
        <v>9</v>
      </c>
      <c r="D240" t="s">
        <v>108</v>
      </c>
      <c r="E240" t="s">
        <v>107</v>
      </c>
      <c r="F240">
        <v>0</v>
      </c>
      <c r="G240" t="s">
        <v>74</v>
      </c>
      <c r="H240" t="s">
        <v>62</v>
      </c>
      <c r="I240" t="s">
        <v>9</v>
      </c>
      <c r="J240">
        <v>89</v>
      </c>
      <c r="K240">
        <v>117.48</v>
      </c>
      <c r="L240">
        <v>801</v>
      </c>
      <c r="M240">
        <v>1057.32</v>
      </c>
      <c r="N240">
        <v>23</v>
      </c>
      <c r="O240" t="s">
        <v>122</v>
      </c>
      <c r="P240">
        <v>2022</v>
      </c>
    </row>
    <row r="241" spans="1:16" x14ac:dyDescent="0.35">
      <c r="A241" s="22">
        <v>44528</v>
      </c>
      <c r="B241" t="s">
        <v>90</v>
      </c>
      <c r="C241">
        <v>2</v>
      </c>
      <c r="D241" t="s">
        <v>108</v>
      </c>
      <c r="E241" t="s">
        <v>107</v>
      </c>
      <c r="F241">
        <v>0</v>
      </c>
      <c r="G241" t="s">
        <v>91</v>
      </c>
      <c r="H241" t="s">
        <v>85</v>
      </c>
      <c r="I241" t="s">
        <v>9</v>
      </c>
      <c r="J241">
        <v>90</v>
      </c>
      <c r="K241">
        <v>115.2</v>
      </c>
      <c r="L241">
        <v>180</v>
      </c>
      <c r="M241">
        <v>230.4</v>
      </c>
      <c r="N241">
        <v>28</v>
      </c>
      <c r="O241" t="s">
        <v>130</v>
      </c>
      <c r="P241">
        <v>2021</v>
      </c>
    </row>
    <row r="242" spans="1:16" x14ac:dyDescent="0.35">
      <c r="A242" s="22">
        <v>44530</v>
      </c>
      <c r="B242" t="s">
        <v>88</v>
      </c>
      <c r="C242">
        <v>15</v>
      </c>
      <c r="D242" t="s">
        <v>108</v>
      </c>
      <c r="E242" t="s">
        <v>106</v>
      </c>
      <c r="F242">
        <v>0</v>
      </c>
      <c r="G242" t="s">
        <v>89</v>
      </c>
      <c r="H242" t="s">
        <v>85</v>
      </c>
      <c r="I242" t="s">
        <v>111</v>
      </c>
      <c r="J242">
        <v>37</v>
      </c>
      <c r="K242">
        <v>42.55</v>
      </c>
      <c r="L242">
        <v>555</v>
      </c>
      <c r="M242">
        <v>638.25</v>
      </c>
      <c r="N242">
        <v>30</v>
      </c>
      <c r="O242" t="s">
        <v>130</v>
      </c>
      <c r="P242">
        <v>2021</v>
      </c>
    </row>
    <row r="243" spans="1:16" x14ac:dyDescent="0.35">
      <c r="A243" s="22">
        <v>44532</v>
      </c>
      <c r="B243" t="s">
        <v>39</v>
      </c>
      <c r="C243">
        <v>10</v>
      </c>
      <c r="D243" t="s">
        <v>108</v>
      </c>
      <c r="E243" t="s">
        <v>107</v>
      </c>
      <c r="F243">
        <v>0</v>
      </c>
      <c r="G243" t="s">
        <v>40</v>
      </c>
      <c r="H243" t="s">
        <v>28</v>
      </c>
      <c r="I243" t="s">
        <v>111</v>
      </c>
      <c r="J243">
        <v>13</v>
      </c>
      <c r="K243">
        <v>16.64</v>
      </c>
      <c r="L243">
        <v>130</v>
      </c>
      <c r="M243">
        <v>166.4</v>
      </c>
      <c r="N243">
        <v>2</v>
      </c>
      <c r="O243" t="s">
        <v>131</v>
      </c>
      <c r="P243">
        <v>2021</v>
      </c>
    </row>
    <row r="244" spans="1:16" x14ac:dyDescent="0.35">
      <c r="A244" s="22">
        <v>44638</v>
      </c>
      <c r="B244" t="s">
        <v>63</v>
      </c>
      <c r="C244">
        <v>10</v>
      </c>
      <c r="D244" t="s">
        <v>108</v>
      </c>
      <c r="E244" t="s">
        <v>107</v>
      </c>
      <c r="F244">
        <v>0</v>
      </c>
      <c r="G244" t="s">
        <v>64</v>
      </c>
      <c r="H244" t="s">
        <v>62</v>
      </c>
      <c r="I244" t="s">
        <v>109</v>
      </c>
      <c r="J244">
        <v>48</v>
      </c>
      <c r="K244">
        <v>57.120000000000005</v>
      </c>
      <c r="L244">
        <v>480</v>
      </c>
      <c r="M244">
        <v>571.20000000000005</v>
      </c>
      <c r="N244">
        <v>18</v>
      </c>
      <c r="O244" t="s">
        <v>122</v>
      </c>
      <c r="P244">
        <v>2022</v>
      </c>
    </row>
    <row r="245" spans="1:16" x14ac:dyDescent="0.35">
      <c r="A245" s="22">
        <v>44634</v>
      </c>
      <c r="B245" t="s">
        <v>60</v>
      </c>
      <c r="C245">
        <v>13</v>
      </c>
      <c r="D245" t="s">
        <v>108</v>
      </c>
      <c r="E245" t="s">
        <v>106</v>
      </c>
      <c r="F245">
        <v>0</v>
      </c>
      <c r="G245" t="s">
        <v>61</v>
      </c>
      <c r="H245" t="s">
        <v>62</v>
      </c>
      <c r="I245" t="s">
        <v>111</v>
      </c>
      <c r="J245">
        <v>18</v>
      </c>
      <c r="K245">
        <v>24.66</v>
      </c>
      <c r="L245">
        <v>234</v>
      </c>
      <c r="M245">
        <v>320.58</v>
      </c>
      <c r="N245">
        <v>14</v>
      </c>
      <c r="O245" t="s">
        <v>122</v>
      </c>
      <c r="P245">
        <v>2022</v>
      </c>
    </row>
    <row r="246" spans="1:16" x14ac:dyDescent="0.35">
      <c r="A246" s="22">
        <v>44535</v>
      </c>
      <c r="B246" t="s">
        <v>14</v>
      </c>
      <c r="C246">
        <v>15</v>
      </c>
      <c r="D246" t="s">
        <v>108</v>
      </c>
      <c r="E246" t="s">
        <v>107</v>
      </c>
      <c r="F246">
        <v>0</v>
      </c>
      <c r="G246" t="s">
        <v>15</v>
      </c>
      <c r="H246" t="s">
        <v>8</v>
      </c>
      <c r="I246" t="s">
        <v>109</v>
      </c>
      <c r="J246">
        <v>44</v>
      </c>
      <c r="K246">
        <v>48.84</v>
      </c>
      <c r="L246">
        <v>660</v>
      </c>
      <c r="M246">
        <v>732.6</v>
      </c>
      <c r="N246">
        <v>5</v>
      </c>
      <c r="O246" t="s">
        <v>131</v>
      </c>
      <c r="P246">
        <v>2021</v>
      </c>
    </row>
    <row r="247" spans="1:16" x14ac:dyDescent="0.35">
      <c r="A247" s="22">
        <v>44535</v>
      </c>
      <c r="B247" t="s">
        <v>26</v>
      </c>
      <c r="C247">
        <v>1</v>
      </c>
      <c r="D247" t="s">
        <v>108</v>
      </c>
      <c r="E247" t="s">
        <v>106</v>
      </c>
      <c r="F247">
        <v>0</v>
      </c>
      <c r="G247" t="s">
        <v>27</v>
      </c>
      <c r="H247" t="s">
        <v>28</v>
      </c>
      <c r="I247" t="s">
        <v>110</v>
      </c>
      <c r="J247">
        <v>148</v>
      </c>
      <c r="K247">
        <v>164.28</v>
      </c>
      <c r="L247">
        <v>148</v>
      </c>
      <c r="M247">
        <v>164.28</v>
      </c>
      <c r="N247">
        <v>5</v>
      </c>
      <c r="O247" t="s">
        <v>131</v>
      </c>
      <c r="P247">
        <v>2021</v>
      </c>
    </row>
    <row r="248" spans="1:16" x14ac:dyDescent="0.35">
      <c r="A248" s="22">
        <v>44537</v>
      </c>
      <c r="B248" t="s">
        <v>33</v>
      </c>
      <c r="C248">
        <v>8</v>
      </c>
      <c r="D248" t="s">
        <v>108</v>
      </c>
      <c r="E248" t="s">
        <v>106</v>
      </c>
      <c r="F248">
        <v>0</v>
      </c>
      <c r="G248" t="s">
        <v>34</v>
      </c>
      <c r="H248" t="s">
        <v>28</v>
      </c>
      <c r="I248" t="s">
        <v>9</v>
      </c>
      <c r="J248">
        <v>112</v>
      </c>
      <c r="K248">
        <v>122.08</v>
      </c>
      <c r="L248">
        <v>896</v>
      </c>
      <c r="M248">
        <v>976.64</v>
      </c>
      <c r="N248">
        <v>7</v>
      </c>
      <c r="O248" t="s">
        <v>131</v>
      </c>
      <c r="P248">
        <v>2021</v>
      </c>
    </row>
    <row r="249" spans="1:16" x14ac:dyDescent="0.35">
      <c r="A249" s="22">
        <v>44538</v>
      </c>
      <c r="B249" t="s">
        <v>98</v>
      </c>
      <c r="C249">
        <v>14</v>
      </c>
      <c r="D249" t="s">
        <v>108</v>
      </c>
      <c r="E249" t="s">
        <v>106</v>
      </c>
      <c r="F249">
        <v>0</v>
      </c>
      <c r="G249" t="s">
        <v>99</v>
      </c>
      <c r="H249" t="s">
        <v>85</v>
      </c>
      <c r="I249" t="s">
        <v>9</v>
      </c>
      <c r="J249">
        <v>76</v>
      </c>
      <c r="K249">
        <v>82.08</v>
      </c>
      <c r="L249">
        <v>1064</v>
      </c>
      <c r="M249">
        <v>1149.1199999999999</v>
      </c>
      <c r="N249">
        <v>8</v>
      </c>
      <c r="O249" t="s">
        <v>131</v>
      </c>
      <c r="P249">
        <v>2021</v>
      </c>
    </row>
    <row r="250" spans="1:16" x14ac:dyDescent="0.35">
      <c r="A250" s="22">
        <v>44544</v>
      </c>
      <c r="B250" t="s">
        <v>94</v>
      </c>
      <c r="C250">
        <v>4</v>
      </c>
      <c r="D250" t="s">
        <v>108</v>
      </c>
      <c r="E250" t="s">
        <v>106</v>
      </c>
      <c r="F250">
        <v>0</v>
      </c>
      <c r="G250" t="s">
        <v>95</v>
      </c>
      <c r="H250" t="s">
        <v>85</v>
      </c>
      <c r="I250" t="s">
        <v>110</v>
      </c>
      <c r="J250">
        <v>120</v>
      </c>
      <c r="K250">
        <v>162</v>
      </c>
      <c r="L250">
        <v>480</v>
      </c>
      <c r="M250">
        <v>648</v>
      </c>
      <c r="N250">
        <v>14</v>
      </c>
      <c r="O250" t="s">
        <v>131</v>
      </c>
      <c r="P250">
        <v>2021</v>
      </c>
    </row>
    <row r="251" spans="1:16" x14ac:dyDescent="0.35">
      <c r="A251" s="22">
        <v>44548</v>
      </c>
      <c r="B251" t="s">
        <v>12</v>
      </c>
      <c r="C251">
        <v>2</v>
      </c>
      <c r="D251" t="s">
        <v>108</v>
      </c>
      <c r="E251" t="s">
        <v>107</v>
      </c>
      <c r="F251">
        <v>0</v>
      </c>
      <c r="G251" t="s">
        <v>13</v>
      </c>
      <c r="H251" t="s">
        <v>8</v>
      </c>
      <c r="I251" t="s">
        <v>9</v>
      </c>
      <c r="J251">
        <v>71</v>
      </c>
      <c r="K251">
        <v>80.94</v>
      </c>
      <c r="L251">
        <v>142</v>
      </c>
      <c r="M251">
        <v>161.88</v>
      </c>
      <c r="N251">
        <v>18</v>
      </c>
      <c r="O251" t="s">
        <v>131</v>
      </c>
      <c r="P251">
        <v>2021</v>
      </c>
    </row>
    <row r="252" spans="1:16" x14ac:dyDescent="0.35">
      <c r="A252" s="22">
        <v>44634</v>
      </c>
      <c r="B252" t="s">
        <v>39</v>
      </c>
      <c r="C252">
        <v>2</v>
      </c>
      <c r="D252" t="s">
        <v>108</v>
      </c>
      <c r="E252" t="s">
        <v>107</v>
      </c>
      <c r="F252">
        <v>0</v>
      </c>
      <c r="G252" t="s">
        <v>40</v>
      </c>
      <c r="H252" t="s">
        <v>28</v>
      </c>
      <c r="I252" t="s">
        <v>111</v>
      </c>
      <c r="J252">
        <v>13</v>
      </c>
      <c r="K252">
        <v>16.64</v>
      </c>
      <c r="L252">
        <v>26</v>
      </c>
      <c r="M252">
        <v>33.28</v>
      </c>
      <c r="N252">
        <v>14</v>
      </c>
      <c r="O252" t="s">
        <v>122</v>
      </c>
      <c r="P252">
        <v>2022</v>
      </c>
    </row>
    <row r="253" spans="1:16" x14ac:dyDescent="0.35">
      <c r="A253" s="22">
        <v>44549</v>
      </c>
      <c r="B253" t="s">
        <v>54</v>
      </c>
      <c r="C253">
        <v>12</v>
      </c>
      <c r="D253" t="s">
        <v>108</v>
      </c>
      <c r="E253" t="s">
        <v>106</v>
      </c>
      <c r="F253">
        <v>0</v>
      </c>
      <c r="G253" t="s">
        <v>55</v>
      </c>
      <c r="H253" t="s">
        <v>49</v>
      </c>
      <c r="I253" t="s">
        <v>110</v>
      </c>
      <c r="J253">
        <v>141</v>
      </c>
      <c r="K253">
        <v>149.46</v>
      </c>
      <c r="L253">
        <v>1692</v>
      </c>
      <c r="M253">
        <v>1793.52</v>
      </c>
      <c r="N253">
        <v>19</v>
      </c>
      <c r="O253" t="s">
        <v>131</v>
      </c>
      <c r="P253">
        <v>2021</v>
      </c>
    </row>
    <row r="254" spans="1:16" x14ac:dyDescent="0.35">
      <c r="A254" s="22">
        <v>44629</v>
      </c>
      <c r="B254" t="s">
        <v>69</v>
      </c>
      <c r="C254">
        <v>3</v>
      </c>
      <c r="D254" t="s">
        <v>108</v>
      </c>
      <c r="E254" t="s">
        <v>106</v>
      </c>
      <c r="F254">
        <v>0</v>
      </c>
      <c r="G254" t="s">
        <v>70</v>
      </c>
      <c r="H254" t="s">
        <v>62</v>
      </c>
      <c r="I254" t="s">
        <v>110</v>
      </c>
      <c r="J254">
        <v>148</v>
      </c>
      <c r="K254">
        <v>201.28</v>
      </c>
      <c r="L254">
        <v>444</v>
      </c>
      <c r="M254">
        <v>603.84</v>
      </c>
      <c r="N254">
        <v>9</v>
      </c>
      <c r="O254" t="s">
        <v>122</v>
      </c>
      <c r="P254">
        <v>2022</v>
      </c>
    </row>
    <row r="255" spans="1:16" x14ac:dyDescent="0.35">
      <c r="A255" s="22">
        <v>44628</v>
      </c>
      <c r="B255" t="s">
        <v>98</v>
      </c>
      <c r="C255">
        <v>6</v>
      </c>
      <c r="D255" t="s">
        <v>108</v>
      </c>
      <c r="E255" t="s">
        <v>106</v>
      </c>
      <c r="F255">
        <v>0</v>
      </c>
      <c r="G255" t="s">
        <v>99</v>
      </c>
      <c r="H255" t="s">
        <v>85</v>
      </c>
      <c r="I255" t="s">
        <v>9</v>
      </c>
      <c r="J255">
        <v>76</v>
      </c>
      <c r="K255">
        <v>82.08</v>
      </c>
      <c r="L255">
        <v>456</v>
      </c>
      <c r="M255">
        <v>492.48</v>
      </c>
      <c r="N255">
        <v>8</v>
      </c>
      <c r="O255" t="s">
        <v>122</v>
      </c>
      <c r="P255">
        <v>2022</v>
      </c>
    </row>
    <row r="256" spans="1:16" x14ac:dyDescent="0.35">
      <c r="A256" s="22">
        <v>44550</v>
      </c>
      <c r="B256" t="s">
        <v>31</v>
      </c>
      <c r="C256">
        <v>14</v>
      </c>
      <c r="D256" t="s">
        <v>108</v>
      </c>
      <c r="E256" t="s">
        <v>106</v>
      </c>
      <c r="F256">
        <v>0</v>
      </c>
      <c r="G256" t="s">
        <v>32</v>
      </c>
      <c r="H256" t="s">
        <v>28</v>
      </c>
      <c r="I256" t="s">
        <v>9</v>
      </c>
      <c r="J256">
        <v>73</v>
      </c>
      <c r="K256">
        <v>94.17</v>
      </c>
      <c r="L256">
        <v>1022</v>
      </c>
      <c r="M256">
        <v>1318.38</v>
      </c>
      <c r="N256">
        <v>20</v>
      </c>
      <c r="O256" t="s">
        <v>131</v>
      </c>
      <c r="P256">
        <v>2021</v>
      </c>
    </row>
    <row r="257" spans="1:16" x14ac:dyDescent="0.35">
      <c r="A257" s="22">
        <v>44627</v>
      </c>
      <c r="B257" t="s">
        <v>12</v>
      </c>
      <c r="C257">
        <v>1</v>
      </c>
      <c r="D257" t="s">
        <v>108</v>
      </c>
      <c r="E257" t="s">
        <v>107</v>
      </c>
      <c r="F257">
        <v>0</v>
      </c>
      <c r="G257" t="s">
        <v>13</v>
      </c>
      <c r="H257" t="s">
        <v>8</v>
      </c>
      <c r="I257" t="s">
        <v>9</v>
      </c>
      <c r="J257">
        <v>71</v>
      </c>
      <c r="K257">
        <v>80.94</v>
      </c>
      <c r="L257">
        <v>71</v>
      </c>
      <c r="M257">
        <v>80.94</v>
      </c>
      <c r="N257">
        <v>7</v>
      </c>
      <c r="O257" t="s">
        <v>122</v>
      </c>
      <c r="P257">
        <v>2022</v>
      </c>
    </row>
    <row r="258" spans="1:16" x14ac:dyDescent="0.35">
      <c r="A258" s="22">
        <v>44626</v>
      </c>
      <c r="B258" t="s">
        <v>14</v>
      </c>
      <c r="C258">
        <v>2</v>
      </c>
      <c r="D258" t="s">
        <v>108</v>
      </c>
      <c r="E258" t="s">
        <v>107</v>
      </c>
      <c r="F258">
        <v>0</v>
      </c>
      <c r="G258" t="s">
        <v>15</v>
      </c>
      <c r="H258" t="s">
        <v>8</v>
      </c>
      <c r="I258" t="s">
        <v>109</v>
      </c>
      <c r="J258">
        <v>44</v>
      </c>
      <c r="K258">
        <v>48.84</v>
      </c>
      <c r="L258">
        <v>88</v>
      </c>
      <c r="M258">
        <v>97.68</v>
      </c>
      <c r="N258">
        <v>6</v>
      </c>
      <c r="O258" t="s">
        <v>122</v>
      </c>
      <c r="P258">
        <v>2022</v>
      </c>
    </row>
    <row r="259" spans="1:16" x14ac:dyDescent="0.35">
      <c r="A259" s="22">
        <v>44620</v>
      </c>
      <c r="B259" t="s">
        <v>83</v>
      </c>
      <c r="C259">
        <v>15</v>
      </c>
      <c r="D259" t="s">
        <v>108</v>
      </c>
      <c r="E259" t="s">
        <v>107</v>
      </c>
      <c r="F259">
        <v>0</v>
      </c>
      <c r="G259" t="s">
        <v>84</v>
      </c>
      <c r="H259" t="s">
        <v>85</v>
      </c>
      <c r="I259" t="s">
        <v>9</v>
      </c>
      <c r="J259">
        <v>67</v>
      </c>
      <c r="K259">
        <v>85.76</v>
      </c>
      <c r="L259">
        <v>1005</v>
      </c>
      <c r="M259">
        <v>1286.4000000000001</v>
      </c>
      <c r="N259">
        <v>28</v>
      </c>
      <c r="O259" t="s">
        <v>121</v>
      </c>
      <c r="P259">
        <v>2022</v>
      </c>
    </row>
    <row r="260" spans="1:16" x14ac:dyDescent="0.35">
      <c r="A260" s="22">
        <v>44619</v>
      </c>
      <c r="B260" t="s">
        <v>16</v>
      </c>
      <c r="C260">
        <v>15</v>
      </c>
      <c r="D260" t="s">
        <v>108</v>
      </c>
      <c r="E260" t="s">
        <v>106</v>
      </c>
      <c r="F260">
        <v>0</v>
      </c>
      <c r="G260" t="s">
        <v>17</v>
      </c>
      <c r="H260" t="s">
        <v>8</v>
      </c>
      <c r="I260" t="s">
        <v>110</v>
      </c>
      <c r="J260">
        <v>133</v>
      </c>
      <c r="K260">
        <v>155.61000000000001</v>
      </c>
      <c r="L260">
        <v>1995</v>
      </c>
      <c r="M260">
        <v>2334.15</v>
      </c>
      <c r="N260">
        <v>27</v>
      </c>
      <c r="O260" t="s">
        <v>121</v>
      </c>
      <c r="P260">
        <v>2022</v>
      </c>
    </row>
    <row r="261" spans="1:16" x14ac:dyDescent="0.35">
      <c r="A261" s="22">
        <v>44557</v>
      </c>
      <c r="B261" t="s">
        <v>67</v>
      </c>
      <c r="C261">
        <v>14</v>
      </c>
      <c r="D261" t="s">
        <v>108</v>
      </c>
      <c r="E261" t="s">
        <v>107</v>
      </c>
      <c r="F261">
        <v>0</v>
      </c>
      <c r="G261" t="s">
        <v>68</v>
      </c>
      <c r="H261" t="s">
        <v>62</v>
      </c>
      <c r="I261" t="s">
        <v>109</v>
      </c>
      <c r="J261">
        <v>47</v>
      </c>
      <c r="K261">
        <v>53.11</v>
      </c>
      <c r="L261">
        <v>658</v>
      </c>
      <c r="M261">
        <v>743.54</v>
      </c>
      <c r="N261">
        <v>27</v>
      </c>
      <c r="O261" t="s">
        <v>131</v>
      </c>
      <c r="P261">
        <v>2021</v>
      </c>
    </row>
    <row r="262" spans="1:16" x14ac:dyDescent="0.35">
      <c r="A262" s="22">
        <v>44558</v>
      </c>
      <c r="B262" t="s">
        <v>67</v>
      </c>
      <c r="C262">
        <v>6</v>
      </c>
      <c r="D262" t="s">
        <v>108</v>
      </c>
      <c r="E262" t="s">
        <v>107</v>
      </c>
      <c r="F262">
        <v>0</v>
      </c>
      <c r="G262" t="s">
        <v>68</v>
      </c>
      <c r="H262" t="s">
        <v>62</v>
      </c>
      <c r="I262" t="s">
        <v>109</v>
      </c>
      <c r="J262">
        <v>47</v>
      </c>
      <c r="K262">
        <v>53.11</v>
      </c>
      <c r="L262">
        <v>282</v>
      </c>
      <c r="M262">
        <v>318.65999999999997</v>
      </c>
      <c r="N262">
        <v>28</v>
      </c>
      <c r="O262" t="s">
        <v>131</v>
      </c>
      <c r="P262">
        <v>2021</v>
      </c>
    </row>
    <row r="263" spans="1:16" x14ac:dyDescent="0.35">
      <c r="A263" s="22">
        <v>44619</v>
      </c>
      <c r="B263" t="s">
        <v>31</v>
      </c>
      <c r="C263">
        <v>7</v>
      </c>
      <c r="D263" t="s">
        <v>108</v>
      </c>
      <c r="E263" t="s">
        <v>107</v>
      </c>
      <c r="F263">
        <v>0</v>
      </c>
      <c r="G263" t="s">
        <v>32</v>
      </c>
      <c r="H263" t="s">
        <v>28</v>
      </c>
      <c r="I263" t="s">
        <v>9</v>
      </c>
      <c r="J263">
        <v>73</v>
      </c>
      <c r="K263">
        <v>94.17</v>
      </c>
      <c r="L263">
        <v>511</v>
      </c>
      <c r="M263">
        <v>659.19</v>
      </c>
      <c r="N263">
        <v>27</v>
      </c>
      <c r="O263" t="s">
        <v>121</v>
      </c>
      <c r="P263">
        <v>2022</v>
      </c>
    </row>
    <row r="264" spans="1:16" x14ac:dyDescent="0.35">
      <c r="A264" s="22">
        <v>44615</v>
      </c>
      <c r="B264" t="s">
        <v>81</v>
      </c>
      <c r="C264">
        <v>8</v>
      </c>
      <c r="D264" t="s">
        <v>108</v>
      </c>
      <c r="E264" t="s">
        <v>106</v>
      </c>
      <c r="F264">
        <v>0</v>
      </c>
      <c r="G264" t="s">
        <v>82</v>
      </c>
      <c r="H264" t="s">
        <v>62</v>
      </c>
      <c r="I264" t="s">
        <v>9</v>
      </c>
      <c r="J264">
        <v>90</v>
      </c>
      <c r="K264">
        <v>96.3</v>
      </c>
      <c r="L264">
        <v>720</v>
      </c>
      <c r="M264">
        <v>770.4</v>
      </c>
      <c r="N264">
        <v>23</v>
      </c>
      <c r="O264" t="s">
        <v>121</v>
      </c>
      <c r="P264">
        <v>2022</v>
      </c>
    </row>
    <row r="265" spans="1:16" x14ac:dyDescent="0.35">
      <c r="A265" s="22">
        <v>44563</v>
      </c>
      <c r="B265" t="s">
        <v>26</v>
      </c>
      <c r="C265">
        <v>7</v>
      </c>
      <c r="D265" t="s">
        <v>108</v>
      </c>
      <c r="E265" t="s">
        <v>107</v>
      </c>
      <c r="F265">
        <v>0</v>
      </c>
      <c r="G265" t="s">
        <v>27</v>
      </c>
      <c r="H265" t="s">
        <v>28</v>
      </c>
      <c r="I265" t="s">
        <v>110</v>
      </c>
      <c r="J265">
        <v>148</v>
      </c>
      <c r="K265">
        <v>164.28</v>
      </c>
      <c r="L265">
        <v>1036</v>
      </c>
      <c r="M265">
        <v>1149.96</v>
      </c>
      <c r="N265">
        <v>2</v>
      </c>
      <c r="O265" t="s">
        <v>120</v>
      </c>
      <c r="P265">
        <v>2022</v>
      </c>
    </row>
    <row r="266" spans="1:16" x14ac:dyDescent="0.35">
      <c r="A266" s="22">
        <v>44612</v>
      </c>
      <c r="B266" t="s">
        <v>31</v>
      </c>
      <c r="C266">
        <v>6</v>
      </c>
      <c r="D266" t="s">
        <v>108</v>
      </c>
      <c r="E266" t="s">
        <v>107</v>
      </c>
      <c r="F266">
        <v>0</v>
      </c>
      <c r="G266" t="s">
        <v>32</v>
      </c>
      <c r="H266" t="s">
        <v>28</v>
      </c>
      <c r="I266" t="s">
        <v>9</v>
      </c>
      <c r="J266">
        <v>73</v>
      </c>
      <c r="K266">
        <v>94.17</v>
      </c>
      <c r="L266">
        <v>438</v>
      </c>
      <c r="M266">
        <v>565.02</v>
      </c>
      <c r="N266">
        <v>20</v>
      </c>
      <c r="O266" t="s">
        <v>121</v>
      </c>
      <c r="P266">
        <v>2022</v>
      </c>
    </row>
    <row r="267" spans="1:16" x14ac:dyDescent="0.35">
      <c r="A267" s="22">
        <v>44563</v>
      </c>
      <c r="B267" t="s">
        <v>75</v>
      </c>
      <c r="C267">
        <v>1</v>
      </c>
      <c r="D267" t="s">
        <v>108</v>
      </c>
      <c r="E267" t="s">
        <v>107</v>
      </c>
      <c r="F267">
        <v>0</v>
      </c>
      <c r="G267" t="s">
        <v>76</v>
      </c>
      <c r="H267" t="s">
        <v>62</v>
      </c>
      <c r="I267" t="s">
        <v>9</v>
      </c>
      <c r="J267">
        <v>95</v>
      </c>
      <c r="K267">
        <v>119.7</v>
      </c>
      <c r="L267">
        <v>95</v>
      </c>
      <c r="M267">
        <v>119.7</v>
      </c>
      <c r="N267">
        <v>2</v>
      </c>
      <c r="O267" t="s">
        <v>120</v>
      </c>
      <c r="P267">
        <v>2022</v>
      </c>
    </row>
    <row r="268" spans="1:16" x14ac:dyDescent="0.35">
      <c r="A268" s="22">
        <v>44564</v>
      </c>
      <c r="B268" t="s">
        <v>96</v>
      </c>
      <c r="C268">
        <v>9</v>
      </c>
      <c r="D268" t="s">
        <v>108</v>
      </c>
      <c r="E268" t="s">
        <v>107</v>
      </c>
      <c r="F268">
        <v>0</v>
      </c>
      <c r="G268" t="s">
        <v>97</v>
      </c>
      <c r="H268" t="s">
        <v>85</v>
      </c>
      <c r="I268" t="s">
        <v>9</v>
      </c>
      <c r="J268">
        <v>67</v>
      </c>
      <c r="K268">
        <v>83.08</v>
      </c>
      <c r="L268">
        <v>603</v>
      </c>
      <c r="M268">
        <v>747.72</v>
      </c>
      <c r="N268">
        <v>3</v>
      </c>
      <c r="O268" t="s">
        <v>120</v>
      </c>
      <c r="P268">
        <v>2022</v>
      </c>
    </row>
    <row r="269" spans="1:16" x14ac:dyDescent="0.35">
      <c r="A269" s="22">
        <v>44565</v>
      </c>
      <c r="B269" t="s">
        <v>31</v>
      </c>
      <c r="C269">
        <v>8</v>
      </c>
      <c r="D269" t="s">
        <v>108</v>
      </c>
      <c r="E269" t="s">
        <v>106</v>
      </c>
      <c r="F269">
        <v>0</v>
      </c>
      <c r="G269" t="s">
        <v>32</v>
      </c>
      <c r="H269" t="s">
        <v>28</v>
      </c>
      <c r="I269" t="s">
        <v>9</v>
      </c>
      <c r="J269">
        <v>73</v>
      </c>
      <c r="K269">
        <v>94.17</v>
      </c>
      <c r="L269">
        <v>584</v>
      </c>
      <c r="M269">
        <v>753.36</v>
      </c>
      <c r="N269">
        <v>4</v>
      </c>
      <c r="O269" t="s">
        <v>120</v>
      </c>
      <c r="P269">
        <v>2022</v>
      </c>
    </row>
    <row r="270" spans="1:16" x14ac:dyDescent="0.35">
      <c r="A270" s="22">
        <v>44606</v>
      </c>
      <c r="B270" t="s">
        <v>65</v>
      </c>
      <c r="C270">
        <v>3</v>
      </c>
      <c r="D270" t="s">
        <v>108</v>
      </c>
      <c r="E270" t="s">
        <v>107</v>
      </c>
      <c r="F270">
        <v>0</v>
      </c>
      <c r="G270" t="s">
        <v>66</v>
      </c>
      <c r="H270" t="s">
        <v>62</v>
      </c>
      <c r="I270" t="s">
        <v>111</v>
      </c>
      <c r="J270">
        <v>37</v>
      </c>
      <c r="K270">
        <v>41.81</v>
      </c>
      <c r="L270">
        <v>111</v>
      </c>
      <c r="M270">
        <v>125.43</v>
      </c>
      <c r="N270">
        <v>14</v>
      </c>
      <c r="O270" t="s">
        <v>121</v>
      </c>
      <c r="P270">
        <v>2022</v>
      </c>
    </row>
    <row r="271" spans="1:16" x14ac:dyDescent="0.35">
      <c r="A271" s="22">
        <v>44570</v>
      </c>
      <c r="B271" t="s">
        <v>73</v>
      </c>
      <c r="C271">
        <v>12</v>
      </c>
      <c r="D271" t="s">
        <v>108</v>
      </c>
      <c r="E271" t="s">
        <v>106</v>
      </c>
      <c r="F271">
        <v>0</v>
      </c>
      <c r="G271" t="s">
        <v>74</v>
      </c>
      <c r="H271" t="s">
        <v>62</v>
      </c>
      <c r="I271" t="s">
        <v>9</v>
      </c>
      <c r="J271">
        <v>89</v>
      </c>
      <c r="K271">
        <v>117.48</v>
      </c>
      <c r="L271">
        <v>1068</v>
      </c>
      <c r="M271">
        <v>1409.76</v>
      </c>
      <c r="N271">
        <v>9</v>
      </c>
      <c r="O271" t="s">
        <v>120</v>
      </c>
      <c r="P271">
        <v>2022</v>
      </c>
    </row>
    <row r="272" spans="1:16" x14ac:dyDescent="0.35">
      <c r="A272" s="22">
        <v>44604</v>
      </c>
      <c r="B272" t="s">
        <v>26</v>
      </c>
      <c r="C272">
        <v>13</v>
      </c>
      <c r="D272" t="s">
        <v>108</v>
      </c>
      <c r="E272" t="s">
        <v>107</v>
      </c>
      <c r="F272">
        <v>0</v>
      </c>
      <c r="G272" t="s">
        <v>27</v>
      </c>
      <c r="H272" t="s">
        <v>28</v>
      </c>
      <c r="I272" t="s">
        <v>110</v>
      </c>
      <c r="J272">
        <v>148</v>
      </c>
      <c r="K272">
        <v>164.28</v>
      </c>
      <c r="L272">
        <v>1924</v>
      </c>
      <c r="M272">
        <v>2135.64</v>
      </c>
      <c r="N272">
        <v>12</v>
      </c>
      <c r="O272" t="s">
        <v>121</v>
      </c>
      <c r="P272">
        <v>2022</v>
      </c>
    </row>
    <row r="273" spans="1:16" x14ac:dyDescent="0.35">
      <c r="A273" s="22">
        <v>44572</v>
      </c>
      <c r="B273" t="s">
        <v>73</v>
      </c>
      <c r="C273">
        <v>2</v>
      </c>
      <c r="D273" t="s">
        <v>108</v>
      </c>
      <c r="E273" t="s">
        <v>106</v>
      </c>
      <c r="F273">
        <v>0</v>
      </c>
      <c r="G273" t="s">
        <v>74</v>
      </c>
      <c r="H273" t="s">
        <v>62</v>
      </c>
      <c r="I273" t="s">
        <v>9</v>
      </c>
      <c r="J273">
        <v>89</v>
      </c>
      <c r="K273">
        <v>117.48</v>
      </c>
      <c r="L273">
        <v>178</v>
      </c>
      <c r="M273">
        <v>234.96</v>
      </c>
      <c r="N273">
        <v>11</v>
      </c>
      <c r="O273" t="s">
        <v>120</v>
      </c>
      <c r="P273">
        <v>2022</v>
      </c>
    </row>
    <row r="274" spans="1:16" x14ac:dyDescent="0.35">
      <c r="A274" s="22">
        <v>44598</v>
      </c>
      <c r="B274" t="s">
        <v>10</v>
      </c>
      <c r="C274">
        <v>6</v>
      </c>
      <c r="D274" t="s">
        <v>108</v>
      </c>
      <c r="E274" t="s">
        <v>107</v>
      </c>
      <c r="F274">
        <v>0</v>
      </c>
      <c r="G274" t="s">
        <v>11</v>
      </c>
      <c r="H274" t="s">
        <v>8</v>
      </c>
      <c r="I274" t="s">
        <v>9</v>
      </c>
      <c r="J274">
        <v>105</v>
      </c>
      <c r="K274">
        <v>142.80000000000001</v>
      </c>
      <c r="L274">
        <v>630</v>
      </c>
      <c r="M274">
        <v>856.80000000000007</v>
      </c>
      <c r="N274">
        <v>6</v>
      </c>
      <c r="O274" t="s">
        <v>121</v>
      </c>
      <c r="P274">
        <v>2022</v>
      </c>
    </row>
    <row r="275" spans="1:16" x14ac:dyDescent="0.35">
      <c r="A275" s="22">
        <v>44575</v>
      </c>
      <c r="B275" t="s">
        <v>29</v>
      </c>
      <c r="C275">
        <v>14</v>
      </c>
      <c r="D275" t="s">
        <v>108</v>
      </c>
      <c r="E275" t="s">
        <v>106</v>
      </c>
      <c r="F275">
        <v>0</v>
      </c>
      <c r="G275" t="s">
        <v>30</v>
      </c>
      <c r="H275" t="s">
        <v>28</v>
      </c>
      <c r="I275" t="s">
        <v>109</v>
      </c>
      <c r="J275">
        <v>44</v>
      </c>
      <c r="K275">
        <v>48.4</v>
      </c>
      <c r="L275">
        <v>616</v>
      </c>
      <c r="M275">
        <v>677.6</v>
      </c>
      <c r="N275">
        <v>14</v>
      </c>
      <c r="O275" t="s">
        <v>120</v>
      </c>
      <c r="P275">
        <v>2022</v>
      </c>
    </row>
    <row r="276" spans="1:16" x14ac:dyDescent="0.35">
      <c r="A276" s="22">
        <v>44576</v>
      </c>
      <c r="B276" t="s">
        <v>52</v>
      </c>
      <c r="C276">
        <v>10</v>
      </c>
      <c r="D276" t="s">
        <v>108</v>
      </c>
      <c r="E276" t="s">
        <v>107</v>
      </c>
      <c r="F276">
        <v>0</v>
      </c>
      <c r="G276" t="s">
        <v>53</v>
      </c>
      <c r="H276" t="s">
        <v>49</v>
      </c>
      <c r="I276" t="s">
        <v>110</v>
      </c>
      <c r="J276">
        <v>121</v>
      </c>
      <c r="K276">
        <v>141.57</v>
      </c>
      <c r="L276">
        <v>1210</v>
      </c>
      <c r="M276">
        <v>1415.6999999999998</v>
      </c>
      <c r="N276">
        <v>15</v>
      </c>
      <c r="O276" t="s">
        <v>120</v>
      </c>
      <c r="P276">
        <v>2022</v>
      </c>
    </row>
    <row r="277" spans="1:16" x14ac:dyDescent="0.35">
      <c r="A277" s="22">
        <v>44597</v>
      </c>
      <c r="B277" t="s">
        <v>43</v>
      </c>
      <c r="C277">
        <v>6</v>
      </c>
      <c r="D277" t="s">
        <v>108</v>
      </c>
      <c r="E277" t="s">
        <v>107</v>
      </c>
      <c r="F277">
        <v>0</v>
      </c>
      <c r="G277" t="s">
        <v>44</v>
      </c>
      <c r="H277" t="s">
        <v>28</v>
      </c>
      <c r="I277" t="s">
        <v>111</v>
      </c>
      <c r="J277">
        <v>37</v>
      </c>
      <c r="K277">
        <v>49.21</v>
      </c>
      <c r="L277">
        <v>222</v>
      </c>
      <c r="M277">
        <v>295.26</v>
      </c>
      <c r="N277">
        <v>5</v>
      </c>
      <c r="O277" t="s">
        <v>121</v>
      </c>
      <c r="P277">
        <v>2022</v>
      </c>
    </row>
    <row r="278" spans="1:16" x14ac:dyDescent="0.35">
      <c r="A278" s="22">
        <v>44595</v>
      </c>
      <c r="B278" t="s">
        <v>35</v>
      </c>
      <c r="C278">
        <v>8</v>
      </c>
      <c r="D278" t="s">
        <v>108</v>
      </c>
      <c r="E278" t="s">
        <v>106</v>
      </c>
      <c r="F278">
        <v>0</v>
      </c>
      <c r="G278" t="s">
        <v>36</v>
      </c>
      <c r="H278" t="s">
        <v>28</v>
      </c>
      <c r="I278" t="s">
        <v>9</v>
      </c>
      <c r="J278">
        <v>112</v>
      </c>
      <c r="K278">
        <v>146.72</v>
      </c>
      <c r="L278">
        <v>896</v>
      </c>
      <c r="M278">
        <v>1173.76</v>
      </c>
      <c r="N278">
        <v>3</v>
      </c>
      <c r="O278" t="s">
        <v>121</v>
      </c>
      <c r="P278">
        <v>2022</v>
      </c>
    </row>
    <row r="279" spans="1:16" x14ac:dyDescent="0.35">
      <c r="A279" s="22">
        <v>44593</v>
      </c>
      <c r="B279" t="s">
        <v>16</v>
      </c>
      <c r="C279">
        <v>9</v>
      </c>
      <c r="D279" t="s">
        <v>108</v>
      </c>
      <c r="E279" t="s">
        <v>107</v>
      </c>
      <c r="F279">
        <v>0</v>
      </c>
      <c r="G279" t="s">
        <v>17</v>
      </c>
      <c r="H279" t="s">
        <v>8</v>
      </c>
      <c r="I279" t="s">
        <v>110</v>
      </c>
      <c r="J279">
        <v>133</v>
      </c>
      <c r="K279">
        <v>155.61000000000001</v>
      </c>
      <c r="L279">
        <v>1197</v>
      </c>
      <c r="M279">
        <v>1400.4900000000002</v>
      </c>
      <c r="N279">
        <v>1</v>
      </c>
      <c r="O279" t="s">
        <v>121</v>
      </c>
      <c r="P279">
        <v>2022</v>
      </c>
    </row>
    <row r="280" spans="1:16" x14ac:dyDescent="0.35">
      <c r="A280" s="22">
        <v>44581</v>
      </c>
      <c r="B280" t="s">
        <v>50</v>
      </c>
      <c r="C280">
        <v>2</v>
      </c>
      <c r="D280" t="s">
        <v>108</v>
      </c>
      <c r="E280" t="s">
        <v>107</v>
      </c>
      <c r="F280">
        <v>0</v>
      </c>
      <c r="G280" t="s">
        <v>51</v>
      </c>
      <c r="H280" t="s">
        <v>49</v>
      </c>
      <c r="I280" t="s">
        <v>110</v>
      </c>
      <c r="J280">
        <v>126</v>
      </c>
      <c r="K280">
        <v>162.54</v>
      </c>
      <c r="L280">
        <v>252</v>
      </c>
      <c r="M280">
        <v>325.08</v>
      </c>
      <c r="N280">
        <v>20</v>
      </c>
      <c r="O280" t="s">
        <v>120</v>
      </c>
      <c r="P280">
        <v>2022</v>
      </c>
    </row>
    <row r="281" spans="1:16" x14ac:dyDescent="0.35">
      <c r="A281" s="22">
        <v>44592</v>
      </c>
      <c r="B281" t="s">
        <v>92</v>
      </c>
      <c r="C281">
        <v>9</v>
      </c>
      <c r="D281" t="s">
        <v>108</v>
      </c>
      <c r="E281" t="s">
        <v>107</v>
      </c>
      <c r="F281">
        <v>0</v>
      </c>
      <c r="G281" t="s">
        <v>93</v>
      </c>
      <c r="H281" t="s">
        <v>85</v>
      </c>
      <c r="I281" t="s">
        <v>110</v>
      </c>
      <c r="J281">
        <v>138</v>
      </c>
      <c r="K281">
        <v>173.88</v>
      </c>
      <c r="L281">
        <v>1242</v>
      </c>
      <c r="M281">
        <v>1564.92</v>
      </c>
      <c r="N281">
        <v>31</v>
      </c>
      <c r="O281" t="s">
        <v>120</v>
      </c>
      <c r="P281">
        <v>2022</v>
      </c>
    </row>
    <row r="282" spans="1:16" x14ac:dyDescent="0.35">
      <c r="A282" s="22">
        <v>44589</v>
      </c>
      <c r="B282" t="s">
        <v>39</v>
      </c>
      <c r="C282">
        <v>11</v>
      </c>
      <c r="D282" t="s">
        <v>108</v>
      </c>
      <c r="E282" t="s">
        <v>106</v>
      </c>
      <c r="F282">
        <v>0</v>
      </c>
      <c r="G282" t="s">
        <v>40</v>
      </c>
      <c r="H282" t="s">
        <v>28</v>
      </c>
      <c r="I282" t="s">
        <v>111</v>
      </c>
      <c r="J282">
        <v>13</v>
      </c>
      <c r="K282">
        <v>16.64</v>
      </c>
      <c r="L282">
        <v>143</v>
      </c>
      <c r="M282">
        <v>183.04000000000002</v>
      </c>
      <c r="N282">
        <v>28</v>
      </c>
      <c r="O282" t="s">
        <v>120</v>
      </c>
      <c r="P282">
        <v>2022</v>
      </c>
    </row>
    <row r="283" spans="1:16" x14ac:dyDescent="0.35">
      <c r="A283" s="22">
        <v>44586</v>
      </c>
      <c r="B283" t="s">
        <v>41</v>
      </c>
      <c r="C283">
        <v>14</v>
      </c>
      <c r="D283" t="s">
        <v>108</v>
      </c>
      <c r="E283" t="s">
        <v>107</v>
      </c>
      <c r="F283">
        <v>0</v>
      </c>
      <c r="G283" t="s">
        <v>42</v>
      </c>
      <c r="H283" t="s">
        <v>28</v>
      </c>
      <c r="I283" t="s">
        <v>110</v>
      </c>
      <c r="J283">
        <v>134</v>
      </c>
      <c r="K283">
        <v>156.78</v>
      </c>
      <c r="L283">
        <v>1876</v>
      </c>
      <c r="M283">
        <v>2194.92</v>
      </c>
      <c r="N283">
        <v>25</v>
      </c>
      <c r="O283" t="s">
        <v>120</v>
      </c>
      <c r="P283">
        <v>2022</v>
      </c>
    </row>
    <row r="284" spans="1:16" x14ac:dyDescent="0.35">
      <c r="A284" s="22">
        <v>44584</v>
      </c>
      <c r="B284" t="s">
        <v>94</v>
      </c>
      <c r="C284">
        <v>8</v>
      </c>
      <c r="D284" t="s">
        <v>108</v>
      </c>
      <c r="E284" t="s">
        <v>106</v>
      </c>
      <c r="F284">
        <v>0</v>
      </c>
      <c r="G284" t="s">
        <v>95</v>
      </c>
      <c r="H284" t="s">
        <v>85</v>
      </c>
      <c r="I284" t="s">
        <v>110</v>
      </c>
      <c r="J284">
        <v>120</v>
      </c>
      <c r="K284">
        <v>162</v>
      </c>
      <c r="L284">
        <v>960</v>
      </c>
      <c r="M284">
        <v>1296</v>
      </c>
      <c r="N284">
        <v>23</v>
      </c>
      <c r="O284" t="s">
        <v>120</v>
      </c>
      <c r="P284">
        <v>2022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O91"/>
  <sheetViews>
    <sheetView workbookViewId="0">
      <selection activeCell="AB21" sqref="AB21"/>
    </sheetView>
  </sheetViews>
  <sheetFormatPr defaultRowHeight="17.25" x14ac:dyDescent="0.35"/>
  <cols>
    <col min="1" max="1" width="7.125" customWidth="1"/>
    <col min="2" max="2" width="31.375" style="14" customWidth="1"/>
    <col min="4" max="4" width="30.875" customWidth="1"/>
    <col min="5" max="5" width="31.375" style="14" customWidth="1"/>
    <col min="6" max="6" width="11.75" customWidth="1"/>
    <col min="7" max="7" width="8.375" customWidth="1"/>
    <col min="8" max="8" width="10" customWidth="1"/>
    <col min="9" max="9" width="9" customWidth="1"/>
    <col min="10" max="10" width="7.875" customWidth="1"/>
    <col min="11" max="11" width="3" customWidth="1"/>
    <col min="12" max="12" width="8.625" customWidth="1"/>
    <col min="13" max="13" width="30.875" customWidth="1"/>
    <col min="14" max="14" width="31.375" customWidth="1"/>
    <col min="16" max="16" width="12.75" customWidth="1"/>
    <col min="17" max="17" width="31.375" customWidth="1"/>
    <col min="18" max="18" width="18.875" customWidth="1"/>
    <col min="19" max="19" width="4.75" customWidth="1"/>
    <col min="20" max="20" width="2.875" customWidth="1"/>
    <col min="21" max="21" width="9.75" customWidth="1"/>
    <col min="22" max="22" width="8.875" customWidth="1"/>
    <col min="23" max="24" width="3.875" customWidth="1"/>
    <col min="25" max="25" width="9.75" customWidth="1"/>
    <col min="26" max="26" width="10" customWidth="1"/>
    <col min="27" max="27" width="8.625" customWidth="1"/>
    <col min="28" max="28" width="8.5" customWidth="1"/>
    <col min="29" max="29" width="11" customWidth="1"/>
    <col min="30" max="30" width="31.375" customWidth="1"/>
    <col min="31" max="31" width="9.875" customWidth="1"/>
    <col min="32" max="32" width="4.5" customWidth="1"/>
    <col min="33" max="34" width="10.75" customWidth="1"/>
    <col min="35" max="35" width="9.875" customWidth="1"/>
    <col min="36" max="36" width="11.5" customWidth="1"/>
    <col min="37" max="37" width="31.375" customWidth="1"/>
    <col min="38" max="38" width="12.875" customWidth="1"/>
    <col min="39" max="39" width="16.25" customWidth="1"/>
    <col min="40" max="40" width="31.375" customWidth="1"/>
    <col min="41" max="41" width="18.875" customWidth="1"/>
    <col min="42" max="42" width="6" customWidth="1"/>
    <col min="43" max="73" width="5.375" customWidth="1"/>
    <col min="74" max="74" width="24.125" bestFit="1" customWidth="1"/>
    <col min="75" max="77" width="7" customWidth="1"/>
    <col min="78" max="78" width="7.875" customWidth="1"/>
    <col min="79" max="79" width="6.125" customWidth="1"/>
    <col min="80" max="80" width="7" customWidth="1"/>
    <col min="81" max="81" width="7.875" customWidth="1"/>
    <col min="82" max="82" width="6.125" customWidth="1"/>
    <col min="83" max="83" width="5.375" customWidth="1"/>
    <col min="84" max="84" width="6.125" customWidth="1"/>
    <col min="85" max="85" width="7.875" customWidth="1"/>
    <col min="86" max="86" width="7" customWidth="1"/>
    <col min="87" max="87" width="7.875" customWidth="1"/>
    <col min="88" max="88" width="7" customWidth="1"/>
    <col min="89" max="89" width="6.125" customWidth="1"/>
    <col min="90" max="91" width="7" customWidth="1"/>
    <col min="92" max="92" width="5.375" customWidth="1"/>
    <col min="93" max="93" width="7" customWidth="1"/>
    <col min="94" max="94" width="7.875" customWidth="1"/>
    <col min="95" max="95" width="6.125" customWidth="1"/>
    <col min="96" max="96" width="7.875" customWidth="1"/>
    <col min="97" max="97" width="7" customWidth="1"/>
    <col min="98" max="98" width="6.125" customWidth="1"/>
    <col min="99" max="102" width="7" customWidth="1"/>
    <col min="103" max="103" width="7.875" customWidth="1"/>
    <col min="104" max="104" width="6.125" customWidth="1"/>
    <col min="105" max="105" width="7.875" customWidth="1"/>
    <col min="106" max="106" width="7" customWidth="1"/>
    <col min="107" max="107" width="6.125" customWidth="1"/>
    <col min="108" max="108" width="5.375" customWidth="1"/>
    <col min="109" max="110" width="6.125" customWidth="1"/>
    <col min="111" max="112" width="7" customWidth="1"/>
    <col min="113" max="113" width="6.125" customWidth="1"/>
    <col min="114" max="114" width="7.875" customWidth="1"/>
    <col min="115" max="115" width="5.375" customWidth="1"/>
    <col min="116" max="116" width="7" customWidth="1"/>
    <col min="117" max="117" width="7.875" customWidth="1"/>
    <col min="118" max="119" width="28.5" bestFit="1" customWidth="1"/>
  </cols>
  <sheetData>
    <row r="1" spans="1:41" x14ac:dyDescent="0.35">
      <c r="U1" t="str">
        <f ca="1">VLOOKUP(1,T:W,2,0)</f>
        <v>Product41</v>
      </c>
      <c r="V1">
        <f>VLOOKUP(1,T:W,3,0)</f>
        <v>22952.16</v>
      </c>
      <c r="W1">
        <f>VLOOKUP(1,T:W,4,0)</f>
        <v>132</v>
      </c>
      <c r="AG1" t="str">
        <f ca="1">VLOOKUP(1,AF:AH,2,0)</f>
        <v>Category04</v>
      </c>
      <c r="AH1" s="14">
        <f ca="1">VLOOKUP(1,AF:AH,3,0)</f>
        <v>95269.4</v>
      </c>
    </row>
    <row r="2" spans="1:41" x14ac:dyDescent="0.35">
      <c r="A2" s="15" t="s">
        <v>135</v>
      </c>
      <c r="B2" s="14" t="s">
        <v>132</v>
      </c>
      <c r="D2" t="s">
        <v>133</v>
      </c>
      <c r="E2" s="14" t="s">
        <v>132</v>
      </c>
      <c r="G2" s="18" t="s">
        <v>143</v>
      </c>
      <c r="H2" s="18" t="s">
        <v>145</v>
      </c>
      <c r="I2" s="18" t="s">
        <v>144</v>
      </c>
      <c r="J2" s="18" t="s">
        <v>142</v>
      </c>
      <c r="L2" s="15" t="s">
        <v>134</v>
      </c>
      <c r="M2" t="s">
        <v>133</v>
      </c>
      <c r="N2" t="s">
        <v>132</v>
      </c>
      <c r="AC2" s="15" t="s">
        <v>138</v>
      </c>
      <c r="AD2" t="s">
        <v>132</v>
      </c>
      <c r="AJ2" s="15" t="s">
        <v>137</v>
      </c>
      <c r="AK2" t="s">
        <v>132</v>
      </c>
      <c r="AM2" s="15" t="s">
        <v>139</v>
      </c>
      <c r="AN2" t="s">
        <v>132</v>
      </c>
      <c r="AO2" t="s">
        <v>136</v>
      </c>
    </row>
    <row r="3" spans="1:41" x14ac:dyDescent="0.35">
      <c r="A3" s="16">
        <v>1</v>
      </c>
      <c r="B3" s="14">
        <v>13167.810000000001</v>
      </c>
      <c r="D3" s="12">
        <v>332504</v>
      </c>
      <c r="E3" s="14">
        <v>401411.91999999969</v>
      </c>
      <c r="G3" s="19" t="s">
        <v>120</v>
      </c>
      <c r="H3" s="20">
        <f t="shared" ref="H3:H14" si="0">VLOOKUP(L3,L:N,3,0)</f>
        <v>41346.959999999992</v>
      </c>
      <c r="I3" s="20">
        <f>H3-GETPIVOTDATA("Sum of TOTAL BUYING VALUE",$L$2,"MONTH","Jan")</f>
        <v>7056.9599999999919</v>
      </c>
      <c r="J3" s="21">
        <f>I3/VLOOKUP(L3,L:N,2,0)</f>
        <v>0.20580227471566032</v>
      </c>
      <c r="L3" s="16" t="s">
        <v>120</v>
      </c>
      <c r="M3" s="12">
        <v>34290</v>
      </c>
      <c r="N3" s="12">
        <v>41346.959999999992</v>
      </c>
      <c r="P3" s="15" t="s">
        <v>119</v>
      </c>
      <c r="Q3" t="s">
        <v>132</v>
      </c>
      <c r="R3" t="s">
        <v>136</v>
      </c>
      <c r="U3" s="12"/>
      <c r="V3" s="12"/>
      <c r="W3" s="12"/>
      <c r="X3" s="12"/>
      <c r="Y3" s="12"/>
      <c r="Z3" s="12"/>
      <c r="AA3" s="12"/>
      <c r="AC3" s="16" t="s">
        <v>8</v>
      </c>
      <c r="AD3" s="12">
        <v>69261.950000000012</v>
      </c>
      <c r="AF3">
        <f ca="1">RANK(AH3,AH3:AH7)</f>
        <v>4</v>
      </c>
      <c r="AG3" t="str">
        <f ca="1">OFFSET(AC3,0,0)</f>
        <v>Category01</v>
      </c>
      <c r="AH3" s="14">
        <f ca="1">OFFSET(AD3,0,0)</f>
        <v>69261.950000000012</v>
      </c>
      <c r="AJ3" s="16" t="s">
        <v>108</v>
      </c>
      <c r="AK3" s="12">
        <v>208140.15000000005</v>
      </c>
      <c r="AM3" s="16" t="s">
        <v>107</v>
      </c>
      <c r="AN3" s="12">
        <v>199516.90000000008</v>
      </c>
      <c r="AO3" s="12">
        <v>2053</v>
      </c>
    </row>
    <row r="4" spans="1:41" x14ac:dyDescent="0.35">
      <c r="A4" s="16">
        <v>2</v>
      </c>
      <c r="B4" s="14">
        <v>13210.220000000001</v>
      </c>
      <c r="G4" s="19" t="s">
        <v>121</v>
      </c>
      <c r="H4" s="20">
        <f t="shared" si="0"/>
        <v>30857.300000000003</v>
      </c>
      <c r="I4" s="20">
        <f>H4-GETPIVOTDATA("Sum of TOTAL BUYING VALUE",$L$2,"MONTH","Feb")</f>
        <v>5516.3000000000029</v>
      </c>
      <c r="J4" s="21">
        <f t="shared" ref="J4:J10" si="1">I4/VLOOKUP(L4,L:N,2,0)</f>
        <v>0.21768280651907987</v>
      </c>
      <c r="L4" s="16" t="s">
        <v>121</v>
      </c>
      <c r="M4" s="12">
        <v>25341</v>
      </c>
      <c r="N4" s="12">
        <v>30857.300000000003</v>
      </c>
      <c r="P4" s="16" t="s">
        <v>7</v>
      </c>
      <c r="Q4" s="12"/>
      <c r="R4" s="12"/>
      <c r="T4">
        <f>RANK(V4,V4:V90)</f>
        <v>19</v>
      </c>
      <c r="U4" s="12" t="str">
        <f ca="1">OFFSET(P:P,1,0,COUNT(Q:Q))</f>
        <v>Product01</v>
      </c>
      <c r="V4" s="12">
        <f>GETPIVOTDATA("Sum of TOTAL SELLING VALUE",$P$3,"PRODUCT","Product01","UOM","Kg")</f>
        <v>9764.7199999999993</v>
      </c>
      <c r="W4" s="12">
        <f>GETPIVOTDATA("Sum of QUANTITY",$P$3,"PRODUCT","Product01","UOM","Kg")</f>
        <v>94</v>
      </c>
      <c r="X4" s="12"/>
      <c r="Y4" s="12" t="str">
        <f ca="1">OFFSET(P:P,1,0,10)</f>
        <v>Product01</v>
      </c>
      <c r="Z4" s="14">
        <f>GETPIVOTDATA("Sum of TOTAL SELLING VALUE",$P$3,"PRODUCT","Product01","UOM","Kg")</f>
        <v>9764.7199999999993</v>
      </c>
      <c r="AA4" s="12"/>
      <c r="AC4" s="16" t="s">
        <v>28</v>
      </c>
      <c r="AD4" s="12">
        <v>92963.87</v>
      </c>
      <c r="AF4">
        <f t="shared" ref="AF4:AF7" ca="1" si="2">RANK(AH4,AH4:AH8)</f>
        <v>2</v>
      </c>
      <c r="AG4" t="str">
        <f t="shared" ref="AG4:AG7" ca="1" si="3">OFFSET(AC4,0,0)</f>
        <v>Category02</v>
      </c>
      <c r="AH4" s="14">
        <f t="shared" ref="AH4:AH7" ca="1" si="4">OFFSET(AD4,0,0)</f>
        <v>92963.87</v>
      </c>
      <c r="AJ4" s="16" t="s">
        <v>106</v>
      </c>
      <c r="AK4" s="12">
        <v>133923.87000000002</v>
      </c>
      <c r="AM4" s="16" t="s">
        <v>106</v>
      </c>
      <c r="AN4" s="12">
        <v>201895.01999999993</v>
      </c>
      <c r="AO4" s="12">
        <v>2227</v>
      </c>
    </row>
    <row r="5" spans="1:41" x14ac:dyDescent="0.35">
      <c r="A5" s="16">
        <v>3</v>
      </c>
      <c r="B5" s="14">
        <v>20202.099999999995</v>
      </c>
      <c r="D5" s="18" t="s">
        <v>140</v>
      </c>
      <c r="E5" s="20">
        <f>GETPIVOTDATA("Sum of TOTAL SELLING VALUE",$D$2)</f>
        <v>401411.91999999969</v>
      </c>
      <c r="G5" s="19" t="s">
        <v>122</v>
      </c>
      <c r="H5" s="20">
        <f t="shared" si="0"/>
        <v>28616.65</v>
      </c>
      <c r="I5" s="20">
        <f>H5-GETPIVOTDATA("Sum of TOTAL BUYING VALUE",$L$2,"MONTH","Mar")</f>
        <v>5179.6500000000015</v>
      </c>
      <c r="J5" s="21">
        <f t="shared" si="1"/>
        <v>0.22100311473311438</v>
      </c>
      <c r="L5" s="16" t="s">
        <v>122</v>
      </c>
      <c r="M5" s="12">
        <v>23437</v>
      </c>
      <c r="N5" s="12">
        <v>28616.65</v>
      </c>
      <c r="P5" s="17" t="s">
        <v>9</v>
      </c>
      <c r="Q5" s="12">
        <v>9764.7199999999993</v>
      </c>
      <c r="R5" s="12">
        <v>94</v>
      </c>
      <c r="U5" s="12" t="str">
        <f t="shared" ref="U5:U45" ca="1" si="5">OFFSET(P:P,1,0,COUNT(Q:Q))</f>
        <v>Kg</v>
      </c>
      <c r="V5" s="12"/>
      <c r="W5" s="12"/>
      <c r="X5" s="12"/>
      <c r="Y5" s="12" t="str">
        <f t="shared" ref="Y5:Y11" ca="1" si="6">OFFSET(P:P,1,0,10)</f>
        <v>Kg</v>
      </c>
      <c r="Z5" s="14"/>
      <c r="AA5" s="12"/>
      <c r="AC5" s="16" t="s">
        <v>49</v>
      </c>
      <c r="AD5" s="12">
        <v>52299.509999999995</v>
      </c>
      <c r="AF5">
        <f t="shared" ca="1" si="2"/>
        <v>3</v>
      </c>
      <c r="AG5" t="str">
        <f t="shared" ca="1" si="3"/>
        <v>Category03</v>
      </c>
      <c r="AH5" s="14">
        <f t="shared" ca="1" si="4"/>
        <v>52299.509999999995</v>
      </c>
      <c r="AJ5" s="16" t="s">
        <v>105</v>
      </c>
      <c r="AK5" s="12">
        <v>59347.900000000009</v>
      </c>
    </row>
    <row r="6" spans="1:41" x14ac:dyDescent="0.35">
      <c r="A6" s="16">
        <v>4</v>
      </c>
      <c r="B6" s="14">
        <v>11312.2</v>
      </c>
      <c r="D6" s="18" t="s">
        <v>141</v>
      </c>
      <c r="E6" s="20">
        <f>GETPIVOTDATA("Sum of TOTAL SELLING VALUE",$D$2)-GETPIVOTDATA("Sum of TOTAL BUYING VALUE",$D$2)</f>
        <v>68907.919999999693</v>
      </c>
      <c r="G6" s="19" t="s">
        <v>123</v>
      </c>
      <c r="H6" s="20">
        <f t="shared" si="0"/>
        <v>26579.11</v>
      </c>
      <c r="I6" s="20">
        <f>H6-GETPIVOTDATA("Sum of TOTAL BUYING VALUE",$L$2,"MONTH","Apr")</f>
        <v>5297.1100000000006</v>
      </c>
      <c r="J6" s="21">
        <f t="shared" si="1"/>
        <v>0.24890094915891367</v>
      </c>
      <c r="L6" s="16" t="s">
        <v>123</v>
      </c>
      <c r="M6" s="12">
        <v>21282</v>
      </c>
      <c r="N6" s="12">
        <v>26579.11</v>
      </c>
      <c r="P6" s="16" t="s">
        <v>11</v>
      </c>
      <c r="Q6" s="12"/>
      <c r="R6" s="12"/>
      <c r="T6">
        <f t="shared" ref="T6:T90" si="7">RANK(V6,V6:V92)</f>
        <v>10</v>
      </c>
      <c r="U6" s="12" t="str">
        <f t="shared" ca="1" si="5"/>
        <v>Product02</v>
      </c>
      <c r="V6" s="12">
        <f>GETPIVOTDATA("Sum of TOTAL SELLING VALUE",$P$3,"PRODUCT","Product02","UOM","Kg")</f>
        <v>13423.199999999999</v>
      </c>
      <c r="W6" s="12">
        <f>GETPIVOTDATA("Sum of QUANTITY",$P$3,"PRODUCT","Product02","UOM","Kg")</f>
        <v>94</v>
      </c>
      <c r="X6" s="12"/>
      <c r="Y6" s="12" t="str">
        <f t="shared" ca="1" si="6"/>
        <v>Product02</v>
      </c>
      <c r="Z6" s="14">
        <f>GETPIVOTDATA("Sum of TOTAL SELLING VALUE",$P$3,"PRODUCT","Product02","UOM","Kg")</f>
        <v>13423.199999999999</v>
      </c>
      <c r="AA6" s="12"/>
      <c r="AC6" s="16" t="s">
        <v>62</v>
      </c>
      <c r="AD6" s="12">
        <v>95269.4</v>
      </c>
      <c r="AF6">
        <f t="shared" ca="1" si="2"/>
        <v>1</v>
      </c>
      <c r="AG6" t="str">
        <f t="shared" ca="1" si="3"/>
        <v>Category04</v>
      </c>
      <c r="AH6" s="14">
        <f t="shared" ca="1" si="4"/>
        <v>95269.4</v>
      </c>
    </row>
    <row r="7" spans="1:41" x14ac:dyDescent="0.35">
      <c r="A7" s="16">
        <v>5</v>
      </c>
      <c r="B7" s="14">
        <v>11711.449999999999</v>
      </c>
      <c r="D7" s="18" t="s">
        <v>142</v>
      </c>
      <c r="E7" s="21">
        <f>E6/GETPIVOTDATA("Sum of TOTAL BUYING VALUE",$D$2)</f>
        <v>0.20723937155643149</v>
      </c>
      <c r="G7" s="19" t="s">
        <v>124</v>
      </c>
      <c r="H7" s="20">
        <f t="shared" si="0"/>
        <v>30910.45</v>
      </c>
      <c r="I7" s="20">
        <f>H7-GETPIVOTDATA("Sum of TOTAL BUYING VALUE",$L$2,"MONTH","May")</f>
        <v>4384.4500000000007</v>
      </c>
      <c r="J7" s="21">
        <f t="shared" si="1"/>
        <v>0.16528877327904701</v>
      </c>
      <c r="L7" s="16" t="s">
        <v>124</v>
      </c>
      <c r="M7" s="12">
        <v>26526</v>
      </c>
      <c r="N7" s="12">
        <v>30910.45</v>
      </c>
      <c r="P7" s="17" t="s">
        <v>9</v>
      </c>
      <c r="Q7" s="12">
        <v>13423.199999999999</v>
      </c>
      <c r="R7" s="12">
        <v>94</v>
      </c>
      <c r="U7" s="12" t="str">
        <f t="shared" ca="1" si="5"/>
        <v>Kg</v>
      </c>
      <c r="V7" s="12"/>
      <c r="W7" s="12"/>
      <c r="X7" s="12"/>
      <c r="Y7" s="12" t="str">
        <f t="shared" ca="1" si="6"/>
        <v>Kg</v>
      </c>
      <c r="Z7" s="14"/>
      <c r="AA7" s="12"/>
      <c r="AC7" s="16" t="s">
        <v>85</v>
      </c>
      <c r="AD7" s="12">
        <v>91617.19</v>
      </c>
      <c r="AF7">
        <f t="shared" ca="1" si="2"/>
        <v>1</v>
      </c>
      <c r="AG7" t="str">
        <f t="shared" ca="1" si="3"/>
        <v>Category05</v>
      </c>
      <c r="AH7" s="14">
        <f t="shared" ca="1" si="4"/>
        <v>91617.19</v>
      </c>
    </row>
    <row r="8" spans="1:41" x14ac:dyDescent="0.35">
      <c r="A8" s="16">
        <v>6</v>
      </c>
      <c r="B8" s="14">
        <v>14365.540000000005</v>
      </c>
      <c r="G8" s="19" t="s">
        <v>125</v>
      </c>
      <c r="H8" s="20">
        <f t="shared" si="0"/>
        <v>30533.710000000003</v>
      </c>
      <c r="I8" s="20">
        <f>H8-GETPIVOTDATA("Sum of TOTAL BUYING VALUE",$L$2,"MONTH","Jun")</f>
        <v>5654.7100000000028</v>
      </c>
      <c r="J8" s="21">
        <f t="shared" si="1"/>
        <v>0.22728847622492876</v>
      </c>
      <c r="L8" s="16" t="s">
        <v>125</v>
      </c>
      <c r="M8" s="12">
        <v>24879</v>
      </c>
      <c r="N8" s="12">
        <v>30533.710000000003</v>
      </c>
      <c r="P8" s="16" t="s">
        <v>13</v>
      </c>
      <c r="Q8" s="12"/>
      <c r="R8" s="12"/>
      <c r="T8">
        <f t="shared" si="7"/>
        <v>24</v>
      </c>
      <c r="U8" s="12" t="str">
        <f t="shared" ca="1" si="5"/>
        <v>Product03</v>
      </c>
      <c r="V8" s="12">
        <f>GETPIVOTDATA("Sum of TOTAL SELLING VALUE",$P$3,"PRODUCT","Product03","UOM","Kg")</f>
        <v>6394.2599999999993</v>
      </c>
      <c r="W8" s="12">
        <f>GETPIVOTDATA("Sum of QUANTITY",$P$3,"PRODUCT","Product03","UOM","Kg")</f>
        <v>79</v>
      </c>
      <c r="X8" s="12"/>
      <c r="Y8" s="12" t="str">
        <f t="shared" ca="1" si="6"/>
        <v>Product03</v>
      </c>
      <c r="Z8" s="14">
        <f>GETPIVOTDATA("Sum of TOTAL SELLING VALUE",$P$3,"PRODUCT","Product03","UOM","Kg")</f>
        <v>6394.2599999999993</v>
      </c>
      <c r="AA8" s="12"/>
    </row>
    <row r="9" spans="1:41" x14ac:dyDescent="0.35">
      <c r="A9" s="16">
        <v>7</v>
      </c>
      <c r="B9" s="14">
        <v>7132.79</v>
      </c>
      <c r="G9" s="19" t="s">
        <v>126</v>
      </c>
      <c r="H9" s="20">
        <f t="shared" si="0"/>
        <v>35251.79</v>
      </c>
      <c r="I9" s="20">
        <f>H9-GETPIVOTDATA("Sum of TOTAL BUYING VALUE",$L$2,"MONTH","Jul")</f>
        <v>5373.7900000000009</v>
      </c>
      <c r="J9" s="21">
        <f t="shared" si="1"/>
        <v>0.1798577548698039</v>
      </c>
      <c r="L9" s="16" t="s">
        <v>126</v>
      </c>
      <c r="M9" s="12">
        <v>29878</v>
      </c>
      <c r="N9" s="12">
        <v>35251.79</v>
      </c>
      <c r="P9" s="17" t="s">
        <v>9</v>
      </c>
      <c r="Q9" s="12">
        <v>6394.2599999999993</v>
      </c>
      <c r="R9" s="12">
        <v>79</v>
      </c>
      <c r="U9" s="12" t="str">
        <f t="shared" ca="1" si="5"/>
        <v>Kg</v>
      </c>
      <c r="V9" s="12"/>
      <c r="W9" s="12"/>
      <c r="X9" s="12"/>
      <c r="Y9" s="12" t="str">
        <f t="shared" ca="1" si="6"/>
        <v>Kg</v>
      </c>
      <c r="Z9" s="14"/>
      <c r="AA9" s="12"/>
    </row>
    <row r="10" spans="1:41" x14ac:dyDescent="0.35">
      <c r="A10" s="16">
        <v>8</v>
      </c>
      <c r="B10" s="14">
        <v>14262.46</v>
      </c>
      <c r="G10" s="19" t="s">
        <v>127</v>
      </c>
      <c r="H10" s="20">
        <f t="shared" si="0"/>
        <v>35350.400000000016</v>
      </c>
      <c r="I10" s="20">
        <f>H10-GETPIVOTDATA("Sum of TOTAL BUYING VALUE",$L$2,"MONTH","Aug")</f>
        <v>5519.400000000016</v>
      </c>
      <c r="J10" s="21">
        <f t="shared" si="1"/>
        <v>0.18502229224632147</v>
      </c>
      <c r="L10" s="16" t="s">
        <v>127</v>
      </c>
      <c r="M10" s="12">
        <v>29831</v>
      </c>
      <c r="N10" s="12">
        <v>35350.400000000016</v>
      </c>
      <c r="P10" s="16" t="s">
        <v>15</v>
      </c>
      <c r="Q10" s="12"/>
      <c r="R10" s="12"/>
      <c r="T10">
        <f t="shared" si="7"/>
        <v>27</v>
      </c>
      <c r="U10" s="12" t="str">
        <f t="shared" ca="1" si="5"/>
        <v>Product04</v>
      </c>
      <c r="V10" s="12">
        <f>GETPIVOTDATA("Sum of TOTAL SELLING VALUE",$P$3,"PRODUCT","Product04","UOM","Lt")</f>
        <v>6056.1600000000008</v>
      </c>
      <c r="W10" s="12">
        <f>GETPIVOTDATA("Sum of QUANTITY",$P$3,"PRODUCT","Product04","UOM","Lt")</f>
        <v>124</v>
      </c>
      <c r="X10" s="12"/>
      <c r="Y10" s="12" t="str">
        <f t="shared" ca="1" si="6"/>
        <v>Product04</v>
      </c>
      <c r="Z10" s="14">
        <f>V10</f>
        <v>6056.1600000000008</v>
      </c>
      <c r="AA10" s="12"/>
    </row>
    <row r="11" spans="1:41" x14ac:dyDescent="0.35">
      <c r="A11" s="16">
        <v>9</v>
      </c>
      <c r="B11" s="14">
        <v>16824.670000000002</v>
      </c>
      <c r="G11" s="19" t="s">
        <v>128</v>
      </c>
      <c r="H11" s="20">
        <f t="shared" si="0"/>
        <v>35242.810000000005</v>
      </c>
      <c r="I11" s="20">
        <f>H11-GETPIVOTDATA("Sum of TOTAL BUYING VALUE",$L$2,"MONTH","Sep")</f>
        <v>6484.8100000000049</v>
      </c>
      <c r="J11" s="21">
        <f>I11/VLOOKUP(L11,L:N,2,0)</f>
        <v>0.22549586202100302</v>
      </c>
      <c r="L11" s="16" t="s">
        <v>128</v>
      </c>
      <c r="M11" s="12">
        <v>28758</v>
      </c>
      <c r="N11" s="12">
        <v>35242.810000000005</v>
      </c>
      <c r="P11" s="17" t="s">
        <v>109</v>
      </c>
      <c r="Q11" s="12">
        <v>6056.1600000000008</v>
      </c>
      <c r="R11" s="12">
        <v>124</v>
      </c>
      <c r="U11" s="12" t="str">
        <f t="shared" ca="1" si="5"/>
        <v>Lt</v>
      </c>
      <c r="V11" s="12"/>
      <c r="W11" s="12"/>
      <c r="X11" s="12"/>
      <c r="Y11" s="12" t="str">
        <f t="shared" ca="1" si="6"/>
        <v>Lt</v>
      </c>
      <c r="Z11" s="14"/>
      <c r="AA11" s="12"/>
    </row>
    <row r="12" spans="1:41" x14ac:dyDescent="0.35">
      <c r="A12" s="16">
        <v>10</v>
      </c>
      <c r="B12" s="14">
        <v>15229.35</v>
      </c>
      <c r="G12" s="19" t="s">
        <v>129</v>
      </c>
      <c r="H12" s="20">
        <f t="shared" si="0"/>
        <v>33500.69000000001</v>
      </c>
      <c r="I12" s="20">
        <f>H12-GETPIVOTDATA("Sum of TOTAL BUYING VALUE",$L$2,"MONTH","Oct")</f>
        <v>5658.6900000000096</v>
      </c>
      <c r="J12" s="21">
        <f>I12/VLOOKUP(L12,L:N,2,0)</f>
        <v>0.20324294231736259</v>
      </c>
      <c r="L12" s="16" t="s">
        <v>129</v>
      </c>
      <c r="M12" s="12">
        <v>27842</v>
      </c>
      <c r="N12" s="12">
        <v>33500.69000000001</v>
      </c>
      <c r="P12" s="16" t="s">
        <v>17</v>
      </c>
      <c r="Q12" s="12"/>
      <c r="R12" s="12"/>
      <c r="T12">
        <f t="shared" si="7"/>
        <v>8</v>
      </c>
      <c r="U12" s="12" t="str">
        <f t="shared" ca="1" si="5"/>
        <v>Product05</v>
      </c>
      <c r="V12" s="12">
        <f>GETPIVOTDATA("Sum of TOTAL SELLING VALUE",$P$3,"PRODUCT","Product05","UOM","Ft")</f>
        <v>15716.61</v>
      </c>
      <c r="W12" s="12">
        <f>GETPIVOTDATA("Sum of QUANTITY",$P$3,"PRODUCT","Product05","UOM","Ft")</f>
        <v>101</v>
      </c>
      <c r="X12" s="12"/>
      <c r="Y12" s="12" t="str">
        <f ca="1">OFFSET(P:P,1,0,24)</f>
        <v>Product05</v>
      </c>
      <c r="Z12" s="14">
        <f>V12</f>
        <v>15716.61</v>
      </c>
      <c r="AA12" s="12"/>
    </row>
    <row r="13" spans="1:41" x14ac:dyDescent="0.35">
      <c r="A13" s="16">
        <v>11</v>
      </c>
      <c r="B13" s="14">
        <v>11915.58</v>
      </c>
      <c r="G13" s="19" t="s">
        <v>130</v>
      </c>
      <c r="H13" s="20">
        <f t="shared" si="0"/>
        <v>36124.07</v>
      </c>
      <c r="I13" s="20">
        <f>H13-GETPIVOTDATA("Sum of TOTAL BUYING VALUE",$L$2,"MONTH","Nov")</f>
        <v>6818.07</v>
      </c>
      <c r="J13" s="21">
        <f>I13/VLOOKUP(L13,L:N,2,0)</f>
        <v>0.2326509929707227</v>
      </c>
      <c r="L13" s="16" t="s">
        <v>130</v>
      </c>
      <c r="M13" s="12">
        <v>29306</v>
      </c>
      <c r="N13" s="12">
        <v>36124.07</v>
      </c>
      <c r="P13" s="17" t="s">
        <v>110</v>
      </c>
      <c r="Q13" s="12">
        <v>15716.61</v>
      </c>
      <c r="R13" s="12">
        <v>101</v>
      </c>
      <c r="U13" s="12" t="str">
        <f t="shared" ca="1" si="5"/>
        <v>Ft</v>
      </c>
      <c r="V13" s="12"/>
      <c r="W13" s="12"/>
      <c r="X13" s="12"/>
      <c r="Y13" s="12" t="str">
        <f t="shared" ref="Y13:Y23" ca="1" si="8">OFFSET(P:P,1,0,24)</f>
        <v>Ft</v>
      </c>
      <c r="Z13" s="14"/>
      <c r="AA13" s="12"/>
    </row>
    <row r="14" spans="1:41" x14ac:dyDescent="0.35">
      <c r="A14" s="16">
        <v>12</v>
      </c>
      <c r="B14" s="14">
        <v>14837.359999999999</v>
      </c>
      <c r="G14" s="19" t="s">
        <v>131</v>
      </c>
      <c r="H14" s="20">
        <f t="shared" si="0"/>
        <v>37097.979999999996</v>
      </c>
      <c r="I14" s="20">
        <f>H14-GETPIVOTDATA("Sum of TOTAL BUYING VALUE",$L$2,"MONTH","Dec")</f>
        <v>5963.9799999999959</v>
      </c>
      <c r="J14" s="21">
        <f>I14/VLOOKUP(L14,L:N,2,0)</f>
        <v>0.19155842487312894</v>
      </c>
      <c r="L14" s="16" t="s">
        <v>131</v>
      </c>
      <c r="M14" s="12">
        <v>31134</v>
      </c>
      <c r="N14" s="12">
        <v>37097.979999999996</v>
      </c>
      <c r="P14" s="16" t="s">
        <v>19</v>
      </c>
      <c r="Q14" s="12"/>
      <c r="R14" s="12"/>
      <c r="T14">
        <f t="shared" si="7"/>
        <v>30</v>
      </c>
      <c r="U14" s="12" t="str">
        <f t="shared" ca="1" si="5"/>
        <v>Product06</v>
      </c>
      <c r="V14" s="12">
        <v>4531.5</v>
      </c>
      <c r="W14" s="12">
        <f>GETPIVOTDATA("Sum of QUANTITY",$P$3,"PRODUCT","Product06","UOM","Kg")</f>
        <v>53</v>
      </c>
      <c r="X14" s="12"/>
      <c r="Y14" s="12" t="str">
        <f t="shared" ca="1" si="8"/>
        <v>Product06</v>
      </c>
      <c r="Z14" s="14">
        <f>V14</f>
        <v>4531.5</v>
      </c>
      <c r="AA14" s="12"/>
    </row>
    <row r="15" spans="1:41" x14ac:dyDescent="0.35">
      <c r="A15" s="16">
        <v>13</v>
      </c>
      <c r="B15" s="14">
        <v>8084.26</v>
      </c>
      <c r="P15" s="17" t="s">
        <v>9</v>
      </c>
      <c r="Q15" s="12">
        <v>4531.5</v>
      </c>
      <c r="R15" s="12">
        <v>53</v>
      </c>
      <c r="U15" s="12" t="str">
        <f t="shared" ca="1" si="5"/>
        <v>Kg</v>
      </c>
      <c r="V15" s="12"/>
      <c r="W15" s="12"/>
      <c r="X15" s="12"/>
      <c r="Y15" s="12" t="str">
        <f t="shared" ca="1" si="8"/>
        <v>Kg</v>
      </c>
      <c r="Z15" s="14"/>
      <c r="AA15" s="12"/>
    </row>
    <row r="16" spans="1:41" x14ac:dyDescent="0.35">
      <c r="A16" s="16">
        <v>14</v>
      </c>
      <c r="B16" s="14">
        <v>9461.1400000000012</v>
      </c>
      <c r="P16" s="16" t="s">
        <v>21</v>
      </c>
      <c r="Q16" s="12"/>
      <c r="R16" s="12"/>
      <c r="T16">
        <f t="shared" si="7"/>
        <v>33</v>
      </c>
      <c r="U16" s="12" t="str">
        <f t="shared" ca="1" si="5"/>
        <v>Product07</v>
      </c>
      <c r="V16" s="12">
        <v>2291.04</v>
      </c>
      <c r="W16" s="12">
        <f>GETPIVOTDATA("Sum of QUANTITY",$P$3,"PRODUCT","Product07","UOM","Lt")</f>
        <v>48</v>
      </c>
      <c r="X16" s="12"/>
      <c r="Y16" s="12" t="str">
        <f t="shared" ca="1" si="8"/>
        <v>Product07</v>
      </c>
      <c r="Z16" s="14">
        <f>V16</f>
        <v>2291.04</v>
      </c>
      <c r="AA16" s="12"/>
    </row>
    <row r="17" spans="1:27" x14ac:dyDescent="0.35">
      <c r="A17" s="16">
        <v>15</v>
      </c>
      <c r="B17" s="14">
        <v>12189.7</v>
      </c>
      <c r="P17" s="17" t="s">
        <v>109</v>
      </c>
      <c r="Q17" s="12">
        <v>2291.04</v>
      </c>
      <c r="R17" s="12">
        <v>48</v>
      </c>
      <c r="U17" s="12" t="str">
        <f t="shared" ca="1" si="5"/>
        <v>Lt</v>
      </c>
      <c r="V17" s="12"/>
      <c r="W17" s="12"/>
      <c r="X17" s="12"/>
      <c r="Y17" s="12" t="str">
        <f t="shared" ca="1" si="8"/>
        <v>Lt</v>
      </c>
      <c r="Z17" s="14"/>
      <c r="AA17" s="12"/>
    </row>
    <row r="18" spans="1:27" x14ac:dyDescent="0.35">
      <c r="A18" s="16">
        <v>16</v>
      </c>
      <c r="B18" s="14">
        <v>12762.63</v>
      </c>
      <c r="P18" s="16" t="s">
        <v>23</v>
      </c>
      <c r="Q18" s="12"/>
      <c r="R18" s="12"/>
      <c r="T18">
        <f t="shared" si="7"/>
        <v>13</v>
      </c>
      <c r="U18" s="12" t="str">
        <f t="shared" ca="1" si="5"/>
        <v>Product08</v>
      </c>
      <c r="V18" s="12">
        <v>10502.82</v>
      </c>
      <c r="W18" s="12">
        <f>GETPIVOTDATA("Sum of QUANTITY",$P$3,"PRODUCT","Product08","UOM","Kg")</f>
        <v>111</v>
      </c>
      <c r="X18" s="12"/>
      <c r="Y18" s="12" t="str">
        <f t="shared" ca="1" si="8"/>
        <v>Product08</v>
      </c>
      <c r="Z18" s="14">
        <f>V18</f>
        <v>10502.82</v>
      </c>
      <c r="AA18" s="12"/>
    </row>
    <row r="19" spans="1:27" x14ac:dyDescent="0.35">
      <c r="A19" s="16">
        <v>17</v>
      </c>
      <c r="B19" s="14">
        <v>3659.24</v>
      </c>
      <c r="P19" s="17" t="s">
        <v>9</v>
      </c>
      <c r="Q19" s="12">
        <v>10502.82</v>
      </c>
      <c r="R19" s="12">
        <v>111</v>
      </c>
      <c r="U19" s="12" t="str">
        <f t="shared" ca="1" si="5"/>
        <v>Kg</v>
      </c>
      <c r="V19" s="12"/>
      <c r="W19" s="12"/>
      <c r="X19" s="12"/>
      <c r="Y19" s="12" t="str">
        <f t="shared" ca="1" si="8"/>
        <v>Kg</v>
      </c>
      <c r="Z19" s="14"/>
      <c r="AA19" s="12"/>
    </row>
    <row r="20" spans="1:27" x14ac:dyDescent="0.35">
      <c r="A20" s="16">
        <v>18</v>
      </c>
      <c r="B20" s="14">
        <v>18582.390000000003</v>
      </c>
      <c r="P20" s="16" t="s">
        <v>25</v>
      </c>
      <c r="Q20" s="12"/>
      <c r="R20" s="12"/>
      <c r="T20">
        <f t="shared" si="7"/>
        <v>36</v>
      </c>
      <c r="U20" s="12" t="str">
        <f t="shared" ca="1" si="5"/>
        <v>Product09</v>
      </c>
      <c r="V20" s="12">
        <v>581.64</v>
      </c>
      <c r="W20" s="12">
        <f>GETPIVOTDATA("Sum of QUANTITY",$P$3,"PRODUCT","Product09","UOM","No.")</f>
        <v>74</v>
      </c>
      <c r="X20" s="12"/>
      <c r="Y20" s="12" t="str">
        <f t="shared" ca="1" si="8"/>
        <v>Product09</v>
      </c>
      <c r="Z20" s="14">
        <f>V20</f>
        <v>581.64</v>
      </c>
      <c r="AA20" s="12"/>
    </row>
    <row r="21" spans="1:27" x14ac:dyDescent="0.35">
      <c r="A21" s="16">
        <v>19</v>
      </c>
      <c r="B21" s="14">
        <v>10204.229999999998</v>
      </c>
      <c r="P21" s="17" t="s">
        <v>111</v>
      </c>
      <c r="Q21" s="12">
        <v>581.64</v>
      </c>
      <c r="R21" s="12">
        <v>74</v>
      </c>
      <c r="U21" s="12" t="str">
        <f t="shared" ca="1" si="5"/>
        <v>No.</v>
      </c>
      <c r="V21" s="12"/>
      <c r="W21" s="12"/>
      <c r="X21" s="12"/>
      <c r="Y21" s="12" t="str">
        <f t="shared" ca="1" si="8"/>
        <v>No.</v>
      </c>
      <c r="Z21" s="14"/>
      <c r="AA21" s="12"/>
    </row>
    <row r="22" spans="1:27" x14ac:dyDescent="0.35">
      <c r="A22" s="16">
        <v>20</v>
      </c>
      <c r="B22" s="14">
        <v>20482.78</v>
      </c>
      <c r="P22" s="16" t="s">
        <v>27</v>
      </c>
      <c r="Q22" s="12"/>
      <c r="R22" s="12"/>
      <c r="T22">
        <f t="shared" si="7"/>
        <v>5</v>
      </c>
      <c r="U22" s="12" t="str">
        <f t="shared" ca="1" si="5"/>
        <v>Product10</v>
      </c>
      <c r="V22" s="12">
        <f>GETPIVOTDATA("Sum of TOTAL SELLING VALUE",$P$3,"PRODUCT","Product10","UOM","Ft")</f>
        <v>16428</v>
      </c>
      <c r="W22" s="12">
        <f>GETPIVOTDATA("Sum of QUANTITY",$P$3,"PRODUCT","Product10","UOM","Ft")</f>
        <v>100</v>
      </c>
      <c r="X22" s="12"/>
      <c r="Y22" s="12" t="str">
        <f t="shared" ca="1" si="8"/>
        <v>Product10</v>
      </c>
      <c r="Z22" s="14">
        <f>V22</f>
        <v>16428</v>
      </c>
      <c r="AA22" s="12"/>
    </row>
    <row r="23" spans="1:27" x14ac:dyDescent="0.35">
      <c r="A23" s="16">
        <v>21</v>
      </c>
      <c r="B23" s="14">
        <v>10665.4</v>
      </c>
      <c r="P23" s="17" t="s">
        <v>110</v>
      </c>
      <c r="Q23" s="12">
        <v>16428</v>
      </c>
      <c r="R23" s="12">
        <v>100</v>
      </c>
      <c r="U23" s="12" t="str">
        <f t="shared" ca="1" si="5"/>
        <v>Ft</v>
      </c>
      <c r="V23" s="12"/>
      <c r="W23" s="12"/>
      <c r="X23" s="12"/>
      <c r="Y23" s="12" t="str">
        <f t="shared" ca="1" si="8"/>
        <v>Ft</v>
      </c>
      <c r="Z23" s="14"/>
      <c r="AA23" s="12"/>
    </row>
    <row r="24" spans="1:27" x14ac:dyDescent="0.35">
      <c r="A24" s="16">
        <v>22</v>
      </c>
      <c r="B24" s="14">
        <v>11315.839999999997</v>
      </c>
      <c r="P24" s="16" t="s">
        <v>30</v>
      </c>
      <c r="Q24" s="12"/>
      <c r="R24" s="12"/>
      <c r="T24">
        <f t="shared" si="7"/>
        <v>24</v>
      </c>
      <c r="U24" s="12" t="str">
        <f t="shared" ca="1" si="5"/>
        <v>Product11</v>
      </c>
      <c r="V24" s="12">
        <f>GETPIVOTDATA("Sum of TOTAL SELLING VALUE",$P$3,"PRODUCT","Product11","UOM","Lt")</f>
        <v>5856.4</v>
      </c>
      <c r="W24" s="12">
        <f>GETPIVOTDATA("Sum of QUANTITY",$P$3,"PRODUCT","Product11","UOM","Lt")</f>
        <v>121</v>
      </c>
      <c r="X24" s="12"/>
      <c r="Y24" s="12"/>
      <c r="Z24" s="12"/>
      <c r="AA24" s="12"/>
    </row>
    <row r="25" spans="1:27" x14ac:dyDescent="0.35">
      <c r="A25" s="16">
        <v>23</v>
      </c>
      <c r="B25" s="14">
        <v>18818.189999999999</v>
      </c>
      <c r="P25" s="17" t="s">
        <v>109</v>
      </c>
      <c r="Q25" s="12">
        <v>5856.4</v>
      </c>
      <c r="R25" s="12">
        <v>121</v>
      </c>
      <c r="U25" s="12" t="str">
        <f t="shared" ca="1" si="5"/>
        <v>Lt</v>
      </c>
      <c r="V25" s="12"/>
      <c r="W25" s="12"/>
      <c r="X25" s="12"/>
      <c r="Y25" s="12"/>
      <c r="Z25" s="12"/>
      <c r="AA25" s="12"/>
    </row>
    <row r="26" spans="1:27" x14ac:dyDescent="0.35">
      <c r="A26" s="16">
        <v>24</v>
      </c>
      <c r="B26" s="14">
        <v>11488.4</v>
      </c>
      <c r="P26" s="16" t="s">
        <v>32</v>
      </c>
      <c r="Q26" s="12"/>
      <c r="R26" s="12"/>
      <c r="T26">
        <f t="shared" si="7"/>
        <v>10</v>
      </c>
      <c r="U26" s="12" t="str">
        <f t="shared" ca="1" si="5"/>
        <v>Product12</v>
      </c>
      <c r="V26" s="12">
        <f>GETPIVOTDATA("Sum of TOTAL SELLING VALUE",$P$3,"PRODUCT","Product12","UOM","Kg")</f>
        <v>11582.910000000003</v>
      </c>
      <c r="W26" s="12">
        <f>GETPIVOTDATA("Sum of QUANTITY",$P$3,"PRODUCT","Product12","UOM","Kg")</f>
        <v>123</v>
      </c>
      <c r="X26" s="12"/>
      <c r="Y26" s="12"/>
      <c r="Z26" s="12"/>
      <c r="AA26" s="12"/>
    </row>
    <row r="27" spans="1:27" x14ac:dyDescent="0.35">
      <c r="A27" s="16">
        <v>25</v>
      </c>
      <c r="B27" s="14">
        <v>18688.430000000004</v>
      </c>
      <c r="P27" s="17" t="s">
        <v>9</v>
      </c>
      <c r="Q27" s="12">
        <v>11582.910000000003</v>
      </c>
      <c r="R27" s="12">
        <v>123</v>
      </c>
      <c r="U27" s="12" t="str">
        <f t="shared" ca="1" si="5"/>
        <v>Kg</v>
      </c>
      <c r="V27" s="12"/>
      <c r="W27" s="12"/>
      <c r="X27" s="12"/>
      <c r="Y27" s="12"/>
      <c r="Z27" s="12"/>
      <c r="AA27" s="12"/>
    </row>
    <row r="28" spans="1:27" x14ac:dyDescent="0.35">
      <c r="A28" s="16">
        <v>26</v>
      </c>
      <c r="B28" s="14">
        <v>13710.079999999998</v>
      </c>
      <c r="P28" s="16" t="s">
        <v>34</v>
      </c>
      <c r="Q28" s="12"/>
      <c r="R28" s="12"/>
      <c r="T28">
        <f t="shared" si="7"/>
        <v>16</v>
      </c>
      <c r="U28" s="12" t="str">
        <f t="shared" ca="1" si="5"/>
        <v>Product13</v>
      </c>
      <c r="V28" s="12">
        <f>GETPIVOTDATA("Sum of TOTAL SELLING VALUE",$P$3,"PRODUCT","Product13","UOM","Kg")</f>
        <v>8423.52</v>
      </c>
      <c r="W28" s="12">
        <f>GETPIVOTDATA("Sum of QUANTITY",$P$3,"PRODUCT","Product13","UOM","Kg")</f>
        <v>69</v>
      </c>
      <c r="X28" s="12"/>
      <c r="Y28" s="12"/>
      <c r="Z28" s="12"/>
      <c r="AA28" s="12"/>
    </row>
    <row r="29" spans="1:27" x14ac:dyDescent="0.35">
      <c r="A29" s="16">
        <v>27</v>
      </c>
      <c r="B29" s="14">
        <v>11440.67</v>
      </c>
      <c r="P29" s="17" t="s">
        <v>9</v>
      </c>
      <c r="Q29" s="12">
        <v>8423.52</v>
      </c>
      <c r="R29" s="12">
        <v>69</v>
      </c>
      <c r="U29" s="12" t="str">
        <f t="shared" ca="1" si="5"/>
        <v>Kg</v>
      </c>
      <c r="V29" s="12"/>
      <c r="W29" s="12"/>
      <c r="X29" s="12"/>
      <c r="Y29" s="12"/>
      <c r="Z29" s="12"/>
      <c r="AA29" s="12"/>
    </row>
    <row r="30" spans="1:27" x14ac:dyDescent="0.35">
      <c r="A30" s="16">
        <v>28</v>
      </c>
      <c r="B30" s="14">
        <v>13306.16</v>
      </c>
      <c r="P30" s="16" t="s">
        <v>36</v>
      </c>
      <c r="Q30" s="12"/>
      <c r="R30" s="12"/>
      <c r="T30">
        <f t="shared" si="7"/>
        <v>9</v>
      </c>
      <c r="U30" s="12" t="str">
        <f t="shared" ca="1" si="5"/>
        <v>Product14</v>
      </c>
      <c r="V30" s="12">
        <f>GETPIVOTDATA("Sum of TOTAL SELLING VALUE",$P$3,"PRODUCT","Product14","UOM","Kg")</f>
        <v>12764.640000000001</v>
      </c>
      <c r="W30" s="12">
        <f>GETPIVOTDATA("Sum of QUANTITY",$P$3,"PRODUCT","Product14","UOM","Kg")</f>
        <v>87</v>
      </c>
      <c r="X30" s="12"/>
      <c r="Y30" s="12"/>
      <c r="Z30" s="12"/>
      <c r="AA30" s="12"/>
    </row>
    <row r="31" spans="1:27" x14ac:dyDescent="0.35">
      <c r="A31" s="16">
        <v>29</v>
      </c>
      <c r="B31" s="14">
        <v>8794.48</v>
      </c>
      <c r="P31" s="17" t="s">
        <v>9</v>
      </c>
      <c r="Q31" s="12">
        <v>12764.640000000001</v>
      </c>
      <c r="R31" s="12">
        <v>87</v>
      </c>
      <c r="U31" s="12" t="str">
        <f t="shared" ca="1" si="5"/>
        <v>Kg</v>
      </c>
      <c r="V31" s="12"/>
      <c r="W31" s="12"/>
      <c r="X31" s="12"/>
      <c r="Y31" s="12"/>
      <c r="Z31" s="12"/>
      <c r="AA31" s="12"/>
    </row>
    <row r="32" spans="1:27" x14ac:dyDescent="0.35">
      <c r="A32" s="16">
        <v>30</v>
      </c>
      <c r="B32" s="14">
        <v>16666.269999999997</v>
      </c>
      <c r="P32" s="16" t="s">
        <v>38</v>
      </c>
      <c r="Q32" s="12"/>
      <c r="R32" s="12"/>
      <c r="T32">
        <f t="shared" si="7"/>
        <v>28</v>
      </c>
      <c r="U32" s="12" t="str">
        <f t="shared" ca="1" si="5"/>
        <v>Product15</v>
      </c>
      <c r="V32" s="12">
        <f>GETPIVOTDATA("Sum of TOTAL SELLING VALUE",$P$3,"PRODUCT","Product15","UOM","No.")</f>
        <v>1839.2399999999998</v>
      </c>
      <c r="W32" s="12">
        <f>GETPIVOTDATA("Sum of QUANTITY",$P$3,"PRODUCT","Product15","UOM","No.")</f>
        <v>117</v>
      </c>
      <c r="X32" s="12"/>
      <c r="Y32" s="12"/>
      <c r="Z32" s="12"/>
      <c r="AA32" s="12"/>
    </row>
    <row r="33" spans="1:27" x14ac:dyDescent="0.35">
      <c r="A33" s="16">
        <v>31</v>
      </c>
      <c r="B33" s="14">
        <v>6920.0999999999995</v>
      </c>
      <c r="P33" s="17" t="s">
        <v>111</v>
      </c>
      <c r="Q33" s="12">
        <v>1839.2399999999998</v>
      </c>
      <c r="R33" s="12">
        <v>117</v>
      </c>
      <c r="U33" s="12" t="str">
        <f t="shared" ca="1" si="5"/>
        <v>No.</v>
      </c>
      <c r="V33" s="12"/>
      <c r="W33" s="12"/>
      <c r="X33" s="12"/>
      <c r="Y33" s="12"/>
      <c r="Z33" s="12"/>
      <c r="AA33" s="12"/>
    </row>
    <row r="34" spans="1:27" x14ac:dyDescent="0.35">
      <c r="P34" s="16" t="s">
        <v>40</v>
      </c>
      <c r="Q34" s="12"/>
      <c r="R34" s="12"/>
      <c r="T34">
        <f t="shared" si="7"/>
        <v>27</v>
      </c>
      <c r="U34" s="12" t="str">
        <f t="shared" ca="1" si="5"/>
        <v>Product16</v>
      </c>
      <c r="V34" s="12">
        <f>GETPIVOTDATA("Sum of TOTAL SELLING VALUE",$P$3,"PRODUCT","Product16","UOM","No.")</f>
        <v>1996.8</v>
      </c>
      <c r="W34" s="12">
        <f>GETPIVOTDATA("Sum of QUANTITY",$P$3,"PRODUCT","Product16","UOM","No.")</f>
        <v>120</v>
      </c>
      <c r="X34" s="12"/>
      <c r="Y34" s="12"/>
      <c r="Z34" s="12"/>
      <c r="AA34" s="12"/>
    </row>
    <row r="35" spans="1:27" x14ac:dyDescent="0.35">
      <c r="P35" s="17" t="s">
        <v>111</v>
      </c>
      <c r="Q35" s="12">
        <v>1996.8</v>
      </c>
      <c r="R35" s="12">
        <v>120</v>
      </c>
      <c r="U35" s="12" t="str">
        <f t="shared" ca="1" si="5"/>
        <v>No.</v>
      </c>
      <c r="V35" s="12"/>
      <c r="W35" s="12"/>
      <c r="X35" s="12"/>
      <c r="Y35" s="12"/>
      <c r="Z35" s="12"/>
      <c r="AA35" s="12"/>
    </row>
    <row r="36" spans="1:27" x14ac:dyDescent="0.35">
      <c r="P36" s="16" t="s">
        <v>42</v>
      </c>
      <c r="Q36" s="12"/>
      <c r="R36" s="12"/>
      <c r="T36">
        <f t="shared" si="7"/>
        <v>12</v>
      </c>
      <c r="U36" s="12" t="str">
        <f t="shared" ca="1" si="5"/>
        <v>Product17</v>
      </c>
      <c r="V36" s="12">
        <f>GETPIVOTDATA("Sum of TOTAL SELLING VALUE",$P$3,"PRODUCT","Product17","UOM","Ft")</f>
        <v>9877.1400000000012</v>
      </c>
      <c r="W36" s="12">
        <f>GETPIVOTDATA("Sum of QUANTITY",$P$3,"PRODUCT","Product17","UOM","Ft")</f>
        <v>63</v>
      </c>
      <c r="X36" s="12"/>
      <c r="Y36" s="12"/>
      <c r="Z36" s="12"/>
      <c r="AA36" s="12"/>
    </row>
    <row r="37" spans="1:27" x14ac:dyDescent="0.35">
      <c r="P37" s="17" t="s">
        <v>110</v>
      </c>
      <c r="Q37" s="12">
        <v>9877.1400000000012</v>
      </c>
      <c r="R37" s="12">
        <v>63</v>
      </c>
      <c r="U37" s="12" t="str">
        <f t="shared" ca="1" si="5"/>
        <v>Ft</v>
      </c>
      <c r="V37" s="12"/>
      <c r="W37" s="12"/>
      <c r="X37" s="12"/>
      <c r="Y37" s="12"/>
      <c r="Z37" s="12"/>
      <c r="AA37" s="12"/>
    </row>
    <row r="38" spans="1:27" x14ac:dyDescent="0.35">
      <c r="P38" s="16" t="s">
        <v>44</v>
      </c>
      <c r="Q38" s="12"/>
      <c r="R38" s="12"/>
      <c r="T38">
        <f t="shared" si="7"/>
        <v>23</v>
      </c>
      <c r="U38" s="12" t="str">
        <f t="shared" ca="1" si="5"/>
        <v>Product18</v>
      </c>
      <c r="V38" s="12">
        <f>GETPIVOTDATA("Sum of TOTAL SELLING VALUE",$P$3,"PRODUCT","Product18","UOM","No.")</f>
        <v>4035.2200000000003</v>
      </c>
      <c r="W38" s="12">
        <f>GETPIVOTDATA("Sum of QUANTITY",$P$3,"PRODUCT","Product18","UOM","No.")</f>
        <v>82</v>
      </c>
      <c r="X38" s="12"/>
      <c r="Y38" s="12"/>
      <c r="Z38" s="12"/>
      <c r="AA38" s="12"/>
    </row>
    <row r="39" spans="1:27" x14ac:dyDescent="0.35">
      <c r="P39" s="17" t="s">
        <v>111</v>
      </c>
      <c r="Q39" s="12">
        <v>4035.2200000000003</v>
      </c>
      <c r="R39" s="12">
        <v>82</v>
      </c>
      <c r="U39" s="12" t="str">
        <f t="shared" ca="1" si="5"/>
        <v>No.</v>
      </c>
      <c r="V39" s="12"/>
      <c r="W39" s="12"/>
      <c r="X39" s="12"/>
      <c r="Y39" s="12"/>
      <c r="Z39" s="12"/>
      <c r="AA39" s="12"/>
    </row>
    <row r="40" spans="1:27" x14ac:dyDescent="0.35">
      <c r="P40" s="16" t="s">
        <v>46</v>
      </c>
      <c r="Q40" s="12"/>
      <c r="R40" s="12"/>
      <c r="T40">
        <f t="shared" si="7"/>
        <v>4</v>
      </c>
      <c r="U40" s="12" t="str">
        <f t="shared" ca="1" si="5"/>
        <v>Product19</v>
      </c>
      <c r="V40" s="12">
        <f>GETPIVOTDATA("Sum of TOTAL SELLING VALUE",$P$3,"PRODUCT","Product19","UOM","Ft")</f>
        <v>20160</v>
      </c>
      <c r="W40" s="12">
        <f>GETPIVOTDATA("Sum of QUANTITY",$P$3,"PRODUCT","Product19","UOM","Ft")</f>
        <v>96</v>
      </c>
      <c r="X40" s="12"/>
      <c r="Y40" s="12"/>
      <c r="Z40" s="12"/>
      <c r="AA40" s="12"/>
    </row>
    <row r="41" spans="1:27" x14ac:dyDescent="0.35">
      <c r="P41" s="17" t="s">
        <v>110</v>
      </c>
      <c r="Q41" s="12">
        <v>20160</v>
      </c>
      <c r="R41" s="12">
        <v>96</v>
      </c>
      <c r="U41" s="12" t="str">
        <f t="shared" ca="1" si="5"/>
        <v>Ft</v>
      </c>
      <c r="V41" s="12"/>
      <c r="W41" s="12"/>
      <c r="X41" s="12"/>
      <c r="Y41" s="12"/>
      <c r="Z41" s="12"/>
      <c r="AA41" s="12"/>
    </row>
    <row r="42" spans="1:27" x14ac:dyDescent="0.35">
      <c r="P42" s="16" t="s">
        <v>48</v>
      </c>
      <c r="Q42" s="12"/>
      <c r="R42" s="12"/>
      <c r="T42">
        <f t="shared" si="7"/>
        <v>13</v>
      </c>
      <c r="U42" s="12" t="str">
        <f t="shared" ca="1" si="5"/>
        <v>Product20</v>
      </c>
      <c r="V42" s="12">
        <f>GETPIVOTDATA("Sum of TOTAL SELLING VALUE",$P$3,"PRODUCT","Product20","UOM","Lt")</f>
        <v>8006.25</v>
      </c>
      <c r="W42" s="12">
        <f>GETPIVOTDATA("Sum of QUANTITY",$P$3,"PRODUCT","Product20","UOM","Lt")</f>
        <v>105</v>
      </c>
      <c r="X42" s="12"/>
      <c r="Y42" s="12"/>
      <c r="Z42" s="12"/>
      <c r="AA42" s="12"/>
    </row>
    <row r="43" spans="1:27" x14ac:dyDescent="0.35">
      <c r="P43" s="17" t="s">
        <v>109</v>
      </c>
      <c r="Q43" s="12">
        <v>8006.25</v>
      </c>
      <c r="R43" s="12">
        <v>105</v>
      </c>
      <c r="U43" s="12" t="str">
        <f t="shared" ca="1" si="5"/>
        <v>Lt</v>
      </c>
      <c r="V43" s="12"/>
      <c r="W43" s="12"/>
      <c r="X43" s="12"/>
      <c r="Y43" s="12"/>
      <c r="Z43" s="12"/>
      <c r="AA43" s="12"/>
    </row>
    <row r="44" spans="1:27" x14ac:dyDescent="0.35">
      <c r="P44" s="16" t="s">
        <v>51</v>
      </c>
      <c r="Q44" s="12"/>
      <c r="R44" s="12"/>
      <c r="T44">
        <f t="shared" si="7"/>
        <v>8</v>
      </c>
      <c r="U44" s="12" t="str">
        <f t="shared" ca="1" si="5"/>
        <v>Product21</v>
      </c>
      <c r="V44" s="12">
        <f>GETPIVOTDATA("Sum of TOTAL SELLING VALUE",$P$3,"PRODUCT","Product21","UOM","Ft")</f>
        <v>10727.64</v>
      </c>
      <c r="W44" s="12">
        <f>GETPIVOTDATA("Sum of QUANTITY",$P$3,"PRODUCT","Product21","UOM","Ft")</f>
        <v>66</v>
      </c>
      <c r="X44" s="12"/>
      <c r="Y44" s="12"/>
      <c r="Z44" s="12"/>
      <c r="AA44" s="12"/>
    </row>
    <row r="45" spans="1:27" x14ac:dyDescent="0.35">
      <c r="P45" s="17" t="s">
        <v>110</v>
      </c>
      <c r="Q45" s="12">
        <v>10727.64</v>
      </c>
      <c r="R45" s="12">
        <v>66</v>
      </c>
      <c r="U45" s="12" t="str">
        <f t="shared" ca="1" si="5"/>
        <v>Ft</v>
      </c>
      <c r="V45" s="12"/>
      <c r="W45" s="12"/>
      <c r="X45" s="12"/>
      <c r="Y45" s="12"/>
      <c r="Z45" s="12"/>
      <c r="AA45" s="12"/>
    </row>
    <row r="46" spans="1:27" x14ac:dyDescent="0.35">
      <c r="P46" s="16" t="s">
        <v>53</v>
      </c>
      <c r="Q46" s="12"/>
      <c r="R46" s="12"/>
      <c r="T46">
        <f t="shared" si="7"/>
        <v>9</v>
      </c>
      <c r="U46" s="12" t="str">
        <f ca="1">OFFSET(P:P,2,0,COUNT(Q:Q))</f>
        <v>Product22</v>
      </c>
      <c r="V46" s="12">
        <f>GETPIVOTDATA("Sum of TOTAL SELLING VALUE",$P$3,"PRODUCT","Product22","UOM","Ft")</f>
        <v>9909.9</v>
      </c>
      <c r="W46" s="12">
        <f>GETPIVOTDATA("Sum of QUANTITY",$P$3,"PRODUCT","Product22","UOM","Ft")</f>
        <v>70</v>
      </c>
      <c r="X46" s="12"/>
      <c r="Y46" s="12"/>
      <c r="Z46" s="12"/>
      <c r="AA46" s="12"/>
    </row>
    <row r="47" spans="1:27" x14ac:dyDescent="0.35">
      <c r="P47" s="17" t="s">
        <v>110</v>
      </c>
      <c r="Q47" s="12">
        <v>9909.9</v>
      </c>
      <c r="R47" s="12">
        <v>70</v>
      </c>
      <c r="U47" s="12" t="str">
        <f ca="1">OFFSET(P:P,4,0,COUNT(Q:Q))</f>
        <v>Ft</v>
      </c>
      <c r="V47" s="12"/>
      <c r="W47" s="12"/>
      <c r="X47" s="12"/>
      <c r="Y47" s="12"/>
      <c r="Z47" s="12"/>
      <c r="AA47" s="12"/>
    </row>
    <row r="48" spans="1:27" x14ac:dyDescent="0.35">
      <c r="P48" s="16" t="s">
        <v>55</v>
      </c>
      <c r="Q48" s="12"/>
      <c r="R48" s="12"/>
      <c r="S48" s="12"/>
      <c r="T48">
        <f t="shared" si="7"/>
        <v>7</v>
      </c>
      <c r="U48" s="12" t="str">
        <f ca="1">OFFSET(P:P,4,0,COUNT(Q:Q))</f>
        <v>Product23</v>
      </c>
      <c r="V48" s="12">
        <f>GETPIVOTDATA("Sum of TOTAL SELLING VALUE",$P$3,"PRODUCT","Product23","UOM","Ft")</f>
        <v>12853.560000000001</v>
      </c>
      <c r="W48" s="12">
        <f>GETPIVOTDATA("Sum of QUANTITY",$P$3,"PRODUCT","Product23","UOM","Ft")</f>
        <v>86</v>
      </c>
      <c r="X48" s="12"/>
      <c r="Y48" s="12"/>
      <c r="Z48" s="12"/>
      <c r="AA48" s="12"/>
    </row>
    <row r="49" spans="16:27" x14ac:dyDescent="0.35">
      <c r="P49" s="17" t="s">
        <v>110</v>
      </c>
      <c r="Q49" s="12">
        <v>12853.560000000001</v>
      </c>
      <c r="R49" s="12">
        <v>86</v>
      </c>
      <c r="S49" s="12"/>
      <c r="T49" s="12"/>
      <c r="U49" s="12" t="str">
        <f ca="1">OFFSET(P:P,5,0,COUNT(Q:Q))</f>
        <v>Ft</v>
      </c>
      <c r="V49" s="12"/>
      <c r="W49" s="12"/>
      <c r="X49" s="12"/>
      <c r="Y49" s="12"/>
      <c r="Z49" s="12"/>
      <c r="AA49" s="12"/>
    </row>
    <row r="50" spans="16:27" x14ac:dyDescent="0.35">
      <c r="P50" s="16" t="s">
        <v>57</v>
      </c>
      <c r="Q50" s="12"/>
      <c r="R50" s="12"/>
      <c r="S50" s="12"/>
      <c r="T50">
        <f t="shared" si="7"/>
        <v>7</v>
      </c>
      <c r="U50" s="12" t="str">
        <f ca="1">OFFSET(P:P,6,0,COUNT(Q:Q))</f>
        <v>Product24</v>
      </c>
      <c r="V50" s="12">
        <f>GETPIVOTDATA("Sum of TOTAL SELLING VALUE",$P$3,"PRODUCT","Product24","UOM","Ft")</f>
        <v>10202.400000000001</v>
      </c>
      <c r="W50" s="12">
        <f>GETPIVOTDATA("Sum of QUANTITY",$P$3,"PRODUCT","Product24","UOM","Ft")</f>
        <v>65</v>
      </c>
      <c r="X50" s="12"/>
      <c r="Y50" s="12"/>
      <c r="Z50" s="12"/>
      <c r="AA50" s="12"/>
    </row>
    <row r="51" spans="16:27" x14ac:dyDescent="0.35">
      <c r="P51" s="17" t="s">
        <v>110</v>
      </c>
      <c r="Q51" s="12">
        <v>10202.400000000001</v>
      </c>
      <c r="R51" s="12">
        <v>65</v>
      </c>
      <c r="S51" s="12"/>
      <c r="T51" s="12"/>
      <c r="U51" s="12" t="str">
        <f ca="1">OFFSET(P:P,7,0,COUNT(Q:Q))</f>
        <v>Ft</v>
      </c>
      <c r="V51" s="12"/>
      <c r="W51" s="12"/>
      <c r="X51" s="12"/>
      <c r="Y51" s="12"/>
      <c r="Z51" s="12"/>
      <c r="AA51" s="12"/>
    </row>
    <row r="52" spans="16:27" x14ac:dyDescent="0.35">
      <c r="P52" s="16" t="s">
        <v>59</v>
      </c>
      <c r="Q52" s="12"/>
      <c r="R52" s="12"/>
      <c r="S52" s="12"/>
      <c r="T52">
        <f t="shared" si="7"/>
        <v>20</v>
      </c>
      <c r="U52" s="12" t="str">
        <f ca="1">OFFSET(P:P,8,0,COUNT(Q:Q))</f>
        <v>Product25</v>
      </c>
      <c r="V52" s="12">
        <f>GETPIVOTDATA("Sum of TOTAL SELLING VALUE",$P$3,"PRODUCT","Product25","UOM","No.")</f>
        <v>599.7600000000001</v>
      </c>
      <c r="W52" s="12">
        <f>GETPIVOTDATA("Sum of QUANTITY",$P$3,"PRODUCT","Product25","UOM","No.")</f>
        <v>72</v>
      </c>
      <c r="X52" s="12"/>
      <c r="Y52" s="12"/>
      <c r="Z52" s="12"/>
      <c r="AA52" s="12"/>
    </row>
    <row r="53" spans="16:27" x14ac:dyDescent="0.35">
      <c r="P53" s="17" t="s">
        <v>111</v>
      </c>
      <c r="Q53" s="12">
        <v>599.7600000000001</v>
      </c>
      <c r="R53" s="12">
        <v>72</v>
      </c>
      <c r="S53" s="12"/>
      <c r="T53" s="12"/>
      <c r="U53" s="12" t="str">
        <f ca="1">OFFSET(P:P,9,0,COUNT(Q:Q))</f>
        <v>No.</v>
      </c>
      <c r="V53" s="12"/>
      <c r="W53" s="12"/>
      <c r="X53" s="12"/>
      <c r="Y53" s="12"/>
      <c r="Z53" s="12"/>
      <c r="AA53" s="12"/>
    </row>
    <row r="54" spans="16:27" x14ac:dyDescent="0.35">
      <c r="P54" s="16" t="s">
        <v>61</v>
      </c>
      <c r="Q54" s="12"/>
      <c r="R54" s="12"/>
      <c r="S54" s="12"/>
      <c r="T54">
        <f t="shared" si="7"/>
        <v>18</v>
      </c>
      <c r="U54" s="12" t="str">
        <f ca="1">OFFSET(P:P,10,0,COUNT(Q:Q))</f>
        <v>Product26</v>
      </c>
      <c r="V54" s="12">
        <f>GETPIVOTDATA("Sum of TOTAL SELLING VALUE",$P$3,"PRODUCT","Product26","UOM","No.")</f>
        <v>2761.9200000000005</v>
      </c>
      <c r="W54" s="12">
        <f>GETPIVOTDATA("Sum of QUANTITY",$P$3,"PRODUCT","Product26","UOM","No.")</f>
        <v>112</v>
      </c>
      <c r="X54" s="12"/>
      <c r="Y54" s="12"/>
      <c r="Z54" s="12"/>
      <c r="AA54" s="12"/>
    </row>
    <row r="55" spans="16:27" x14ac:dyDescent="0.35">
      <c r="P55" s="17" t="s">
        <v>111</v>
      </c>
      <c r="Q55" s="12">
        <v>2761.9200000000005</v>
      </c>
      <c r="R55" s="12">
        <v>112</v>
      </c>
      <c r="S55" s="12"/>
      <c r="T55" s="12"/>
      <c r="U55" s="12" t="str">
        <f ca="1">OFFSET(P:P,11,0,COUNT(Q:Q))</f>
        <v>No.</v>
      </c>
      <c r="V55" s="12"/>
      <c r="W55" s="12"/>
      <c r="X55" s="12"/>
      <c r="Y55" s="12"/>
      <c r="Z55" s="12"/>
      <c r="AA55" s="12"/>
    </row>
    <row r="56" spans="16:27" x14ac:dyDescent="0.35">
      <c r="P56" s="16" t="s">
        <v>64</v>
      </c>
      <c r="Q56" s="12"/>
      <c r="R56" s="12"/>
      <c r="S56" s="12"/>
      <c r="T56">
        <f t="shared" si="7"/>
        <v>12</v>
      </c>
      <c r="U56" s="12" t="str">
        <f ca="1">OFFSET(P:P,12,0,COUNT(Q:Q))</f>
        <v>Product27</v>
      </c>
      <c r="V56" s="12">
        <f>GETPIVOTDATA("Sum of TOTAL SELLING VALUE",$P$3,"PRODUCT","Product27","UOM","Lt")</f>
        <v>6226.0800000000008</v>
      </c>
      <c r="W56" s="12">
        <f>GETPIVOTDATA("Sum of QUANTITY",$P$3,"PRODUCT","Product27","UOM","Lt")</f>
        <v>109</v>
      </c>
      <c r="X56" s="12"/>
      <c r="Y56" s="12"/>
      <c r="Z56" s="12"/>
      <c r="AA56" s="12"/>
    </row>
    <row r="57" spans="16:27" x14ac:dyDescent="0.35">
      <c r="P57" s="17" t="s">
        <v>109</v>
      </c>
      <c r="Q57" s="12">
        <v>6226.0800000000008</v>
      </c>
      <c r="R57" s="12">
        <v>109</v>
      </c>
      <c r="S57" s="12"/>
      <c r="T57" s="12"/>
      <c r="U57" s="12" t="str">
        <f ca="1">OFFSET(P:P,13,0,COUNT(Q:Q))</f>
        <v>Lt</v>
      </c>
      <c r="V57" s="12"/>
      <c r="W57" s="12"/>
      <c r="X57" s="12"/>
      <c r="Y57" s="12"/>
      <c r="Z57" s="12"/>
      <c r="AA57" s="12"/>
    </row>
    <row r="58" spans="16:27" x14ac:dyDescent="0.35">
      <c r="P58" s="16" t="s">
        <v>66</v>
      </c>
      <c r="Q58" s="12"/>
      <c r="R58" s="12"/>
      <c r="S58" s="12"/>
      <c r="T58">
        <f t="shared" si="7"/>
        <v>15</v>
      </c>
      <c r="U58" s="12" t="str">
        <f ca="1">OFFSET(P:P,14,0,COUNT(Q:Q))</f>
        <v>Product28</v>
      </c>
      <c r="V58" s="12">
        <f>GETPIVOTDATA("Sum of TOTAL SELLING VALUE",$P$3,"PRODUCT","Product28","UOM","No.")</f>
        <v>4682.72</v>
      </c>
      <c r="W58" s="12">
        <f>GETPIVOTDATA("Sum of QUANTITY",$P$3,"PRODUCT","Product28","UOM","No.")</f>
        <v>112</v>
      </c>
      <c r="X58" s="12"/>
      <c r="Y58" s="12"/>
      <c r="Z58" s="12"/>
      <c r="AA58" s="12"/>
    </row>
    <row r="59" spans="16:27" x14ac:dyDescent="0.35">
      <c r="P59" s="17" t="s">
        <v>111</v>
      </c>
      <c r="Q59" s="12">
        <v>4682.72</v>
      </c>
      <c r="R59" s="12">
        <v>112</v>
      </c>
      <c r="S59" s="12"/>
      <c r="T59" s="12"/>
      <c r="U59" s="12" t="str">
        <f ca="1">OFFSET(P:P,15,0,COUNT(Q:Q))</f>
        <v>No.</v>
      </c>
      <c r="V59" s="12"/>
      <c r="W59" s="12"/>
      <c r="X59" s="12"/>
      <c r="Y59" s="12"/>
      <c r="Z59" s="12"/>
      <c r="AA59" s="12"/>
    </row>
    <row r="60" spans="16:27" x14ac:dyDescent="0.35">
      <c r="P60" s="16" t="s">
        <v>68</v>
      </c>
      <c r="Q60" s="12"/>
      <c r="R60" s="12"/>
      <c r="S60" s="12"/>
      <c r="T60">
        <f t="shared" si="7"/>
        <v>13</v>
      </c>
      <c r="U60" s="12" t="str">
        <f ca="1">OFFSET(P:P,16,0,COUNT(Q:Q))</f>
        <v>Product29</v>
      </c>
      <c r="V60" s="12">
        <f>GETPIVOTDATA("Sum of TOTAL SELLING VALUE",$P$3,"PRODUCT","Product29","UOM","Lt")</f>
        <v>5523.44</v>
      </c>
      <c r="W60" s="12">
        <f>GETPIVOTDATA("Sum of QUANTITY",$P$3,"PRODUCT","Product29","UOM","Lt")</f>
        <v>104</v>
      </c>
      <c r="X60" s="12"/>
      <c r="Y60" s="12"/>
      <c r="Z60" s="12"/>
      <c r="AA60" s="12"/>
    </row>
    <row r="61" spans="16:27" x14ac:dyDescent="0.35">
      <c r="P61" s="17" t="s">
        <v>109</v>
      </c>
      <c r="Q61" s="12">
        <v>5523.44</v>
      </c>
      <c r="R61" s="12">
        <v>104</v>
      </c>
      <c r="S61" s="12"/>
      <c r="T61" s="12"/>
      <c r="U61" s="12" t="str">
        <f ca="1">OFFSET(P:P,17,0,COUNT(Q:Q))</f>
        <v>Lt</v>
      </c>
      <c r="V61" s="12"/>
      <c r="W61" s="12"/>
      <c r="X61" s="12"/>
      <c r="Y61" s="12"/>
      <c r="Z61" s="12"/>
      <c r="AA61" s="12"/>
    </row>
    <row r="62" spans="16:27" x14ac:dyDescent="0.35">
      <c r="P62" s="16" t="s">
        <v>70</v>
      </c>
      <c r="Q62" s="12"/>
      <c r="R62" s="12"/>
      <c r="S62" s="12"/>
      <c r="T62">
        <f t="shared" si="7"/>
        <v>2</v>
      </c>
      <c r="U62" s="12" t="str">
        <f ca="1">OFFSET(P:P,18,0,COUNT(Q:Q))</f>
        <v>Product30</v>
      </c>
      <c r="V62" s="12">
        <f>GETPIVOTDATA("Sum of TOTAL SELLING VALUE",$P$3,"PRODUCT","Product30","UOM","Ft")</f>
        <v>22945.919999999998</v>
      </c>
      <c r="W62" s="12">
        <f>GETPIVOTDATA("Sum of QUANTITY",$P$3,"PRODUCT","Product30","UOM","Ft")</f>
        <v>114</v>
      </c>
      <c r="X62" s="12"/>
      <c r="Y62" s="12"/>
      <c r="Z62" s="12"/>
      <c r="AA62" s="12"/>
    </row>
    <row r="63" spans="16:27" x14ac:dyDescent="0.35">
      <c r="P63" s="17" t="s">
        <v>110</v>
      </c>
      <c r="Q63" s="12">
        <v>22945.919999999998</v>
      </c>
      <c r="R63" s="12">
        <v>114</v>
      </c>
      <c r="S63" s="12"/>
      <c r="T63" s="12"/>
      <c r="U63" s="12" t="str">
        <f ca="1">OFFSET(P:P,19,0,COUNT(Q:Q))</f>
        <v>Ft</v>
      </c>
      <c r="V63" s="12"/>
      <c r="W63" s="12"/>
      <c r="X63" s="12"/>
      <c r="Y63" s="12"/>
      <c r="Z63" s="12"/>
      <c r="AA63" s="12"/>
    </row>
    <row r="64" spans="16:27" x14ac:dyDescent="0.35">
      <c r="P64" s="16" t="s">
        <v>72</v>
      </c>
      <c r="Q64" s="12"/>
      <c r="R64" s="12"/>
      <c r="S64" s="12"/>
      <c r="T64">
        <f t="shared" si="7"/>
        <v>10</v>
      </c>
      <c r="U64" s="12" t="str">
        <f ca="1">OFFSET(P:P,20,0,COUNT(Q:Q))</f>
        <v>Product31</v>
      </c>
      <c r="V64" s="12">
        <f>GETPIVOTDATA("Sum of TOTAL SELLING VALUE",$P$3,"PRODUCT","Product31","UOM","Kg")</f>
        <v>6249.5999999999995</v>
      </c>
      <c r="W64" s="12">
        <f>GETPIVOTDATA("Sum of QUANTITY",$P$3,"PRODUCT","Product31","UOM","Kg")</f>
        <v>60</v>
      </c>
      <c r="X64" s="12"/>
      <c r="Y64" s="12"/>
      <c r="Z64" s="12"/>
      <c r="AA64" s="12"/>
    </row>
    <row r="65" spans="16:27" x14ac:dyDescent="0.35">
      <c r="P65" s="17" t="s">
        <v>9</v>
      </c>
      <c r="Q65" s="12">
        <v>6249.5999999999995</v>
      </c>
      <c r="R65" s="12">
        <v>60</v>
      </c>
      <c r="S65" s="12"/>
      <c r="T65" s="12"/>
      <c r="U65" s="12" t="str">
        <f ca="1">OFFSET(P:P,21,0,COUNT(Q:Q))</f>
        <v>Kg</v>
      </c>
      <c r="V65" s="12"/>
      <c r="W65" s="12"/>
      <c r="X65" s="12"/>
      <c r="Y65" s="12"/>
      <c r="Z65" s="12"/>
      <c r="AA65" s="12"/>
    </row>
    <row r="66" spans="16:27" x14ac:dyDescent="0.35">
      <c r="P66" s="16" t="s">
        <v>74</v>
      </c>
      <c r="Q66" s="12"/>
      <c r="R66" s="12"/>
      <c r="S66" s="12"/>
      <c r="T66">
        <f t="shared" si="7"/>
        <v>4</v>
      </c>
      <c r="U66" s="12" t="str">
        <f ca="1">OFFSET(P:P,22,0,COUNT(Q:Q))</f>
        <v>Product32</v>
      </c>
      <c r="V66" s="12">
        <f>GETPIVOTDATA("Sum of TOTAL SELLING VALUE",$P$3,"PRODUCT","Product32","UOM","Kg")</f>
        <v>16329.72</v>
      </c>
      <c r="W66" s="12">
        <f>GETPIVOTDATA("Sum of QUANTITY",$P$3,"PRODUCT","Product32","UOM","Kg")</f>
        <v>139</v>
      </c>
      <c r="X66" s="12"/>
      <c r="Y66" s="12"/>
      <c r="Z66" s="12"/>
      <c r="AA66" s="12"/>
    </row>
    <row r="67" spans="16:27" x14ac:dyDescent="0.35">
      <c r="P67" s="17" t="s">
        <v>9</v>
      </c>
      <c r="Q67" s="12">
        <v>16329.72</v>
      </c>
      <c r="R67" s="12">
        <v>139</v>
      </c>
      <c r="S67" s="12"/>
      <c r="T67" s="12"/>
      <c r="U67" s="12" t="str">
        <f ca="1">OFFSET(P:P,23,0,COUNT(Q:Q))</f>
        <v>Kg</v>
      </c>
      <c r="V67" s="12"/>
      <c r="W67" s="12"/>
      <c r="X67" s="12"/>
      <c r="Y67" s="12"/>
      <c r="Z67" s="12"/>
      <c r="AA67" s="12"/>
    </row>
    <row r="68" spans="16:27" x14ac:dyDescent="0.35">
      <c r="P68" s="16" t="s">
        <v>76</v>
      </c>
      <c r="Q68" s="12"/>
      <c r="R68" s="12"/>
      <c r="S68" s="12"/>
      <c r="T68">
        <f t="shared" si="7"/>
        <v>4</v>
      </c>
      <c r="U68" s="12" t="str">
        <f ca="1">OFFSET(P:P,24,0,COUNT(Q:Q))</f>
        <v>Product33</v>
      </c>
      <c r="V68" s="12">
        <f>GETPIVOTDATA("Sum of TOTAL SELLING VALUE",$P$3,"PRODUCT","Product33","UOM","Kg")</f>
        <v>13645.800000000001</v>
      </c>
      <c r="W68" s="12">
        <f>GETPIVOTDATA("Sum of QUANTITY",$P$3,"PRODUCT","Product33","UOM","Kg")</f>
        <v>114</v>
      </c>
      <c r="X68" s="12"/>
      <c r="Y68" s="12"/>
      <c r="Z68" s="12"/>
      <c r="AA68" s="12"/>
    </row>
    <row r="69" spans="16:27" x14ac:dyDescent="0.35">
      <c r="P69" s="17" t="s">
        <v>9</v>
      </c>
      <c r="Q69" s="12">
        <v>13645.800000000001</v>
      </c>
      <c r="R69" s="12">
        <v>114</v>
      </c>
      <c r="S69" s="12"/>
      <c r="T69" s="12"/>
      <c r="U69" s="12" t="str">
        <f ca="1">OFFSET(P:P,25,0,COUNT(Q:Q))</f>
        <v>Kg</v>
      </c>
      <c r="V69" s="12"/>
      <c r="W69" s="12"/>
      <c r="X69" s="12"/>
      <c r="Y69" s="12"/>
      <c r="Z69" s="12"/>
      <c r="AA69" s="12"/>
    </row>
    <row r="70" spans="16:27" x14ac:dyDescent="0.35">
      <c r="P70" s="16" t="s">
        <v>78</v>
      </c>
      <c r="Q70" s="12"/>
      <c r="R70" s="12"/>
      <c r="S70" s="12"/>
      <c r="T70">
        <f t="shared" si="7"/>
        <v>4</v>
      </c>
      <c r="U70" s="12" t="str">
        <f ca="1">OFFSET(P:P,26,0,COUNT(Q:Q))</f>
        <v>Product34</v>
      </c>
      <c r="V70" s="12">
        <f>GETPIVOTDATA("Sum of TOTAL SELLING VALUE",$P$3,"PRODUCT","Product34","UOM","Lt")</f>
        <v>8978.2000000000007</v>
      </c>
      <c r="W70" s="12">
        <f>GETPIVOTDATA("Sum of QUANTITY",$P$3,"PRODUCT","Product34","UOM","Lt")</f>
        <v>154</v>
      </c>
      <c r="X70" s="12"/>
      <c r="Y70" s="12"/>
      <c r="Z70" s="12"/>
      <c r="AA70" s="12"/>
    </row>
    <row r="71" spans="16:27" x14ac:dyDescent="0.35">
      <c r="P71" s="17" t="s">
        <v>109</v>
      </c>
      <c r="Q71" s="12">
        <v>8978.2000000000007</v>
      </c>
      <c r="R71" s="12">
        <v>154</v>
      </c>
      <c r="S71" s="12"/>
      <c r="T71" s="12"/>
      <c r="U71" s="12" t="str">
        <f ca="1">OFFSET(P:P,27,0,COUNT(Q:Q))</f>
        <v>Lt</v>
      </c>
      <c r="V71" s="12"/>
      <c r="W71" s="12"/>
      <c r="X71" s="12"/>
      <c r="Y71" s="12"/>
      <c r="Z71" s="12"/>
      <c r="AA71" s="12"/>
    </row>
    <row r="72" spans="16:27" x14ac:dyDescent="0.35">
      <c r="P72" s="16" t="s">
        <v>80</v>
      </c>
      <c r="Q72" s="12"/>
      <c r="R72" s="12"/>
      <c r="S72" s="12"/>
      <c r="T72">
        <f t="shared" si="7"/>
        <v>10</v>
      </c>
      <c r="U72" s="12" t="str">
        <f ca="1">OFFSET(P:P,28,0,COUNT(Q:Q))</f>
        <v>Product35</v>
      </c>
      <c r="V72" s="12">
        <f>GETPIVOTDATA("Sum of TOTAL SELLING VALUE",$P$3,"PRODUCT","Product35","UOM","No.")</f>
        <v>703.5</v>
      </c>
      <c r="W72" s="12">
        <f>GETPIVOTDATA("Sum of QUANTITY",$P$3,"PRODUCT","Product35","UOM","No.")</f>
        <v>105</v>
      </c>
      <c r="X72" s="12"/>
      <c r="Y72" s="12"/>
      <c r="Z72" s="12"/>
      <c r="AA72" s="12"/>
    </row>
    <row r="73" spans="16:27" x14ac:dyDescent="0.35">
      <c r="P73" s="17" t="s">
        <v>111</v>
      </c>
      <c r="Q73" s="12">
        <v>703.5</v>
      </c>
      <c r="R73" s="12">
        <v>105</v>
      </c>
      <c r="S73" s="12"/>
      <c r="T73" s="12"/>
      <c r="U73" s="12" t="str">
        <f ca="1">OFFSET(P:P,29,0,COUNT(Q:Q))</f>
        <v>No.</v>
      </c>
      <c r="V73" s="12"/>
      <c r="W73" s="12"/>
      <c r="X73" s="12"/>
      <c r="Y73" s="12"/>
      <c r="Z73" s="12"/>
      <c r="AA73" s="12"/>
    </row>
    <row r="74" spans="16:27" x14ac:dyDescent="0.35">
      <c r="P74" s="16" t="s">
        <v>82</v>
      </c>
      <c r="Q74" s="12"/>
      <c r="R74" s="12"/>
      <c r="S74" s="12"/>
      <c r="T74">
        <f t="shared" si="7"/>
        <v>6</v>
      </c>
      <c r="U74" s="12" t="str">
        <f ca="1">OFFSET(P:P,30,0,COUNT(Q:Q))</f>
        <v>Product36</v>
      </c>
      <c r="V74" s="12">
        <f>GETPIVOTDATA("Sum of TOTAL SELLING VALUE",$P$3,"PRODUCT","Product36","UOM","Kg")</f>
        <v>7222.5</v>
      </c>
      <c r="W74" s="12">
        <f>GETPIVOTDATA("Sum of QUANTITY",$P$3,"PRODUCT","Product36","UOM","Kg")</f>
        <v>75</v>
      </c>
      <c r="X74" s="12"/>
      <c r="Y74" s="12"/>
      <c r="Z74" s="12"/>
      <c r="AA74" s="12"/>
    </row>
    <row r="75" spans="16:27" x14ac:dyDescent="0.35">
      <c r="P75" s="17" t="s">
        <v>9</v>
      </c>
      <c r="Q75" s="12">
        <v>7222.5</v>
      </c>
      <c r="R75" s="12">
        <v>75</v>
      </c>
      <c r="S75" s="12"/>
      <c r="T75" s="12"/>
      <c r="U75" s="12" t="str">
        <f ca="1">OFFSET(P:P,31,0,COUNT(Q:Q))</f>
        <v>Kg</v>
      </c>
      <c r="V75" s="12"/>
      <c r="W75" s="12"/>
      <c r="X75" s="12"/>
      <c r="Y75" s="12"/>
      <c r="Z75" s="12"/>
      <c r="AA75" s="12"/>
    </row>
    <row r="76" spans="16:27" x14ac:dyDescent="0.35">
      <c r="P76" s="16" t="s">
        <v>84</v>
      </c>
      <c r="Q76" s="12"/>
      <c r="R76" s="12"/>
      <c r="S76" s="12"/>
      <c r="T76">
        <f t="shared" si="7"/>
        <v>7</v>
      </c>
      <c r="U76" s="12" t="str">
        <f ca="1">OFFSET(P:P,32,0,COUNT(Q:Q))</f>
        <v>Product37</v>
      </c>
      <c r="V76" s="12">
        <f>GETPIVOTDATA("Sum of TOTAL SELLING VALUE",$P$3,"PRODUCT","Product37","UOM","Kg")</f>
        <v>5145.6000000000004</v>
      </c>
      <c r="W76" s="12">
        <f>GETPIVOTDATA("Sum of QUANTITY",$P$3,"PRODUCT","Product37","UOM","Kg")</f>
        <v>60</v>
      </c>
      <c r="X76" s="12"/>
      <c r="Y76" s="12"/>
      <c r="Z76" s="12"/>
      <c r="AA76" s="12"/>
    </row>
    <row r="77" spans="16:27" x14ac:dyDescent="0.35">
      <c r="P77" s="17" t="s">
        <v>9</v>
      </c>
      <c r="Q77" s="12">
        <v>5145.6000000000004</v>
      </c>
      <c r="R77" s="12">
        <v>60</v>
      </c>
      <c r="S77" s="12"/>
      <c r="T77" s="12"/>
      <c r="U77" s="12" t="str">
        <f ca="1">OFFSET(P:P,33,0,COUNT(Q:Q))</f>
        <v>Kg</v>
      </c>
      <c r="V77" s="12"/>
      <c r="W77" s="12"/>
      <c r="X77" s="12"/>
      <c r="Y77" s="12"/>
      <c r="Z77" s="12"/>
      <c r="AA77" s="12"/>
    </row>
    <row r="78" spans="16:27" x14ac:dyDescent="0.35">
      <c r="P78" s="16" t="s">
        <v>87</v>
      </c>
      <c r="Q78" s="12"/>
      <c r="R78" s="12"/>
      <c r="S78" s="12"/>
      <c r="T78">
        <f t="shared" si="7"/>
        <v>4</v>
      </c>
      <c r="U78" s="12" t="str">
        <f ca="1">OFFSET(P:P,34,0,COUNT(Q:Q))</f>
        <v>Product38</v>
      </c>
      <c r="V78" s="12">
        <f>GETPIVOTDATA("Sum of TOTAL SELLING VALUE",$P$3,"PRODUCT","Product38","UOM","Kg")</f>
        <v>8871.1200000000008</v>
      </c>
      <c r="W78" s="12">
        <f>GETPIVOTDATA("Sum of QUANTITY",$P$3,"PRODUCT","Product38","UOM","Kg")</f>
        <v>111</v>
      </c>
      <c r="X78" s="12"/>
      <c r="Y78" s="12"/>
      <c r="Z78" s="12"/>
      <c r="AA78" s="12"/>
    </row>
    <row r="79" spans="16:27" x14ac:dyDescent="0.35">
      <c r="P79" s="17" t="s">
        <v>9</v>
      </c>
      <c r="Q79" s="12">
        <v>8871.1200000000008</v>
      </c>
      <c r="R79" s="12">
        <v>111</v>
      </c>
      <c r="S79" s="12"/>
      <c r="T79" s="12"/>
      <c r="U79" s="12" t="str">
        <f ca="1">OFFSET(P:P,35,0,COUNT(Q:Q))</f>
        <v>Kg</v>
      </c>
      <c r="V79" s="12"/>
      <c r="W79" s="12"/>
      <c r="X79" s="12"/>
      <c r="Y79" s="12"/>
      <c r="Z79" s="12"/>
      <c r="AA79" s="12"/>
    </row>
    <row r="80" spans="16:27" x14ac:dyDescent="0.35">
      <c r="P80" s="16" t="s">
        <v>89</v>
      </c>
      <c r="Q80" s="12"/>
      <c r="R80" s="12"/>
      <c r="S80" s="12"/>
      <c r="T80">
        <f t="shared" si="7"/>
        <v>6</v>
      </c>
      <c r="U80" s="12" t="str">
        <f ca="1">OFFSET(P:P,36,0,COUNT(Q:Q))</f>
        <v>Product39</v>
      </c>
      <c r="V80" s="12">
        <f>GETPIVOTDATA("Sum of TOTAL SELLING VALUE",$P$3,"PRODUCT","Product39","UOM","No.")</f>
        <v>3957.15</v>
      </c>
      <c r="W80" s="12">
        <f>GETPIVOTDATA("Sum of QUANTITY",$P$3,"PRODUCT","Product39","UOM","No.")</f>
        <v>93</v>
      </c>
      <c r="X80" s="12"/>
      <c r="Y80" s="12"/>
      <c r="Z80" s="12"/>
      <c r="AA80" s="12"/>
    </row>
    <row r="81" spans="16:27" x14ac:dyDescent="0.35">
      <c r="P81" s="17" t="s">
        <v>111</v>
      </c>
      <c r="Q81" s="12">
        <v>3957.15</v>
      </c>
      <c r="R81" s="12">
        <v>93</v>
      </c>
      <c r="S81" s="12"/>
      <c r="T81" s="12"/>
      <c r="U81" s="12" t="str">
        <f ca="1">OFFSET(P:P,37,0,COUNT(Q:Q))</f>
        <v>No.</v>
      </c>
      <c r="V81" s="12"/>
      <c r="W81" s="12"/>
      <c r="X81" s="12"/>
      <c r="Y81" s="12"/>
      <c r="Z81" s="12"/>
      <c r="AA81" s="12"/>
    </row>
    <row r="82" spans="16:27" x14ac:dyDescent="0.35">
      <c r="P82" s="16" t="s">
        <v>91</v>
      </c>
      <c r="Q82" s="12"/>
      <c r="R82" s="12"/>
      <c r="S82" s="12"/>
      <c r="T82">
        <f t="shared" si="7"/>
        <v>4</v>
      </c>
      <c r="U82" s="12" t="str">
        <f ca="1">OFFSET(P:P,38,0,COUNT(Q:Q))</f>
        <v>Product40</v>
      </c>
      <c r="V82" s="12">
        <f>GETPIVOTDATA("Sum of TOTAL SELLING VALUE",$P$3,"PRODUCT","Product40","UOM","Kg")</f>
        <v>7718.4000000000005</v>
      </c>
      <c r="W82" s="12">
        <f>GETPIVOTDATA("Sum of QUANTITY",$P$3,"PRODUCT","Product40","UOM","Kg")</f>
        <v>67</v>
      </c>
      <c r="X82" s="12"/>
      <c r="Y82" s="12"/>
      <c r="Z82" s="12"/>
      <c r="AA82" s="12"/>
    </row>
    <row r="83" spans="16:27" x14ac:dyDescent="0.35">
      <c r="P83" s="17" t="s">
        <v>9</v>
      </c>
      <c r="Q83" s="12">
        <v>7718.4000000000005</v>
      </c>
      <c r="R83" s="12">
        <v>67</v>
      </c>
      <c r="S83" s="12"/>
      <c r="T83" s="12"/>
      <c r="U83" s="12" t="str">
        <f ca="1">OFFSET(P:P,39,0,COUNT(Q:Q))</f>
        <v>Kg</v>
      </c>
      <c r="V83" s="12"/>
      <c r="W83" s="12"/>
      <c r="X83" s="12"/>
      <c r="Y83" s="12"/>
      <c r="Z83" s="12"/>
      <c r="AA83" s="12"/>
    </row>
    <row r="84" spans="16:27" x14ac:dyDescent="0.35">
      <c r="P84" s="16" t="s">
        <v>93</v>
      </c>
      <c r="Q84" s="12"/>
      <c r="R84" s="12"/>
      <c r="S84" s="12"/>
      <c r="T84">
        <f t="shared" si="7"/>
        <v>1</v>
      </c>
      <c r="U84" s="12" t="str">
        <f ca="1">OFFSET(P:P,40,0,COUNT(Q:Q))</f>
        <v>Product41</v>
      </c>
      <c r="V84" s="12">
        <f>GETPIVOTDATA("Sum of TOTAL SELLING VALUE",$P$3,"PRODUCT","Product41","UOM","Ft")</f>
        <v>22952.16</v>
      </c>
      <c r="W84" s="12">
        <f>GETPIVOTDATA("Sum of QUANTITY",$P$3,"PRODUCT","Product41","UOM","Ft")</f>
        <v>132</v>
      </c>
      <c r="X84" s="12"/>
      <c r="Y84" s="12"/>
      <c r="Z84" s="12"/>
      <c r="AA84" s="12"/>
    </row>
    <row r="85" spans="16:27" x14ac:dyDescent="0.35">
      <c r="P85" s="17" t="s">
        <v>110</v>
      </c>
      <c r="Q85" s="12">
        <v>22952.16</v>
      </c>
      <c r="R85" s="12">
        <v>132</v>
      </c>
      <c r="S85" s="12"/>
      <c r="T85" s="12"/>
      <c r="U85" s="12" t="str">
        <f ca="1">OFFSET(P:P,41,0,COUNT(Q:Q))</f>
        <v>Ft</v>
      </c>
      <c r="V85" s="12"/>
      <c r="W85" s="12"/>
      <c r="X85" s="12"/>
      <c r="Y85" s="12"/>
      <c r="Z85" s="12"/>
      <c r="AA85" s="12"/>
    </row>
    <row r="86" spans="16:27" x14ac:dyDescent="0.35">
      <c r="P86" s="16" t="s">
        <v>95</v>
      </c>
      <c r="Q86" s="12"/>
      <c r="R86" s="12"/>
      <c r="S86" s="12"/>
      <c r="T86">
        <f t="shared" si="7"/>
        <v>1</v>
      </c>
      <c r="U86" s="12" t="str">
        <f ca="1">OFFSET(P:P,42,0,COUNT(Q:Q))</f>
        <v>Product42</v>
      </c>
      <c r="V86" s="12">
        <f>GETPIVOTDATA("Sum of TOTAL SELLING VALUE",$P$3,"PRODUCT","Product42","UOM","Ft")</f>
        <v>20574</v>
      </c>
      <c r="W86" s="12">
        <f>GETPIVOTDATA("Sum of QUANTITY",$P$3,"PRODUCT","Product42","UOM","Ft")</f>
        <v>127</v>
      </c>
      <c r="X86" s="12"/>
      <c r="Y86" s="12"/>
      <c r="Z86" s="12"/>
      <c r="AA86" s="12"/>
    </row>
    <row r="87" spans="16:27" x14ac:dyDescent="0.35">
      <c r="P87" s="17" t="s">
        <v>110</v>
      </c>
      <c r="Q87" s="12">
        <v>20574</v>
      </c>
      <c r="R87" s="12">
        <v>127</v>
      </c>
      <c r="S87" s="12"/>
      <c r="T87" s="12"/>
      <c r="U87" s="12" t="str">
        <f ca="1">OFFSET(P:P,43,0,COUNT(Q:Q))</f>
        <v>Ft</v>
      </c>
      <c r="V87" s="12"/>
      <c r="W87" s="12"/>
      <c r="X87" s="12"/>
      <c r="Y87" s="12"/>
      <c r="Z87" s="12"/>
      <c r="AA87" s="12"/>
    </row>
    <row r="88" spans="16:27" x14ac:dyDescent="0.35">
      <c r="P88" s="16" t="s">
        <v>97</v>
      </c>
      <c r="Q88" s="12"/>
      <c r="R88" s="12"/>
      <c r="S88" s="12"/>
      <c r="T88">
        <f t="shared" si="7"/>
        <v>2</v>
      </c>
      <c r="U88" s="12" t="str">
        <f ca="1">OFFSET(P:P,44,0,COUNT(Q:Q))</f>
        <v>Product43</v>
      </c>
      <c r="V88" s="12">
        <f>GETPIVOTDATA("Sum of TOTAL SELLING VALUE",$P$3,"PRODUCT","Product43","UOM","Kg")</f>
        <v>6064.8399999999992</v>
      </c>
      <c r="W88" s="12">
        <f>GETPIVOTDATA("Sum of QUANTITY",$P$3,"PRODUCT","Product43","UOM","Kg")</f>
        <v>73</v>
      </c>
      <c r="X88" s="12"/>
      <c r="Y88" s="12"/>
      <c r="Z88" s="12"/>
      <c r="AA88" s="12"/>
    </row>
    <row r="89" spans="16:27" x14ac:dyDescent="0.35">
      <c r="P89" s="17" t="s">
        <v>9</v>
      </c>
      <c r="Q89" s="12">
        <v>6064.8399999999992</v>
      </c>
      <c r="R89" s="12">
        <v>73</v>
      </c>
      <c r="S89" s="12"/>
      <c r="T89" s="12"/>
      <c r="U89" s="12" t="str">
        <f ca="1">OFFSET(P:P,45,0,COUNT(Q:Q))</f>
        <v>Kg</v>
      </c>
      <c r="V89" s="12"/>
      <c r="W89" s="12"/>
      <c r="X89" s="12"/>
      <c r="Y89" s="12"/>
      <c r="Z89" s="12"/>
      <c r="AA89" s="12"/>
    </row>
    <row r="90" spans="16:27" x14ac:dyDescent="0.35">
      <c r="P90" s="16" t="s">
        <v>99</v>
      </c>
      <c r="Q90" s="12"/>
      <c r="R90" s="12"/>
      <c r="S90" s="12"/>
      <c r="T90">
        <f t="shared" si="7"/>
        <v>1</v>
      </c>
      <c r="U90" s="12" t="str">
        <f ca="1">OFFSET(P:P,46,0,COUNT(Q:Q))</f>
        <v>Product44</v>
      </c>
      <c r="V90" s="12">
        <f>GETPIVOTDATA("Sum of TOTAL SELLING VALUE",$P$3,"PRODUCT","Product44","UOM","Kg")</f>
        <v>16333.92</v>
      </c>
      <c r="W90" s="12">
        <f>GETPIVOTDATA("Sum of QUANTITY",$P$3,"PRODUCT","Product44","UOM","Kg")</f>
        <v>199</v>
      </c>
      <c r="X90" s="12"/>
      <c r="Y90" s="12"/>
      <c r="Z90" s="12"/>
      <c r="AA90" s="12"/>
    </row>
    <row r="91" spans="16:27" x14ac:dyDescent="0.35">
      <c r="P91" s="17" t="s">
        <v>9</v>
      </c>
      <c r="Q91" s="12">
        <v>16333.92</v>
      </c>
      <c r="R91" s="12">
        <v>199</v>
      </c>
      <c r="U91" s="12" t="str">
        <f ca="1">OFFSET(P:P,47,0,COUNT(Q:Q))</f>
        <v>Kg</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tabSelected="1" zoomScale="75" zoomScaleNormal="75" workbookViewId="0">
      <selection activeCell="N1" sqref="N1:N1048576"/>
    </sheetView>
  </sheetViews>
  <sheetFormatPr defaultRowHeight="17.25" x14ac:dyDescent="0.35"/>
  <cols>
    <col min="20" max="20" width="7.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Input Data</vt: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sayali</cp:lastModifiedBy>
  <dcterms:created xsi:type="dcterms:W3CDTF">2021-11-03T11:40:02Z</dcterms:created>
  <dcterms:modified xsi:type="dcterms:W3CDTF">2022-08-29T10:39:32Z</dcterms:modified>
</cp:coreProperties>
</file>