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2.xml" ContentType="application/vnd.ms-excel.slicer+xml"/>
  <Override PartName="/xl/webextensions/webextension1.xml" ContentType="application/vnd.ms-office.webextension+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3.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4.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E:\data analysis study\3-data analysis projects by exel\3\"/>
    </mc:Choice>
  </mc:AlternateContent>
  <xr:revisionPtr revIDLastSave="0" documentId="13_ncr:1_{F33B7904-8018-4B5F-8576-A1F435ECFEDE}" xr6:coauthVersionLast="47" xr6:coauthVersionMax="47" xr10:uidLastSave="{00000000-0000-0000-0000-000000000000}"/>
  <bookViews>
    <workbookView xWindow="-108" yWindow="-108" windowWidth="23256" windowHeight="13176" firstSheet="1" activeTab="7" xr2:uid="{00000000-000D-0000-FFFF-FFFF00000000}"/>
  </bookViews>
  <sheets>
    <sheet name="Wafle chart" sheetId="8" r:id="rId1"/>
    <sheet name="Analysis 1" sheetId="2" r:id="rId2"/>
    <sheet name="Analysis 2" sheetId="7" r:id="rId3"/>
    <sheet name="Analysis 3" sheetId="9" r:id="rId4"/>
    <sheet name="Analysis 4" sheetId="11" r:id="rId5"/>
    <sheet name="Time Frame" sheetId="5" r:id="rId6"/>
    <sheet name="Store" sheetId="4" r:id="rId7"/>
    <sheet name="Profit View" sheetId="6" r:id="rId8"/>
    <sheet name="Product Details" sheetId="10" r:id="rId9"/>
  </sheets>
  <definedNames>
    <definedName name="Slicer_Category">#N/A</definedName>
    <definedName name="Slicer_Month1">#N/A</definedName>
    <definedName name="Slicer_Store_Name">#N/A</definedName>
    <definedName name="TableStartRow">'Product Details'!$N$13</definedName>
  </definedNames>
  <calcPr calcId="191029"/>
  <pivotCaches>
    <pivotCache cacheId="652" r:id="rId10"/>
    <pivotCache cacheId="661" r:id="rId11"/>
    <pivotCache cacheId="664" r:id="rId12"/>
    <pivotCache cacheId="667" r:id="rId13"/>
    <pivotCache cacheId="1213" r:id="rId14"/>
    <pivotCache cacheId="1240" r:id="rId15"/>
    <pivotCache cacheId="1249" r:id="rId16"/>
    <pivotCache cacheId="1252" r:id="rId17"/>
    <pivotCache cacheId="1255" r:id="rId18"/>
    <pivotCache cacheId="1258" r:id="rId19"/>
    <pivotCache cacheId="1261" r:id="rId20"/>
    <pivotCache cacheId="1264" r:id="rId21"/>
    <pivotCache cacheId="1267" r:id="rId22"/>
    <pivotCache cacheId="1270" r:id="rId23"/>
    <pivotCache cacheId="1273" r:id="rId24"/>
    <pivotCache cacheId="1276" r:id="rId25"/>
    <pivotCache cacheId="1279" r:id="rId26"/>
    <pivotCache cacheId="1282" r:id="rId27"/>
    <pivotCache cacheId="1285" r:id="rId28"/>
    <pivotCache cacheId="1288" r:id="rId29"/>
    <pivotCache cacheId="1291" r:id="rId30"/>
  </pivotCaches>
  <extLst>
    <ext xmlns:x14="http://schemas.microsoft.com/office/spreadsheetml/2009/9/main" uri="{876F7934-8845-4945-9796-88D515C7AA90}">
      <x14:pivotCaches>
        <pivotCache cacheId="21" r:id="rId31"/>
        <pivotCache cacheId="22" r:id="rId32"/>
      </x14:pivotCaches>
    </ext>
    <ext xmlns:x14="http://schemas.microsoft.com/office/spreadsheetml/2009/9/main" uri="{BBE1A952-AA13-448e-AADC-164F8A28A991}">
      <x14:slicerCaches>
        <x14:slicerCache r:id="rId33"/>
        <x14:slicerCache r:id="rId34"/>
        <x14:slicerCache r:id="rId3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_Customers_9e740e1f-bb00-4f52-9c4d-47dc067c97b8" name="Dim_Customers" connection="Query - Dim_Customers"/>
          <x15:modelTable id="fact_table_81233cd1-9361-4622-a07c-97db12a95624" name="fact_table" connection="Query - fact_table"/>
          <x15:modelTable id="monthly_store_targets_6c505344-df99-498d-a86f-ba8c7f683d46" name="monthly_store_targets" connection="Query - monthly_store_targets"/>
          <x15:modelTable id="Sales_Products_d1ff0782-17cd-4293-b9f5-a4198d01e065" name="Sales_Products" connection="Query - Dim_Products"/>
          <x15:modelTable id="Dim_Salesperson_5743cfcf-7a22-4678-9cf0-50458769ee89" name="Dim_Salesperson" connection="Query - Dim_Salesperson"/>
          <x15:modelTable id="Date_dc4404bf-b2b8-4520-afbf-341ad697fa3c" name="Date" connection="Query - Date"/>
          <x15:modelTable id="Calculation_43a1073b-9f32-49e7-8ae7-e861e99452fb" name="Calculation" connection="Query - Calculation"/>
          <x15:modelTable id="fact_table  2_b3a657f2-1ee9-4da7-a6d8-da552f53a8e6" name="fact_table  2" connection="Query - fact_table (2)"/>
        </x15:modelTables>
        <x15:modelRelationships>
          <x15:modelRelationship fromTable="fact_table" fromColumn="Product ID" toTable="Sales_Products" toColumn="Product ID"/>
          <x15:modelRelationship fromTable="fact_table" fromColumn="Customer ID" toTable="Dim_Customers" toColumn="Customer ID"/>
          <x15:modelRelationship fromTable="fact_table" fromColumn="Sales Person ID" toTable="Dim_Salesperson" toColumn="Sales Person ID"/>
          <x15:modelRelationship fromTable="fact_table" fromColumn="Order Date" toTable="Date" toColumn="Order Date"/>
          <x15:modelRelationship fromTable="fact_table" fromColumn="Product ID" toTable="fact_table  2" toColumn="Product ID"/>
          <x15:modelRelationship fromTable="monthly_store_targets" fromColumn="Date" toTable="Date" toColumn="Order Date"/>
          <x15:modelRelationship fromTable="monthly_store_targets" fromColumn="Store ID" toTable="Dim_Salesperson" toColumn="Sales Person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4" i="10" l="1"/>
  <c r="D14" i="10"/>
  <c r="E14" i="10"/>
  <c r="F14" i="10"/>
  <c r="G14" i="10"/>
  <c r="H14" i="10"/>
  <c r="I14" i="10"/>
  <c r="J14" i="10"/>
  <c r="B14" i="10"/>
  <c r="S13" i="11"/>
  <c r="B15" i="10" s="1" a="1"/>
  <c r="B15" i="10" s="1"/>
  <c r="T13" i="11"/>
  <c r="C15" i="10" s="1" a="1"/>
  <c r="C15" i="10" s="1"/>
  <c r="U13" i="11"/>
  <c r="D15" i="10" s="1" a="1"/>
  <c r="D15" i="10" s="1"/>
  <c r="V13" i="11"/>
  <c r="E15" i="10" s="1" a="1"/>
  <c r="E15" i="10" s="1"/>
  <c r="W13" i="11"/>
  <c r="F15" i="10" s="1" a="1"/>
  <c r="F15" i="10" s="1"/>
  <c r="X13" i="11"/>
  <c r="G15" i="10" s="1" a="1"/>
  <c r="G15" i="10" s="1"/>
  <c r="Y13" i="11"/>
  <c r="H15" i="10" s="1" a="1"/>
  <c r="H15" i="10" s="1"/>
  <c r="Z13" i="11"/>
  <c r="I15" i="10" s="1" a="1"/>
  <c r="I15" i="10" s="1"/>
  <c r="AA13" i="11"/>
  <c r="J15" i="10" s="1" a="1"/>
  <c r="J15" i="10" s="1"/>
  <c r="S14" i="11"/>
  <c r="B16" i="10" s="1" a="1"/>
  <c r="B16" i="10" s="1"/>
  <c r="T14" i="11"/>
  <c r="C16" i="10" s="1" a="1"/>
  <c r="C16" i="10" s="1"/>
  <c r="U14" i="11"/>
  <c r="D16" i="10" s="1" a="1"/>
  <c r="D16" i="10" s="1"/>
  <c r="V14" i="11"/>
  <c r="E16" i="10" s="1" a="1"/>
  <c r="E16" i="10" s="1"/>
  <c r="W14" i="11"/>
  <c r="F16" i="10" s="1" a="1"/>
  <c r="F16" i="10" s="1"/>
  <c r="X14" i="11"/>
  <c r="G16" i="10" s="1" a="1"/>
  <c r="G16" i="10" s="1"/>
  <c r="Y14" i="11"/>
  <c r="H16" i="10" s="1" a="1"/>
  <c r="H16" i="10" s="1"/>
  <c r="Z14" i="11"/>
  <c r="I16" i="10" s="1" a="1"/>
  <c r="I16" i="10" s="1"/>
  <c r="AA14" i="11"/>
  <c r="J16" i="10" s="1" a="1"/>
  <c r="J16" i="10" s="1"/>
  <c r="S15" i="11"/>
  <c r="B17" i="10" s="1" a="1"/>
  <c r="B17" i="10" s="1"/>
  <c r="T15" i="11"/>
  <c r="C17" i="10" s="1" a="1"/>
  <c r="C17" i="10" s="1"/>
  <c r="U15" i="11"/>
  <c r="D17" i="10" s="1" a="1"/>
  <c r="D17" i="10" s="1"/>
  <c r="V15" i="11"/>
  <c r="E17" i="10" s="1" a="1"/>
  <c r="E17" i="10" s="1"/>
  <c r="W15" i="11"/>
  <c r="F17" i="10" s="1" a="1"/>
  <c r="F17" i="10" s="1"/>
  <c r="X15" i="11"/>
  <c r="G17" i="10" s="1" a="1"/>
  <c r="G17" i="10" s="1"/>
  <c r="Y15" i="11"/>
  <c r="H17" i="10" s="1" a="1"/>
  <c r="H17" i="10" s="1"/>
  <c r="Z15" i="11"/>
  <c r="I17" i="10" s="1" a="1"/>
  <c r="I17" i="10" s="1"/>
  <c r="AA15" i="11"/>
  <c r="J17" i="10" s="1" a="1"/>
  <c r="J17" i="10" s="1"/>
  <c r="S16" i="11"/>
  <c r="B18" i="10" s="1" a="1"/>
  <c r="B18" i="10" s="1"/>
  <c r="T16" i="11"/>
  <c r="C18" i="10" s="1" a="1"/>
  <c r="C18" i="10" s="1"/>
  <c r="U16" i="11"/>
  <c r="D18" i="10" s="1" a="1"/>
  <c r="D18" i="10" s="1"/>
  <c r="V16" i="11"/>
  <c r="E18" i="10" s="1" a="1"/>
  <c r="E18" i="10" s="1"/>
  <c r="W16" i="11"/>
  <c r="F18" i="10" s="1" a="1"/>
  <c r="F18" i="10" s="1"/>
  <c r="X16" i="11"/>
  <c r="G18" i="10" s="1" a="1"/>
  <c r="G18" i="10" s="1"/>
  <c r="Y16" i="11"/>
  <c r="H18" i="10" s="1" a="1"/>
  <c r="H18" i="10" s="1"/>
  <c r="Z16" i="11"/>
  <c r="I18" i="10" s="1" a="1"/>
  <c r="I18" i="10" s="1"/>
  <c r="AA16" i="11"/>
  <c r="J18" i="10" s="1" a="1"/>
  <c r="J18" i="10" s="1"/>
  <c r="S17" i="11"/>
  <c r="B19" i="10" s="1" a="1"/>
  <c r="B19" i="10" s="1"/>
  <c r="T17" i="11"/>
  <c r="C19" i="10" s="1" a="1"/>
  <c r="C19" i="10" s="1"/>
  <c r="U17" i="11"/>
  <c r="D19" i="10" s="1" a="1"/>
  <c r="D19" i="10" s="1"/>
  <c r="V17" i="11"/>
  <c r="E19" i="10" s="1" a="1"/>
  <c r="E19" i="10" s="1"/>
  <c r="W17" i="11"/>
  <c r="F19" i="10" s="1" a="1"/>
  <c r="F19" i="10" s="1"/>
  <c r="X17" i="11"/>
  <c r="G19" i="10" s="1" a="1"/>
  <c r="G19" i="10" s="1"/>
  <c r="Y17" i="11"/>
  <c r="H19" i="10" s="1" a="1"/>
  <c r="H19" i="10" s="1"/>
  <c r="Z17" i="11"/>
  <c r="I19" i="10" s="1" a="1"/>
  <c r="I19" i="10" s="1"/>
  <c r="AA17" i="11"/>
  <c r="J19" i="10" s="1" a="1"/>
  <c r="J19" i="10" s="1"/>
  <c r="S18" i="11"/>
  <c r="B20" i="10" s="1" a="1"/>
  <c r="B20" i="10" s="1"/>
  <c r="T18" i="11"/>
  <c r="C20" i="10" s="1" a="1"/>
  <c r="C20" i="10" s="1"/>
  <c r="U18" i="11"/>
  <c r="D20" i="10" s="1" a="1"/>
  <c r="D20" i="10" s="1"/>
  <c r="V18" i="11"/>
  <c r="E20" i="10" s="1" a="1"/>
  <c r="E20" i="10" s="1"/>
  <c r="W18" i="11"/>
  <c r="F20" i="10" s="1" a="1"/>
  <c r="F20" i="10" s="1"/>
  <c r="X18" i="11"/>
  <c r="G20" i="10" s="1" a="1"/>
  <c r="G20" i="10" s="1"/>
  <c r="Y18" i="11"/>
  <c r="H20" i="10" s="1" a="1"/>
  <c r="H20" i="10" s="1"/>
  <c r="Z18" i="11"/>
  <c r="I20" i="10" s="1" a="1"/>
  <c r="I20" i="10" s="1"/>
  <c r="AA18" i="11"/>
  <c r="J20" i="10" s="1" a="1"/>
  <c r="J20" i="10" s="1"/>
  <c r="S19" i="11"/>
  <c r="B21" i="10" s="1" a="1"/>
  <c r="B21" i="10" s="1"/>
  <c r="T19" i="11"/>
  <c r="C21" i="10" s="1" a="1"/>
  <c r="C21" i="10" s="1"/>
  <c r="U19" i="11"/>
  <c r="D21" i="10" s="1" a="1"/>
  <c r="D21" i="10" s="1"/>
  <c r="V19" i="11"/>
  <c r="E21" i="10" s="1" a="1"/>
  <c r="E21" i="10" s="1"/>
  <c r="W19" i="11"/>
  <c r="F21" i="10" s="1" a="1"/>
  <c r="F21" i="10" s="1"/>
  <c r="X19" i="11"/>
  <c r="G21" i="10" s="1" a="1"/>
  <c r="G21" i="10" s="1"/>
  <c r="Y19" i="11"/>
  <c r="H21" i="10" s="1" a="1"/>
  <c r="H21" i="10" s="1"/>
  <c r="Z19" i="11"/>
  <c r="I21" i="10" s="1" a="1"/>
  <c r="I21" i="10" s="1"/>
  <c r="AA19" i="11"/>
  <c r="J21" i="10" s="1" a="1"/>
  <c r="J21" i="10" s="1"/>
  <c r="S20" i="11"/>
  <c r="B22" i="10" s="1" a="1"/>
  <c r="B22" i="10" s="1"/>
  <c r="T20" i="11"/>
  <c r="C22" i="10" s="1" a="1"/>
  <c r="C22" i="10" s="1"/>
  <c r="U20" i="11"/>
  <c r="D22" i="10" s="1" a="1"/>
  <c r="D22" i="10" s="1"/>
  <c r="V20" i="11"/>
  <c r="E22" i="10" s="1" a="1"/>
  <c r="E22" i="10" s="1"/>
  <c r="W20" i="11"/>
  <c r="F22" i="10" s="1" a="1"/>
  <c r="F22" i="10" s="1"/>
  <c r="X20" i="11"/>
  <c r="G22" i="10" s="1" a="1"/>
  <c r="G22" i="10" s="1"/>
  <c r="Y20" i="11"/>
  <c r="H22" i="10" s="1" a="1"/>
  <c r="H22" i="10" s="1"/>
  <c r="Z20" i="11"/>
  <c r="I22" i="10" s="1" a="1"/>
  <c r="I22" i="10" s="1"/>
  <c r="AA20" i="11"/>
  <c r="J22" i="10" s="1" a="1"/>
  <c r="J22" i="10" s="1"/>
  <c r="S21" i="11"/>
  <c r="B23" i="10" s="1" a="1"/>
  <c r="B23" i="10" s="1"/>
  <c r="T21" i="11"/>
  <c r="C23" i="10" s="1" a="1"/>
  <c r="C23" i="10" s="1"/>
  <c r="U21" i="11"/>
  <c r="D23" i="10" s="1" a="1"/>
  <c r="D23" i="10" s="1"/>
  <c r="V21" i="11"/>
  <c r="E23" i="10" s="1" a="1"/>
  <c r="E23" i="10" s="1"/>
  <c r="W21" i="11"/>
  <c r="F23" i="10" s="1" a="1"/>
  <c r="F23" i="10" s="1"/>
  <c r="X21" i="11"/>
  <c r="G23" i="10" s="1" a="1"/>
  <c r="G23" i="10" s="1"/>
  <c r="Y21" i="11"/>
  <c r="H23" i="10" s="1" a="1"/>
  <c r="H23" i="10" s="1"/>
  <c r="Z21" i="11"/>
  <c r="I23" i="10" s="1" a="1"/>
  <c r="I23" i="10" s="1"/>
  <c r="AA21" i="11"/>
  <c r="J23" i="10" s="1" a="1"/>
  <c r="J23" i="10" s="1"/>
  <c r="S22" i="11"/>
  <c r="B24" i="10" s="1" a="1"/>
  <c r="B24" i="10" s="1"/>
  <c r="T22" i="11"/>
  <c r="C24" i="10" s="1" a="1"/>
  <c r="C24" i="10" s="1"/>
  <c r="U22" i="11"/>
  <c r="D24" i="10" s="1" a="1"/>
  <c r="D24" i="10" s="1"/>
  <c r="V22" i="11"/>
  <c r="E24" i="10" s="1" a="1"/>
  <c r="E24" i="10" s="1"/>
  <c r="W22" i="11"/>
  <c r="F24" i="10" s="1" a="1"/>
  <c r="F24" i="10" s="1"/>
  <c r="X22" i="11"/>
  <c r="G24" i="10" s="1" a="1"/>
  <c r="G24" i="10" s="1"/>
  <c r="Y22" i="11"/>
  <c r="H24" i="10" s="1" a="1"/>
  <c r="H24" i="10" s="1"/>
  <c r="Z22" i="11"/>
  <c r="I24" i="10" s="1" a="1"/>
  <c r="I24" i="10" s="1"/>
  <c r="AA22" i="11"/>
  <c r="J24" i="10" s="1" a="1"/>
  <c r="J24" i="10" s="1"/>
  <c r="S23" i="11"/>
  <c r="B25" i="10" s="1" a="1"/>
  <c r="B25" i="10" s="1"/>
  <c r="T23" i="11"/>
  <c r="C25" i="10" s="1" a="1"/>
  <c r="C25" i="10" s="1"/>
  <c r="U23" i="11"/>
  <c r="D25" i="10" s="1" a="1"/>
  <c r="D25" i="10" s="1"/>
  <c r="V23" i="11"/>
  <c r="E25" i="10" s="1" a="1"/>
  <c r="E25" i="10" s="1"/>
  <c r="W23" i="11"/>
  <c r="F25" i="10" s="1" a="1"/>
  <c r="F25" i="10" s="1"/>
  <c r="X23" i="11"/>
  <c r="G25" i="10" s="1" a="1"/>
  <c r="G25" i="10" s="1"/>
  <c r="Y23" i="11"/>
  <c r="H25" i="10" s="1" a="1"/>
  <c r="H25" i="10" s="1"/>
  <c r="Z23" i="11"/>
  <c r="I25" i="10" s="1" a="1"/>
  <c r="I25" i="10" s="1"/>
  <c r="AA23" i="11"/>
  <c r="J25" i="10" s="1" a="1"/>
  <c r="J25" i="10" s="1"/>
  <c r="S24" i="11"/>
  <c r="B26" i="10" s="1" a="1"/>
  <c r="B26" i="10" s="1"/>
  <c r="T24" i="11"/>
  <c r="C26" i="10" s="1" a="1"/>
  <c r="C26" i="10" s="1"/>
  <c r="U24" i="11"/>
  <c r="D26" i="10" s="1" a="1"/>
  <c r="D26" i="10" s="1"/>
  <c r="V24" i="11"/>
  <c r="E26" i="10" s="1" a="1"/>
  <c r="E26" i="10" s="1"/>
  <c r="W24" i="11"/>
  <c r="F26" i="10" s="1" a="1"/>
  <c r="F26" i="10" s="1"/>
  <c r="X24" i="11"/>
  <c r="G26" i="10" s="1" a="1"/>
  <c r="G26" i="10" s="1"/>
  <c r="Y24" i="11"/>
  <c r="H26" i="10" s="1" a="1"/>
  <c r="H26" i="10" s="1"/>
  <c r="Z24" i="11"/>
  <c r="I26" i="10" s="1" a="1"/>
  <c r="I26" i="10" s="1"/>
  <c r="AA24" i="11"/>
  <c r="J26" i="10" s="1" a="1"/>
  <c r="J26" i="10" s="1"/>
  <c r="S25" i="11"/>
  <c r="B27" i="10" s="1" a="1"/>
  <c r="B27" i="10" s="1"/>
  <c r="T25" i="11"/>
  <c r="C27" i="10" s="1" a="1"/>
  <c r="C27" i="10" s="1"/>
  <c r="U25" i="11"/>
  <c r="D27" i="10" s="1" a="1"/>
  <c r="D27" i="10" s="1"/>
  <c r="V25" i="11"/>
  <c r="E27" i="10" s="1" a="1"/>
  <c r="E27" i="10" s="1"/>
  <c r="W25" i="11"/>
  <c r="F27" i="10" s="1" a="1"/>
  <c r="F27" i="10" s="1"/>
  <c r="X25" i="11"/>
  <c r="G27" i="10" s="1" a="1"/>
  <c r="G27" i="10" s="1"/>
  <c r="Y25" i="11"/>
  <c r="H27" i="10" s="1" a="1"/>
  <c r="H27" i="10" s="1"/>
  <c r="Z25" i="11"/>
  <c r="I27" i="10" s="1" a="1"/>
  <c r="I27" i="10" s="1"/>
  <c r="AA25" i="11"/>
  <c r="J27" i="10" s="1" a="1"/>
  <c r="J27" i="10" s="1"/>
  <c r="S26" i="11"/>
  <c r="B28" i="10" s="1" a="1"/>
  <c r="B28" i="10" s="1"/>
  <c r="T26" i="11"/>
  <c r="C28" i="10" s="1" a="1"/>
  <c r="C28" i="10" s="1"/>
  <c r="U26" i="11"/>
  <c r="D28" i="10" s="1" a="1"/>
  <c r="D28" i="10" s="1"/>
  <c r="V26" i="11"/>
  <c r="E28" i="10" s="1" a="1"/>
  <c r="E28" i="10" s="1"/>
  <c r="W26" i="11"/>
  <c r="F28" i="10" s="1" a="1"/>
  <c r="F28" i="10" s="1"/>
  <c r="X26" i="11"/>
  <c r="G28" i="10" s="1" a="1"/>
  <c r="G28" i="10" s="1"/>
  <c r="Y26" i="11"/>
  <c r="H28" i="10" s="1" a="1"/>
  <c r="H28" i="10" s="1"/>
  <c r="Z26" i="11"/>
  <c r="I28" i="10" s="1" a="1"/>
  <c r="I28" i="10" s="1"/>
  <c r="AA26" i="11"/>
  <c r="J28" i="10" s="1" a="1"/>
  <c r="J28" i="10" s="1"/>
  <c r="S27" i="11"/>
  <c r="B29" i="10" s="1" a="1"/>
  <c r="B29" i="10" s="1"/>
  <c r="T27" i="11"/>
  <c r="C29" i="10" s="1" a="1"/>
  <c r="C29" i="10" s="1"/>
  <c r="U27" i="11"/>
  <c r="D29" i="10" s="1" a="1"/>
  <c r="D29" i="10" s="1"/>
  <c r="V27" i="11"/>
  <c r="E29" i="10" s="1" a="1"/>
  <c r="E29" i="10" s="1"/>
  <c r="W27" i="11"/>
  <c r="F29" i="10" s="1" a="1"/>
  <c r="F29" i="10" s="1"/>
  <c r="X27" i="11"/>
  <c r="G29" i="10" s="1" a="1"/>
  <c r="G29" i="10" s="1"/>
  <c r="Y27" i="11"/>
  <c r="H29" i="10" s="1" a="1"/>
  <c r="H29" i="10" s="1"/>
  <c r="Z27" i="11"/>
  <c r="I29" i="10" s="1" a="1"/>
  <c r="I29" i="10" s="1"/>
  <c r="AA27" i="11"/>
  <c r="J29" i="10" s="1" a="1"/>
  <c r="J29" i="10" s="1"/>
  <c r="S28" i="11"/>
  <c r="T28" i="11"/>
  <c r="U28" i="11"/>
  <c r="V28" i="11"/>
  <c r="W28" i="11"/>
  <c r="X28" i="11"/>
  <c r="Y28" i="11"/>
  <c r="Z28" i="11"/>
  <c r="AA28" i="11"/>
  <c r="S29" i="11"/>
  <c r="T29" i="11"/>
  <c r="U29" i="11"/>
  <c r="V29" i="11"/>
  <c r="W29" i="11"/>
  <c r="X29" i="11"/>
  <c r="Y29" i="11"/>
  <c r="Z29" i="11"/>
  <c r="AA29" i="11"/>
  <c r="S30" i="11"/>
  <c r="T30" i="11"/>
  <c r="U30" i="11"/>
  <c r="V30" i="11"/>
  <c r="W30" i="11"/>
  <c r="X30" i="11"/>
  <c r="Y30" i="11"/>
  <c r="Z30" i="11"/>
  <c r="AA30" i="11"/>
  <c r="S31" i="11"/>
  <c r="T31" i="11"/>
  <c r="U31" i="11"/>
  <c r="V31" i="11"/>
  <c r="W31" i="11"/>
  <c r="X31" i="11"/>
  <c r="Y31" i="11"/>
  <c r="Z31" i="11"/>
  <c r="AA31" i="11"/>
  <c r="S32" i="11"/>
  <c r="T32" i="11"/>
  <c r="U32" i="11"/>
  <c r="V32" i="11"/>
  <c r="W32" i="11"/>
  <c r="X32" i="11"/>
  <c r="Y32" i="11"/>
  <c r="Z32" i="11"/>
  <c r="AA32" i="11"/>
  <c r="S33" i="11"/>
  <c r="T33" i="11"/>
  <c r="U33" i="11"/>
  <c r="V33" i="11"/>
  <c r="W33" i="11"/>
  <c r="X33" i="11"/>
  <c r="Y33" i="11"/>
  <c r="Z33" i="11"/>
  <c r="AA33" i="11"/>
  <c r="S34" i="11"/>
  <c r="T34" i="11"/>
  <c r="U34" i="11"/>
  <c r="V34" i="11"/>
  <c r="W34" i="11"/>
  <c r="X34" i="11"/>
  <c r="Y34" i="11"/>
  <c r="Z34" i="11"/>
  <c r="AA34" i="11"/>
  <c r="S35" i="11"/>
  <c r="T35" i="11"/>
  <c r="U35" i="11"/>
  <c r="V35" i="11"/>
  <c r="W35" i="11"/>
  <c r="X35" i="11"/>
  <c r="Y35" i="11"/>
  <c r="Z35" i="11"/>
  <c r="AA35" i="11"/>
  <c r="S36" i="11"/>
  <c r="T36" i="11"/>
  <c r="U36" i="11"/>
  <c r="V36" i="11"/>
  <c r="W36" i="11"/>
  <c r="X36" i="11"/>
  <c r="Y36" i="11"/>
  <c r="Z36" i="11"/>
  <c r="AA36" i="11"/>
  <c r="S37" i="11"/>
  <c r="T37" i="11"/>
  <c r="U37" i="11"/>
  <c r="V37" i="11"/>
  <c r="W37" i="11"/>
  <c r="X37" i="11"/>
  <c r="Y37" i="11"/>
  <c r="Z37" i="11"/>
  <c r="AA37" i="11"/>
  <c r="S38" i="11"/>
  <c r="T38" i="11"/>
  <c r="U38" i="11"/>
  <c r="V38" i="11"/>
  <c r="W38" i="11"/>
  <c r="X38" i="11"/>
  <c r="Y38" i="11"/>
  <c r="Z38" i="11"/>
  <c r="AA38" i="11"/>
  <c r="S39" i="11"/>
  <c r="T39" i="11"/>
  <c r="U39" i="11"/>
  <c r="V39" i="11"/>
  <c r="W39" i="11"/>
  <c r="X39" i="11"/>
  <c r="Y39" i="11"/>
  <c r="Z39" i="11"/>
  <c r="AA39" i="11"/>
  <c r="S40" i="11"/>
  <c r="T40" i="11"/>
  <c r="U40" i="11"/>
  <c r="V40" i="11"/>
  <c r="W40" i="11"/>
  <c r="X40" i="11"/>
  <c r="Y40" i="11"/>
  <c r="Z40" i="11"/>
  <c r="AA40" i="11"/>
  <c r="S41" i="11"/>
  <c r="T41" i="11"/>
  <c r="U41" i="11"/>
  <c r="V41" i="11"/>
  <c r="W41" i="11"/>
  <c r="X41" i="11"/>
  <c r="Y41" i="11"/>
  <c r="Z41" i="11"/>
  <c r="AA41" i="11"/>
  <c r="S42" i="11"/>
  <c r="T42" i="11"/>
  <c r="U42" i="11"/>
  <c r="V42" i="11"/>
  <c r="W42" i="11"/>
  <c r="X42" i="11"/>
  <c r="Y42" i="11"/>
  <c r="Z42" i="11"/>
  <c r="AA42" i="11"/>
  <c r="S43" i="11"/>
  <c r="T43" i="11"/>
  <c r="U43" i="11"/>
  <c r="V43" i="11"/>
  <c r="W43" i="11"/>
  <c r="X43" i="11"/>
  <c r="Y43" i="11"/>
  <c r="Z43" i="11"/>
  <c r="AA43" i="11"/>
  <c r="S44" i="11"/>
  <c r="T44" i="11"/>
  <c r="U44" i="11"/>
  <c r="V44" i="11"/>
  <c r="W44" i="11"/>
  <c r="X44" i="11"/>
  <c r="Y44" i="11"/>
  <c r="Z44" i="11"/>
  <c r="AA44" i="11"/>
  <c r="S45" i="11"/>
  <c r="T45" i="11"/>
  <c r="U45" i="11"/>
  <c r="V45" i="11"/>
  <c r="W45" i="11"/>
  <c r="X45" i="11"/>
  <c r="Y45" i="11"/>
  <c r="Z45" i="11"/>
  <c r="AA45" i="11"/>
  <c r="S46" i="11"/>
  <c r="T46" i="11"/>
  <c r="U46" i="11"/>
  <c r="V46" i="11"/>
  <c r="W46" i="11"/>
  <c r="X46" i="11"/>
  <c r="Y46" i="11"/>
  <c r="Z46" i="11"/>
  <c r="AA46" i="11"/>
  <c r="S47" i="11"/>
  <c r="T47" i="11"/>
  <c r="U47" i="11"/>
  <c r="V47" i="11"/>
  <c r="W47" i="11"/>
  <c r="X47" i="11"/>
  <c r="Y47" i="11"/>
  <c r="Z47" i="11"/>
  <c r="AA47" i="11"/>
  <c r="S48" i="11"/>
  <c r="T48" i="11"/>
  <c r="U48" i="11"/>
  <c r="V48" i="11"/>
  <c r="W48" i="11"/>
  <c r="X48" i="11"/>
  <c r="Y48" i="11"/>
  <c r="Z48" i="11"/>
  <c r="AA48" i="11"/>
  <c r="S49" i="11"/>
  <c r="T49" i="11"/>
  <c r="U49" i="11"/>
  <c r="V49" i="11"/>
  <c r="W49" i="11"/>
  <c r="X49" i="11"/>
  <c r="Y49" i="11"/>
  <c r="Z49" i="11"/>
  <c r="AA49" i="11"/>
  <c r="S50" i="11"/>
  <c r="T50" i="11"/>
  <c r="U50" i="11"/>
  <c r="V50" i="11"/>
  <c r="W50" i="11"/>
  <c r="X50" i="11"/>
  <c r="Y50" i="11"/>
  <c r="Z50" i="11"/>
  <c r="AA50" i="11"/>
  <c r="S51" i="11"/>
  <c r="T51" i="11"/>
  <c r="U51" i="11"/>
  <c r="V51" i="11"/>
  <c r="W51" i="11"/>
  <c r="X51" i="11"/>
  <c r="Y51" i="11"/>
  <c r="Z51" i="11"/>
  <c r="AA51" i="11"/>
  <c r="S52" i="11"/>
  <c r="T52" i="11"/>
  <c r="U52" i="11"/>
  <c r="V52" i="11"/>
  <c r="W52" i="11"/>
  <c r="X52" i="11"/>
  <c r="Y52" i="11"/>
  <c r="Z52" i="11"/>
  <c r="AA52" i="11"/>
  <c r="S53" i="11"/>
  <c r="T53" i="11"/>
  <c r="U53" i="11"/>
  <c r="V53" i="11"/>
  <c r="W53" i="11"/>
  <c r="X53" i="11"/>
  <c r="Y53" i="11"/>
  <c r="Z53" i="11"/>
  <c r="AA53" i="11"/>
  <c r="S54" i="11"/>
  <c r="T54" i="11"/>
  <c r="U54" i="11"/>
  <c r="V54" i="11"/>
  <c r="W54" i="11"/>
  <c r="X54" i="11"/>
  <c r="Y54" i="11"/>
  <c r="Z54" i="11"/>
  <c r="AA54" i="11"/>
  <c r="S55" i="11"/>
  <c r="T55" i="11"/>
  <c r="U55" i="11"/>
  <c r="V55" i="11"/>
  <c r="W55" i="11"/>
  <c r="X55" i="11"/>
  <c r="Y55" i="11"/>
  <c r="Z55" i="11"/>
  <c r="AA55" i="11"/>
  <c r="S56" i="11"/>
  <c r="T56" i="11"/>
  <c r="U56" i="11"/>
  <c r="V56" i="11"/>
  <c r="W56" i="11"/>
  <c r="X56" i="11"/>
  <c r="Y56" i="11"/>
  <c r="Z56" i="11"/>
  <c r="AA56" i="11"/>
  <c r="S57" i="11"/>
  <c r="T57" i="11"/>
  <c r="U57" i="11"/>
  <c r="V57" i="11"/>
  <c r="W57" i="11"/>
  <c r="X57" i="11"/>
  <c r="Y57" i="11"/>
  <c r="Z57" i="11"/>
  <c r="AA57" i="11"/>
  <c r="S58" i="11"/>
  <c r="T58" i="11"/>
  <c r="U58" i="11"/>
  <c r="V58" i="11"/>
  <c r="W58" i="11"/>
  <c r="X58" i="11"/>
  <c r="Y58" i="11"/>
  <c r="Z58" i="11"/>
  <c r="AA58" i="11"/>
  <c r="S59" i="11"/>
  <c r="T59" i="11"/>
  <c r="U59" i="11"/>
  <c r="V59" i="11"/>
  <c r="W59" i="11"/>
  <c r="X59" i="11"/>
  <c r="Y59" i="11"/>
  <c r="Z59" i="11"/>
  <c r="AA59" i="11"/>
  <c r="S60" i="11"/>
  <c r="T60" i="11"/>
  <c r="U60" i="11"/>
  <c r="V60" i="11"/>
  <c r="W60" i="11"/>
  <c r="X60" i="11"/>
  <c r="Y60" i="11"/>
  <c r="Z60" i="11"/>
  <c r="AA60" i="11"/>
  <c r="S61" i="11"/>
  <c r="T61" i="11"/>
  <c r="U61" i="11"/>
  <c r="V61" i="11"/>
  <c r="W61" i="11"/>
  <c r="X61" i="11"/>
  <c r="Y61" i="11"/>
  <c r="Z61" i="11"/>
  <c r="AA61" i="11"/>
  <c r="S62" i="11"/>
  <c r="T62" i="11"/>
  <c r="U62" i="11"/>
  <c r="V62" i="11"/>
  <c r="W62" i="11"/>
  <c r="X62" i="11"/>
  <c r="Y62" i="11"/>
  <c r="Z62" i="11"/>
  <c r="AA62" i="11"/>
  <c r="S63" i="11"/>
  <c r="T63" i="11"/>
  <c r="U63" i="11"/>
  <c r="V63" i="11"/>
  <c r="W63" i="11"/>
  <c r="X63" i="11"/>
  <c r="Y63" i="11"/>
  <c r="Z63" i="11"/>
  <c r="AA63" i="11"/>
  <c r="S64" i="11"/>
  <c r="T64" i="11"/>
  <c r="U64" i="11"/>
  <c r="V64" i="11"/>
  <c r="W64" i="11"/>
  <c r="X64" i="11"/>
  <c r="Y64" i="11"/>
  <c r="Z64" i="11"/>
  <c r="AA64" i="11"/>
  <c r="S65" i="11"/>
  <c r="T65" i="11"/>
  <c r="U65" i="11"/>
  <c r="V65" i="11"/>
  <c r="W65" i="11"/>
  <c r="X65" i="11"/>
  <c r="Y65" i="11"/>
  <c r="Z65" i="11"/>
  <c r="AA65" i="11"/>
  <c r="S66" i="11"/>
  <c r="T66" i="11"/>
  <c r="U66" i="11"/>
  <c r="V66" i="11"/>
  <c r="W66" i="11"/>
  <c r="X66" i="11"/>
  <c r="Y66" i="11"/>
  <c r="Z66" i="11"/>
  <c r="AA66" i="11"/>
  <c r="S67" i="11"/>
  <c r="T67" i="11"/>
  <c r="U67" i="11"/>
  <c r="V67" i="11"/>
  <c r="W67" i="11"/>
  <c r="X67" i="11"/>
  <c r="Y67" i="11"/>
  <c r="Z67" i="11"/>
  <c r="AA67" i="11"/>
  <c r="S68" i="11"/>
  <c r="T68" i="11"/>
  <c r="U68" i="11"/>
  <c r="V68" i="11"/>
  <c r="W68" i="11"/>
  <c r="X68" i="11"/>
  <c r="Y68" i="11"/>
  <c r="Z68" i="11"/>
  <c r="AA68" i="11"/>
  <c r="S69" i="11"/>
  <c r="T69" i="11"/>
  <c r="U69" i="11"/>
  <c r="V69" i="11"/>
  <c r="W69" i="11"/>
  <c r="X69" i="11"/>
  <c r="Y69" i="11"/>
  <c r="Z69" i="11"/>
  <c r="AA69" i="11"/>
  <c r="S70" i="11"/>
  <c r="T70" i="11"/>
  <c r="U70" i="11"/>
  <c r="V70" i="11"/>
  <c r="W70" i="11"/>
  <c r="X70" i="11"/>
  <c r="Y70" i="11"/>
  <c r="Z70" i="11"/>
  <c r="AA70" i="11"/>
  <c r="S71" i="11"/>
  <c r="T71" i="11"/>
  <c r="U71" i="11"/>
  <c r="V71" i="11"/>
  <c r="W71" i="11"/>
  <c r="X71" i="11"/>
  <c r="Y71" i="11"/>
  <c r="Z71" i="11"/>
  <c r="AA71" i="11"/>
  <c r="S72" i="11"/>
  <c r="T72" i="11"/>
  <c r="U72" i="11"/>
  <c r="V72" i="11"/>
  <c r="W72" i="11"/>
  <c r="X72" i="11"/>
  <c r="Y72" i="11"/>
  <c r="Z72" i="11"/>
  <c r="AA72" i="11"/>
  <c r="S73" i="11"/>
  <c r="T73" i="11"/>
  <c r="U73" i="11"/>
  <c r="V73" i="11"/>
  <c r="W73" i="11"/>
  <c r="X73" i="11"/>
  <c r="Y73" i="11"/>
  <c r="Z73" i="11"/>
  <c r="AA73" i="11"/>
  <c r="S74" i="11"/>
  <c r="T74" i="11"/>
  <c r="U74" i="11"/>
  <c r="V74" i="11"/>
  <c r="W74" i="11"/>
  <c r="X74" i="11"/>
  <c r="Y74" i="11"/>
  <c r="Z74" i="11"/>
  <c r="AA74" i="11"/>
  <c r="S75" i="11"/>
  <c r="T75" i="11"/>
  <c r="U75" i="11"/>
  <c r="V75" i="11"/>
  <c r="W75" i="11"/>
  <c r="X75" i="11"/>
  <c r="Y75" i="11"/>
  <c r="Z75" i="11"/>
  <c r="AA75" i="11"/>
  <c r="S76" i="11"/>
  <c r="T76" i="11"/>
  <c r="U76" i="11"/>
  <c r="V76" i="11"/>
  <c r="W76" i="11"/>
  <c r="X76" i="11"/>
  <c r="Y76" i="11"/>
  <c r="Z76" i="11"/>
  <c r="AA76" i="11"/>
  <c r="S77" i="11"/>
  <c r="T77" i="11"/>
  <c r="U77" i="11"/>
  <c r="V77" i="11"/>
  <c r="W77" i="11"/>
  <c r="X77" i="11"/>
  <c r="Y77" i="11"/>
  <c r="Z77" i="11"/>
  <c r="AA77" i="11"/>
  <c r="S78" i="11"/>
  <c r="T78" i="11"/>
  <c r="U78" i="11"/>
  <c r="V78" i="11"/>
  <c r="W78" i="11"/>
  <c r="X78" i="11"/>
  <c r="Y78" i="11"/>
  <c r="Z78" i="11"/>
  <c r="AA78" i="11"/>
  <c r="S79" i="11"/>
  <c r="T79" i="11"/>
  <c r="U79" i="11"/>
  <c r="V79" i="11"/>
  <c r="W79" i="11"/>
  <c r="X79" i="11"/>
  <c r="Y79" i="11"/>
  <c r="Z79" i="11"/>
  <c r="AA79" i="11"/>
  <c r="S80" i="11"/>
  <c r="T80" i="11"/>
  <c r="U80" i="11"/>
  <c r="V80" i="11"/>
  <c r="W80" i="11"/>
  <c r="X80" i="11"/>
  <c r="Y80" i="11"/>
  <c r="Z80" i="11"/>
  <c r="AA80" i="11"/>
  <c r="S81" i="11"/>
  <c r="T81" i="11"/>
  <c r="U81" i="11"/>
  <c r="V81" i="11"/>
  <c r="W81" i="11"/>
  <c r="X81" i="11"/>
  <c r="Y81" i="11"/>
  <c r="Z81" i="11"/>
  <c r="AA81" i="11"/>
  <c r="S82" i="11"/>
  <c r="T82" i="11"/>
  <c r="U82" i="11"/>
  <c r="V82" i="11"/>
  <c r="W82" i="11"/>
  <c r="X82" i="11"/>
  <c r="Y82" i="11"/>
  <c r="Z82" i="11"/>
  <c r="AA82" i="11"/>
  <c r="S83" i="11"/>
  <c r="T83" i="11"/>
  <c r="U83" i="11"/>
  <c r="V83" i="11"/>
  <c r="W83" i="11"/>
  <c r="X83" i="11"/>
  <c r="Y83" i="11"/>
  <c r="Z83" i="11"/>
  <c r="AA83" i="11"/>
  <c r="S84" i="11"/>
  <c r="T84" i="11"/>
  <c r="U84" i="11"/>
  <c r="V84" i="11"/>
  <c r="W84" i="11"/>
  <c r="X84" i="11"/>
  <c r="Y84" i="11"/>
  <c r="Z84" i="11"/>
  <c r="AA84" i="11"/>
  <c r="S85" i="11"/>
  <c r="T85" i="11"/>
  <c r="U85" i="11"/>
  <c r="V85" i="11"/>
  <c r="W85" i="11"/>
  <c r="X85" i="11"/>
  <c r="Y85" i="11"/>
  <c r="Z85" i="11"/>
  <c r="AA85" i="11"/>
  <c r="S86" i="11"/>
  <c r="T86" i="11"/>
  <c r="U86" i="11"/>
  <c r="V86" i="11"/>
  <c r="W86" i="11"/>
  <c r="X86" i="11"/>
  <c r="Y86" i="11"/>
  <c r="Z86" i="11"/>
  <c r="AA86" i="11"/>
  <c r="S87" i="11"/>
  <c r="T87" i="11"/>
  <c r="U87" i="11"/>
  <c r="V87" i="11"/>
  <c r="W87" i="11"/>
  <c r="X87" i="11"/>
  <c r="Y87" i="11"/>
  <c r="Z87" i="11"/>
  <c r="AA87" i="11"/>
  <c r="S88" i="11"/>
  <c r="T88" i="11"/>
  <c r="U88" i="11"/>
  <c r="V88" i="11"/>
  <c r="W88" i="11"/>
  <c r="X88" i="11"/>
  <c r="Y88" i="11"/>
  <c r="Z88" i="11"/>
  <c r="AA88" i="11"/>
  <c r="S89" i="11"/>
  <c r="T89" i="11"/>
  <c r="U89" i="11"/>
  <c r="V89" i="11"/>
  <c r="W89" i="11"/>
  <c r="X89" i="11"/>
  <c r="Y89" i="11"/>
  <c r="Z89" i="11"/>
  <c r="AA89" i="11"/>
  <c r="S90" i="11"/>
  <c r="T90" i="11"/>
  <c r="U90" i="11"/>
  <c r="V90" i="11"/>
  <c r="W90" i="11"/>
  <c r="X90" i="11"/>
  <c r="Y90" i="11"/>
  <c r="Z90" i="11"/>
  <c r="AA90" i="11"/>
  <c r="S91" i="11"/>
  <c r="T91" i="11"/>
  <c r="U91" i="11"/>
  <c r="V91" i="11"/>
  <c r="W91" i="11"/>
  <c r="X91" i="11"/>
  <c r="Y91" i="11"/>
  <c r="Z91" i="11"/>
  <c r="AA91" i="11"/>
  <c r="S92" i="11"/>
  <c r="T92" i="11"/>
  <c r="U92" i="11"/>
  <c r="V92" i="11"/>
  <c r="W92" i="11"/>
  <c r="X92" i="11"/>
  <c r="Y92" i="11"/>
  <c r="Z92" i="11"/>
  <c r="AA92" i="11"/>
  <c r="S93" i="11"/>
  <c r="T93" i="11"/>
  <c r="U93" i="11"/>
  <c r="V93" i="11"/>
  <c r="W93" i="11"/>
  <c r="X93" i="11"/>
  <c r="Y93" i="11"/>
  <c r="Z93" i="11"/>
  <c r="AA93" i="11"/>
  <c r="S94" i="11"/>
  <c r="T94" i="11"/>
  <c r="U94" i="11"/>
  <c r="V94" i="11"/>
  <c r="W94" i="11"/>
  <c r="X94" i="11"/>
  <c r="Y94" i="11"/>
  <c r="Z94" i="11"/>
  <c r="AA94" i="11"/>
  <c r="S95" i="11"/>
  <c r="T95" i="11"/>
  <c r="U95" i="11"/>
  <c r="V95" i="11"/>
  <c r="W95" i="11"/>
  <c r="X95" i="11"/>
  <c r="Y95" i="11"/>
  <c r="Z95" i="11"/>
  <c r="AA95" i="11"/>
  <c r="S96" i="11"/>
  <c r="T96" i="11"/>
  <c r="U96" i="11"/>
  <c r="V96" i="11"/>
  <c r="W96" i="11"/>
  <c r="X96" i="11"/>
  <c r="Y96" i="11"/>
  <c r="Z96" i="11"/>
  <c r="AA96" i="11"/>
  <c r="S97" i="11"/>
  <c r="T97" i="11"/>
  <c r="U97" i="11"/>
  <c r="V97" i="11"/>
  <c r="W97" i="11"/>
  <c r="X97" i="11"/>
  <c r="Y97" i="11"/>
  <c r="Z97" i="11"/>
  <c r="AA97" i="11"/>
  <c r="S98" i="11"/>
  <c r="T98" i="11"/>
  <c r="U98" i="11"/>
  <c r="V98" i="11"/>
  <c r="W98" i="11"/>
  <c r="X98" i="11"/>
  <c r="Y98" i="11"/>
  <c r="Z98" i="11"/>
  <c r="AA98" i="11"/>
  <c r="S99" i="11"/>
  <c r="T99" i="11"/>
  <c r="U99" i="11"/>
  <c r="V99" i="11"/>
  <c r="W99" i="11"/>
  <c r="X99" i="11"/>
  <c r="Y99" i="11"/>
  <c r="Z99" i="11"/>
  <c r="AA99" i="11"/>
  <c r="S100" i="11"/>
  <c r="T100" i="11"/>
  <c r="U100" i="11"/>
  <c r="V100" i="11"/>
  <c r="W100" i="11"/>
  <c r="X100" i="11"/>
  <c r="Y100" i="11"/>
  <c r="Z100" i="11"/>
  <c r="AA100" i="11"/>
  <c r="S101" i="11"/>
  <c r="T101" i="11"/>
  <c r="U101" i="11"/>
  <c r="V101" i="11"/>
  <c r="W101" i="11"/>
  <c r="X101" i="11"/>
  <c r="Y101" i="11"/>
  <c r="Z101" i="11"/>
  <c r="AA101" i="11"/>
  <c r="S102" i="11"/>
  <c r="T102" i="11"/>
  <c r="U102" i="11"/>
  <c r="V102" i="11"/>
  <c r="W102" i="11"/>
  <c r="X102" i="11"/>
  <c r="Y102" i="11"/>
  <c r="Z102" i="11"/>
  <c r="AA102" i="11"/>
  <c r="S103" i="11"/>
  <c r="T103" i="11"/>
  <c r="U103" i="11"/>
  <c r="V103" i="11"/>
  <c r="W103" i="11"/>
  <c r="X103" i="11"/>
  <c r="Y103" i="11"/>
  <c r="Z103" i="11"/>
  <c r="AA103" i="11"/>
  <c r="S104" i="11"/>
  <c r="T104" i="11"/>
  <c r="U104" i="11"/>
  <c r="V104" i="11"/>
  <c r="W104" i="11"/>
  <c r="X104" i="11"/>
  <c r="Y104" i="11"/>
  <c r="Z104" i="11"/>
  <c r="AA104" i="11"/>
  <c r="S105" i="11"/>
  <c r="T105" i="11"/>
  <c r="U105" i="11"/>
  <c r="V105" i="11"/>
  <c r="W105" i="11"/>
  <c r="X105" i="11"/>
  <c r="Y105" i="11"/>
  <c r="Z105" i="11"/>
  <c r="AA105" i="11"/>
  <c r="S106" i="11"/>
  <c r="T106" i="11"/>
  <c r="U106" i="11"/>
  <c r="V106" i="11"/>
  <c r="W106" i="11"/>
  <c r="X106" i="11"/>
  <c r="Y106" i="11"/>
  <c r="Z106" i="11"/>
  <c r="AA106" i="11"/>
  <c r="S107" i="11"/>
  <c r="T107" i="11"/>
  <c r="U107" i="11"/>
  <c r="V107" i="11"/>
  <c r="W107" i="11"/>
  <c r="X107" i="11"/>
  <c r="Y107" i="11"/>
  <c r="Z107" i="11"/>
  <c r="AA107" i="11"/>
  <c r="S108" i="11"/>
  <c r="T108" i="11"/>
  <c r="U108" i="11"/>
  <c r="V108" i="11"/>
  <c r="W108" i="11"/>
  <c r="X108" i="11"/>
  <c r="Y108" i="11"/>
  <c r="Z108" i="11"/>
  <c r="AA108" i="11"/>
  <c r="S109" i="11"/>
  <c r="T109" i="11"/>
  <c r="U109" i="11"/>
  <c r="V109" i="11"/>
  <c r="W109" i="11"/>
  <c r="X109" i="11"/>
  <c r="Y109" i="11"/>
  <c r="Z109" i="11"/>
  <c r="AA109" i="11"/>
  <c r="S110" i="11"/>
  <c r="T110" i="11"/>
  <c r="U110" i="11"/>
  <c r="V110" i="11"/>
  <c r="W110" i="11"/>
  <c r="X110" i="11"/>
  <c r="Y110" i="11"/>
  <c r="Z110" i="11"/>
  <c r="AA110" i="11"/>
  <c r="S111" i="11"/>
  <c r="T111" i="11"/>
  <c r="U111" i="11"/>
  <c r="V111" i="11"/>
  <c r="W111" i="11"/>
  <c r="X111" i="11"/>
  <c r="Y111" i="11"/>
  <c r="Z111" i="11"/>
  <c r="AA111" i="11"/>
  <c r="S112" i="11"/>
  <c r="T112" i="11"/>
  <c r="U112" i="11"/>
  <c r="V112" i="11"/>
  <c r="W112" i="11"/>
  <c r="X112" i="11"/>
  <c r="Y112" i="11"/>
  <c r="Z112" i="11"/>
  <c r="AA112" i="11"/>
  <c r="BW19" i="9"/>
  <c r="BV19" i="9"/>
  <c r="BV20" i="9"/>
  <c r="BW20" i="9"/>
  <c r="BV21" i="9"/>
  <c r="BW21" i="9"/>
  <c r="BV22" i="9"/>
  <c r="BW22" i="9"/>
  <c r="BV23" i="9"/>
  <c r="BW23" i="9"/>
  <c r="BV24" i="9"/>
  <c r="BW24" i="9"/>
  <c r="BV25" i="9"/>
  <c r="BW25" i="9"/>
  <c r="BV26" i="9"/>
  <c r="BW26" i="9"/>
  <c r="BW18" i="9"/>
  <c r="BV18" i="9"/>
  <c r="BO19" i="9"/>
  <c r="BK20" i="9"/>
  <c r="BL20" i="9"/>
  <c r="BK21" i="9"/>
  <c r="BL21" i="9"/>
  <c r="BK22" i="9"/>
  <c r="BL22" i="9"/>
  <c r="BK23" i="9"/>
  <c r="BL23" i="9"/>
  <c r="BK24" i="9"/>
  <c r="BL24" i="9"/>
  <c r="BL19" i="9"/>
  <c r="BK19" i="9"/>
  <c r="BC12" i="9"/>
  <c r="BD12" i="9"/>
  <c r="BE12" i="9"/>
  <c r="BD11" i="9"/>
  <c r="BE11" i="9"/>
  <c r="BC11" i="9"/>
  <c r="AV22" i="9"/>
  <c r="AW22" i="9"/>
  <c r="AX22" i="9" s="1"/>
  <c r="AV23" i="9"/>
  <c r="AW23" i="9"/>
  <c r="AX23" i="9" s="1"/>
  <c r="AV24" i="9"/>
  <c r="AW24" i="9"/>
  <c r="AX24" i="9" s="1"/>
  <c r="AV25" i="9"/>
  <c r="AW25" i="9"/>
  <c r="AX25" i="9" s="1"/>
  <c r="AV26" i="9"/>
  <c r="AW26" i="9"/>
  <c r="AX26" i="9" s="1"/>
  <c r="AV27" i="9"/>
  <c r="AW27" i="9"/>
  <c r="AX27" i="9" s="1"/>
  <c r="AV28" i="9"/>
  <c r="AW28" i="9"/>
  <c r="AX28" i="9" s="1"/>
  <c r="AV29" i="9"/>
  <c r="AW29" i="9"/>
  <c r="AX29" i="9" s="1"/>
  <c r="AV30" i="9"/>
  <c r="AW30" i="9"/>
  <c r="AX30" i="9" s="1"/>
  <c r="AV31" i="9"/>
  <c r="AW31" i="9"/>
  <c r="AX31" i="9" s="1"/>
  <c r="AV32" i="9"/>
  <c r="AW32" i="9"/>
  <c r="AX32" i="9" s="1"/>
  <c r="AV33" i="9"/>
  <c r="AW33" i="9"/>
  <c r="AX33" i="9" s="1"/>
  <c r="AW21" i="9"/>
  <c r="AX21" i="9" s="1"/>
  <c r="AV21" i="9"/>
  <c r="AB18" i="8"/>
  <c r="AB17" i="8" s="1"/>
  <c r="AB16" i="8" s="1"/>
  <c r="AB15" i="8" s="1"/>
  <c r="AB14" i="8" s="1"/>
  <c r="AB13" i="8" s="1"/>
  <c r="AB12" i="8" s="1"/>
  <c r="AC18" i="8"/>
  <c r="AC17" i="8" s="1"/>
  <c r="AC16" i="8" s="1"/>
  <c r="AC15" i="8" s="1"/>
  <c r="AC14" i="8" s="1"/>
  <c r="AC13" i="8" s="1"/>
  <c r="AC12" i="8" s="1"/>
  <c r="AF18" i="8"/>
  <c r="AF17" i="8" s="1"/>
  <c r="AF16" i="8" s="1"/>
  <c r="AF15" i="8" s="1"/>
  <c r="AF14" i="8" s="1"/>
  <c r="AF13" i="8" s="1"/>
  <c r="AF12" i="8" s="1"/>
  <c r="Z19" i="8"/>
  <c r="Z18" i="8" s="1"/>
  <c r="Z17" i="8" s="1"/>
  <c r="Z16" i="8" s="1"/>
  <c r="Z15" i="8" s="1"/>
  <c r="Z14" i="8" s="1"/>
  <c r="Z13" i="8" s="1"/>
  <c r="Z12" i="8" s="1"/>
  <c r="AA19" i="8"/>
  <c r="AA18" i="8" s="1"/>
  <c r="AA17" i="8" s="1"/>
  <c r="AA16" i="8" s="1"/>
  <c r="AA15" i="8" s="1"/>
  <c r="AA14" i="8" s="1"/>
  <c r="AA13" i="8" s="1"/>
  <c r="AA12" i="8" s="1"/>
  <c r="AB19" i="8"/>
  <c r="AC19" i="8"/>
  <c r="AD19" i="8"/>
  <c r="AD18" i="8" s="1"/>
  <c r="AD17" i="8" s="1"/>
  <c r="AD16" i="8" s="1"/>
  <c r="AD15" i="8" s="1"/>
  <c r="AD14" i="8" s="1"/>
  <c r="AD13" i="8" s="1"/>
  <c r="AD12" i="8" s="1"/>
  <c r="AE19" i="8"/>
  <c r="AE18" i="8" s="1"/>
  <c r="AE17" i="8" s="1"/>
  <c r="AE16" i="8" s="1"/>
  <c r="AE15" i="8" s="1"/>
  <c r="AE14" i="8" s="1"/>
  <c r="AE13" i="8" s="1"/>
  <c r="AE12" i="8" s="1"/>
  <c r="AF19" i="8"/>
  <c r="AG19" i="8"/>
  <c r="AG18" i="8" s="1"/>
  <c r="AG17" i="8" s="1"/>
  <c r="AG16" i="8" s="1"/>
  <c r="AG15" i="8" s="1"/>
  <c r="AG14" i="8" s="1"/>
  <c r="AG13" i="8" s="1"/>
  <c r="AG12" i="8" s="1"/>
  <c r="AH19" i="8"/>
  <c r="AH18" i="8" s="1"/>
  <c r="AH17" i="8" s="1"/>
  <c r="AH16" i="8" s="1"/>
  <c r="AH15" i="8" s="1"/>
  <c r="AH14" i="8" s="1"/>
  <c r="AH13" i="8" s="1"/>
  <c r="AH12" i="8" s="1"/>
  <c r="AI19" i="8"/>
  <c r="AI18" i="8" s="1"/>
  <c r="AI17" i="8" s="1"/>
  <c r="AI16" i="8" s="1"/>
  <c r="AI15" i="8" s="1"/>
  <c r="AI14" i="8" s="1"/>
  <c r="AI13" i="8" s="1"/>
  <c r="AI12" i="8" s="1"/>
  <c r="AA20" i="8"/>
  <c r="AB20" i="8"/>
  <c r="AC20" i="8"/>
  <c r="AD20" i="8"/>
  <c r="AE20" i="8"/>
  <c r="AF20" i="8"/>
  <c r="AG20" i="8"/>
  <c r="AH20" i="8"/>
  <c r="AI20" i="8"/>
  <c r="Z20" i="8"/>
  <c r="AF21" i="8"/>
  <c r="AG21" i="8" s="1"/>
  <c r="AH21" i="8" s="1"/>
  <c r="AI21" i="8" s="1"/>
  <c r="AB21" i="8"/>
  <c r="AC21" i="8" s="1"/>
  <c r="AD21" i="8" s="1"/>
  <c r="AE21" i="8" s="1"/>
  <c r="AA21" i="8"/>
  <c r="AI13" i="9"/>
  <c r="AJ13" i="9"/>
  <c r="W3" i="8" s="1"/>
  <c r="AI14" i="9"/>
  <c r="AJ14" i="9"/>
  <c r="W4" i="8" s="1"/>
  <c r="AJ12" i="9"/>
  <c r="AI12" i="9"/>
  <c r="Y14" i="9"/>
  <c r="Z14" i="9"/>
  <c r="Y15" i="9"/>
  <c r="Z15" i="9"/>
  <c r="Y16" i="9"/>
  <c r="Z16" i="9"/>
  <c r="Y17" i="9"/>
  <c r="Z17" i="9"/>
  <c r="Y18" i="9"/>
  <c r="Z18" i="9"/>
  <c r="Z13" i="9"/>
  <c r="Y13" i="9"/>
  <c r="O24" i="9"/>
  <c r="O22" i="9"/>
  <c r="G23" i="9"/>
  <c r="H23" i="9"/>
  <c r="G24" i="9"/>
  <c r="H24" i="9"/>
  <c r="G25" i="9"/>
  <c r="H25" i="9"/>
  <c r="G26" i="9"/>
  <c r="H26" i="9"/>
  <c r="G27" i="9"/>
  <c r="H27" i="9"/>
  <c r="H22" i="9"/>
  <c r="G22" i="9"/>
  <c r="D22" i="9"/>
  <c r="D23" i="9"/>
  <c r="D24" i="9"/>
  <c r="D25" i="9"/>
  <c r="D26" i="9"/>
  <c r="D27" i="9"/>
  <c r="C23" i="9"/>
  <c r="C24" i="9"/>
  <c r="C25" i="9"/>
  <c r="C26" i="9"/>
  <c r="C27" i="9"/>
  <c r="C22" i="9"/>
  <c r="AP6" i="7"/>
  <c r="AP7" i="7"/>
  <c r="AP8" i="7"/>
  <c r="AP9" i="7"/>
  <c r="AP10" i="7"/>
  <c r="AP11" i="7"/>
  <c r="AP12" i="7"/>
  <c r="AP13" i="7"/>
  <c r="AP14" i="7"/>
  <c r="AP15" i="7"/>
  <c r="AP16" i="7"/>
  <c r="AP17" i="7"/>
  <c r="AP5" i="7"/>
  <c r="AI6" i="7"/>
  <c r="AJ6" i="7"/>
  <c r="AK6" i="7"/>
  <c r="AI7" i="7"/>
  <c r="AJ7" i="7"/>
  <c r="AK7" i="7"/>
  <c r="AI8" i="7"/>
  <c r="AJ8" i="7"/>
  <c r="AK8" i="7"/>
  <c r="AI9" i="7"/>
  <c r="AJ9" i="7"/>
  <c r="AK9" i="7"/>
  <c r="AI10" i="7"/>
  <c r="AJ10" i="7"/>
  <c r="AK10" i="7"/>
  <c r="AI11" i="7"/>
  <c r="AJ11" i="7"/>
  <c r="AK11" i="7"/>
  <c r="AI12" i="7"/>
  <c r="AJ12" i="7"/>
  <c r="AK12" i="7"/>
  <c r="AI13" i="7"/>
  <c r="AJ13" i="7"/>
  <c r="AK13" i="7"/>
  <c r="AI14" i="7"/>
  <c r="AJ14" i="7"/>
  <c r="AK14" i="7"/>
  <c r="AI15" i="7"/>
  <c r="AJ15" i="7"/>
  <c r="AK15" i="7"/>
  <c r="AI16" i="7"/>
  <c r="AJ16" i="7"/>
  <c r="AK16" i="7"/>
  <c r="AI17" i="7"/>
  <c r="AJ17" i="7"/>
  <c r="AK17" i="7"/>
  <c r="AJ5" i="7"/>
  <c r="AK5" i="7"/>
  <c r="AI5" i="7"/>
  <c r="T20" i="7"/>
  <c r="U20" i="7"/>
  <c r="T21" i="7"/>
  <c r="U21" i="7"/>
  <c r="T22" i="7"/>
  <c r="U22" i="7"/>
  <c r="T23" i="7"/>
  <c r="U23" i="7"/>
  <c r="T24" i="7"/>
  <c r="U24" i="7"/>
  <c r="T25" i="7"/>
  <c r="U25" i="7"/>
  <c r="T26" i="7"/>
  <c r="U26" i="7"/>
  <c r="U19" i="7"/>
  <c r="T19" i="7"/>
  <c r="L15" i="7"/>
  <c r="K14" i="7"/>
  <c r="L14" i="7"/>
  <c r="M14" i="7"/>
  <c r="K15" i="7"/>
  <c r="M15" i="7"/>
  <c r="L13" i="7"/>
  <c r="M13" i="7"/>
  <c r="K13" i="7"/>
  <c r="C4" i="8"/>
  <c r="O26" i="9"/>
  <c r="Y23" i="9"/>
  <c r="K24" i="9" l="1"/>
  <c r="L26" i="9"/>
  <c r="K26" i="9"/>
  <c r="AQ12" i="7"/>
  <c r="L23" i="9"/>
  <c r="L22" i="9"/>
  <c r="K27" i="9"/>
  <c r="K25" i="9"/>
  <c r="L27" i="9"/>
  <c r="K23" i="9"/>
  <c r="L24" i="9"/>
  <c r="K22" i="9"/>
  <c r="L25" i="9"/>
  <c r="AQ10" i="7"/>
  <c r="AJ22" i="7"/>
  <c r="AQ7" i="7"/>
  <c r="AQ6" i="7"/>
  <c r="AQ15" i="7"/>
  <c r="AQ17" i="7"/>
  <c r="AQ9" i="7"/>
  <c r="AQ13" i="7"/>
  <c r="AJ21" i="7"/>
  <c r="AQ16" i="7"/>
  <c r="AQ14" i="7"/>
  <c r="AQ8" i="7"/>
  <c r="AQ11" i="7"/>
  <c r="V22" i="7"/>
  <c r="W22" i="7" s="1"/>
  <c r="V21" i="7"/>
  <c r="W21" i="7" s="1"/>
  <c r="V26" i="7"/>
  <c r="W26" i="7" s="1"/>
  <c r="V20" i="7"/>
  <c r="W20" i="7" s="1"/>
  <c r="V25" i="7"/>
  <c r="W25" i="7" s="1"/>
  <c r="V24" i="7"/>
  <c r="W24" i="7" s="1"/>
  <c r="V23" i="7"/>
  <c r="W23" i="7" s="1"/>
  <c r="G17" i="8"/>
  <c r="G16" i="8" s="1"/>
  <c r="G15" i="8" s="1"/>
  <c r="G14" i="8" s="1"/>
  <c r="G13" i="8" s="1"/>
  <c r="G12" i="8" s="1"/>
  <c r="G18" i="8"/>
  <c r="H18" i="8"/>
  <c r="H17" i="8" s="1"/>
  <c r="H16" i="8" s="1"/>
  <c r="H15" i="8" s="1"/>
  <c r="H14" i="8" s="1"/>
  <c r="H13" i="8" s="1"/>
  <c r="H12" i="8" s="1"/>
  <c r="I18" i="8"/>
  <c r="I17" i="8" s="1"/>
  <c r="I16" i="8" s="1"/>
  <c r="I15" i="8" s="1"/>
  <c r="I14" i="8" s="1"/>
  <c r="I13" i="8" s="1"/>
  <c r="I12" i="8" s="1"/>
  <c r="G19" i="8"/>
  <c r="H19" i="8"/>
  <c r="I19" i="8"/>
  <c r="K19" i="8"/>
  <c r="K18" i="8" s="1"/>
  <c r="K17" i="8" s="1"/>
  <c r="K16" i="8" s="1"/>
  <c r="K15" i="8" s="1"/>
  <c r="K14" i="8" s="1"/>
  <c r="K13" i="8" s="1"/>
  <c r="K12" i="8" s="1"/>
  <c r="G20" i="8"/>
  <c r="H20" i="8"/>
  <c r="I20" i="8"/>
  <c r="J20" i="8"/>
  <c r="J19" i="8" s="1"/>
  <c r="J18" i="8" s="1"/>
  <c r="J17" i="8" s="1"/>
  <c r="J16" i="8" s="1"/>
  <c r="J15" i="8" s="1"/>
  <c r="J14" i="8" s="1"/>
  <c r="J13" i="8" s="1"/>
  <c r="J12" i="8" s="1"/>
  <c r="K20" i="8"/>
  <c r="L20" i="8"/>
  <c r="L19" i="8" s="1"/>
  <c r="L18" i="8" s="1"/>
  <c r="L17" i="8" s="1"/>
  <c r="L16" i="8" s="1"/>
  <c r="L15" i="8" s="1"/>
  <c r="L14" i="8" s="1"/>
  <c r="L13" i="8" s="1"/>
  <c r="L12" i="8" s="1"/>
  <c r="M20" i="8"/>
  <c r="M19" i="8" s="1"/>
  <c r="M18" i="8" s="1"/>
  <c r="M17" i="8" s="1"/>
  <c r="M16" i="8" s="1"/>
  <c r="M15" i="8" s="1"/>
  <c r="M14" i="8" s="1"/>
  <c r="M13" i="8" s="1"/>
  <c r="M12" i="8" s="1"/>
  <c r="N20" i="8"/>
  <c r="N19" i="8" s="1"/>
  <c r="N18" i="8" s="1"/>
  <c r="N17" i="8" s="1"/>
  <c r="N16" i="8" s="1"/>
  <c r="N15" i="8" s="1"/>
  <c r="N14" i="8" s="1"/>
  <c r="N13" i="8" s="1"/>
  <c r="N12" i="8" s="1"/>
  <c r="H21" i="8"/>
  <c r="I21" i="8"/>
  <c r="J21" i="8"/>
  <c r="K21" i="8"/>
  <c r="L21" i="8"/>
  <c r="M21" i="8"/>
  <c r="N21" i="8"/>
  <c r="O21" i="8"/>
  <c r="O20" i="8" s="1"/>
  <c r="O19" i="8" s="1"/>
  <c r="O18" i="8" s="1"/>
  <c r="O17" i="8" s="1"/>
  <c r="O16" i="8" s="1"/>
  <c r="O15" i="8" s="1"/>
  <c r="O14" i="8" s="1"/>
  <c r="O13" i="8" s="1"/>
  <c r="O12" i="8" s="1"/>
  <c r="H37" i="8"/>
  <c r="I37" i="8" s="1"/>
  <c r="H36" i="8"/>
  <c r="H35" i="8" s="1"/>
  <c r="H34" i="8" s="1"/>
  <c r="H33" i="8" s="1"/>
  <c r="H32" i="8" s="1"/>
  <c r="H31" i="8" s="1"/>
  <c r="H30" i="8" s="1"/>
  <c r="H29" i="8" s="1"/>
  <c r="H28" i="8" s="1"/>
  <c r="G36" i="8"/>
  <c r="G35" i="8"/>
  <c r="G34" i="8"/>
  <c r="G33" i="8" s="1"/>
  <c r="G32" i="8" s="1"/>
  <c r="G31" i="8" s="1"/>
  <c r="G30" i="8" s="1"/>
  <c r="G29" i="8" s="1"/>
  <c r="G28" i="8" s="1"/>
  <c r="B18" i="7"/>
  <c r="C18" i="7"/>
  <c r="B19" i="7"/>
  <c r="C19" i="7"/>
  <c r="B20" i="7"/>
  <c r="C20" i="7"/>
  <c r="B21" i="7"/>
  <c r="C21" i="7"/>
  <c r="C17" i="7"/>
  <c r="B17" i="7"/>
  <c r="C17" i="2"/>
  <c r="D17" i="2"/>
  <c r="E17" i="2"/>
  <c r="F17" i="2"/>
  <c r="G17" i="2"/>
  <c r="H17" i="2"/>
  <c r="I17" i="2"/>
  <c r="J17" i="2"/>
  <c r="K17" i="2"/>
  <c r="L17" i="2"/>
  <c r="M17" i="2"/>
  <c r="D16" i="2"/>
  <c r="E16" i="2"/>
  <c r="F16" i="2"/>
  <c r="G16" i="2"/>
  <c r="H16" i="2"/>
  <c r="I16" i="2"/>
  <c r="J16" i="2"/>
  <c r="K16" i="2"/>
  <c r="L16" i="2"/>
  <c r="M16" i="2"/>
  <c r="C16" i="2"/>
  <c r="C3" i="8"/>
  <c r="AL16" i="7" l="1" a="1"/>
  <c r="AL16" i="7" s="1"/>
  <c r="AL13" i="7" a="1"/>
  <c r="AL13" i="7" s="1"/>
  <c r="AL11" i="7" a="1"/>
  <c r="AL11" i="7" s="1"/>
  <c r="AL17" i="7" a="1"/>
  <c r="AL17" i="7" s="1"/>
  <c r="AL8" i="7" a="1"/>
  <c r="AL8" i="7" s="1"/>
  <c r="AL12" i="7" a="1"/>
  <c r="AL12" i="7" s="1"/>
  <c r="AL7" i="7" a="1"/>
  <c r="AL7" i="7" s="1"/>
  <c r="AL10" i="7" a="1"/>
  <c r="AL10" i="7" s="1"/>
  <c r="AL9" i="7" a="1"/>
  <c r="AL9" i="7" s="1"/>
  <c r="AL15" i="7" a="1"/>
  <c r="AL15" i="7" s="1"/>
  <c r="AL6" i="7" a="1"/>
  <c r="AL6" i="7" s="1"/>
  <c r="AL14" i="7" a="1"/>
  <c r="AL14" i="7" s="1"/>
  <c r="P21" i="8"/>
  <c r="P20" i="8" s="1"/>
  <c r="P19" i="8" s="1"/>
  <c r="P18" i="8" s="1"/>
  <c r="P17" i="8" s="1"/>
  <c r="P16" i="8" s="1"/>
  <c r="P15" i="8" s="1"/>
  <c r="P14" i="8" s="1"/>
  <c r="P13" i="8" s="1"/>
  <c r="P12" i="8" s="1"/>
  <c r="J37" i="8"/>
  <c r="I36" i="8"/>
  <c r="I35" i="8" s="1"/>
  <c r="I34" i="8" s="1"/>
  <c r="I33" i="8" s="1"/>
  <c r="I32" i="8" s="1"/>
  <c r="I31" i="8" s="1"/>
  <c r="I30" i="8" s="1"/>
  <c r="I29" i="8" s="1"/>
  <c r="I28" i="8" s="1"/>
  <c r="D19" i="7"/>
  <c r="E19" i="7" s="1"/>
  <c r="D21" i="7"/>
  <c r="E21" i="7" s="1"/>
  <c r="D18" i="7"/>
  <c r="E18" i="7" s="1"/>
  <c r="D20" i="7"/>
  <c r="E20" i="7" s="1"/>
  <c r="C26" i="2"/>
  <c r="E26" i="2"/>
  <c r="K37" i="8" l="1"/>
  <c r="J36" i="8"/>
  <c r="J35" i="8" s="1"/>
  <c r="J34" i="8" s="1"/>
  <c r="J33" i="8" s="1"/>
  <c r="J32" i="8" s="1"/>
  <c r="J31" i="8" s="1"/>
  <c r="J30" i="8" s="1"/>
  <c r="J29" i="8" s="1"/>
  <c r="J28" i="8" s="1"/>
  <c r="L37" i="8" l="1"/>
  <c r="K36" i="8"/>
  <c r="K35" i="8" s="1"/>
  <c r="K34" i="8" s="1"/>
  <c r="K33" i="8" s="1"/>
  <c r="K32" i="8" s="1"/>
  <c r="K31" i="8" s="1"/>
  <c r="K30" i="8" s="1"/>
  <c r="K29" i="8" s="1"/>
  <c r="K28" i="8" s="1"/>
  <c r="L36" i="8" l="1"/>
  <c r="L35" i="8" s="1"/>
  <c r="L34" i="8" s="1"/>
  <c r="L33" i="8" s="1"/>
  <c r="L32" i="8" s="1"/>
  <c r="L31" i="8" s="1"/>
  <c r="L30" i="8" s="1"/>
  <c r="L29" i="8" s="1"/>
  <c r="L28" i="8" s="1"/>
  <c r="M37" i="8"/>
  <c r="N37" i="8" l="1"/>
  <c r="M36" i="8"/>
  <c r="M35" i="8" s="1"/>
  <c r="M34" i="8" s="1"/>
  <c r="M33" i="8" s="1"/>
  <c r="M32" i="8" s="1"/>
  <c r="M31" i="8" s="1"/>
  <c r="M30" i="8" s="1"/>
  <c r="M29" i="8" s="1"/>
  <c r="M28" i="8" s="1"/>
  <c r="N36" i="8" l="1"/>
  <c r="N35" i="8" s="1"/>
  <c r="N34" i="8" s="1"/>
  <c r="N33" i="8" s="1"/>
  <c r="N32" i="8" s="1"/>
  <c r="N31" i="8" s="1"/>
  <c r="N30" i="8" s="1"/>
  <c r="N29" i="8" s="1"/>
  <c r="N28" i="8" s="1"/>
  <c r="O37" i="8"/>
  <c r="O36" i="8" l="1"/>
  <c r="O35" i="8" s="1"/>
  <c r="O34" i="8" s="1"/>
  <c r="O33" i="8" s="1"/>
  <c r="O32" i="8" s="1"/>
  <c r="O31" i="8" s="1"/>
  <c r="O30" i="8" s="1"/>
  <c r="O29" i="8" s="1"/>
  <c r="O28" i="8" s="1"/>
  <c r="P37" i="8"/>
  <c r="P36" i="8" s="1"/>
  <c r="P35" i="8" s="1"/>
  <c r="P34" i="8" s="1"/>
  <c r="P33" i="8" s="1"/>
  <c r="P32" i="8" s="1"/>
  <c r="P31" i="8" s="1"/>
  <c r="P30" i="8" s="1"/>
  <c r="P29" i="8" s="1"/>
  <c r="P28" i="8"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BE7A109-D9EE-4A6F-BCDA-79CF6C584E8F}" name="Query - Calculation" description="Connection to the 'Calculation' query in the workbook." type="100" refreshedVersion="8" minRefreshableVersion="5">
    <extLst>
      <ext xmlns:x15="http://schemas.microsoft.com/office/spreadsheetml/2010/11/main" uri="{DE250136-89BD-433C-8126-D09CA5730AF9}">
        <x15:connection id="29e58f86-65cf-47ab-825e-e6873cb0bd52">
          <x15:oledbPr connection="Provider=Microsoft.Mashup.OleDb.1;Data Source=$Workbook$;Location=Calculation;Extended Properties=&quot;&quot;">
            <x15:dbTables>
              <x15:dbTable name="Calculation"/>
            </x15:dbTables>
          </x15:oledbPr>
        </x15:connection>
      </ext>
    </extLst>
  </connection>
  <connection id="2" xr16:uid="{FC5F5C15-58E9-4362-B899-6C20465222E1}" name="Query - Date" description="Connection to the 'Date' query in the workbook." type="100" refreshedVersion="8" minRefreshableVersion="5">
    <extLst>
      <ext xmlns:x15="http://schemas.microsoft.com/office/spreadsheetml/2010/11/main" uri="{DE250136-89BD-433C-8126-D09CA5730AF9}">
        <x15:connection id="9edc45d6-1934-45c6-b195-b21668cf678e">
          <x15:oledbPr connection="Provider=Microsoft.Mashup.OleDb.1;Data Source=$Workbook$;Location=Date;Extended Properties=&quot;&quot;">
            <x15:dbTables>
              <x15:dbTable name="Date"/>
            </x15:dbTables>
          </x15:oledbPr>
        </x15:connection>
      </ext>
    </extLst>
  </connection>
  <connection id="3" xr16:uid="{07BC08B5-4431-4373-B6FC-5474E16A0D1D}" name="Query - Dim_Customers" description="Connection to the 'Dim_Customers' query in the workbook." type="100" refreshedVersion="8" minRefreshableVersion="5">
    <extLst>
      <ext xmlns:x15="http://schemas.microsoft.com/office/spreadsheetml/2010/11/main" uri="{DE250136-89BD-433C-8126-D09CA5730AF9}">
        <x15:connection id="8aec6933-aef8-4f60-8a82-2ee34ba75b38">
          <x15:oledbPr connection="Provider=Microsoft.Mashup.OleDb.1;Data Source=$Workbook$;Location=Dim_Customers;Extended Properties=&quot;&quot;">
            <x15:dbTables>
              <x15:dbTable name="Dim_Customers"/>
            </x15:dbTables>
          </x15:oledbPr>
        </x15:connection>
      </ext>
    </extLst>
  </connection>
  <connection id="4" xr16:uid="{14392AA3-F300-4416-895C-02CCE1EEFB94}" name="Query - Dim_Products" description="Connection to the 'Dim_Products' query in the workbook." type="100" refreshedVersion="8" minRefreshableVersion="5">
    <extLst>
      <ext xmlns:x15="http://schemas.microsoft.com/office/spreadsheetml/2010/11/main" uri="{DE250136-89BD-433C-8126-D09CA5730AF9}">
        <x15:connection id="5a2ea7e6-40c8-48d7-bcfc-c3a6ce0f3b9b">
          <x15:oledbPr connection="Provider=Microsoft.Mashup.OleDb.1;Data Source=$Workbook$;Location=Dim_Products;Extended Properties=&quot;&quot;">
            <x15:dbTables>
              <x15:dbTable name="Dim_Products"/>
            </x15:dbTables>
          </x15:oledbPr>
        </x15:connection>
      </ext>
    </extLst>
  </connection>
  <connection id="5" xr16:uid="{DC869AD4-44B8-40FE-9C81-DED0A3244465}" name="Query - Dim_Salesperson" description="Connection to the 'Dim_Salesperson' query in the workbook." type="100" refreshedVersion="8" minRefreshableVersion="5">
    <extLst>
      <ext xmlns:x15="http://schemas.microsoft.com/office/spreadsheetml/2010/11/main" uri="{DE250136-89BD-433C-8126-D09CA5730AF9}">
        <x15:connection id="f5561a60-7d17-403d-bcb6-aa73679da2d9">
          <x15:oledbPr connection="Provider=Microsoft.Mashup.OleDb.1;Data Source=$Workbook$;Location=Dim_Salesperson;Extended Properties=&quot;&quot;">
            <x15:dbTables>
              <x15:dbTable name="Dim_Salesperson"/>
            </x15:dbTables>
          </x15:oledbPr>
        </x15:connection>
      </ext>
    </extLst>
  </connection>
  <connection id="6" xr16:uid="{DC8CEBE1-2798-4422-B8FB-E1AFE6F1CE20}" name="Query - fact_table" description="Connection to the 'fact_table' query in the workbook." type="100" refreshedVersion="8" minRefreshableVersion="5">
    <extLst>
      <ext xmlns:x15="http://schemas.microsoft.com/office/spreadsheetml/2010/11/main" uri="{DE250136-89BD-433C-8126-D09CA5730AF9}">
        <x15:connection id="646474bd-3de9-4f95-87d0-870a41d13bd0">
          <x15:oledbPr connection="Provider=Microsoft.Mashup.OleDb.1;Data Source=$Workbook$;Location=fact_table;Extended Properties=&quot;&quot;">
            <x15:dbTables>
              <x15:dbTable name="fact_table"/>
            </x15:dbTables>
          </x15:oledbPr>
        </x15:connection>
      </ext>
    </extLst>
  </connection>
  <connection id="7" xr16:uid="{FBF835D7-A969-46A7-8113-2F670B3627EB}" name="Query - fact_table (2)" description="Connection to the 'fact_table (2)' query in the workbook." type="100" refreshedVersion="8" minRefreshableVersion="5">
    <extLst>
      <ext xmlns:x15="http://schemas.microsoft.com/office/spreadsheetml/2010/11/main" uri="{DE250136-89BD-433C-8126-D09CA5730AF9}">
        <x15:connection id="26fc8886-759e-4162-b6e3-8eef7ee624fe"/>
      </ext>
    </extLst>
  </connection>
  <connection id="8" xr16:uid="{AFB06E3D-5AE9-4FFB-A392-61F30C34FABE}" name="Query - monthly_store_targets" description="Connection to the 'monthly_store_targets' query in the workbook." type="100" refreshedVersion="8" minRefreshableVersion="5">
    <extLst>
      <ext xmlns:x15="http://schemas.microsoft.com/office/spreadsheetml/2010/11/main" uri="{DE250136-89BD-433C-8126-D09CA5730AF9}">
        <x15:connection id="a638a3ae-b9f9-4c3f-8b32-edbe69f767f9">
          <x15:oledbPr connection="Provider=Microsoft.Mashup.OleDb.1;Data Source=$Workbook$;Location=monthly_store_targets;Extended Properties=&quot;&quot;">
            <x15:dbTables>
              <x15:dbTable name="monthly_store_targets"/>
            </x15:dbTables>
          </x15:oledbPr>
        </x15:connection>
      </ext>
    </extLst>
  </connection>
  <connection id="9" xr16:uid="{3DA35962-ED86-4E50-972B-4855343F8FAA}"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<sst xmlns="http://schemas.openxmlformats.org/spreadsheetml/2006/main" count="297" uniqueCount="219">
  <si>
    <t>Total Revenue</t>
  </si>
  <si>
    <t>COGS</t>
  </si>
  <si>
    <t>Profit Margin</t>
  </si>
  <si>
    <t>Profit Margin %</t>
  </si>
  <si>
    <t>#Transactions</t>
  </si>
  <si>
    <t>Total Refund</t>
  </si>
  <si>
    <t>Refund Rate</t>
  </si>
  <si>
    <t>#Products</t>
  </si>
  <si>
    <t>Qty Returned</t>
  </si>
  <si>
    <t>Total Quantity</t>
  </si>
  <si>
    <t>Total target</t>
  </si>
  <si>
    <t>s</t>
  </si>
  <si>
    <t>Barron-Fleming</t>
  </si>
  <si>
    <t>Berg-Trujillo</t>
  </si>
  <si>
    <t>Lee-Myers</t>
  </si>
  <si>
    <t>Lopez</t>
  </si>
  <si>
    <t>Martinez</t>
  </si>
  <si>
    <t>Miller</t>
  </si>
  <si>
    <t>Myers-Lopez</t>
  </si>
  <si>
    <t>Novak PLC</t>
  </si>
  <si>
    <t>Thomas</t>
  </si>
  <si>
    <t>Valdez</t>
  </si>
  <si>
    <t>Store Name</t>
  </si>
  <si>
    <t>Qtr-1</t>
  </si>
  <si>
    <t>Qtr-2</t>
  </si>
  <si>
    <t>Qtr-3</t>
  </si>
  <si>
    <t>Qtr-4</t>
  </si>
  <si>
    <t>Quarter</t>
  </si>
  <si>
    <t>avg</t>
  </si>
  <si>
    <t>highlight</t>
  </si>
  <si>
    <t>Total Revenue2</t>
  </si>
  <si>
    <t>Row Labels</t>
  </si>
  <si>
    <t>Weekday</t>
  </si>
  <si>
    <t>Weekend</t>
  </si>
  <si>
    <t>Grand Total</t>
  </si>
  <si>
    <t>WeekType</t>
  </si>
  <si>
    <t>week day</t>
  </si>
  <si>
    <t>week end</t>
  </si>
  <si>
    <t>Sun</t>
  </si>
  <si>
    <t>Mon</t>
  </si>
  <si>
    <t>Tue</t>
  </si>
  <si>
    <t>Wed</t>
  </si>
  <si>
    <t>Thu</t>
  </si>
  <si>
    <t>Fri</t>
  </si>
  <si>
    <t>Sat</t>
  </si>
  <si>
    <t>Avg</t>
  </si>
  <si>
    <t>Jan</t>
  </si>
  <si>
    <t>Feb</t>
  </si>
  <si>
    <t>Mar</t>
  </si>
  <si>
    <t>Apr</t>
  </si>
  <si>
    <t>May</t>
  </si>
  <si>
    <t>Jun</t>
  </si>
  <si>
    <t>Jul</t>
  </si>
  <si>
    <t>Aug</t>
  </si>
  <si>
    <t>Sep</t>
  </si>
  <si>
    <t>Oct</t>
  </si>
  <si>
    <t>Nov</t>
  </si>
  <si>
    <t>Dec</t>
  </si>
  <si>
    <t>Variance%</t>
  </si>
  <si>
    <t>option</t>
  </si>
  <si>
    <t>combo</t>
  </si>
  <si>
    <t>Customers</t>
  </si>
  <si>
    <t>location</t>
  </si>
  <si>
    <t>Location</t>
  </si>
  <si>
    <t>Bobby Abbott</t>
  </si>
  <si>
    <t>Christine Hawkins</t>
  </si>
  <si>
    <t>Jeffery Powell</t>
  </si>
  <si>
    <t>John Brown</t>
  </si>
  <si>
    <t>Judith Simmons</t>
  </si>
  <si>
    <t>Kristine Barrett</t>
  </si>
  <si>
    <t>Laura Gross</t>
  </si>
  <si>
    <t>Lisa West</t>
  </si>
  <si>
    <t>Paul Noble</t>
  </si>
  <si>
    <t>Travis Ewing</t>
  </si>
  <si>
    <t>Full Name</t>
  </si>
  <si>
    <t>California</t>
  </si>
  <si>
    <t>Florida</t>
  </si>
  <si>
    <t>Indiana</t>
  </si>
  <si>
    <t>Maryland</t>
  </si>
  <si>
    <t>Michigan</t>
  </si>
  <si>
    <t>Missouri</t>
  </si>
  <si>
    <t>New York</t>
  </si>
  <si>
    <t>Virginia</t>
  </si>
  <si>
    <t>Washington</t>
  </si>
  <si>
    <t>Wisconsin</t>
  </si>
  <si>
    <t xml:space="preserve">customers </t>
  </si>
  <si>
    <t>chart</t>
  </si>
  <si>
    <t>caption</t>
  </si>
  <si>
    <t>Total Customers</t>
  </si>
  <si>
    <t>Total locations</t>
  </si>
  <si>
    <t>0-20</t>
  </si>
  <si>
    <t>21-30</t>
  </si>
  <si>
    <t>31-40</t>
  </si>
  <si>
    <t>41-50</t>
  </si>
  <si>
    <t>plus 50</t>
  </si>
  <si>
    <t>Age Group</t>
  </si>
  <si>
    <t>Average</t>
  </si>
  <si>
    <t>Average of Customers Age</t>
  </si>
  <si>
    <t>Gender</t>
  </si>
  <si>
    <t>Female</t>
  </si>
  <si>
    <t>Male</t>
  </si>
  <si>
    <t>female</t>
  </si>
  <si>
    <t>male</t>
  </si>
  <si>
    <t>WeekDay</t>
  </si>
  <si>
    <t>Month</t>
  </si>
  <si>
    <t>Profit Margin2</t>
  </si>
  <si>
    <t>Product sold</t>
  </si>
  <si>
    <t>Return rate</t>
  </si>
  <si>
    <t>Product Name</t>
  </si>
  <si>
    <t>Attorney Mist</t>
  </si>
  <si>
    <t>Begin Brew</t>
  </si>
  <si>
    <t>Eight Brew</t>
  </si>
  <si>
    <t>Onto Dew</t>
  </si>
  <si>
    <t>Common Splash</t>
  </si>
  <si>
    <t>Category</t>
  </si>
  <si>
    <t>Alcoholic Beverage</t>
  </si>
  <si>
    <t>Coffee</t>
  </si>
  <si>
    <t>Energy Drink</t>
  </si>
  <si>
    <t>Juice</t>
  </si>
  <si>
    <t>Soft Drink</t>
  </si>
  <si>
    <t>Sports Drink</t>
  </si>
  <si>
    <t>Tea</t>
  </si>
  <si>
    <t>Water</t>
  </si>
  <si>
    <t>A Splash</t>
  </si>
  <si>
    <t>Above Brew</t>
  </si>
  <si>
    <t>Administration Fusion</t>
  </si>
  <si>
    <t>Against Rush</t>
  </si>
  <si>
    <t>Alone Splash</t>
  </si>
  <si>
    <t>Animal Breeze</t>
  </si>
  <si>
    <t>Any Brew</t>
  </si>
  <si>
    <t>Assume Mist</t>
  </si>
  <si>
    <t>Audience Fusion</t>
  </si>
  <si>
    <t>Bar Drop</t>
  </si>
  <si>
    <t>Boy Splash</t>
  </si>
  <si>
    <t>Build Brew</t>
  </si>
  <si>
    <t>Center Mist</t>
  </si>
  <si>
    <t>Century Dew</t>
  </si>
  <si>
    <t>Choice Mist</t>
  </si>
  <si>
    <t>Clearly Brew</t>
  </si>
  <si>
    <t>Dark Brew</t>
  </si>
  <si>
    <t>Debate Rush</t>
  </si>
  <si>
    <t>Democrat Dew</t>
  </si>
  <si>
    <t>Despite Rush</t>
  </si>
  <si>
    <t>Develop Breeze</t>
  </si>
  <si>
    <t>Different Dew</t>
  </si>
  <si>
    <t>Discussion Fusion</t>
  </si>
  <si>
    <t>Door Brew</t>
  </si>
  <si>
    <t>Few Dew</t>
  </si>
  <si>
    <t>For Splash</t>
  </si>
  <si>
    <t>Friend Splash</t>
  </si>
  <si>
    <t>Ground Rush</t>
  </si>
  <si>
    <t>Heavy Rush</t>
  </si>
  <si>
    <t>Hold Brew</t>
  </si>
  <si>
    <t>Hotel Splash</t>
  </si>
  <si>
    <t>Husband Rush</t>
  </si>
  <si>
    <t>Include Breeze</t>
  </si>
  <si>
    <t>Indeed Splash</t>
  </si>
  <si>
    <t>Into Mist</t>
  </si>
  <si>
    <t>Its Dew</t>
  </si>
  <si>
    <t>Itself Breeze</t>
  </si>
  <si>
    <t>Large Fusion</t>
  </si>
  <si>
    <t>Left Breeze</t>
  </si>
  <si>
    <t>Leg Rush</t>
  </si>
  <si>
    <t>Let Dew</t>
  </si>
  <si>
    <t>Level Splash</t>
  </si>
  <si>
    <t>Majority Rush</t>
  </si>
  <si>
    <t>Management Drop</t>
  </si>
  <si>
    <t>Method Mist</t>
  </si>
  <si>
    <t>Might Mist</t>
  </si>
  <si>
    <t>Mind Dew</t>
  </si>
  <si>
    <t>Minute Rush</t>
  </si>
  <si>
    <t>Name Rush</t>
  </si>
  <si>
    <t>Nice Mist</t>
  </si>
  <si>
    <t>Note Splash</t>
  </si>
  <si>
    <t>Now Mist</t>
  </si>
  <si>
    <t>Of Rush</t>
  </si>
  <si>
    <t>Only Dew</t>
  </si>
  <si>
    <t>Over Splash</t>
  </si>
  <si>
    <t>Own Drop</t>
  </si>
  <si>
    <t>Pay Mist</t>
  </si>
  <si>
    <t>Piece Dew</t>
  </si>
  <si>
    <t>Pm Fusion</t>
  </si>
  <si>
    <t>Point Splash</t>
  </si>
  <si>
    <t>Poor Breeze</t>
  </si>
  <si>
    <t>Property Mist</t>
  </si>
  <si>
    <t>Protect Rush</t>
  </si>
  <si>
    <t>Question Breeze</t>
  </si>
  <si>
    <t>Race Rush</t>
  </si>
  <si>
    <t>Recent Splash</t>
  </si>
  <si>
    <t>Record Fusion</t>
  </si>
  <si>
    <t>Relate Mist</t>
  </si>
  <si>
    <t>Represent Drop</t>
  </si>
  <si>
    <t>Result Splash</t>
  </si>
  <si>
    <t>Return Mist</t>
  </si>
  <si>
    <t>Reveal Rush</t>
  </si>
  <si>
    <t>Sea Drop</t>
  </si>
  <si>
    <t>Second Splash</t>
  </si>
  <si>
    <t>Series Mist</t>
  </si>
  <si>
    <t>Side Brew</t>
  </si>
  <si>
    <t>Society Rush</t>
  </si>
  <si>
    <t>Soldier Splash</t>
  </si>
  <si>
    <t>Somebody Fusion</t>
  </si>
  <si>
    <t>Sometimes Dew</t>
  </si>
  <si>
    <t>Street Breeze</t>
  </si>
  <si>
    <t>Threat Mist</t>
  </si>
  <si>
    <t>Throughout Fusion</t>
  </si>
  <si>
    <t>Too Splash</t>
  </si>
  <si>
    <t>Training Mist</t>
  </si>
  <si>
    <t>Tv Breeze</t>
  </si>
  <si>
    <t>Two Breeze</t>
  </si>
  <si>
    <t>Value Fusion</t>
  </si>
  <si>
    <t>Wait Drop</t>
  </si>
  <si>
    <t>Way Splash</t>
  </si>
  <si>
    <t>West Rush</t>
  </si>
  <si>
    <t>What Rush</t>
  </si>
  <si>
    <t>Window Dew</t>
  </si>
  <si>
    <t>Woman Dew</t>
  </si>
  <si>
    <t>Would Rush</t>
  </si>
  <si>
    <t xml:space="preserve"> Quantity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</si>
</sst>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4">
    <numFmt numFmtId="164" formatCode="\$#,##0;\(\$#,##0\);\$#,##0"/>
    <numFmt numFmtId="165" formatCode="0.00%;\-0.00%;0.00%"/>
    <numFmt numFmtId="166" formatCode="[&lt;999999]0.00,&quot; K&quot;;[&lt;999999999]0.00,,&quot; M&quot;;#,000&quot; B&quot;"/>
    <numFmt numFmtId="167" formatCode="[&lt;999999]&quot;$&quot;0.00,&quot; K&quot;;[&lt;999999999]&quot;$&quot;0.00,,&quot; M&quot;;#,000&quot; B&quot;"/>
    <numFmt numFmtId="168" formatCode="[&lt;999999]&quot;$&quot;#,&quot; K&quot;;[&lt;999999999]&quot;$&quot;#,,&quot; M&quot;;#,&quot; B&quot;"/>
    <numFmt numFmtId="169" formatCode="\+0.00%;\-0.00%"/>
    <numFmt numFmtId="170" formatCode="&quot;$&quot;#,##0"/>
    <numFmt numFmtId="171" formatCode="[&lt;999999]&quot;$&quot;0.0,&quot; K&quot;;[&lt;999999999]&quot;$&quot;0.0,,&quot; M&quot;;#,000&quot; B&quot;"/>
    <numFmt numFmtId="172" formatCode="[&lt;999999]0.0,&quot; K&quot;;[&lt;999999999]0.0,,&quot; M&quot;;#,000&quot; B&quot;"/>
    <numFmt numFmtId="173" formatCode="\+0.0%;\-0.0%"/>
    <numFmt numFmtId="174" formatCode="[&lt;999999]&quot;$&quot;0,&quot; K&quot;;[&lt;999999999]&quot;$&quot;0,,&quot; M&quot;;#,000&quot; B&quot;"/>
    <numFmt numFmtId="175" formatCode="\+0%;\-0%"/>
    <numFmt numFmtId="176" formatCode="[&lt;999999]&quot;$&quot;#,&quot; K&quot;;[&lt;999999999]&quot;$&quot;#,,&quot; M&quot;;#,000&quot; B&quot;"/>
    <numFmt numFmtId="177" formatCode="0.0%"/>
  </numFmts>
  <fonts count="8" x14ac:knownFonts="1">
    <font>
      <sz val="11"/>
      <color theme="1"/>
      <name val="Calibri"/>
      <family val="2"/>
      <scheme val="minor"/>
    </font>
    <font>
      <sz val="11"/>
      <color rgb="FFFF0000"/>
      <name val="Calibri"/>
      <family val="2"/>
      <scheme val="minor"/>
    </font>
    <font>
      <b/>
      <sz val="11"/>
      <color theme="1"/>
      <name val="Calibri"/>
      <family val="2"/>
      <scheme val="minor"/>
    </font>
    <font>
      <sz val="11"/>
      <color theme="9"/>
      <name val="Calibri"/>
      <family val="2"/>
      <scheme val="minor"/>
    </font>
    <font>
      <b/>
      <sz val="12"/>
      <color theme="0"/>
      <name val="Calibri"/>
      <family val="2"/>
      <scheme val="minor"/>
    </font>
    <font>
      <sz val="12"/>
      <color theme="1"/>
      <name val="Calibri"/>
      <family val="2"/>
      <scheme val="minor"/>
    </font>
    <font>
      <b/>
      <sz val="14"/>
      <color theme="1"/>
      <name val="Calibri"/>
      <family val="2"/>
      <scheme val="minor"/>
    </font>
    <font>
      <b/>
      <sz val="14"/>
      <color theme="0"/>
      <name val="Calibri"/>
      <family val="2"/>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249977111117893"/>
        <bgColor indexed="64"/>
      </patternFill>
    </fill>
    <fill>
      <patternFill patternType="solid">
        <fgColor rgb="FF1C6EA4"/>
        <bgColor indexed="64"/>
      </patternFill>
    </fill>
    <fill>
      <patternFill patternType="solid">
        <fgColor theme="2" tint="-9.9948118533890809E-2"/>
        <bgColor indexed="64"/>
      </patternFill>
    </fill>
    <fill>
      <patternFill patternType="solid">
        <fgColor rgb="FFFFFF00"/>
        <bgColor indexed="64"/>
      </patternFill>
    </fill>
    <fill>
      <patternFill patternType="solid">
        <fgColor rgb="FF4BD0FF"/>
        <bgColor indexed="64"/>
      </patternFill>
    </fill>
    <fill>
      <patternFill patternType="solid">
        <fgColor theme="4" tint="0.59999389629810485"/>
        <bgColor indexed="64"/>
      </patternFill>
    </fill>
    <fill>
      <patternFill patternType="solid">
        <fgColor theme="1" tint="0.34998626667073579"/>
        <bgColor indexed="64"/>
      </patternFill>
    </fill>
  </fills>
  <borders count="15">
    <border>
      <left/>
      <right/>
      <top/>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indexed="64"/>
      </left>
      <right style="thin">
        <color indexed="64"/>
      </right>
      <top style="thin">
        <color indexed="64"/>
      </top>
      <bottom style="thin">
        <color indexed="64"/>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thin">
        <color theme="0"/>
      </left>
      <right style="thin">
        <color theme="0"/>
      </right>
      <top style="thin">
        <color theme="1"/>
      </top>
      <bottom style="thin">
        <color theme="0"/>
      </bottom>
      <diagonal/>
    </border>
  </borders>
  <cellStyleXfs count="1">
    <xf numFmtId="0" fontId="0" fillId="0" borderId="0"/>
  </cellStyleXfs>
  <cellXfs count="74">
    <xf numFmtId="0" fontId="0" fillId="0" borderId="0" xfId="0"/>
    <xf numFmtId="0" fontId="0" fillId="2" borderId="0" xfId="0" applyFill="1"/>
    <xf numFmtId="164" fontId="0" fillId="0" borderId="0" xfId="0" applyNumberFormat="1"/>
    <xf numFmtId="165" fontId="0" fillId="0" borderId="0" xfId="0" applyNumberFormat="1"/>
    <xf numFmtId="3" fontId="0" fillId="0" borderId="0" xfId="0" applyNumberFormat="1"/>
    <xf numFmtId="166" fontId="0" fillId="0" borderId="0" xfId="0" applyNumberFormat="1"/>
    <xf numFmtId="167" fontId="0" fillId="0" borderId="0" xfId="0" applyNumberFormat="1"/>
    <xf numFmtId="10" fontId="0" fillId="0" borderId="0" xfId="0" applyNumberFormat="1"/>
    <xf numFmtId="0" fontId="2" fillId="0" borderId="0" xfId="0" applyFont="1"/>
    <xf numFmtId="0" fontId="3" fillId="0" borderId="0" xfId="0" applyFont="1"/>
    <xf numFmtId="0" fontId="1" fillId="0" borderId="0" xfId="0" applyFont="1"/>
    <xf numFmtId="0" fontId="0" fillId="3" borderId="0" xfId="0" applyFill="1"/>
    <xf numFmtId="0" fontId="0" fillId="0" borderId="0" xfId="0" pivotButton="1"/>
    <xf numFmtId="10" fontId="0" fillId="0" borderId="0" xfId="0" applyNumberFormat="1" applyAlignment="1">
      <alignment horizontal="center" vertical="center"/>
    </xf>
    <xf numFmtId="168" fontId="0" fillId="0" borderId="0" xfId="0" applyNumberFormat="1"/>
    <xf numFmtId="169" fontId="0" fillId="0" borderId="0" xfId="0" applyNumberFormat="1"/>
    <xf numFmtId="170" fontId="0" fillId="0" borderId="0" xfId="0" applyNumberFormat="1"/>
    <xf numFmtId="0" fontId="0" fillId="4" borderId="0" xfId="0" applyFill="1"/>
    <xf numFmtId="0" fontId="0" fillId="0" borderId="0" xfId="0" applyAlignment="1">
      <alignment horizontal="left"/>
    </xf>
    <xf numFmtId="0" fontId="0" fillId="5" borderId="1" xfId="0" applyFill="1" applyBorder="1"/>
    <xf numFmtId="0" fontId="0" fillId="5" borderId="2" xfId="0" applyFill="1" applyBorder="1"/>
    <xf numFmtId="0" fontId="0" fillId="5" borderId="3" xfId="0" applyFill="1" applyBorder="1"/>
    <xf numFmtId="0" fontId="0" fillId="5" borderId="4" xfId="0" applyFill="1" applyBorder="1"/>
    <xf numFmtId="0" fontId="0" fillId="5" borderId="5" xfId="0" applyFill="1" applyBorder="1"/>
    <xf numFmtId="0" fontId="0" fillId="5" borderId="6" xfId="0" applyFill="1" applyBorder="1"/>
    <xf numFmtId="0" fontId="0" fillId="5" borderId="7" xfId="0" applyFill="1" applyBorder="1"/>
    <xf numFmtId="0" fontId="0" fillId="5" borderId="8" xfId="0" applyFill="1" applyBorder="1"/>
    <xf numFmtId="0" fontId="0" fillId="5" borderId="9" xfId="0" applyFill="1" applyBorder="1"/>
    <xf numFmtId="171" fontId="0" fillId="0" borderId="0" xfId="0" applyNumberFormat="1"/>
    <xf numFmtId="172" fontId="0" fillId="0" borderId="0" xfId="0" applyNumberFormat="1"/>
    <xf numFmtId="173" fontId="0" fillId="0" borderId="0" xfId="0" applyNumberFormat="1"/>
    <xf numFmtId="0" fontId="0" fillId="0" borderId="10" xfId="0" applyBorder="1"/>
    <xf numFmtId="0" fontId="0" fillId="6" borderId="10" xfId="0" applyFill="1" applyBorder="1"/>
    <xf numFmtId="174" fontId="0" fillId="0" borderId="0" xfId="0" applyNumberFormat="1"/>
    <xf numFmtId="0" fontId="0" fillId="7" borderId="1" xfId="0" applyFill="1" applyBorder="1"/>
    <xf numFmtId="0" fontId="0" fillId="7" borderId="2" xfId="0" applyFill="1" applyBorder="1"/>
    <xf numFmtId="0" fontId="0" fillId="7" borderId="3" xfId="0" applyFill="1" applyBorder="1"/>
    <xf numFmtId="0" fontId="0" fillId="7" borderId="4" xfId="0" applyFill="1" applyBorder="1"/>
    <xf numFmtId="0" fontId="0" fillId="7" borderId="5" xfId="0" applyFill="1" applyBorder="1"/>
    <xf numFmtId="0" fontId="0" fillId="7" borderId="6" xfId="0" applyFill="1" applyBorder="1"/>
    <xf numFmtId="0" fontId="0" fillId="7" borderId="7" xfId="0" applyFill="1" applyBorder="1"/>
    <xf numFmtId="0" fontId="0" fillId="7" borderId="8" xfId="0" applyFill="1" applyBorder="1"/>
    <xf numFmtId="0" fontId="0" fillId="7" borderId="9" xfId="0" applyFill="1" applyBorder="1"/>
    <xf numFmtId="175" fontId="0" fillId="0" borderId="0" xfId="0" applyNumberFormat="1"/>
    <xf numFmtId="0" fontId="0" fillId="8" borderId="0" xfId="0" applyFill="1"/>
    <xf numFmtId="176" fontId="0" fillId="0" borderId="0" xfId="0" applyNumberFormat="1"/>
    <xf numFmtId="0" fontId="6" fillId="9" borderId="0" xfId="0" applyFont="1" applyFill="1" applyAlignment="1">
      <alignment horizontal="center" vertical="center"/>
    </xf>
    <xf numFmtId="0" fontId="5" fillId="9" borderId="0" xfId="0" applyFont="1" applyFill="1" applyAlignment="1">
      <alignment horizontal="center" vertical="center"/>
    </xf>
    <xf numFmtId="0" fontId="0" fillId="0" borderId="3" xfId="0" applyBorder="1"/>
    <xf numFmtId="0" fontId="0" fillId="0" borderId="6" xfId="0" applyBorder="1"/>
    <xf numFmtId="0" fontId="0" fillId="0" borderId="8" xfId="0" applyBorder="1"/>
    <xf numFmtId="0" fontId="0" fillId="0" borderId="9" xfId="0" applyBorder="1"/>
    <xf numFmtId="0" fontId="0" fillId="0" borderId="1" xfId="0" applyBorder="1"/>
    <xf numFmtId="0" fontId="5" fillId="0" borderId="2" xfId="0" applyFont="1" applyBorder="1"/>
    <xf numFmtId="0" fontId="0" fillId="0" borderId="4" xfId="0" applyBorder="1"/>
    <xf numFmtId="0" fontId="5" fillId="0" borderId="5" xfId="0" applyFont="1" applyBorder="1"/>
    <xf numFmtId="0" fontId="0" fillId="0" borderId="7" xfId="0" applyBorder="1"/>
    <xf numFmtId="172" fontId="0" fillId="0" borderId="2" xfId="0" applyNumberFormat="1" applyBorder="1" applyAlignment="1">
      <alignment horizontal="left" vertical="center"/>
    </xf>
    <xf numFmtId="0" fontId="0" fillId="0" borderId="2" xfId="0" applyBorder="1" applyAlignment="1">
      <alignment horizontal="left" vertical="center"/>
    </xf>
    <xf numFmtId="171" fontId="0" fillId="0" borderId="2" xfId="0" applyNumberFormat="1" applyBorder="1" applyAlignment="1">
      <alignment horizontal="left" vertical="center"/>
    </xf>
    <xf numFmtId="172" fontId="0" fillId="0" borderId="5" xfId="0" applyNumberFormat="1" applyBorder="1" applyAlignment="1">
      <alignment horizontal="left" vertical="center"/>
    </xf>
    <xf numFmtId="0" fontId="0" fillId="0" borderId="5" xfId="0" applyBorder="1" applyAlignment="1">
      <alignment horizontal="left" vertical="center"/>
    </xf>
    <xf numFmtId="171" fontId="0" fillId="0" borderId="5" xfId="0" applyNumberFormat="1" applyBorder="1" applyAlignment="1">
      <alignment horizontal="left" vertical="center"/>
    </xf>
    <xf numFmtId="177" fontId="0" fillId="0" borderId="2" xfId="0" applyNumberFormat="1" applyBorder="1" applyAlignment="1">
      <alignment horizontal="center" vertical="center"/>
    </xf>
    <xf numFmtId="177" fontId="0" fillId="0" borderId="5" xfId="0" applyNumberFormat="1" applyBorder="1" applyAlignment="1">
      <alignment horizontal="center" vertical="center"/>
    </xf>
    <xf numFmtId="0" fontId="7" fillId="9" borderId="11" xfId="0" applyFont="1" applyFill="1" applyBorder="1" applyAlignment="1">
      <alignment horizontal="center" vertical="center"/>
    </xf>
    <xf numFmtId="0" fontId="4" fillId="9" borderId="12" xfId="0" applyFont="1" applyFill="1" applyBorder="1" applyAlignment="1">
      <alignment horizontal="center" vertical="center"/>
    </xf>
    <xf numFmtId="0" fontId="4" fillId="9" borderId="13" xfId="0" applyFont="1" applyFill="1" applyBorder="1" applyAlignment="1">
      <alignment horizontal="center" vertical="center"/>
    </xf>
    <xf numFmtId="0" fontId="5" fillId="0" borderId="14" xfId="0" applyFont="1" applyBorder="1"/>
    <xf numFmtId="172" fontId="0" fillId="0" borderId="14" xfId="0" applyNumberFormat="1" applyBorder="1" applyAlignment="1">
      <alignment horizontal="left" vertical="center"/>
    </xf>
    <xf numFmtId="0" fontId="0" fillId="0" borderId="14" xfId="0" applyBorder="1" applyAlignment="1">
      <alignment horizontal="left" vertical="center"/>
    </xf>
    <xf numFmtId="177" fontId="0" fillId="0" borderId="14" xfId="0" applyNumberFormat="1" applyBorder="1" applyAlignment="1">
      <alignment horizontal="center" vertical="center"/>
    </xf>
    <xf numFmtId="171" fontId="0" fillId="0" borderId="14" xfId="0" applyNumberFormat="1" applyBorder="1" applyAlignment="1">
      <alignment horizontal="left" vertical="center"/>
    </xf>
    <xf numFmtId="0" fontId="0" fillId="0" borderId="0" xfId="0" applyNumberFormat="1"/>
  </cellXfs>
  <cellStyles count="1">
    <cellStyle name="Normal" xfId="0" builtinId="0"/>
  </cellStyles>
  <dxfs count="48">
    <dxf>
      <font>
        <sz val="14"/>
        <color theme="0"/>
      </font>
      <fill>
        <patternFill patternType="none">
          <bgColor auto="1"/>
        </patternFill>
      </fill>
      <border diagonalUp="0" diagonalDown="0">
        <left/>
        <right/>
        <top/>
        <bottom/>
        <vertical/>
        <horizontal/>
      </border>
    </dxf>
    <dxf>
      <font>
        <sz val="14"/>
        <color theme="0"/>
      </font>
      <fill>
        <patternFill patternType="solid">
          <bgColor rgb="FF154D71"/>
        </patternFill>
      </fill>
      <border diagonalUp="0" diagonalDown="0">
        <left/>
        <right/>
        <top/>
        <bottom/>
        <vertical/>
        <horizontal/>
      </border>
    </dxf>
    <dxf>
      <numFmt numFmtId="177" formatCode="0.0%"/>
      <alignment horizontal="center" vertical="center" textRotation="0" wrapText="0" indent="0" justifyLastLine="0" shrinkToFit="0" readingOrder="0"/>
      <border diagonalUp="0" diagonalDown="0" outline="0">
        <left style="thin">
          <color theme="0"/>
        </left>
        <right/>
        <top style="thin">
          <color theme="0"/>
        </top>
        <bottom style="thin">
          <color theme="0"/>
        </bottom>
      </border>
    </dxf>
    <dxf>
      <numFmt numFmtId="171" formatCode="[&lt;999999]&quot;$&quot;0.0,&quot; K&quot;;[&lt;999999999]&quot;$&quot;0.0,,&quot; M&quot;;#,000&quot; B&quot;"/>
      <alignment horizontal="left" vertical="center" textRotation="0" wrapText="0" indent="0" justifyLastLine="0" shrinkToFit="0" readingOrder="0"/>
      <border diagonalUp="0" diagonalDown="0" outline="0">
        <left style="thin">
          <color theme="0"/>
        </left>
        <right style="thin">
          <color theme="0"/>
        </right>
        <top style="thin">
          <color theme="0"/>
        </top>
        <bottom style="thin">
          <color theme="0"/>
        </bottom>
      </border>
    </dxf>
    <dxf>
      <numFmt numFmtId="171" formatCode="[&lt;999999]&quot;$&quot;0.0,&quot; K&quot;;[&lt;999999999]&quot;$&quot;0.0,,&quot; M&quot;;#,000&quot; B&quot;"/>
      <alignment horizontal="left" vertical="center" textRotation="0" wrapText="0" indent="0" justifyLastLine="0" shrinkToFit="0" readingOrder="0"/>
      <border diagonalUp="0" diagonalDown="0" outline="0">
        <left style="thin">
          <color theme="0"/>
        </left>
        <right style="thin">
          <color theme="0"/>
        </right>
        <top style="thin">
          <color theme="0"/>
        </top>
        <bottom style="thin">
          <color theme="0"/>
        </bottom>
      </border>
    </dxf>
    <dxf>
      <numFmt numFmtId="171" formatCode="[&lt;999999]&quot;$&quot;0.0,&quot; K&quot;;[&lt;999999999]&quot;$&quot;0.0,,&quot; M&quot;;#,000&quot; B&quot;"/>
      <alignment horizontal="left" vertical="center" textRotation="0" wrapText="0" indent="0" justifyLastLine="0" shrinkToFit="0" readingOrder="0"/>
      <border diagonalUp="0" diagonalDown="0" outline="0">
        <left style="thin">
          <color theme="0"/>
        </left>
        <right style="thin">
          <color theme="0"/>
        </right>
        <top style="thin">
          <color theme="0"/>
        </top>
        <bottom style="thin">
          <color theme="0"/>
        </bottom>
      </border>
    </dxf>
    <dxf>
      <numFmt numFmtId="171" formatCode="[&lt;999999]&quot;$&quot;0.0,&quot; K&quot;;[&lt;999999999]&quot;$&quot;0.0,,&quot; M&quot;;#,000&quot; B&quot;"/>
      <alignment horizontal="left" vertical="center" textRotation="0" wrapText="0" indent="0" justifyLastLine="0" shrinkToFit="0" readingOrder="0"/>
      <border diagonalUp="0" diagonalDown="0" outline="0">
        <left style="thin">
          <color theme="0"/>
        </left>
        <right style="thin">
          <color theme="0"/>
        </right>
        <top style="thin">
          <color theme="0"/>
        </top>
        <bottom style="thin">
          <color theme="0"/>
        </bottom>
      </border>
    </dxf>
    <dxf>
      <numFmt numFmtId="177" formatCode="0.0%"/>
      <alignment horizontal="center" vertical="center" textRotation="0" wrapText="0" indent="0" justifyLastLine="0" shrinkToFit="0" readingOrder="0"/>
      <border diagonalUp="0" diagonalDown="0" outline="0">
        <left style="thin">
          <color theme="0"/>
        </left>
        <right style="thin">
          <color theme="0"/>
        </right>
        <top style="thin">
          <color theme="0"/>
        </top>
        <bottom style="thin">
          <color theme="0"/>
        </bottom>
      </border>
    </dxf>
    <dxf>
      <alignment horizontal="left" vertical="center" textRotation="0" wrapText="0" indent="0" justifyLastLine="0" shrinkToFit="0" readingOrder="0"/>
      <border diagonalUp="0" diagonalDown="0" outline="0">
        <left style="thin">
          <color theme="0"/>
        </left>
        <right style="thin">
          <color theme="0"/>
        </right>
        <top style="thin">
          <color theme="0"/>
        </top>
        <bottom style="thin">
          <color theme="0"/>
        </bottom>
      </border>
    </dxf>
    <dxf>
      <numFmt numFmtId="172" formatCode="[&lt;999999]0.0,&quot; K&quot;;[&lt;999999999]0.0,,&quot; M&quot;;#,000&quot; B&quot;"/>
      <alignment horizontal="left" vertical="center" textRotation="0" wrapText="0" indent="0" justifyLastLine="0" shrinkToFit="0" readingOrder="0"/>
      <border diagonalUp="0" diagonalDown="0" outline="0">
        <left style="thin">
          <color theme="0"/>
        </left>
        <right style="thin">
          <color theme="0"/>
        </right>
        <top style="thin">
          <color theme="0"/>
        </top>
        <bottom style="thin">
          <color theme="0"/>
        </bottom>
      </border>
    </dxf>
    <dxf>
      <font>
        <strike val="0"/>
        <outline val="0"/>
        <shadow val="0"/>
        <u val="none"/>
        <vertAlign val="baseline"/>
        <sz val="12"/>
        <color theme="1"/>
        <name val="Calibri"/>
        <family val="2"/>
        <scheme val="minor"/>
      </font>
      <border diagonalUp="0" diagonalDown="0" outline="0">
        <left/>
        <right style="thin">
          <color theme="0"/>
        </right>
        <top style="thin">
          <color theme="0"/>
        </top>
        <bottom style="thin">
          <color theme="0"/>
        </bottom>
      </border>
    </dxf>
    <dxf>
      <font>
        <b val="0"/>
        <strike val="0"/>
        <outline val="0"/>
        <shadow val="0"/>
        <u val="none"/>
        <vertAlign val="baseline"/>
        <sz val="12"/>
        <color theme="1"/>
        <name val="Calibri"/>
        <family val="2"/>
        <scheme val="minor"/>
      </font>
      <fill>
        <patternFill patternType="solid">
          <fgColor indexed="64"/>
          <bgColor theme="1" tint="0.34998626667073579"/>
        </patternFill>
      </fill>
      <alignment horizontal="center" vertical="center" textRotation="0" wrapText="0" indent="0" justifyLastLine="0" shrinkToFit="0" readingOrder="0"/>
    </dxf>
    <dxf>
      <numFmt numFmtId="174" formatCode="[&lt;999999]&quot;$&quot;0,&quot; K&quot;;[&lt;999999999]&quot;$&quot;0,,&quot; M&quot;;#,000&quot; B&quot;"/>
    </dxf>
    <dxf>
      <numFmt numFmtId="175" formatCode="\+0%;\-0%"/>
    </dxf>
    <dxf>
      <numFmt numFmtId="14" formatCode="0.00%"/>
    </dxf>
    <dxf>
      <numFmt numFmtId="174" formatCode="[&lt;999999]&quot;$&quot;0,&quot; K&quot;;[&lt;999999999]&quot;$&quot;0,,&quot; M&quot;;#,000&quot; B&quot;"/>
    </dxf>
    <dxf>
      <numFmt numFmtId="172" formatCode="[&lt;999999]0.0,&quot; K&quot;;[&lt;999999999]0.0,,&quot; M&quot;;#,000&quot; B&quot;"/>
    </dxf>
    <dxf>
      <numFmt numFmtId="171" formatCode="[&lt;999999]&quot;$&quot;0.0,&quot; K&quot;;[&lt;999999999]&quot;$&quot;0.0,,&quot; M&quot;;#,000&quot; B&quot;"/>
    </dxf>
    <dxf>
      <numFmt numFmtId="171" formatCode="[&lt;999999]&quot;$&quot;0.0,&quot; K&quot;;[&lt;999999999]&quot;$&quot;0.0,,&quot; M&quot;;#,000&quot; B&quot;"/>
    </dxf>
    <dxf>
      <numFmt numFmtId="14" formatCode="0.00%"/>
    </dxf>
    <dxf>
      <numFmt numFmtId="168" formatCode="[&lt;999999]&quot;$&quot;#,&quot; K&quot;;[&lt;999999999]&quot;$&quot;#,,&quot; M&quot;;#,&quot; B&quot;"/>
    </dxf>
    <dxf>
      <numFmt numFmtId="169" formatCode="\+0.00%;\-0.00%"/>
    </dxf>
    <dxf>
      <numFmt numFmtId="169" formatCode="\+0.00%;\-0.00%"/>
    </dxf>
    <dxf>
      <numFmt numFmtId="168" formatCode="[&lt;999999]&quot;$&quot;#,&quot; K&quot;;[&lt;999999999]&quot;$&quot;#,,&quot; M&quot;;#,&quot; B&quot;"/>
    </dxf>
    <dxf>
      <numFmt numFmtId="168" formatCode="[&lt;999999]&quot;$&quot;#,&quot; K&quot;;[&lt;999999999]&quot;$&quot;#,,&quot; M&quot;;#,&quot; B&quot;"/>
    </dxf>
    <dxf>
      <numFmt numFmtId="166" formatCode="[&lt;999999]0.00,&quot; K&quot;;[&lt;999999999]0.00,,&quot; M&quot;;#,000&quot; B&quot;"/>
    </dxf>
    <dxf>
      <font>
        <color rgb="FFFF0000"/>
      </font>
    </dxf>
    <dxf>
      <font>
        <color theme="9"/>
      </font>
    </dxf>
    <dxf>
      <font>
        <color theme="0" tint="-0.24994659260841701"/>
      </font>
      <fill>
        <patternFill>
          <bgColor theme="0" tint="-0.24994659260841701"/>
        </patternFill>
      </fill>
    </dxf>
    <dxf>
      <font>
        <color rgb="FF4BD0FF"/>
      </font>
    </dxf>
    <dxf>
      <font>
        <color theme="1" tint="0.499984740745262"/>
      </font>
      <fill>
        <patternFill>
          <bgColor theme="1" tint="0.499984740745262"/>
        </patternFill>
      </fill>
    </dxf>
    <dxf>
      <font>
        <color theme="4" tint="0.79998168889431442"/>
      </font>
      <fill>
        <patternFill>
          <bgColor theme="4" tint="0.79998168889431442"/>
        </patternFill>
      </fill>
    </dxf>
    <dxf>
      <font>
        <color rgb="FF1C6EA4"/>
      </font>
      <fill>
        <patternFill>
          <bgColor rgb="FF1C6EA4"/>
        </patternFill>
      </fill>
    </dxf>
    <dxf>
      <font>
        <color theme="4" tint="0.79998168889431442"/>
      </font>
      <fill>
        <patternFill>
          <bgColor theme="4" tint="0.79998168889431442"/>
        </patternFill>
      </fill>
    </dxf>
    <dxf>
      <font>
        <sz val="14"/>
        <color theme="1" tint="0.24994659260841701"/>
      </font>
      <fill>
        <patternFill>
          <bgColor theme="0"/>
        </patternFill>
      </fill>
      <border diagonalUp="0" diagonalDown="0">
        <left/>
        <right/>
        <top/>
        <bottom/>
        <vertical/>
        <horizontal/>
      </border>
    </dxf>
    <dxf>
      <font>
        <sz val="14"/>
        <color theme="1" tint="0.24994659260841701"/>
      </font>
      <fill>
        <patternFill>
          <bgColor theme="0"/>
        </patternFill>
      </fill>
      <border diagonalUp="0" diagonalDown="0">
        <left/>
        <right/>
        <top/>
        <bottom/>
        <vertical/>
        <horizontal/>
      </border>
    </dxf>
    <dxf>
      <font>
        <b/>
        <color theme="1"/>
      </font>
    </dxf>
    <dxf>
      <font>
        <b/>
        <color theme="1"/>
      </font>
      <fill>
        <patternFill patternType="solid">
          <fgColor theme="9" tint="0.79998168889431442"/>
          <bgColor theme="9" tint="0.79998168889431442"/>
        </patternFill>
      </fill>
      <border>
        <bottom style="thin">
          <color theme="0"/>
        </bottom>
      </border>
    </dxf>
    <dxf>
      <border>
        <top style="thin">
          <color theme="9" tint="0.79998168889431442"/>
        </top>
      </border>
    </dxf>
    <dxf>
      <border>
        <top style="thin">
          <color theme="9" tint="0.79998168889431442"/>
        </top>
      </border>
    </dxf>
    <dxf>
      <font>
        <b/>
        <color theme="1"/>
      </font>
    </dxf>
    <dxf>
      <font>
        <b/>
        <color theme="1"/>
      </font>
      <fill>
        <patternFill patternType="solid">
          <fgColor theme="9" tint="0.79998168889431442"/>
          <bgColor theme="9" tint="0.79998168889431442"/>
        </patternFill>
      </fill>
      <border>
        <top style="thin">
          <color theme="9" tint="0.59999389629810485"/>
        </top>
        <bottom style="thin">
          <color theme="9" tint="0.59999389629810485"/>
        </bottom>
      </border>
    </dxf>
    <dxf>
      <border>
        <left style="thin">
          <color theme="9"/>
        </left>
        <right style="thin">
          <color theme="9"/>
        </right>
        <top style="thin">
          <color theme="9"/>
        </top>
        <bottom style="thin">
          <color theme="9"/>
        </bottom>
      </border>
    </dxf>
    <dxf>
      <border>
        <left style="thin">
          <color theme="9" tint="0.59999389629810485"/>
        </left>
        <right style="thin">
          <color theme="9" tint="0.59999389629810485"/>
        </right>
        <top style="thin">
          <color theme="9" tint="0.59999389629810485"/>
        </top>
        <bottom style="thin">
          <color theme="9" tint="0.59999389629810485"/>
        </bottom>
      </border>
    </dxf>
    <dxf>
      <font>
        <b/>
        <i val="0"/>
        <color theme="1"/>
      </font>
      <fill>
        <patternFill>
          <bgColor theme="0"/>
        </patternFill>
      </fill>
      <border>
        <left/>
        <right/>
        <top/>
        <bottom/>
        <vertical style="thin">
          <color theme="0"/>
        </vertical>
        <horizontal style="thin">
          <color theme="0"/>
        </horizontal>
      </border>
    </dxf>
    <dxf>
      <font>
        <b/>
        <color theme="1"/>
      </font>
      <border>
        <left style="medium">
          <color theme="9"/>
        </left>
        <right style="medium">
          <color theme="9"/>
        </right>
        <top style="medium">
          <color theme="9"/>
        </top>
        <bottom style="medium">
          <color theme="9"/>
        </bottom>
      </border>
    </dxf>
    <dxf>
      <font>
        <color theme="0"/>
      </font>
      <fill>
        <patternFill>
          <bgColor theme="1" tint="0.34998626667073579"/>
        </patternFill>
      </fill>
      <border>
        <left/>
        <right/>
        <top/>
        <bottom style="medium">
          <color theme="0"/>
        </bottom>
        <vertical/>
        <horizontal/>
      </border>
    </dxf>
    <dxf>
      <font>
        <color theme="1"/>
      </font>
      <fill>
        <patternFill patternType="none">
          <bgColor auto="1"/>
        </patternFill>
      </fill>
      <border>
        <left/>
        <right/>
        <top/>
        <bottom/>
        <vertical style="thin">
          <color theme="0"/>
        </vertical>
        <horizontal style="thin">
          <color theme="0"/>
        </horizontal>
      </border>
    </dxf>
  </dxfs>
  <tableStyles count="3" defaultTableStyle="TableStyleMedium2" defaultPivotStyle="PivotStyleLight16">
    <tableStyle name="PivotStyleLight14 2" table="0" count="12" xr9:uid="{6AAE689E-7FE6-4EF1-964C-0FB7F433567C}">
      <tableStyleElement type="wholeTable" dxfId="47"/>
      <tableStyleElement type="headerRow" dxfId="46"/>
      <tableStyleElement type="totalRow" dxfId="45"/>
      <tableStyleElement type="firstColumn" dxfId="44"/>
      <tableStyleElement type="firstRowStripe" dxfId="43"/>
      <tableStyleElement type="firstColumnStripe" dxfId="42"/>
      <tableStyleElement type="firstSubtotalRow" dxfId="41"/>
      <tableStyleElement type="secondSubtotalRow" dxfId="40"/>
      <tableStyleElement type="secondColumnSubheading" dxfId="39"/>
      <tableStyleElement type="thirdColumnSubheading" dxfId="38"/>
      <tableStyleElement type="firstRowSubheading" dxfId="37"/>
      <tableStyleElement type="secondRowSubheading" dxfId="36"/>
    </tableStyle>
    <tableStyle name="SlicerStyleLight1 2" pivot="0" table="0" count="10" xr9:uid="{8B50863E-DF2D-4A0D-8BD6-8AB8B835316A}">
      <tableStyleElement type="wholeTable" dxfId="35"/>
      <tableStyleElement type="headerRow" dxfId="34"/>
    </tableStyle>
    <tableStyle name="SlicerStyleLight1 2 2" pivot="0" table="0" count="10" xr9:uid="{897EC1A2-0FD9-4DD2-8C56-5F25402C18CF}">
      <tableStyleElement type="wholeTable" dxfId="1"/>
      <tableStyleElement type="headerRow" dxfId="0"/>
    </tableStyle>
  </tableStyles>
  <colors>
    <mruColors>
      <color rgb="FF4BD0FF"/>
      <color rgb="FF333F50"/>
      <color rgb="FF33A1E0"/>
      <color rgb="FF154D71"/>
      <color rgb="FF3F4E63"/>
      <color rgb="FF1C6EA4"/>
      <color rgb="FF2E75B6"/>
      <color rgb="FFDA0000"/>
      <color rgb="FF77BEF0"/>
      <color rgb="FF2B6BA5"/>
    </mruColors>
  </colors>
  <extLst>
    <ext xmlns:x14="http://schemas.microsoft.com/office/spreadsheetml/2009/9/main" uri="{46F421CA-312F-682f-3DD2-61675219B42D}">
      <x14:dxfs count="16">
        <dxf>
          <font>
            <color rgb="FF000000"/>
          </font>
          <fill>
            <gradientFill degree="90">
              <stop position="0">
                <color theme="2" tint="-0.25098422193060094"/>
              </stop>
              <stop position="1">
                <color theme="2" tint="-9.8025452436902985E-2"/>
              </stop>
            </gradientFill>
          </fill>
          <border diagonalUp="0" diagonalDown="0">
            <left/>
            <right/>
            <top/>
            <bottom/>
            <vertical/>
            <horizontal/>
          </border>
        </dxf>
        <dxf>
          <font>
            <color rgb="FF000000"/>
          </font>
          <fill>
            <gradientFill degree="90">
              <stop position="0">
                <color theme="2" tint="-0.25098422193060094"/>
              </stop>
              <stop position="1">
                <color theme="2" tint="-9.8025452436902985E-2"/>
              </stop>
            </gradientFill>
          </fill>
          <border diagonalUp="0" diagonalDown="0">
            <left/>
            <right/>
            <top/>
            <bottom/>
            <vertical/>
            <horizontal/>
          </border>
        </dxf>
        <dxf>
          <font>
            <color rgb="FF000000"/>
          </font>
          <fill>
            <gradientFill degree="90">
              <stop position="0">
                <color theme="2" tint="-0.25098422193060094"/>
              </stop>
              <stop position="1">
                <color theme="2" tint="-9.8025452436902985E-2"/>
              </stop>
            </gradientFill>
          </fill>
          <border diagonalUp="0" diagonalDown="0">
            <left/>
            <right/>
            <top/>
            <bottom/>
            <vertical/>
            <horizontal/>
          </border>
        </dxf>
        <dxf>
          <font>
            <color rgb="FF000000"/>
          </font>
          <fill>
            <gradientFill degree="90">
              <stop position="0">
                <color theme="2" tint="-0.25098422193060094"/>
              </stop>
              <stop position="1">
                <color theme="2" tint="-9.8025452436902985E-2"/>
              </stop>
            </gradientFill>
          </fill>
          <border diagonalUp="0" diagonalDown="0">
            <left/>
            <right/>
            <top/>
            <bottom/>
            <vertical/>
            <horizontal/>
          </border>
        </dxf>
        <dxf>
          <font>
            <b val="0"/>
            <i val="0"/>
            <sz val="14"/>
            <color theme="0"/>
          </font>
          <fill>
            <patternFill patternType="solid">
              <fgColor theme="4" tint="0.79992065187536243"/>
              <bgColor rgb="FF1C6EA4"/>
            </patternFill>
          </fill>
          <border>
            <left/>
            <right/>
            <top/>
            <bottom style="thin">
              <color theme="0"/>
            </bottom>
            <vertical/>
            <horizontal/>
          </border>
        </dxf>
        <dxf>
          <font>
            <b/>
            <i val="0"/>
            <sz val="16"/>
            <color theme="0"/>
          </font>
          <fill>
            <patternFill patternType="none">
              <fgColor indexed="64"/>
              <bgColor auto="1"/>
            </patternFill>
          </fill>
          <border>
            <left/>
            <right/>
            <top/>
            <bottom style="thick">
              <color theme="0"/>
            </bottom>
            <vertical/>
            <horizontal/>
          </border>
        </dxf>
        <dxf>
          <font>
            <sz val="14"/>
            <color theme="0"/>
          </font>
          <fill>
            <patternFill patternType="solid">
              <fgColor rgb="FFFFFFFF"/>
              <bgColor rgb="FF1C6EA4"/>
            </patternFill>
          </fill>
          <border>
            <left/>
            <right/>
            <top/>
            <bottom style="thin">
              <color rgb="FFE0E0E0"/>
            </bottom>
            <vertical/>
            <horizontal/>
          </border>
        </dxf>
        <dxf>
          <font>
            <sz val="14"/>
            <color theme="0"/>
          </font>
          <fill>
            <patternFill patternType="solid">
              <fgColor rgb="FFFFFFFF"/>
              <bgColor rgb="FF154D71"/>
            </patternFill>
          </fill>
          <border>
            <left/>
            <right/>
            <top/>
            <bottom style="thin">
              <color rgb="FFCCCCCC"/>
            </bottom>
            <vertical/>
            <horizontal/>
          </border>
        </dxf>
        <dxf>
          <font>
            <color rgb="FF000000"/>
          </font>
          <fill>
            <gradientFill degree="90">
              <stop position="0">
                <color theme="2" tint="-0.25098422193060094"/>
              </stop>
              <stop position="1">
                <color theme="2" tint="-9.8025452436902985E-2"/>
              </stop>
            </gradientFill>
          </fill>
          <border diagonalUp="0" diagonalDown="0">
            <left/>
            <right/>
            <top/>
            <bottom/>
            <vertical/>
            <horizontal/>
          </border>
        </dxf>
        <dxf>
          <font>
            <color rgb="FF000000"/>
          </font>
          <fill>
            <gradientFill degree="90">
              <stop position="0">
                <color theme="2" tint="-0.25098422193060094"/>
              </stop>
              <stop position="1">
                <color theme="2" tint="-9.8025452436902985E-2"/>
              </stop>
            </gradientFill>
          </fill>
          <border diagonalUp="0" diagonalDown="0">
            <left/>
            <right/>
            <top/>
            <bottom/>
            <vertical/>
            <horizontal/>
          </border>
        </dxf>
        <dxf>
          <font>
            <color rgb="FF000000"/>
          </font>
          <fill>
            <gradientFill degree="90">
              <stop position="0">
                <color theme="2" tint="-0.25098422193060094"/>
              </stop>
              <stop position="1">
                <color theme="2" tint="-9.8025452436902985E-2"/>
              </stop>
            </gradientFill>
          </fill>
          <border diagonalUp="0" diagonalDown="0">
            <left/>
            <right/>
            <top/>
            <bottom/>
            <vertical/>
            <horizontal/>
          </border>
        </dxf>
        <dxf>
          <font>
            <color rgb="FF000000"/>
          </font>
          <fill>
            <gradientFill degree="90">
              <stop position="0">
                <color theme="2" tint="-0.25098422193060094"/>
              </stop>
              <stop position="1">
                <color theme="2" tint="-9.8025452436902985E-2"/>
              </stop>
            </gradientFill>
          </fill>
          <border diagonalUp="0" diagonalDown="0">
            <left/>
            <right/>
            <top/>
            <bottom/>
            <vertical/>
            <horizontal/>
          </border>
        </dxf>
        <dxf>
          <font>
            <b/>
            <i val="0"/>
            <sz val="14"/>
            <color auto="1"/>
          </font>
          <fill>
            <patternFill patternType="solid">
              <fgColor theme="4" tint="0.79995117038483843"/>
              <bgColor theme="0"/>
            </patternFill>
          </fill>
          <border>
            <left/>
            <right/>
            <top/>
            <bottom style="thick">
              <color theme="1" tint="0.24994659260841701"/>
            </bottom>
            <vertical/>
            <horizontal/>
          </border>
        </dxf>
        <dxf>
          <font>
            <b/>
            <i val="0"/>
            <sz val="14"/>
            <color theme="1"/>
          </font>
          <fill>
            <patternFill patternType="solid">
              <fgColor theme="4" tint="0.59999389629810485"/>
              <bgColor theme="0"/>
            </patternFill>
          </fill>
          <border>
            <left/>
            <right/>
            <top/>
            <bottom style="thick">
              <color theme="1" tint="0.24994659260841701"/>
            </bottom>
            <vertical/>
            <horizontal/>
          </border>
        </dxf>
        <dxf>
          <font>
            <sz val="14"/>
            <color theme="1" tint="0.24994659260841701"/>
          </font>
          <fill>
            <patternFill patternType="solid">
              <fgColor rgb="FFFFFFFF"/>
              <bgColor theme="0"/>
            </patternFill>
          </fill>
          <border>
            <left/>
            <right/>
            <top/>
            <bottom style="thin">
              <color rgb="FFE0E0E0"/>
            </bottom>
            <vertical/>
            <horizontal/>
          </border>
        </dxf>
        <dxf>
          <font>
            <sz val="14"/>
            <color theme="1" tint="0.24994659260841701"/>
          </font>
          <fill>
            <patternFill patternType="solid">
              <fgColor rgb="FFFFFFFF"/>
              <bgColor theme="0"/>
            </patternFill>
          </fill>
          <border>
            <left/>
            <right/>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7.xml"/><Relationship Id="rId21" Type="http://schemas.openxmlformats.org/officeDocument/2006/relationships/pivotCacheDefinition" Target="pivotCache/pivotCacheDefinition12.xml"/><Relationship Id="rId42" Type="http://schemas.openxmlformats.org/officeDocument/2006/relationships/calcChain" Target="calcChain.xml"/><Relationship Id="rId47" Type="http://schemas.openxmlformats.org/officeDocument/2006/relationships/customXml" Target="../customXml/item5.xml"/><Relationship Id="rId63" Type="http://schemas.openxmlformats.org/officeDocument/2006/relationships/customXml" Target="../customXml/item21.xml"/><Relationship Id="rId68" Type="http://schemas.openxmlformats.org/officeDocument/2006/relationships/customXml" Target="../customXml/item26.xml"/><Relationship Id="rId84" Type="http://schemas.openxmlformats.org/officeDocument/2006/relationships/customXml" Target="../customXml/item42.xml"/><Relationship Id="rId16" Type="http://schemas.openxmlformats.org/officeDocument/2006/relationships/pivotCacheDefinition" Target="pivotCache/pivotCacheDefinition7.xml"/><Relationship Id="rId11" Type="http://schemas.openxmlformats.org/officeDocument/2006/relationships/pivotCacheDefinition" Target="pivotCache/pivotCacheDefinition2.xml"/><Relationship Id="rId32" Type="http://schemas.openxmlformats.org/officeDocument/2006/relationships/pivotCacheDefinition" Target="pivotCache/pivotCacheDefinition23.xml"/><Relationship Id="rId37" Type="http://schemas.openxmlformats.org/officeDocument/2006/relationships/connections" Target="connections.xml"/><Relationship Id="rId53" Type="http://schemas.openxmlformats.org/officeDocument/2006/relationships/customXml" Target="../customXml/item11.xml"/><Relationship Id="rId58" Type="http://schemas.openxmlformats.org/officeDocument/2006/relationships/customXml" Target="../customXml/item16.xml"/><Relationship Id="rId74" Type="http://schemas.openxmlformats.org/officeDocument/2006/relationships/customXml" Target="../customXml/item32.xml"/><Relationship Id="rId79" Type="http://schemas.openxmlformats.org/officeDocument/2006/relationships/customXml" Target="../customXml/item37.xml"/><Relationship Id="rId5" Type="http://schemas.openxmlformats.org/officeDocument/2006/relationships/worksheet" Target="worksheets/sheet5.xml"/><Relationship Id="rId19" Type="http://schemas.openxmlformats.org/officeDocument/2006/relationships/pivotCacheDefinition" Target="pivotCache/pivotCacheDefinition10.xml"/><Relationship Id="rId14" Type="http://schemas.openxmlformats.org/officeDocument/2006/relationships/pivotCacheDefinition" Target="pivotCache/pivotCacheDefinition5.xml"/><Relationship Id="rId22" Type="http://schemas.openxmlformats.org/officeDocument/2006/relationships/pivotCacheDefinition" Target="pivotCache/pivotCacheDefinition13.xml"/><Relationship Id="rId27" Type="http://schemas.openxmlformats.org/officeDocument/2006/relationships/pivotCacheDefinition" Target="pivotCache/pivotCacheDefinition18.xml"/><Relationship Id="rId30" Type="http://schemas.openxmlformats.org/officeDocument/2006/relationships/pivotCacheDefinition" Target="pivotCache/pivotCacheDefinition21.xml"/><Relationship Id="rId35" Type="http://schemas.microsoft.com/office/2007/relationships/slicerCache" Target="slicerCaches/slicerCache3.xml"/><Relationship Id="rId43" Type="http://schemas.openxmlformats.org/officeDocument/2006/relationships/customXml" Target="../customXml/item1.xml"/><Relationship Id="rId48" Type="http://schemas.openxmlformats.org/officeDocument/2006/relationships/customXml" Target="../customXml/item6.xml"/><Relationship Id="rId56" Type="http://schemas.openxmlformats.org/officeDocument/2006/relationships/customXml" Target="../customXml/item14.xml"/><Relationship Id="rId64" Type="http://schemas.openxmlformats.org/officeDocument/2006/relationships/customXml" Target="../customXml/item22.xml"/><Relationship Id="rId69" Type="http://schemas.openxmlformats.org/officeDocument/2006/relationships/customXml" Target="../customXml/item27.xml"/><Relationship Id="rId77" Type="http://schemas.openxmlformats.org/officeDocument/2006/relationships/customXml" Target="../customXml/item35.xml"/><Relationship Id="rId8" Type="http://schemas.openxmlformats.org/officeDocument/2006/relationships/worksheet" Target="worksheets/sheet8.xml"/><Relationship Id="rId51" Type="http://schemas.openxmlformats.org/officeDocument/2006/relationships/customXml" Target="../customXml/item9.xml"/><Relationship Id="rId72" Type="http://schemas.openxmlformats.org/officeDocument/2006/relationships/customXml" Target="../customXml/item30.xml"/><Relationship Id="rId80" Type="http://schemas.openxmlformats.org/officeDocument/2006/relationships/customXml" Target="../customXml/item38.xml"/><Relationship Id="rId85" Type="http://schemas.openxmlformats.org/officeDocument/2006/relationships/customXml" Target="../customXml/item43.xml"/><Relationship Id="rId3" Type="http://schemas.openxmlformats.org/officeDocument/2006/relationships/worksheet" Target="worksheets/sheet3.xml"/><Relationship Id="rId12" Type="http://schemas.openxmlformats.org/officeDocument/2006/relationships/pivotCacheDefinition" Target="pivotCache/pivotCacheDefinition3.xml"/><Relationship Id="rId17" Type="http://schemas.openxmlformats.org/officeDocument/2006/relationships/pivotCacheDefinition" Target="pivotCache/pivotCacheDefinition8.xml"/><Relationship Id="rId25" Type="http://schemas.openxmlformats.org/officeDocument/2006/relationships/pivotCacheDefinition" Target="pivotCache/pivotCacheDefinition16.xml"/><Relationship Id="rId33" Type="http://schemas.microsoft.com/office/2007/relationships/slicerCache" Target="slicerCaches/slicerCache1.xml"/><Relationship Id="rId38" Type="http://schemas.openxmlformats.org/officeDocument/2006/relationships/styles" Target="styles.xml"/><Relationship Id="rId46" Type="http://schemas.openxmlformats.org/officeDocument/2006/relationships/customXml" Target="../customXml/item4.xml"/><Relationship Id="rId59" Type="http://schemas.openxmlformats.org/officeDocument/2006/relationships/customXml" Target="../customXml/item17.xml"/><Relationship Id="rId67" Type="http://schemas.openxmlformats.org/officeDocument/2006/relationships/customXml" Target="../customXml/item25.xml"/><Relationship Id="rId20" Type="http://schemas.openxmlformats.org/officeDocument/2006/relationships/pivotCacheDefinition" Target="pivotCache/pivotCacheDefinition11.xml"/><Relationship Id="rId41" Type="http://schemas.openxmlformats.org/officeDocument/2006/relationships/powerPivotData" Target="model/item.data"/><Relationship Id="rId54" Type="http://schemas.openxmlformats.org/officeDocument/2006/relationships/customXml" Target="../customXml/item12.xml"/><Relationship Id="rId62" Type="http://schemas.openxmlformats.org/officeDocument/2006/relationships/customXml" Target="../customXml/item20.xml"/><Relationship Id="rId70" Type="http://schemas.openxmlformats.org/officeDocument/2006/relationships/customXml" Target="../customXml/item28.xml"/><Relationship Id="rId75" Type="http://schemas.openxmlformats.org/officeDocument/2006/relationships/customXml" Target="../customXml/item33.xml"/><Relationship Id="rId83" Type="http://schemas.openxmlformats.org/officeDocument/2006/relationships/customXml" Target="../customXml/item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6.xml"/><Relationship Id="rId23" Type="http://schemas.openxmlformats.org/officeDocument/2006/relationships/pivotCacheDefinition" Target="pivotCache/pivotCacheDefinition14.xml"/><Relationship Id="rId28" Type="http://schemas.openxmlformats.org/officeDocument/2006/relationships/pivotCacheDefinition" Target="pivotCache/pivotCacheDefinition19.xml"/><Relationship Id="rId36" Type="http://schemas.openxmlformats.org/officeDocument/2006/relationships/theme" Target="theme/theme1.xml"/><Relationship Id="rId49" Type="http://schemas.openxmlformats.org/officeDocument/2006/relationships/customXml" Target="../customXml/item7.xml"/><Relationship Id="rId57" Type="http://schemas.openxmlformats.org/officeDocument/2006/relationships/customXml" Target="../customXml/item15.xml"/><Relationship Id="rId10" Type="http://schemas.openxmlformats.org/officeDocument/2006/relationships/pivotCacheDefinition" Target="pivotCache/pivotCacheDefinition1.xml"/><Relationship Id="rId31" Type="http://schemas.openxmlformats.org/officeDocument/2006/relationships/pivotCacheDefinition" Target="pivotCache/pivotCacheDefinition22.xml"/><Relationship Id="rId44" Type="http://schemas.openxmlformats.org/officeDocument/2006/relationships/customXml" Target="../customXml/item2.xml"/><Relationship Id="rId52" Type="http://schemas.openxmlformats.org/officeDocument/2006/relationships/customXml" Target="../customXml/item10.xml"/><Relationship Id="rId60" Type="http://schemas.openxmlformats.org/officeDocument/2006/relationships/customXml" Target="../customXml/item18.xml"/><Relationship Id="rId65" Type="http://schemas.openxmlformats.org/officeDocument/2006/relationships/customXml" Target="../customXml/item23.xml"/><Relationship Id="rId73" Type="http://schemas.openxmlformats.org/officeDocument/2006/relationships/customXml" Target="../customXml/item31.xml"/><Relationship Id="rId78" Type="http://schemas.openxmlformats.org/officeDocument/2006/relationships/customXml" Target="../customXml/item36.xml"/><Relationship Id="rId81" Type="http://schemas.openxmlformats.org/officeDocument/2006/relationships/customXml" Target="../customXml/item39.xml"/><Relationship Id="rId86"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4.xml"/><Relationship Id="rId18" Type="http://schemas.openxmlformats.org/officeDocument/2006/relationships/pivotCacheDefinition" Target="pivotCache/pivotCacheDefinition9.xml"/><Relationship Id="rId39" Type="http://schemas.openxmlformats.org/officeDocument/2006/relationships/sharedStrings" Target="sharedStrings.xml"/><Relationship Id="rId34" Type="http://schemas.microsoft.com/office/2007/relationships/slicerCache" Target="slicerCaches/slicerCache2.xml"/><Relationship Id="rId50" Type="http://schemas.openxmlformats.org/officeDocument/2006/relationships/customXml" Target="../customXml/item8.xml"/><Relationship Id="rId55" Type="http://schemas.openxmlformats.org/officeDocument/2006/relationships/customXml" Target="../customXml/item13.xml"/><Relationship Id="rId76" Type="http://schemas.openxmlformats.org/officeDocument/2006/relationships/customXml" Target="../customXml/item34.xml"/><Relationship Id="rId7" Type="http://schemas.openxmlformats.org/officeDocument/2006/relationships/worksheet" Target="worksheets/sheet7.xml"/><Relationship Id="rId71" Type="http://schemas.openxmlformats.org/officeDocument/2006/relationships/customXml" Target="../customXml/item29.xml"/><Relationship Id="rId2" Type="http://schemas.openxmlformats.org/officeDocument/2006/relationships/worksheet" Target="worksheets/sheet2.xml"/><Relationship Id="rId29" Type="http://schemas.openxmlformats.org/officeDocument/2006/relationships/pivotCacheDefinition" Target="pivotCache/pivotCacheDefinition20.xml"/><Relationship Id="rId24" Type="http://schemas.openxmlformats.org/officeDocument/2006/relationships/pivotCacheDefinition" Target="pivotCache/pivotCacheDefinition15.xml"/><Relationship Id="rId40" Type="http://schemas.openxmlformats.org/officeDocument/2006/relationships/sheetMetadata" Target="metadata.xml"/><Relationship Id="rId45" Type="http://schemas.openxmlformats.org/officeDocument/2006/relationships/customXml" Target="../customXml/item3.xml"/><Relationship Id="rId66" Type="http://schemas.openxmlformats.org/officeDocument/2006/relationships/customXml" Target="../customXml/item24.xml"/><Relationship Id="rId61" Type="http://schemas.openxmlformats.org/officeDocument/2006/relationships/customXml" Target="../customXml/item19.xml"/><Relationship Id="rId82" Type="http://schemas.openxmlformats.org/officeDocument/2006/relationships/customXml" Target="../customXml/item40.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589430894308943E-2"/>
          <c:y val="0.13831258644536654"/>
          <c:w val="0.88821138211382111"/>
          <c:h val="0.67556441336949069"/>
        </c:manualLayout>
      </c:layout>
      <c:barChart>
        <c:barDir val="col"/>
        <c:grouping val="clustered"/>
        <c:varyColors val="0"/>
        <c:ser>
          <c:idx val="0"/>
          <c:order val="0"/>
          <c:tx>
            <c:strRef>
              <c:f>'Analysis 2'!$C$17</c:f>
              <c:strCache>
                <c:ptCount val="1"/>
                <c:pt idx="0">
                  <c:v>Total Revenue</c:v>
                </c:pt>
              </c:strCache>
            </c:strRef>
          </c:tx>
          <c:spPr>
            <a:solidFill>
              <a:srgbClr val="77BEF0"/>
            </a:solidFill>
            <a:ln>
              <a:noFill/>
            </a:ln>
            <a:effectLst/>
          </c:spPr>
          <c:invertIfNegative val="0"/>
          <c:dPt>
            <c:idx val="0"/>
            <c:invertIfNegative val="0"/>
            <c:bubble3D val="0"/>
            <c:spPr>
              <a:solidFill>
                <a:srgbClr val="77BEF0"/>
              </a:solidFill>
              <a:ln>
                <a:noFill/>
              </a:ln>
              <a:effectLst/>
            </c:spPr>
            <c:extLst>
              <c:ext xmlns:c16="http://schemas.microsoft.com/office/drawing/2014/chart" uri="{C3380CC4-5D6E-409C-BE32-E72D297353CC}">
                <c16:uniqueId val="{00000001-CE0A-4595-9A4A-8471B2966691}"/>
              </c:ext>
            </c:extLst>
          </c:dPt>
          <c:dLbls>
            <c:dLbl>
              <c:idx val="0"/>
              <c:tx>
                <c:rich>
                  <a:bodyPr/>
                  <a:lstStyle/>
                  <a:p>
                    <a:fld id="{E465F91B-ECC0-46CC-BBF7-D12C2BEB9879}" type="CELLRANGE">
                      <a:rPr lang="en-US" baseline="0"/>
                      <a:pPr/>
                      <a:t>[CELLRANGE]</a:t>
                    </a:fld>
                    <a:r>
                      <a:rPr lang="en-US" baseline="0"/>
                      <a:t>, </a:t>
                    </a:r>
                    <a:fld id="{3B351342-CD76-4211-A90C-C91BAFAC584E}"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CE0A-4595-9A4A-8471B2966691}"/>
                </c:ext>
              </c:extLst>
            </c:dLbl>
            <c:dLbl>
              <c:idx val="1"/>
              <c:tx>
                <c:rich>
                  <a:bodyPr/>
                  <a:lstStyle/>
                  <a:p>
                    <a:fld id="{C45F5606-995C-4894-869D-6FA0AC617EAE}" type="CELLRANGE">
                      <a:rPr lang="en-US"/>
                      <a:pPr/>
                      <a:t>[CELLRANGE]</a:t>
                    </a:fld>
                    <a:r>
                      <a:rPr lang="en-US" baseline="0"/>
                      <a:t>, </a:t>
                    </a:r>
                    <a:fld id="{0C0B6BBA-CABD-400E-8B6C-272C090E2E80}"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CE0A-4595-9A4A-8471B2966691}"/>
                </c:ext>
              </c:extLst>
            </c:dLbl>
            <c:dLbl>
              <c:idx val="2"/>
              <c:tx>
                <c:rich>
                  <a:bodyPr/>
                  <a:lstStyle/>
                  <a:p>
                    <a:fld id="{F216266D-7BA1-4D2F-B81E-6887E4657459}" type="CELLRANGE">
                      <a:rPr lang="en-US"/>
                      <a:pPr/>
                      <a:t>[CELLRANGE]</a:t>
                    </a:fld>
                    <a:r>
                      <a:rPr lang="en-US" baseline="0"/>
                      <a:t>, </a:t>
                    </a:r>
                    <a:fld id="{4661DBBA-5B28-4262-8151-843AB59F9BBF}"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CE0A-4595-9A4A-8471B2966691}"/>
                </c:ext>
              </c:extLst>
            </c:dLbl>
            <c:dLbl>
              <c:idx val="3"/>
              <c:tx>
                <c:rich>
                  <a:bodyPr/>
                  <a:lstStyle/>
                  <a:p>
                    <a:fld id="{E2AA31E0-3DA3-4ABE-85B2-BAAFFB718091}" type="CELLRANGE">
                      <a:rPr lang="en-US"/>
                      <a:pPr/>
                      <a:t>[CELLRANGE]</a:t>
                    </a:fld>
                    <a:r>
                      <a:rPr lang="en-US" baseline="0"/>
                      <a:t>, </a:t>
                    </a:r>
                    <a:fld id="{9F461CF6-51D7-4B60-92B0-CBF9A9B9C8A4}"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CE0A-4595-9A4A-8471B296669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2'!$B$18:$B$21</c:f>
              <c:strCache>
                <c:ptCount val="4"/>
                <c:pt idx="0">
                  <c:v>Qtr-1</c:v>
                </c:pt>
                <c:pt idx="1">
                  <c:v>Qtr-2</c:v>
                </c:pt>
                <c:pt idx="2">
                  <c:v>Qtr-3</c:v>
                </c:pt>
                <c:pt idx="3">
                  <c:v>Qtr-4</c:v>
                </c:pt>
              </c:strCache>
            </c:strRef>
          </c:cat>
          <c:val>
            <c:numRef>
              <c:f>'Analysis 2'!$C$18:$C$21</c:f>
              <c:numCache>
                <c:formatCode>[&lt;999999]"$"#," K";[&lt;999999999]"$"#,," M";#," B"</c:formatCode>
                <c:ptCount val="4"/>
                <c:pt idx="0">
                  <c:v>1336248.3099999984</c:v>
                </c:pt>
                <c:pt idx="1">
                  <c:v>1384874.5400000024</c:v>
                </c:pt>
                <c:pt idx="2">
                  <c:v>1362939.5400000014</c:v>
                </c:pt>
                <c:pt idx="3">
                  <c:v>1362747.0800000008</c:v>
                </c:pt>
              </c:numCache>
            </c:numRef>
          </c:val>
          <c:extLst>
            <c:ext xmlns:c15="http://schemas.microsoft.com/office/drawing/2012/chart" uri="{02D57815-91ED-43cb-92C2-25804820EDAC}">
              <c15:datalabelsRange>
                <c15:f>'Analysis 2'!$D$6:$D$9</c15:f>
                <c15:dlblRangeCache>
                  <c:ptCount val="4"/>
                  <c:pt idx="1">
                    <c:v>+3.64%</c:v>
                  </c:pt>
                  <c:pt idx="2">
                    <c:v>-1.58%</c:v>
                  </c:pt>
                  <c:pt idx="3">
                    <c:v>-0.01%</c:v>
                  </c:pt>
                </c15:dlblRangeCache>
              </c15:datalabelsRange>
            </c:ext>
            <c:ext xmlns:c16="http://schemas.microsoft.com/office/drawing/2014/chart" uri="{C3380CC4-5D6E-409C-BE32-E72D297353CC}">
              <c16:uniqueId val="{00000002-CE0A-4595-9A4A-8471B2966691}"/>
            </c:ext>
          </c:extLst>
        </c:ser>
        <c:ser>
          <c:idx val="2"/>
          <c:order val="2"/>
          <c:tx>
            <c:strRef>
              <c:f>'Analysis 2'!$E$17</c:f>
              <c:strCache>
                <c:ptCount val="1"/>
                <c:pt idx="0">
                  <c:v>highlight</c:v>
                </c:pt>
              </c:strCache>
            </c:strRef>
          </c:tx>
          <c:spPr>
            <a:solidFill>
              <a:srgbClr val="1C6EA4">
                <a:alpha val="68000"/>
              </a:srgbClr>
            </a:solidFill>
            <a:ln>
              <a:noFill/>
            </a:ln>
            <a:effectLst/>
          </c:spPr>
          <c:invertIfNegative val="0"/>
          <c:dLbls>
            <c:delete val="1"/>
          </c:dLbls>
          <c:val>
            <c:numRef>
              <c:f>'Analysis 2'!$E$18:$E$21</c:f>
              <c:numCache>
                <c:formatCode>[&lt;999999]"$"#," K";[&lt;999999999]"$"#,," M";#," B"</c:formatCode>
                <c:ptCount val="4"/>
                <c:pt idx="0">
                  <c:v>0</c:v>
                </c:pt>
                <c:pt idx="1">
                  <c:v>1384874.5400000024</c:v>
                </c:pt>
                <c:pt idx="2">
                  <c:v>1362939.5400000014</c:v>
                </c:pt>
                <c:pt idx="3">
                  <c:v>1362747.0800000008</c:v>
                </c:pt>
              </c:numCache>
            </c:numRef>
          </c:val>
          <c:extLst>
            <c:ext xmlns:c16="http://schemas.microsoft.com/office/drawing/2014/chart" uri="{C3380CC4-5D6E-409C-BE32-E72D297353CC}">
              <c16:uniqueId val="{00000003-CE0A-4595-9A4A-8471B2966691}"/>
            </c:ext>
          </c:extLst>
        </c:ser>
        <c:dLbls>
          <c:showLegendKey val="0"/>
          <c:showVal val="1"/>
          <c:showCatName val="0"/>
          <c:showSerName val="0"/>
          <c:showPercent val="0"/>
          <c:showBubbleSize val="0"/>
        </c:dLbls>
        <c:gapWidth val="60"/>
        <c:overlap val="100"/>
        <c:axId val="2116331744"/>
        <c:axId val="2116334240"/>
      </c:barChart>
      <c:lineChart>
        <c:grouping val="standard"/>
        <c:varyColors val="0"/>
        <c:ser>
          <c:idx val="1"/>
          <c:order val="1"/>
          <c:tx>
            <c:strRef>
              <c:f>'Analysis 2'!$D$17</c:f>
              <c:strCache>
                <c:ptCount val="1"/>
                <c:pt idx="0">
                  <c:v>avg</c:v>
                </c:pt>
              </c:strCache>
            </c:strRef>
          </c:tx>
          <c:spPr>
            <a:ln w="25400" cap="rnd">
              <a:solidFill>
                <a:schemeClr val="bg1">
                  <a:lumMod val="65000"/>
                </a:schemeClr>
              </a:solidFill>
              <a:prstDash val="lgDash"/>
              <a:round/>
              <a:extLst>
                <a:ext uri="{C807C97D-BFC1-408E-A445-0C87EB9F89A2}">
                  <ask:lineSketchStyleProps xmlns:ask="http://schemas.microsoft.com/office/drawing/2018/sketchyshapes">
                    <ask:type>
                      <ask:lineSketchNone/>
                    </ask:type>
                  </ask:lineSketchStyleProps>
                </a:ext>
              </a:extLst>
            </a:ln>
            <a:effectLst/>
          </c:spPr>
          <c:marker>
            <c:symbol val="none"/>
          </c:marker>
          <c:dLbls>
            <c:delete val="1"/>
          </c:dLbls>
          <c:cat>
            <c:strRef>
              <c:f>'Analysis 2'!$B$18:$B$21</c:f>
              <c:strCache>
                <c:ptCount val="4"/>
                <c:pt idx="0">
                  <c:v>Qtr-1</c:v>
                </c:pt>
                <c:pt idx="1">
                  <c:v>Qtr-2</c:v>
                </c:pt>
                <c:pt idx="2">
                  <c:v>Qtr-3</c:v>
                </c:pt>
                <c:pt idx="3">
                  <c:v>Qtr-4</c:v>
                </c:pt>
              </c:strCache>
            </c:strRef>
          </c:cat>
          <c:val>
            <c:numRef>
              <c:f>'Analysis 2'!$D$18:$D$21</c:f>
              <c:numCache>
                <c:formatCode>"$"#,##0</c:formatCode>
                <c:ptCount val="4"/>
                <c:pt idx="0">
                  <c:v>1361702.3675000006</c:v>
                </c:pt>
                <c:pt idx="1">
                  <c:v>1361702.3675000006</c:v>
                </c:pt>
                <c:pt idx="2">
                  <c:v>1361702.3675000006</c:v>
                </c:pt>
                <c:pt idx="3">
                  <c:v>1361702.3675000006</c:v>
                </c:pt>
              </c:numCache>
            </c:numRef>
          </c:val>
          <c:smooth val="0"/>
          <c:extLst>
            <c:ext xmlns:c16="http://schemas.microsoft.com/office/drawing/2014/chart" uri="{C3380CC4-5D6E-409C-BE32-E72D297353CC}">
              <c16:uniqueId val="{00000004-CE0A-4595-9A4A-8471B2966691}"/>
            </c:ext>
          </c:extLst>
        </c:ser>
        <c:dLbls>
          <c:showLegendKey val="0"/>
          <c:showVal val="1"/>
          <c:showCatName val="0"/>
          <c:showSerName val="0"/>
          <c:showPercent val="0"/>
          <c:showBubbleSize val="0"/>
        </c:dLbls>
        <c:marker val="1"/>
        <c:smooth val="0"/>
        <c:axId val="2116331744"/>
        <c:axId val="2116334240"/>
      </c:lineChart>
      <c:catAx>
        <c:axId val="2116331744"/>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2116334240"/>
        <c:crosses val="autoZero"/>
        <c:auto val="1"/>
        <c:lblAlgn val="ctr"/>
        <c:lblOffset val="100"/>
        <c:noMultiLvlLbl val="0"/>
      </c:catAx>
      <c:valAx>
        <c:axId val="2116334240"/>
        <c:scaling>
          <c:orientation val="minMax"/>
        </c:scaling>
        <c:delete val="1"/>
        <c:axPos val="l"/>
        <c:numFmt formatCode="[&lt;999999]&quot;$&quot;#,&quot; K&quot;;[&lt;999999999]&quot;$&quot;#,,&quot; M&quot;;#,&quot; B&quot;" sourceLinked="1"/>
        <c:majorTickMark val="none"/>
        <c:minorTickMark val="none"/>
        <c:tickLblPos val="nextTo"/>
        <c:crossAx val="21163317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6803118908382065E-2"/>
          <c:y val="0.11157491531507281"/>
          <c:w val="0.9463937621832359"/>
          <c:h val="0.73061388159813356"/>
        </c:manualLayout>
      </c:layout>
      <c:barChart>
        <c:barDir val="col"/>
        <c:grouping val="clustered"/>
        <c:varyColors val="0"/>
        <c:ser>
          <c:idx val="0"/>
          <c:order val="0"/>
          <c:tx>
            <c:strRef>
              <c:f>'Analysis 2'!$U$19</c:f>
              <c:strCache>
                <c:ptCount val="1"/>
                <c:pt idx="0">
                  <c:v>Total Revenue</c:v>
                </c:pt>
              </c:strCache>
            </c:strRef>
          </c:tx>
          <c:spPr>
            <a:solidFill>
              <a:srgbClr val="77BEF0"/>
            </a:solidFill>
            <a:ln>
              <a:noFill/>
            </a:ln>
            <a:effectLst/>
          </c:spPr>
          <c:invertIfNegative val="0"/>
          <c:dLbls>
            <c:dLbl>
              <c:idx val="0"/>
              <c:tx>
                <c:rich>
                  <a:bodyPr/>
                  <a:lstStyle/>
                  <a:p>
                    <a:fld id="{28FEF078-08CD-485B-B441-5E1642019D7E}" type="CELLRANGE">
                      <a:rPr lang="en-US"/>
                      <a:pPr/>
                      <a:t>[CELLRANGE]</a:t>
                    </a:fld>
                    <a:endParaRPr lang="en-US" baseline="0"/>
                  </a:p>
                  <a:p>
                    <a:fld id="{028DF99A-1610-4AF7-96DE-9975D5119014}"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4-E387-4C0E-B314-C0844B8B14D8}"/>
                </c:ext>
              </c:extLst>
            </c:dLbl>
            <c:dLbl>
              <c:idx val="1"/>
              <c:tx>
                <c:rich>
                  <a:bodyPr/>
                  <a:lstStyle/>
                  <a:p>
                    <a:fld id="{C1B695DB-55F0-4382-8B55-C576C7D7AC4D}" type="CELLRANGE">
                      <a:rPr lang="en-US"/>
                      <a:pPr/>
                      <a:t>[CELLRANGE]</a:t>
                    </a:fld>
                    <a:endParaRPr lang="en-US" baseline="0"/>
                  </a:p>
                  <a:p>
                    <a:fld id="{5C7DE87B-ED34-47FD-A209-48F8C6014A4C}"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5-E387-4C0E-B314-C0844B8B14D8}"/>
                </c:ext>
              </c:extLst>
            </c:dLbl>
            <c:dLbl>
              <c:idx val="2"/>
              <c:tx>
                <c:rich>
                  <a:bodyPr/>
                  <a:lstStyle/>
                  <a:p>
                    <a:fld id="{709AE1E9-B97D-4B77-8EE7-61DE7BB19473}" type="CELLRANGE">
                      <a:rPr lang="en-US"/>
                      <a:pPr/>
                      <a:t>[CELLRANGE]</a:t>
                    </a:fld>
                    <a:endParaRPr lang="en-US" baseline="0"/>
                  </a:p>
                  <a:p>
                    <a:fld id="{77C8AD1E-7976-4F28-AC9D-9A292BF7B14C}"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6-E387-4C0E-B314-C0844B8B14D8}"/>
                </c:ext>
              </c:extLst>
            </c:dLbl>
            <c:dLbl>
              <c:idx val="3"/>
              <c:tx>
                <c:rich>
                  <a:bodyPr/>
                  <a:lstStyle/>
                  <a:p>
                    <a:fld id="{1437D12F-D0E1-4F1D-8313-25A8257BEC5D}" type="CELLRANGE">
                      <a:rPr lang="en-US"/>
                      <a:pPr/>
                      <a:t>[CELLRANGE]</a:t>
                    </a:fld>
                    <a:endParaRPr lang="en-US" baseline="0"/>
                  </a:p>
                  <a:p>
                    <a:fld id="{9C72E9C1-37BE-4BDB-A9BB-FBEDBB79E248}"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E387-4C0E-B314-C0844B8B14D8}"/>
                </c:ext>
              </c:extLst>
            </c:dLbl>
            <c:dLbl>
              <c:idx val="4"/>
              <c:tx>
                <c:rich>
                  <a:bodyPr/>
                  <a:lstStyle/>
                  <a:p>
                    <a:fld id="{4A363C1D-53CC-4B57-A769-7601C48A89F7}" type="CELLRANGE">
                      <a:rPr lang="en-US"/>
                      <a:pPr/>
                      <a:t>[CELLRANGE]</a:t>
                    </a:fld>
                    <a:endParaRPr lang="en-US" baseline="0"/>
                  </a:p>
                  <a:p>
                    <a:fld id="{A236584F-41CF-475D-B900-CF578753C77C}"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7-E387-4C0E-B314-C0844B8B14D8}"/>
                </c:ext>
              </c:extLst>
            </c:dLbl>
            <c:dLbl>
              <c:idx val="5"/>
              <c:tx>
                <c:rich>
                  <a:bodyPr/>
                  <a:lstStyle/>
                  <a:p>
                    <a:fld id="{F2DA8D6F-E58C-471F-8A7E-82D32B02221B}" type="CELLRANGE">
                      <a:rPr lang="en-US"/>
                      <a:pPr/>
                      <a:t>[CELLRANGE]</a:t>
                    </a:fld>
                    <a:endParaRPr lang="en-US" baseline="0"/>
                  </a:p>
                  <a:p>
                    <a:fld id="{19C88514-BEBB-4C26-99EB-B29F2FD3E761}"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8-E387-4C0E-B314-C0844B8B14D8}"/>
                </c:ext>
              </c:extLst>
            </c:dLbl>
            <c:dLbl>
              <c:idx val="6"/>
              <c:tx>
                <c:rich>
                  <a:bodyPr/>
                  <a:lstStyle/>
                  <a:p>
                    <a:fld id="{43395D1F-4615-4488-93A3-3C8C91198939}" type="CELLRANGE">
                      <a:rPr lang="en-US"/>
                      <a:pPr/>
                      <a:t>[CELLRANGE]</a:t>
                    </a:fld>
                    <a:endParaRPr lang="en-US" baseline="0"/>
                  </a:p>
                  <a:p>
                    <a:fld id="{8A4D5FBB-739B-4446-B57F-D3EE5C0B5B09}"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9-E387-4C0E-B314-C0844B8B14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2'!$T$20:$T$26</c:f>
              <c:strCache>
                <c:ptCount val="7"/>
                <c:pt idx="0">
                  <c:v>Sun</c:v>
                </c:pt>
                <c:pt idx="1">
                  <c:v>Mon</c:v>
                </c:pt>
                <c:pt idx="2">
                  <c:v>Tue</c:v>
                </c:pt>
                <c:pt idx="3">
                  <c:v>Wed</c:v>
                </c:pt>
                <c:pt idx="4">
                  <c:v>Thu</c:v>
                </c:pt>
                <c:pt idx="5">
                  <c:v>Fri</c:v>
                </c:pt>
                <c:pt idx="6">
                  <c:v>Sat</c:v>
                </c:pt>
              </c:strCache>
            </c:strRef>
          </c:cat>
          <c:val>
            <c:numRef>
              <c:f>'Analysis 2'!$U$20:$U$26</c:f>
              <c:numCache>
                <c:formatCode>[&lt;999999]"$"0.0," K";[&lt;999999999]"$"0.0,," M";#,000" B"</c:formatCode>
                <c:ptCount val="7"/>
                <c:pt idx="0">
                  <c:v>765868.27999999898</c:v>
                </c:pt>
                <c:pt idx="1">
                  <c:v>789470.8800000028</c:v>
                </c:pt>
                <c:pt idx="2">
                  <c:v>772166.82999999914</c:v>
                </c:pt>
                <c:pt idx="3">
                  <c:v>774303.62999999756</c:v>
                </c:pt>
                <c:pt idx="4">
                  <c:v>795985.00999999966</c:v>
                </c:pt>
                <c:pt idx="5">
                  <c:v>762351.78000000084</c:v>
                </c:pt>
                <c:pt idx="6">
                  <c:v>786663.06000000041</c:v>
                </c:pt>
              </c:numCache>
            </c:numRef>
          </c:val>
          <c:extLst>
            <c:ext xmlns:c15="http://schemas.microsoft.com/office/drawing/2012/chart" uri="{02D57815-91ED-43cb-92C2-25804820EDAC}">
              <c15:datalabelsRange>
                <c15:f>'Analysis 2'!$V$6:$V$12</c15:f>
                <c15:dlblRangeCache>
                  <c:ptCount val="7"/>
                  <c:pt idx="1">
                    <c:v>3.08%</c:v>
                  </c:pt>
                  <c:pt idx="2">
                    <c:v>-2.19%</c:v>
                  </c:pt>
                  <c:pt idx="3">
                    <c:v>0.28%</c:v>
                  </c:pt>
                  <c:pt idx="4">
                    <c:v>2.80%</c:v>
                  </c:pt>
                  <c:pt idx="5">
                    <c:v>-4.23%</c:v>
                  </c:pt>
                  <c:pt idx="6">
                    <c:v>3.19%</c:v>
                  </c:pt>
                </c15:dlblRangeCache>
              </c15:datalabelsRange>
            </c:ext>
            <c:ext xmlns:c16="http://schemas.microsoft.com/office/drawing/2014/chart" uri="{C3380CC4-5D6E-409C-BE32-E72D297353CC}">
              <c16:uniqueId val="{00000000-E387-4C0E-B314-C0844B8B14D8}"/>
            </c:ext>
          </c:extLst>
        </c:ser>
        <c:ser>
          <c:idx val="2"/>
          <c:order val="2"/>
          <c:tx>
            <c:strRef>
              <c:f>'Analysis 2'!$W$19</c:f>
              <c:strCache>
                <c:ptCount val="1"/>
                <c:pt idx="0">
                  <c:v>highlight</c:v>
                </c:pt>
              </c:strCache>
            </c:strRef>
          </c:tx>
          <c:spPr>
            <a:solidFill>
              <a:srgbClr val="1C6EA4">
                <a:alpha val="67000"/>
              </a:srgbClr>
            </a:solidFill>
            <a:ln>
              <a:noFill/>
            </a:ln>
            <a:effectLst/>
          </c:spPr>
          <c:invertIfNegative val="0"/>
          <c:dLbls>
            <c:delete val="1"/>
          </c:dLbls>
          <c:cat>
            <c:strRef>
              <c:f>'Analysis 2'!$T$20:$T$26</c:f>
              <c:strCache>
                <c:ptCount val="7"/>
                <c:pt idx="0">
                  <c:v>Sun</c:v>
                </c:pt>
                <c:pt idx="1">
                  <c:v>Mon</c:v>
                </c:pt>
                <c:pt idx="2">
                  <c:v>Tue</c:v>
                </c:pt>
                <c:pt idx="3">
                  <c:v>Wed</c:v>
                </c:pt>
                <c:pt idx="4">
                  <c:v>Thu</c:v>
                </c:pt>
                <c:pt idx="5">
                  <c:v>Fri</c:v>
                </c:pt>
                <c:pt idx="6">
                  <c:v>Sat</c:v>
                </c:pt>
              </c:strCache>
            </c:strRef>
          </c:cat>
          <c:val>
            <c:numRef>
              <c:f>'Analysis 2'!$W$20:$W$26</c:f>
              <c:numCache>
                <c:formatCode>General</c:formatCode>
                <c:ptCount val="7"/>
                <c:pt idx="0">
                  <c:v>0</c:v>
                </c:pt>
                <c:pt idx="1">
                  <c:v>789470.8800000028</c:v>
                </c:pt>
                <c:pt idx="2">
                  <c:v>0</c:v>
                </c:pt>
                <c:pt idx="3">
                  <c:v>0</c:v>
                </c:pt>
                <c:pt idx="4">
                  <c:v>795985.00999999966</c:v>
                </c:pt>
                <c:pt idx="5">
                  <c:v>0</c:v>
                </c:pt>
                <c:pt idx="6">
                  <c:v>786663.06000000041</c:v>
                </c:pt>
              </c:numCache>
            </c:numRef>
          </c:val>
          <c:extLst>
            <c:ext xmlns:c16="http://schemas.microsoft.com/office/drawing/2014/chart" uri="{C3380CC4-5D6E-409C-BE32-E72D297353CC}">
              <c16:uniqueId val="{00000001-E387-4C0E-B314-C0844B8B14D8}"/>
            </c:ext>
          </c:extLst>
        </c:ser>
        <c:dLbls>
          <c:showLegendKey val="0"/>
          <c:showVal val="1"/>
          <c:showCatName val="0"/>
          <c:showSerName val="0"/>
          <c:showPercent val="0"/>
          <c:showBubbleSize val="0"/>
        </c:dLbls>
        <c:gapWidth val="79"/>
        <c:overlap val="100"/>
        <c:axId val="985110399"/>
        <c:axId val="985112479"/>
      </c:barChart>
      <c:lineChart>
        <c:grouping val="standard"/>
        <c:varyColors val="0"/>
        <c:ser>
          <c:idx val="1"/>
          <c:order val="1"/>
          <c:tx>
            <c:strRef>
              <c:f>'Analysis 2'!$V$19</c:f>
              <c:strCache>
                <c:ptCount val="1"/>
                <c:pt idx="0">
                  <c:v>Avg</c:v>
                </c:pt>
              </c:strCache>
            </c:strRef>
          </c:tx>
          <c:spPr>
            <a:ln w="25400" cap="rnd">
              <a:solidFill>
                <a:schemeClr val="bg1">
                  <a:lumMod val="65000"/>
                </a:schemeClr>
              </a:solidFill>
              <a:prstDash val="lgDash"/>
              <a:round/>
            </a:ln>
            <a:effectLst/>
          </c:spPr>
          <c:marker>
            <c:symbol val="none"/>
          </c:marker>
          <c:dLbls>
            <c:delete val="1"/>
          </c:dLbls>
          <c:cat>
            <c:strRef>
              <c:f>'Analysis 2'!$T$20:$T$26</c:f>
              <c:strCache>
                <c:ptCount val="7"/>
                <c:pt idx="0">
                  <c:v>Sun</c:v>
                </c:pt>
                <c:pt idx="1">
                  <c:v>Mon</c:v>
                </c:pt>
                <c:pt idx="2">
                  <c:v>Tue</c:v>
                </c:pt>
                <c:pt idx="3">
                  <c:v>Wed</c:v>
                </c:pt>
                <c:pt idx="4">
                  <c:v>Thu</c:v>
                </c:pt>
                <c:pt idx="5">
                  <c:v>Fri</c:v>
                </c:pt>
                <c:pt idx="6">
                  <c:v>Sat</c:v>
                </c:pt>
              </c:strCache>
            </c:strRef>
          </c:cat>
          <c:val>
            <c:numRef>
              <c:f>'Analysis 2'!$V$20:$V$26</c:f>
              <c:numCache>
                <c:formatCode>"$"#,##0</c:formatCode>
                <c:ptCount val="7"/>
                <c:pt idx="0">
                  <c:v>778115.63857142848</c:v>
                </c:pt>
                <c:pt idx="1">
                  <c:v>778115.63857142848</c:v>
                </c:pt>
                <c:pt idx="2">
                  <c:v>778115.63857142848</c:v>
                </c:pt>
                <c:pt idx="3">
                  <c:v>778115.63857142848</c:v>
                </c:pt>
                <c:pt idx="4">
                  <c:v>778115.63857142848</c:v>
                </c:pt>
                <c:pt idx="5">
                  <c:v>778115.63857142848</c:v>
                </c:pt>
                <c:pt idx="6">
                  <c:v>778115.63857142848</c:v>
                </c:pt>
              </c:numCache>
            </c:numRef>
          </c:val>
          <c:smooth val="0"/>
          <c:extLst>
            <c:ext xmlns:c16="http://schemas.microsoft.com/office/drawing/2014/chart" uri="{C3380CC4-5D6E-409C-BE32-E72D297353CC}">
              <c16:uniqueId val="{00000002-E387-4C0E-B314-C0844B8B14D8}"/>
            </c:ext>
          </c:extLst>
        </c:ser>
        <c:dLbls>
          <c:showLegendKey val="0"/>
          <c:showVal val="1"/>
          <c:showCatName val="0"/>
          <c:showSerName val="0"/>
          <c:showPercent val="0"/>
          <c:showBubbleSize val="0"/>
        </c:dLbls>
        <c:marker val="1"/>
        <c:smooth val="0"/>
        <c:axId val="985110399"/>
        <c:axId val="985112479"/>
      </c:lineChart>
      <c:catAx>
        <c:axId val="985110399"/>
        <c:scaling>
          <c:orientation val="minMax"/>
        </c:scaling>
        <c:delete val="0"/>
        <c:axPos val="b"/>
        <c:numFmt formatCode="General" sourceLinked="1"/>
        <c:majorTickMark val="none"/>
        <c:minorTickMark val="none"/>
        <c:tickLblPos val="nextTo"/>
        <c:spPr>
          <a:noFill/>
          <a:ln w="12700" cap="flat" cmpd="sng" algn="ctr">
            <a:solidFill>
              <a:schemeClr val="bg1">
                <a:lumMod val="7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985112479"/>
        <c:crosses val="autoZero"/>
        <c:auto val="1"/>
        <c:lblAlgn val="ctr"/>
        <c:lblOffset val="100"/>
        <c:noMultiLvlLbl val="0"/>
      </c:catAx>
      <c:valAx>
        <c:axId val="985112479"/>
        <c:scaling>
          <c:orientation val="minMax"/>
        </c:scaling>
        <c:delete val="1"/>
        <c:axPos val="l"/>
        <c:numFmt formatCode="[&lt;999999]&quot;$&quot;0.0,&quot; K&quot;;[&lt;999999999]&quot;$&quot;0.0,,&quot; M&quot;;#,000&quot; B&quot;" sourceLinked="1"/>
        <c:majorTickMark val="none"/>
        <c:minorTickMark val="none"/>
        <c:tickLblPos val="nextTo"/>
        <c:crossAx val="98511039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'Analysis 2'!$AJ$5</c:f>
              <c:strCache>
                <c:ptCount val="1"/>
                <c:pt idx="0">
                  <c:v>Total Revenue</c:v>
                </c:pt>
              </c:strCache>
            </c:strRef>
          </c:tx>
          <c:spPr>
            <a:ln w="31750" cap="rnd">
              <a:solidFill>
                <a:schemeClr val="tx1">
                  <a:lumMod val="50000"/>
                  <a:lumOff val="50000"/>
                </a:schemeClr>
              </a:solidFill>
              <a:round/>
            </a:ln>
            <a:effectLst/>
          </c:spPr>
          <c:marker>
            <c:symbol val="circle"/>
            <c:size val="6"/>
            <c:spPr>
              <a:solidFill>
                <a:schemeClr val="tx1">
                  <a:lumMod val="50000"/>
                  <a:lumOff val="50000"/>
                </a:schemeClr>
              </a:solidFill>
              <a:ln w="9525">
                <a:noFill/>
              </a:ln>
              <a:effectLst/>
            </c:spPr>
          </c:marker>
          <c:dLbls>
            <c:dLbl>
              <c:idx val="0"/>
              <c:tx>
                <c:rich>
                  <a:bodyPr/>
                  <a:lstStyle/>
                  <a:p>
                    <a:fld id="{79A647FB-31BD-40FB-9E61-91A2B439AE8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551C-4D63-AF5F-8E6B0620BC54}"/>
                </c:ext>
              </c:extLst>
            </c:dLbl>
            <c:dLbl>
              <c:idx val="1"/>
              <c:tx>
                <c:rich>
                  <a:bodyPr/>
                  <a:lstStyle/>
                  <a:p>
                    <a:fld id="{0CFC4821-A971-4FCE-BDA3-A13FCC16E0C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551C-4D63-AF5F-8E6B0620BC54}"/>
                </c:ext>
              </c:extLst>
            </c:dLbl>
            <c:dLbl>
              <c:idx val="2"/>
              <c:tx>
                <c:rich>
                  <a:bodyPr/>
                  <a:lstStyle/>
                  <a:p>
                    <a:fld id="{DB04D916-C8BF-4837-BAC4-0556F25C1F1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551C-4D63-AF5F-8E6B0620BC54}"/>
                </c:ext>
              </c:extLst>
            </c:dLbl>
            <c:dLbl>
              <c:idx val="3"/>
              <c:tx>
                <c:rich>
                  <a:bodyPr/>
                  <a:lstStyle/>
                  <a:p>
                    <a:fld id="{D551F5E2-192A-42D2-988B-0EEA72F15BF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551C-4D63-AF5F-8E6B0620BC54}"/>
                </c:ext>
              </c:extLst>
            </c:dLbl>
            <c:dLbl>
              <c:idx val="4"/>
              <c:tx>
                <c:rich>
                  <a:bodyPr/>
                  <a:lstStyle/>
                  <a:p>
                    <a:fld id="{BCE146DA-4392-4AA9-A980-28D47A616DFD}"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551C-4D63-AF5F-8E6B0620BC54}"/>
                </c:ext>
              </c:extLst>
            </c:dLbl>
            <c:dLbl>
              <c:idx val="5"/>
              <c:tx>
                <c:rich>
                  <a:bodyPr/>
                  <a:lstStyle/>
                  <a:p>
                    <a:fld id="{303F2D11-2E65-48CC-B596-731E3CE0CFA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551C-4D63-AF5F-8E6B0620BC54}"/>
                </c:ext>
              </c:extLst>
            </c:dLbl>
            <c:dLbl>
              <c:idx val="6"/>
              <c:tx>
                <c:rich>
                  <a:bodyPr/>
                  <a:lstStyle/>
                  <a:p>
                    <a:fld id="{2C017200-DBF3-4E16-98FD-4D39BCBEF4D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551C-4D63-AF5F-8E6B0620BC54}"/>
                </c:ext>
              </c:extLst>
            </c:dLbl>
            <c:dLbl>
              <c:idx val="7"/>
              <c:tx>
                <c:rich>
                  <a:bodyPr/>
                  <a:lstStyle/>
                  <a:p>
                    <a:fld id="{F6C78AF7-FAAA-4B1D-9E67-6B409350866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551C-4D63-AF5F-8E6B0620BC54}"/>
                </c:ext>
              </c:extLst>
            </c:dLbl>
            <c:dLbl>
              <c:idx val="8"/>
              <c:tx>
                <c:rich>
                  <a:bodyPr/>
                  <a:lstStyle/>
                  <a:p>
                    <a:fld id="{8D0BDF73-D781-4683-BB30-5A8BC3709AF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551C-4D63-AF5F-8E6B0620BC54}"/>
                </c:ext>
              </c:extLst>
            </c:dLbl>
            <c:dLbl>
              <c:idx val="9"/>
              <c:tx>
                <c:rich>
                  <a:bodyPr/>
                  <a:lstStyle/>
                  <a:p>
                    <a:fld id="{AD1E7EA8-1D05-4E07-80F5-3937F59F229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551C-4D63-AF5F-8E6B0620BC54}"/>
                </c:ext>
              </c:extLst>
            </c:dLbl>
            <c:dLbl>
              <c:idx val="10"/>
              <c:tx>
                <c:rich>
                  <a:bodyPr/>
                  <a:lstStyle/>
                  <a:p>
                    <a:fld id="{99F030D4-5067-4F01-977B-76A6454D65D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551C-4D63-AF5F-8E6B0620BC54}"/>
                </c:ext>
              </c:extLst>
            </c:dLbl>
            <c:dLbl>
              <c:idx val="11"/>
              <c:tx>
                <c:rich>
                  <a:bodyPr/>
                  <a:lstStyle/>
                  <a:p>
                    <a:fld id="{F57BBB23-9C0A-478F-AF0A-E8A20BC7D0F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551C-4D63-AF5F-8E6B0620BC5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2'!$AI$6:$AI$17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2'!$AJ$6:$AJ$17</c:f>
              <c:numCache>
                <c:formatCode>[&lt;999999]0.0," K";[&lt;999999999]0.0,," M";#,000" B"</c:formatCode>
                <c:ptCount val="12"/>
                <c:pt idx="0">
                  <c:v>444162.52</c:v>
                </c:pt>
                <c:pt idx="1">
                  <c:v>423741.52000000037</c:v>
                </c:pt>
                <c:pt idx="2">
                  <c:v>468344.26999999955</c:v>
                </c:pt>
                <c:pt idx="3">
                  <c:v>448652.76000000007</c:v>
                </c:pt>
                <c:pt idx="4">
                  <c:v>480720.64000000001</c:v>
                </c:pt>
                <c:pt idx="5">
                  <c:v>455501.1399999999</c:v>
                </c:pt>
                <c:pt idx="6">
                  <c:v>433725.86000000045</c:v>
                </c:pt>
                <c:pt idx="7">
                  <c:v>485766.24999999977</c:v>
                </c:pt>
                <c:pt idx="8">
                  <c:v>443447.43000000028</c:v>
                </c:pt>
                <c:pt idx="9">
                  <c:v>458984.37999999971</c:v>
                </c:pt>
                <c:pt idx="10">
                  <c:v>462537.40999999963</c:v>
                </c:pt>
                <c:pt idx="11">
                  <c:v>441225.28999999992</c:v>
                </c:pt>
              </c:numCache>
            </c:numRef>
          </c:val>
          <c:smooth val="1"/>
          <c:extLst>
            <c:ext xmlns:c15="http://schemas.microsoft.com/office/drawing/2012/chart" uri="{02D57815-91ED-43cb-92C2-25804820EDAC}">
              <c15:datalabelsRange>
                <c15:f>'Analysis 2'!$AL$6:$AL$17</c15:f>
                <c15:dlblRangeCache>
                  <c:ptCount val="12"/>
                  <c:pt idx="4">
                    <c:v>480.7 K</c:v>
                  </c:pt>
                  <c:pt idx="7">
                    <c:v>485.8 K</c:v>
                  </c:pt>
                </c15:dlblRangeCache>
              </c15:datalabelsRange>
            </c:ext>
            <c:ext xmlns:c16="http://schemas.microsoft.com/office/drawing/2014/chart" uri="{C3380CC4-5D6E-409C-BE32-E72D297353CC}">
              <c16:uniqueId val="{0000000C-551C-4D63-AF5F-8E6B0620BC54}"/>
            </c:ext>
          </c:extLst>
        </c:ser>
        <c:ser>
          <c:idx val="1"/>
          <c:order val="1"/>
          <c:tx>
            <c:strRef>
              <c:f>'Analysis 2'!$AK$5</c:f>
              <c:strCache>
                <c:ptCount val="1"/>
                <c:pt idx="0">
                  <c:v>Total target</c:v>
                </c:pt>
              </c:strCache>
            </c:strRef>
          </c:tx>
          <c:spPr>
            <a:ln w="28575" cap="rnd">
              <a:solidFill>
                <a:schemeClr val="bg1">
                  <a:lumMod val="75000"/>
                </a:schemeClr>
              </a:solidFill>
              <a:round/>
            </a:ln>
            <a:effectLst/>
          </c:spPr>
          <c:marker>
            <c:symbol val="none"/>
          </c:marker>
          <c:cat>
            <c:strRef>
              <c:f>'Analysis 2'!$AI$6:$AI$17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2'!$AK$6:$AK$17</c:f>
              <c:numCache>
                <c:formatCode>[&lt;999999]0.0," K";[&lt;999999999]0.0,," M";#,000" B"</c:formatCode>
                <c:ptCount val="12"/>
                <c:pt idx="0">
                  <c:v>439042</c:v>
                </c:pt>
                <c:pt idx="1">
                  <c:v>431279</c:v>
                </c:pt>
                <c:pt idx="2">
                  <c:v>445591</c:v>
                </c:pt>
                <c:pt idx="3">
                  <c:v>453071</c:v>
                </c:pt>
                <c:pt idx="4">
                  <c:v>444167</c:v>
                </c:pt>
                <c:pt idx="5">
                  <c:v>421979</c:v>
                </c:pt>
                <c:pt idx="6">
                  <c:v>456718</c:v>
                </c:pt>
                <c:pt idx="7">
                  <c:v>431727</c:v>
                </c:pt>
                <c:pt idx="8">
                  <c:v>446912</c:v>
                </c:pt>
                <c:pt idx="9">
                  <c:v>414360</c:v>
                </c:pt>
                <c:pt idx="10">
                  <c:v>413371</c:v>
                </c:pt>
                <c:pt idx="11">
                  <c:v>456773</c:v>
                </c:pt>
              </c:numCache>
            </c:numRef>
          </c:val>
          <c:smooth val="1"/>
          <c:extLst>
            <c:ext xmlns:c16="http://schemas.microsoft.com/office/drawing/2014/chart" uri="{C3380CC4-5D6E-409C-BE32-E72D297353CC}">
              <c16:uniqueId val="{0000000D-551C-4D63-AF5F-8E6B0620BC54}"/>
            </c:ext>
          </c:extLst>
        </c:ser>
        <c:dLbls>
          <c:showLegendKey val="0"/>
          <c:showVal val="0"/>
          <c:showCatName val="0"/>
          <c:showSerName val="0"/>
          <c:showPercent val="0"/>
          <c:showBubbleSize val="0"/>
        </c:dLbls>
        <c:marker val="1"/>
        <c:smooth val="0"/>
        <c:axId val="185708031"/>
        <c:axId val="1099482271"/>
      </c:lineChart>
      <c:catAx>
        <c:axId val="1857080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099482271"/>
        <c:crosses val="autoZero"/>
        <c:auto val="1"/>
        <c:lblAlgn val="ctr"/>
        <c:lblOffset val="100"/>
        <c:noMultiLvlLbl val="0"/>
      </c:catAx>
      <c:valAx>
        <c:axId val="1099482271"/>
        <c:scaling>
          <c:orientation val="minMax"/>
        </c:scaling>
        <c:delete val="0"/>
        <c:axPos val="l"/>
        <c:numFmt formatCode="[&lt;999999]0.0,&quot; K&quot;;[&lt;999999999]0.0,,&quot; M&quot;;#,000&quot; 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7080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777777777777776E-2"/>
          <c:y val="0.17634259259259263"/>
          <c:w val="0.93888888888888888"/>
          <c:h val="0.77736111111111106"/>
        </c:manualLayout>
      </c:layout>
      <c:barChart>
        <c:barDir val="col"/>
        <c:grouping val="clustered"/>
        <c:varyColors val="0"/>
        <c:ser>
          <c:idx val="0"/>
          <c:order val="0"/>
          <c:tx>
            <c:strRef>
              <c:f>'Analysis 2'!$AQ$5</c:f>
              <c:strCache>
                <c:ptCount val="1"/>
                <c:pt idx="0">
                  <c:v>Variance%</c:v>
                </c:pt>
              </c:strCache>
            </c:strRef>
          </c:tx>
          <c:spPr>
            <a:solidFill>
              <a:srgbClr val="70AD47"/>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2'!$AP$6:$AP$17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2'!$AQ$6:$AQ$17</c:f>
              <c:numCache>
                <c:formatCode>\+0.0%;\-0.0%</c:formatCode>
                <c:ptCount val="12"/>
                <c:pt idx="0">
                  <c:v>1.1662938853230486E-2</c:v>
                </c:pt>
                <c:pt idx="1">
                  <c:v>-1.7477039225187483E-2</c:v>
                </c:pt>
                <c:pt idx="2">
                  <c:v>5.1063127397096335E-2</c:v>
                </c:pt>
                <c:pt idx="3">
                  <c:v>-9.7517607615581932E-3</c:v>
                </c:pt>
                <c:pt idx="4">
                  <c:v>8.2297063942165932E-2</c:v>
                </c:pt>
                <c:pt idx="5">
                  <c:v>7.9440303901378739E-2</c:v>
                </c:pt>
                <c:pt idx="6">
                  <c:v>-5.0342092932618265E-2</c:v>
                </c:pt>
                <c:pt idx="7">
                  <c:v>0.12516995694038077</c:v>
                </c:pt>
                <c:pt idx="8">
                  <c:v>-7.7522420521259575E-3</c:v>
                </c:pt>
                <c:pt idx="9">
                  <c:v>0.10769470991408368</c:v>
                </c:pt>
                <c:pt idx="10">
                  <c:v>0.1189401530344403</c:v>
                </c:pt>
                <c:pt idx="11">
                  <c:v>-3.4038154619471989E-2</c:v>
                </c:pt>
              </c:numCache>
            </c:numRef>
          </c:val>
          <c:extLst>
            <c:ext xmlns:c14="http://schemas.microsoft.com/office/drawing/2007/8/2/chart" uri="{6F2FDCE9-48DA-4B69-8628-5D25D57E5C99}">
              <c14:invertSolidFillFmt>
                <c14:spPr xmlns:c14="http://schemas.microsoft.com/office/drawing/2007/8/2/chart">
                  <a:solidFill>
                    <a:srgbClr val="DA0000"/>
                  </a:solidFill>
                  <a:ln>
                    <a:noFill/>
                  </a:ln>
                  <a:effectLst/>
                </c14:spPr>
              </c14:invertSolidFillFmt>
            </c:ext>
            <c:ext xmlns:c16="http://schemas.microsoft.com/office/drawing/2014/chart" uri="{C3380CC4-5D6E-409C-BE32-E72D297353CC}">
              <c16:uniqueId val="{00000000-9AA4-4384-87BA-99F78F5C6861}"/>
            </c:ext>
          </c:extLst>
        </c:ser>
        <c:dLbls>
          <c:showLegendKey val="0"/>
          <c:showVal val="0"/>
          <c:showCatName val="0"/>
          <c:showSerName val="0"/>
          <c:showPercent val="0"/>
          <c:showBubbleSize val="0"/>
        </c:dLbls>
        <c:gapWidth val="88"/>
        <c:overlap val="-27"/>
        <c:axId val="987964543"/>
        <c:axId val="987965791"/>
      </c:barChart>
      <c:catAx>
        <c:axId val="987964543"/>
        <c:scaling>
          <c:orientation val="minMax"/>
        </c:scaling>
        <c:delete val="1"/>
        <c:axPos val="b"/>
        <c:numFmt formatCode="General" sourceLinked="1"/>
        <c:majorTickMark val="none"/>
        <c:minorTickMark val="none"/>
        <c:tickLblPos val="nextTo"/>
        <c:crossAx val="987965791"/>
        <c:crosses val="autoZero"/>
        <c:auto val="1"/>
        <c:lblAlgn val="ctr"/>
        <c:lblOffset val="100"/>
        <c:noMultiLvlLbl val="0"/>
      </c:catAx>
      <c:valAx>
        <c:axId val="987965791"/>
        <c:scaling>
          <c:orientation val="minMax"/>
        </c:scaling>
        <c:delete val="1"/>
        <c:axPos val="l"/>
        <c:numFmt formatCode="\+0.0%;\-0.0%" sourceLinked="1"/>
        <c:majorTickMark val="none"/>
        <c:minorTickMark val="none"/>
        <c:tickLblPos val="nextTo"/>
        <c:crossAx val="9879645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3'!$L$22</c:f>
              <c:strCache>
                <c:ptCount val="1"/>
                <c:pt idx="0">
                  <c:v>Profit Margin</c:v>
                </c:pt>
              </c:strCache>
            </c:strRef>
          </c:tx>
          <c:spPr>
            <a:solidFill>
              <a:srgbClr val="1C6EA4">
                <a:alpha val="87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3'!$K$23:$K$27</c:f>
              <c:strCache>
                <c:ptCount val="5"/>
                <c:pt idx="0">
                  <c:v>Missouri</c:v>
                </c:pt>
                <c:pt idx="1">
                  <c:v>Virginia</c:v>
                </c:pt>
                <c:pt idx="2">
                  <c:v>Michigan</c:v>
                </c:pt>
                <c:pt idx="3">
                  <c:v>California</c:v>
                </c:pt>
                <c:pt idx="4">
                  <c:v>Washington</c:v>
                </c:pt>
              </c:strCache>
            </c:strRef>
          </c:cat>
          <c:val>
            <c:numRef>
              <c:f>'Analysis 3'!$L$23:$L$27</c:f>
              <c:numCache>
                <c:formatCode>[&lt;999999]"$"0.0," K";[&lt;999999999]"$"0.0,," M";#,000" B"</c:formatCode>
                <c:ptCount val="5"/>
                <c:pt idx="0">
                  <c:v>128176.22000000032</c:v>
                </c:pt>
                <c:pt idx="1">
                  <c:v>131335.97000000015</c:v>
                </c:pt>
                <c:pt idx="2">
                  <c:v>132061.01999999973</c:v>
                </c:pt>
                <c:pt idx="3">
                  <c:v>132555.79000000024</c:v>
                </c:pt>
                <c:pt idx="4">
                  <c:v>134907.56</c:v>
                </c:pt>
              </c:numCache>
            </c:numRef>
          </c:val>
          <c:extLst>
            <c:ext xmlns:c16="http://schemas.microsoft.com/office/drawing/2014/chart" uri="{C3380CC4-5D6E-409C-BE32-E72D297353CC}">
              <c16:uniqueId val="{00000000-5F93-4496-922F-00C585D42CF0}"/>
            </c:ext>
          </c:extLst>
        </c:ser>
        <c:dLbls>
          <c:showLegendKey val="0"/>
          <c:showVal val="0"/>
          <c:showCatName val="0"/>
          <c:showSerName val="0"/>
          <c:showPercent val="0"/>
          <c:showBubbleSize val="0"/>
        </c:dLbls>
        <c:gapWidth val="100"/>
        <c:overlap val="-27"/>
        <c:axId val="512671792"/>
        <c:axId val="512663472"/>
      </c:barChart>
      <c:catAx>
        <c:axId val="512671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12663472"/>
        <c:crosses val="autoZero"/>
        <c:auto val="1"/>
        <c:lblAlgn val="ctr"/>
        <c:lblOffset val="100"/>
        <c:noMultiLvlLbl val="0"/>
      </c:catAx>
      <c:valAx>
        <c:axId val="512663472"/>
        <c:scaling>
          <c:orientation val="minMax"/>
        </c:scaling>
        <c:delete val="1"/>
        <c:axPos val="l"/>
        <c:numFmt formatCode="[&lt;999999]&quot;$&quot;0.0,&quot; K&quot;;[&lt;999999999]&quot;$&quot;0.0,,&quot; M&quot;;#,000&quot; B&quot;" sourceLinked="1"/>
        <c:majorTickMark val="none"/>
        <c:minorTickMark val="none"/>
        <c:tickLblPos val="nextTo"/>
        <c:crossAx val="512671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8016877637130801E-2"/>
          <c:y val="0.14064697609001406"/>
          <c:w val="0.88396624472573837"/>
          <c:h val="0.69621471366712073"/>
        </c:manualLayout>
      </c:layout>
      <c:barChart>
        <c:barDir val="col"/>
        <c:grouping val="clustered"/>
        <c:varyColors val="0"/>
        <c:ser>
          <c:idx val="0"/>
          <c:order val="0"/>
          <c:tx>
            <c:strRef>
              <c:f>'Analysis 3'!$Z$13</c:f>
              <c:strCache>
                <c:ptCount val="1"/>
                <c:pt idx="0">
                  <c:v>Profit Margin</c:v>
                </c:pt>
              </c:strCache>
            </c:strRef>
          </c:tx>
          <c:spPr>
            <a:solidFill>
              <a:srgbClr val="1C6EA4">
                <a:alpha val="87000"/>
              </a:srgbClr>
            </a:solidFill>
            <a:ln>
              <a:noFill/>
            </a:ln>
            <a:effectLst/>
          </c:spPr>
          <c:invertIfNegative val="0"/>
          <c:dLbls>
            <c:numFmt formatCode="[&lt;999999]&quot;$&quot;0,&quot; K&quot;;[&lt;999999999]&quot;$&quot;0,,&quot; M&quot;;#,000&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3'!$Y$14:$Y$18</c:f>
              <c:strCache>
                <c:ptCount val="5"/>
                <c:pt idx="0">
                  <c:v>0-20</c:v>
                </c:pt>
                <c:pt idx="1">
                  <c:v>21-30</c:v>
                </c:pt>
                <c:pt idx="2">
                  <c:v>31-40</c:v>
                </c:pt>
                <c:pt idx="3">
                  <c:v>41-50</c:v>
                </c:pt>
                <c:pt idx="4">
                  <c:v>plus 50</c:v>
                </c:pt>
              </c:strCache>
            </c:strRef>
          </c:cat>
          <c:val>
            <c:numRef>
              <c:f>'Analysis 3'!$Z$14:$Z$18</c:f>
              <c:numCache>
                <c:formatCode>[&lt;999999]"$"0," K";[&lt;999999999]"$"0,," M";#,000" B"</c:formatCode>
                <c:ptCount val="5"/>
                <c:pt idx="0">
                  <c:v>57388</c:v>
                </c:pt>
                <c:pt idx="1">
                  <c:v>367524.49</c:v>
                </c:pt>
                <c:pt idx="2">
                  <c:v>439190.27999999805</c:v>
                </c:pt>
                <c:pt idx="3">
                  <c:v>489964.00000000023</c:v>
                </c:pt>
                <c:pt idx="4">
                  <c:v>943445.28999999142</c:v>
                </c:pt>
              </c:numCache>
            </c:numRef>
          </c:val>
          <c:extLst>
            <c:ext xmlns:c16="http://schemas.microsoft.com/office/drawing/2014/chart" uri="{C3380CC4-5D6E-409C-BE32-E72D297353CC}">
              <c16:uniqueId val="{00000000-AD89-4F0D-8B65-873F8864FC5D}"/>
            </c:ext>
          </c:extLst>
        </c:ser>
        <c:dLbls>
          <c:dLblPos val="outEnd"/>
          <c:showLegendKey val="0"/>
          <c:showVal val="1"/>
          <c:showCatName val="0"/>
          <c:showSerName val="0"/>
          <c:showPercent val="0"/>
          <c:showBubbleSize val="0"/>
        </c:dLbls>
        <c:gapWidth val="68"/>
        <c:overlap val="-27"/>
        <c:axId val="512665136"/>
        <c:axId val="512670960"/>
      </c:barChart>
      <c:catAx>
        <c:axId val="512665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12670960"/>
        <c:crosses val="autoZero"/>
        <c:auto val="1"/>
        <c:lblAlgn val="ctr"/>
        <c:lblOffset val="100"/>
        <c:noMultiLvlLbl val="0"/>
      </c:catAx>
      <c:valAx>
        <c:axId val="512670960"/>
        <c:scaling>
          <c:orientation val="minMax"/>
        </c:scaling>
        <c:delete val="1"/>
        <c:axPos val="l"/>
        <c:numFmt formatCode="[&lt;999999]&quot;$&quot;0,&quot; K&quot;;[&lt;999999999]&quot;$&quot;0,,&quot; M&quot;;#,000&quot; B&quot;" sourceLinked="1"/>
        <c:majorTickMark val="none"/>
        <c:minorTickMark val="none"/>
        <c:tickLblPos val="nextTo"/>
        <c:crossAx val="5126651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3.xlsm]Analysis 3!PivotTable9</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C6EA4">
              <a:alpha val="87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3'!$AQ$4</c:f>
              <c:strCache>
                <c:ptCount val="1"/>
                <c:pt idx="0">
                  <c:v>Total</c:v>
                </c:pt>
              </c:strCache>
            </c:strRef>
          </c:tx>
          <c:spPr>
            <a:solidFill>
              <a:srgbClr val="1C6EA4">
                <a:alpha val="87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3'!$AP$5:$AP$11</c:f>
              <c:strCache>
                <c:ptCount val="7"/>
                <c:pt idx="0">
                  <c:v>Sun</c:v>
                </c:pt>
                <c:pt idx="1">
                  <c:v>Mon</c:v>
                </c:pt>
                <c:pt idx="2">
                  <c:v>Tue</c:v>
                </c:pt>
                <c:pt idx="3">
                  <c:v>Wed</c:v>
                </c:pt>
                <c:pt idx="4">
                  <c:v>Thu</c:v>
                </c:pt>
                <c:pt idx="5">
                  <c:v>Fri</c:v>
                </c:pt>
                <c:pt idx="6">
                  <c:v>Sat</c:v>
                </c:pt>
              </c:strCache>
            </c:strRef>
          </c:cat>
          <c:val>
            <c:numRef>
              <c:f>'Analysis 3'!$AQ$5:$AQ$11</c:f>
              <c:numCache>
                <c:formatCode>[&lt;999999]"$"0," K";[&lt;999999999]"$"0,," M";#,000" B"</c:formatCode>
                <c:ptCount val="7"/>
                <c:pt idx="0">
                  <c:v>313403.34999999951</c:v>
                </c:pt>
                <c:pt idx="1">
                  <c:v>342889.85000000324</c:v>
                </c:pt>
                <c:pt idx="2">
                  <c:v>324340.81999999884</c:v>
                </c:pt>
                <c:pt idx="3">
                  <c:v>324189.0599999979</c:v>
                </c:pt>
                <c:pt idx="4">
                  <c:v>340665.27999999869</c:v>
                </c:pt>
                <c:pt idx="5">
                  <c:v>319564.96000000124</c:v>
                </c:pt>
                <c:pt idx="6">
                  <c:v>332458.74000000069</c:v>
                </c:pt>
              </c:numCache>
            </c:numRef>
          </c:val>
          <c:extLst>
            <c:ext xmlns:c16="http://schemas.microsoft.com/office/drawing/2014/chart" uri="{C3380CC4-5D6E-409C-BE32-E72D297353CC}">
              <c16:uniqueId val="{00000000-8C37-4C3F-90AE-33E3C39667B3}"/>
            </c:ext>
          </c:extLst>
        </c:ser>
        <c:dLbls>
          <c:showLegendKey val="0"/>
          <c:showVal val="0"/>
          <c:showCatName val="0"/>
          <c:showSerName val="0"/>
          <c:showPercent val="0"/>
          <c:showBubbleSize val="0"/>
        </c:dLbls>
        <c:gapWidth val="85"/>
        <c:overlap val="-27"/>
        <c:axId val="512660560"/>
        <c:axId val="512670544"/>
      </c:barChart>
      <c:catAx>
        <c:axId val="512660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12670544"/>
        <c:crosses val="autoZero"/>
        <c:auto val="1"/>
        <c:lblAlgn val="ctr"/>
        <c:lblOffset val="100"/>
        <c:noMultiLvlLbl val="0"/>
      </c:catAx>
      <c:valAx>
        <c:axId val="512670544"/>
        <c:scaling>
          <c:orientation val="minMax"/>
        </c:scaling>
        <c:delete val="1"/>
        <c:axPos val="l"/>
        <c:numFmt formatCode="[&lt;999999]&quot;$&quot;0,&quot; K&quot;;[&lt;999999999]&quot;$&quot;0,,&quot; M&quot;;#,000&quot; B&quot;" sourceLinked="1"/>
        <c:majorTickMark val="none"/>
        <c:minorTickMark val="none"/>
        <c:tickLblPos val="nextTo"/>
        <c:crossAx val="512660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76190476190476E-2"/>
          <c:y val="0.19774011299435029"/>
          <c:w val="0.94047619047619047"/>
          <c:h val="0.63843031273633166"/>
        </c:manualLayout>
      </c:layout>
      <c:areaChart>
        <c:grouping val="stacked"/>
        <c:varyColors val="0"/>
        <c:ser>
          <c:idx val="1"/>
          <c:order val="1"/>
          <c:tx>
            <c:strRef>
              <c:f>'Analysis 3'!$AX$21</c:f>
              <c:strCache>
                <c:ptCount val="1"/>
                <c:pt idx="0">
                  <c:v>Profit Margin</c:v>
                </c:pt>
              </c:strCache>
            </c:strRef>
          </c:tx>
          <c:spPr>
            <a:gradFill flip="none" rotWithShape="1">
              <a:gsLst>
                <a:gs pos="0">
                  <a:schemeClr val="accent1">
                    <a:lumMod val="40000"/>
                    <a:lumOff val="60000"/>
                    <a:alpha val="87000"/>
                  </a:schemeClr>
                </a:gs>
                <a:gs pos="51000">
                  <a:schemeClr val="accent1">
                    <a:lumMod val="20000"/>
                    <a:lumOff val="80000"/>
                  </a:schemeClr>
                </a:gs>
                <a:gs pos="100000">
                  <a:schemeClr val="bg1"/>
                </a:gs>
              </a:gsLst>
              <a:lin ang="5400000" scaled="1"/>
              <a:tileRect/>
            </a:gradFill>
            <a:ln>
              <a:noFill/>
            </a:ln>
            <a:effectLst/>
          </c:spPr>
          <c:val>
            <c:numRef>
              <c:f>'Analysis 3'!$AX$22:$AX$33</c:f>
              <c:numCache>
                <c:formatCode>General</c:formatCode>
                <c:ptCount val="12"/>
                <c:pt idx="0">
                  <c:v>177715.37999999989</c:v>
                </c:pt>
                <c:pt idx="1">
                  <c:v>177756.56999999966</c:v>
                </c:pt>
                <c:pt idx="2">
                  <c:v>204515.86999999953</c:v>
                </c:pt>
                <c:pt idx="3">
                  <c:v>192977.04000000018</c:v>
                </c:pt>
                <c:pt idx="4">
                  <c:v>205642.8500000005</c:v>
                </c:pt>
                <c:pt idx="5">
                  <c:v>195489.95000000036</c:v>
                </c:pt>
                <c:pt idx="6">
                  <c:v>182737.19000000047</c:v>
                </c:pt>
                <c:pt idx="7">
                  <c:v>208599.36000000022</c:v>
                </c:pt>
                <c:pt idx="8">
                  <c:v>190084.82000000018</c:v>
                </c:pt>
                <c:pt idx="9">
                  <c:v>190384.21999999968</c:v>
                </c:pt>
                <c:pt idx="10">
                  <c:v>192253.24999999942</c:v>
                </c:pt>
                <c:pt idx="11">
                  <c:v>179355.55999999988</c:v>
                </c:pt>
              </c:numCache>
            </c:numRef>
          </c:val>
          <c:extLst>
            <c:ext xmlns:c16="http://schemas.microsoft.com/office/drawing/2014/chart" uri="{C3380CC4-5D6E-409C-BE32-E72D297353CC}">
              <c16:uniqueId val="{00000000-7C08-4945-9DE1-4F980A36335E}"/>
            </c:ext>
          </c:extLst>
        </c:ser>
        <c:dLbls>
          <c:showLegendKey val="0"/>
          <c:showVal val="0"/>
          <c:showCatName val="0"/>
          <c:showSerName val="0"/>
          <c:showPercent val="0"/>
          <c:showBubbleSize val="0"/>
        </c:dLbls>
        <c:axId val="315269952"/>
        <c:axId val="315268704"/>
      </c:areaChart>
      <c:lineChart>
        <c:grouping val="standard"/>
        <c:varyColors val="0"/>
        <c:ser>
          <c:idx val="0"/>
          <c:order val="0"/>
          <c:tx>
            <c:strRef>
              <c:f>'Analysis 3'!$AW$21</c:f>
              <c:strCache>
                <c:ptCount val="1"/>
                <c:pt idx="0">
                  <c:v>Profit Margin</c:v>
                </c:pt>
              </c:strCache>
            </c:strRef>
          </c:tx>
          <c:spPr>
            <a:ln w="28575" cap="rnd">
              <a:solidFill>
                <a:srgbClr val="1C6EA4">
                  <a:alpha val="87000"/>
                </a:srgbClr>
              </a:solidFill>
              <a:round/>
            </a:ln>
            <a:effectLst/>
          </c:spPr>
          <c:marker>
            <c:symbol val="circle"/>
            <c:size val="6"/>
            <c:spPr>
              <a:solidFill>
                <a:srgbClr val="1C6EA4">
                  <a:alpha val="87000"/>
                </a:srgbClr>
              </a:solidFill>
              <a:ln w="9525">
                <a:solidFill>
                  <a:schemeClr val="accent1"/>
                </a:solidFill>
              </a:ln>
              <a:effectLst/>
            </c:spPr>
          </c:marker>
          <c:dLbls>
            <c:dLbl>
              <c:idx val="0"/>
              <c:tx>
                <c:rich>
                  <a:bodyPr/>
                  <a:lstStyle/>
                  <a:p>
                    <a:fld id="{3A14FB59-041D-4A31-9D0A-AD57B317DDF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7C08-4945-9DE1-4F980A36335E}"/>
                </c:ext>
              </c:extLst>
            </c:dLbl>
            <c:dLbl>
              <c:idx val="1"/>
              <c:tx>
                <c:rich>
                  <a:bodyPr/>
                  <a:lstStyle/>
                  <a:p>
                    <a:fld id="{7B27EC71-AAC5-4A2A-AC1D-49D1FE92E82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7C08-4945-9DE1-4F980A36335E}"/>
                </c:ext>
              </c:extLst>
            </c:dLbl>
            <c:dLbl>
              <c:idx val="2"/>
              <c:tx>
                <c:rich>
                  <a:bodyPr/>
                  <a:lstStyle/>
                  <a:p>
                    <a:fld id="{527E7EFB-4D31-4A49-8C15-3807B79AD4F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7C08-4945-9DE1-4F980A36335E}"/>
                </c:ext>
              </c:extLst>
            </c:dLbl>
            <c:dLbl>
              <c:idx val="3"/>
              <c:tx>
                <c:rich>
                  <a:bodyPr/>
                  <a:lstStyle/>
                  <a:p>
                    <a:fld id="{AF458206-C03D-4F52-83C2-7098A98DC88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7C08-4945-9DE1-4F980A36335E}"/>
                </c:ext>
              </c:extLst>
            </c:dLbl>
            <c:dLbl>
              <c:idx val="4"/>
              <c:tx>
                <c:rich>
                  <a:bodyPr/>
                  <a:lstStyle/>
                  <a:p>
                    <a:fld id="{9067225A-CA46-40E3-AA46-F1117237796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7C08-4945-9DE1-4F980A36335E}"/>
                </c:ext>
              </c:extLst>
            </c:dLbl>
            <c:dLbl>
              <c:idx val="5"/>
              <c:tx>
                <c:rich>
                  <a:bodyPr/>
                  <a:lstStyle/>
                  <a:p>
                    <a:fld id="{C3DA0EA3-3737-4DE0-994F-05474CF37A5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7C08-4945-9DE1-4F980A36335E}"/>
                </c:ext>
              </c:extLst>
            </c:dLbl>
            <c:dLbl>
              <c:idx val="6"/>
              <c:tx>
                <c:rich>
                  <a:bodyPr/>
                  <a:lstStyle/>
                  <a:p>
                    <a:fld id="{7799E490-A18C-46EA-96E6-7C6E0E35B99B}"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7C08-4945-9DE1-4F980A36335E}"/>
                </c:ext>
              </c:extLst>
            </c:dLbl>
            <c:dLbl>
              <c:idx val="7"/>
              <c:tx>
                <c:rich>
                  <a:bodyPr/>
                  <a:lstStyle/>
                  <a:p>
                    <a:fld id="{FA48BCBD-2971-439F-8FAE-5D7753A4486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7C08-4945-9DE1-4F980A36335E}"/>
                </c:ext>
              </c:extLst>
            </c:dLbl>
            <c:dLbl>
              <c:idx val="8"/>
              <c:tx>
                <c:rich>
                  <a:bodyPr/>
                  <a:lstStyle/>
                  <a:p>
                    <a:fld id="{BB849EA6-BE2B-41EF-B1FD-A12914A705C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7C08-4945-9DE1-4F980A36335E}"/>
                </c:ext>
              </c:extLst>
            </c:dLbl>
            <c:dLbl>
              <c:idx val="9"/>
              <c:tx>
                <c:rich>
                  <a:bodyPr/>
                  <a:lstStyle/>
                  <a:p>
                    <a:fld id="{10FF36BD-B500-4E50-84C0-C3DF3CCDC2D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7C08-4945-9DE1-4F980A36335E}"/>
                </c:ext>
              </c:extLst>
            </c:dLbl>
            <c:dLbl>
              <c:idx val="10"/>
              <c:tx>
                <c:rich>
                  <a:bodyPr/>
                  <a:lstStyle/>
                  <a:p>
                    <a:fld id="{2BE7E9AA-9227-42AD-8F7F-5DD044A54D3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7C08-4945-9DE1-4F980A36335E}"/>
                </c:ext>
              </c:extLst>
            </c:dLbl>
            <c:dLbl>
              <c:idx val="11"/>
              <c:tx>
                <c:rich>
                  <a:bodyPr/>
                  <a:lstStyle/>
                  <a:p>
                    <a:fld id="{19E21064-5B7A-47CA-8FA7-43BA31B3C4D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7C08-4945-9DE1-4F980A36335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3'!$AV$22:$AV$33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3'!$AW$22:$AW$33</c:f>
              <c:numCache>
                <c:formatCode>General</c:formatCode>
                <c:ptCount val="12"/>
                <c:pt idx="0">
                  <c:v>177715.37999999989</c:v>
                </c:pt>
                <c:pt idx="1">
                  <c:v>177756.56999999966</c:v>
                </c:pt>
                <c:pt idx="2">
                  <c:v>204515.86999999953</c:v>
                </c:pt>
                <c:pt idx="3">
                  <c:v>192977.04000000018</c:v>
                </c:pt>
                <c:pt idx="4">
                  <c:v>205642.8500000005</c:v>
                </c:pt>
                <c:pt idx="5">
                  <c:v>195489.95000000036</c:v>
                </c:pt>
                <c:pt idx="6">
                  <c:v>182737.19000000047</c:v>
                </c:pt>
                <c:pt idx="7">
                  <c:v>208599.36000000022</c:v>
                </c:pt>
                <c:pt idx="8">
                  <c:v>190084.82000000018</c:v>
                </c:pt>
                <c:pt idx="9">
                  <c:v>190384.21999999968</c:v>
                </c:pt>
                <c:pt idx="10">
                  <c:v>192253.24999999942</c:v>
                </c:pt>
                <c:pt idx="11">
                  <c:v>179355.55999999988</c:v>
                </c:pt>
              </c:numCache>
            </c:numRef>
          </c:val>
          <c:smooth val="1"/>
          <c:extLst>
            <c:ext xmlns:c15="http://schemas.microsoft.com/office/drawing/2012/chart" uri="{02D57815-91ED-43cb-92C2-25804820EDAC}">
              <c15:datalabelsRange>
                <c15:f>'Analysis 3'!$AX$5:$AX$16</c15:f>
                <c15:dlblRangeCache>
                  <c:ptCount val="12"/>
                  <c:pt idx="1">
                    <c:v>+0%</c:v>
                  </c:pt>
                  <c:pt idx="2">
                    <c:v>+15%</c:v>
                  </c:pt>
                  <c:pt idx="3">
                    <c:v>-6%</c:v>
                  </c:pt>
                  <c:pt idx="4">
                    <c:v>+7%</c:v>
                  </c:pt>
                  <c:pt idx="5">
                    <c:v>-5%</c:v>
                  </c:pt>
                  <c:pt idx="6">
                    <c:v>-7%</c:v>
                  </c:pt>
                  <c:pt idx="7">
                    <c:v>+14%</c:v>
                  </c:pt>
                  <c:pt idx="8">
                    <c:v>-9%</c:v>
                  </c:pt>
                  <c:pt idx="9">
                    <c:v>+0%</c:v>
                  </c:pt>
                  <c:pt idx="10">
                    <c:v>+1%</c:v>
                  </c:pt>
                  <c:pt idx="11">
                    <c:v>-7%</c:v>
                  </c:pt>
                </c15:dlblRangeCache>
              </c15:datalabelsRange>
            </c:ext>
            <c:ext xmlns:c16="http://schemas.microsoft.com/office/drawing/2014/chart" uri="{C3380CC4-5D6E-409C-BE32-E72D297353CC}">
              <c16:uniqueId val="{00000001-7C08-4945-9DE1-4F980A36335E}"/>
            </c:ext>
          </c:extLst>
        </c:ser>
        <c:dLbls>
          <c:showLegendKey val="0"/>
          <c:showVal val="0"/>
          <c:showCatName val="0"/>
          <c:showSerName val="0"/>
          <c:showPercent val="0"/>
          <c:showBubbleSize val="0"/>
        </c:dLbls>
        <c:marker val="1"/>
        <c:smooth val="0"/>
        <c:axId val="315269952"/>
        <c:axId val="315268704"/>
      </c:lineChart>
      <c:catAx>
        <c:axId val="315269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5268704"/>
        <c:crosses val="autoZero"/>
        <c:auto val="1"/>
        <c:lblAlgn val="ctr"/>
        <c:lblOffset val="100"/>
        <c:noMultiLvlLbl val="0"/>
      </c:catAx>
      <c:valAx>
        <c:axId val="315268704"/>
        <c:scaling>
          <c:orientation val="minMax"/>
        </c:scaling>
        <c:delete val="1"/>
        <c:axPos val="l"/>
        <c:numFmt formatCode="General" sourceLinked="1"/>
        <c:majorTickMark val="none"/>
        <c:minorTickMark val="none"/>
        <c:tickLblPos val="nextTo"/>
        <c:crossAx val="3152699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4743796230016705"/>
          <c:y val="6.4327485380116955E-2"/>
          <c:w val="0.5220906572284526"/>
          <c:h val="0.87134502923976609"/>
        </c:manualLayout>
      </c:layout>
      <c:barChart>
        <c:barDir val="bar"/>
        <c:grouping val="clustered"/>
        <c:varyColors val="0"/>
        <c:ser>
          <c:idx val="0"/>
          <c:order val="0"/>
          <c:tx>
            <c:strRef>
              <c:f>'Analysis 3'!$BL$19</c:f>
              <c:strCache>
                <c:ptCount val="1"/>
                <c:pt idx="0">
                  <c:v>Total Quantity</c:v>
                </c:pt>
              </c:strCache>
            </c:strRef>
          </c:tx>
          <c:spPr>
            <a:solidFill>
              <a:srgbClr val="4BD0FF"/>
            </a:solidFill>
            <a:ln>
              <a:noFill/>
            </a:ln>
            <a:effectLst/>
          </c:spPr>
          <c:invertIfNegative val="0"/>
          <c:dLbls>
            <c:numFmt formatCode="[&lt;999999]0.0,&quot; K&quot;;[&lt;999999999]0.0,,&quot; M&quot;;#,000&quot; B&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3'!$BK$20:$BK$24</c:f>
              <c:strCache>
                <c:ptCount val="5"/>
                <c:pt idx="0">
                  <c:v>Begin Brew</c:v>
                </c:pt>
                <c:pt idx="1">
                  <c:v>Eight Brew</c:v>
                </c:pt>
                <c:pt idx="2">
                  <c:v>Attorney Mist</c:v>
                </c:pt>
                <c:pt idx="3">
                  <c:v>Onto Dew</c:v>
                </c:pt>
                <c:pt idx="4">
                  <c:v>Common Splash</c:v>
                </c:pt>
              </c:strCache>
            </c:strRef>
          </c:cat>
          <c:val>
            <c:numRef>
              <c:f>'Analysis 3'!$BL$20:$BL$24</c:f>
              <c:numCache>
                <c:formatCode>General</c:formatCode>
                <c:ptCount val="5"/>
                <c:pt idx="0">
                  <c:v>6861</c:v>
                </c:pt>
                <c:pt idx="1">
                  <c:v>6671</c:v>
                </c:pt>
                <c:pt idx="2">
                  <c:v>6545</c:v>
                </c:pt>
                <c:pt idx="3">
                  <c:v>6262</c:v>
                </c:pt>
                <c:pt idx="4">
                  <c:v>6137</c:v>
                </c:pt>
              </c:numCache>
            </c:numRef>
          </c:val>
          <c:extLst>
            <c:ext xmlns:c16="http://schemas.microsoft.com/office/drawing/2014/chart" uri="{C3380CC4-5D6E-409C-BE32-E72D297353CC}">
              <c16:uniqueId val="{00000000-1367-4E07-AB8E-D1B9542BDC9B}"/>
            </c:ext>
          </c:extLst>
        </c:ser>
        <c:dLbls>
          <c:showLegendKey val="0"/>
          <c:showVal val="0"/>
          <c:showCatName val="0"/>
          <c:showSerName val="0"/>
          <c:showPercent val="0"/>
          <c:showBubbleSize val="0"/>
        </c:dLbls>
        <c:gapWidth val="50"/>
        <c:axId val="2049011056"/>
        <c:axId val="2049014384"/>
      </c:barChart>
      <c:catAx>
        <c:axId val="2049011056"/>
        <c:scaling>
          <c:orientation val="maxMin"/>
        </c:scaling>
        <c:delete val="0"/>
        <c:axPos val="l"/>
        <c:numFmt formatCode="General" sourceLinked="1"/>
        <c:majorTickMark val="none"/>
        <c:minorTickMark val="none"/>
        <c:tickLblPos val="nextTo"/>
        <c:spPr>
          <a:noFill/>
          <a:ln w="12700" cap="flat" cmpd="sng" algn="ctr">
            <a:solidFill>
              <a:schemeClr val="bg1">
                <a:lumMod val="95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2049014384"/>
        <c:crosses val="autoZero"/>
        <c:auto val="1"/>
        <c:lblAlgn val="ctr"/>
        <c:lblOffset val="100"/>
        <c:noMultiLvlLbl val="0"/>
      </c:catAx>
      <c:valAx>
        <c:axId val="2049014384"/>
        <c:scaling>
          <c:orientation val="minMax"/>
        </c:scaling>
        <c:delete val="1"/>
        <c:axPos val="t"/>
        <c:numFmt formatCode="General" sourceLinked="1"/>
        <c:majorTickMark val="none"/>
        <c:minorTickMark val="none"/>
        <c:tickLblPos val="nextTo"/>
        <c:crossAx val="2049011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155067155067152E-2"/>
          <c:y val="7.7355836849507739E-2"/>
          <c:w val="0.42985965683810801"/>
          <c:h val="0.84528832630098449"/>
        </c:manualLayout>
      </c:layout>
      <c:barChart>
        <c:barDir val="bar"/>
        <c:grouping val="clustered"/>
        <c:varyColors val="0"/>
        <c:ser>
          <c:idx val="1"/>
          <c:order val="0"/>
          <c:spPr>
            <a:solidFill>
              <a:schemeClr val="accent1">
                <a:lumMod val="40000"/>
                <a:lumOff val="60000"/>
              </a:schemeClr>
            </a:solidFill>
            <a:ln>
              <a:noFill/>
            </a:ln>
            <a:effectLst/>
          </c:spPr>
          <c:invertIfNegative val="0"/>
          <c:dLbls>
            <c:dLbl>
              <c:idx val="0"/>
              <c:tx>
                <c:rich>
                  <a:bodyPr/>
                  <a:lstStyle/>
                  <a:p>
                    <a:fld id="{D23E7D74-8FF8-4CD3-A2E2-0375B41AB7C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B00-4671-B1F9-B36D60B31A73}"/>
                </c:ext>
              </c:extLst>
            </c:dLbl>
            <c:dLbl>
              <c:idx val="1"/>
              <c:tx>
                <c:rich>
                  <a:bodyPr/>
                  <a:lstStyle/>
                  <a:p>
                    <a:fld id="{48DF79F5-2BE5-49BE-A8AC-2A42618069A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B00-4671-B1F9-B36D60B31A73}"/>
                </c:ext>
              </c:extLst>
            </c:dLbl>
            <c:dLbl>
              <c:idx val="2"/>
              <c:tx>
                <c:rich>
                  <a:bodyPr/>
                  <a:lstStyle/>
                  <a:p>
                    <a:fld id="{C86A9D2D-11D7-48FA-AAB4-F1E518ACE35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B00-4671-B1F9-B36D60B31A73}"/>
                </c:ext>
              </c:extLst>
            </c:dLbl>
            <c:dLbl>
              <c:idx val="3"/>
              <c:tx>
                <c:rich>
                  <a:bodyPr/>
                  <a:lstStyle/>
                  <a:p>
                    <a:fld id="{470643ED-6C3A-4128-BEB4-75B79FE3344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B00-4671-B1F9-B36D60B31A73}"/>
                </c:ext>
              </c:extLst>
            </c:dLbl>
            <c:dLbl>
              <c:idx val="4"/>
              <c:tx>
                <c:rich>
                  <a:bodyPr/>
                  <a:lstStyle/>
                  <a:p>
                    <a:fld id="{4AE01493-04A8-453A-9E8D-733604495AF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B00-4671-B1F9-B36D60B31A73}"/>
                </c:ext>
              </c:extLst>
            </c:dLbl>
            <c:dLbl>
              <c:idx val="5"/>
              <c:tx>
                <c:rich>
                  <a:bodyPr/>
                  <a:lstStyle/>
                  <a:p>
                    <a:fld id="{AA928527-8882-4752-BB23-AA33C6CC1F4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B00-4671-B1F9-B36D60B31A73}"/>
                </c:ext>
              </c:extLst>
            </c:dLbl>
            <c:dLbl>
              <c:idx val="6"/>
              <c:tx>
                <c:rich>
                  <a:bodyPr/>
                  <a:lstStyle/>
                  <a:p>
                    <a:fld id="{0B11C399-6C92-4BB5-B47B-02429CEB4CD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B00-4671-B1F9-B36D60B31A73}"/>
                </c:ext>
              </c:extLst>
            </c:dLbl>
            <c:dLbl>
              <c:idx val="7"/>
              <c:tx>
                <c:rich>
                  <a:bodyPr/>
                  <a:lstStyle/>
                  <a:p>
                    <a:fld id="{C65DFA1C-BEBC-46A1-9AEA-888B9DCC3E8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8B00-4671-B1F9-B36D60B31A73}"/>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3'!$BV$19:$BV$26</c:f>
              <c:strCache>
                <c:ptCount val="8"/>
                <c:pt idx="0">
                  <c:v>Soft Drink</c:v>
                </c:pt>
                <c:pt idx="1">
                  <c:v>Sports Drink</c:v>
                </c:pt>
                <c:pt idx="2">
                  <c:v>Tea</c:v>
                </c:pt>
                <c:pt idx="3">
                  <c:v>Water</c:v>
                </c:pt>
                <c:pt idx="4">
                  <c:v>Energy Drink</c:v>
                </c:pt>
                <c:pt idx="5">
                  <c:v>Coffee</c:v>
                </c:pt>
                <c:pt idx="6">
                  <c:v>Alcoholic Beverage</c:v>
                </c:pt>
                <c:pt idx="7">
                  <c:v>Juice</c:v>
                </c:pt>
              </c:strCache>
            </c:strRef>
          </c:cat>
          <c:val>
            <c:numRef>
              <c:f>'Analysis 3'!$BX$19:$BX$26</c:f>
              <c:numCache>
                <c:formatCode>General</c:formatCode>
                <c:ptCount val="8"/>
                <c:pt idx="0">
                  <c:v>1000000</c:v>
                </c:pt>
                <c:pt idx="1">
                  <c:v>1000000</c:v>
                </c:pt>
                <c:pt idx="2">
                  <c:v>1000000</c:v>
                </c:pt>
                <c:pt idx="3">
                  <c:v>1000000</c:v>
                </c:pt>
                <c:pt idx="4">
                  <c:v>1000000</c:v>
                </c:pt>
                <c:pt idx="5">
                  <c:v>1000000</c:v>
                </c:pt>
                <c:pt idx="6">
                  <c:v>1000000</c:v>
                </c:pt>
                <c:pt idx="7">
                  <c:v>1000000</c:v>
                </c:pt>
              </c:numCache>
            </c:numRef>
          </c:val>
          <c:extLst>
            <c:ext xmlns:c15="http://schemas.microsoft.com/office/drawing/2012/chart" uri="{02D57815-91ED-43cb-92C2-25804820EDAC}">
              <c15:datalabelsRange>
                <c15:f>'Analysis 3'!$BV$19:$BV$26</c15:f>
                <c15:dlblRangeCache>
                  <c:ptCount val="8"/>
                  <c:pt idx="0">
                    <c:v>Soft Drink</c:v>
                  </c:pt>
                  <c:pt idx="1">
                    <c:v>Sports Drink</c:v>
                  </c:pt>
                  <c:pt idx="2">
                    <c:v>Tea</c:v>
                  </c:pt>
                  <c:pt idx="3">
                    <c:v>Water</c:v>
                  </c:pt>
                  <c:pt idx="4">
                    <c:v>Energy Drink</c:v>
                  </c:pt>
                  <c:pt idx="5">
                    <c:v>Coffee</c:v>
                  </c:pt>
                  <c:pt idx="6">
                    <c:v>Alcoholic Beverage</c:v>
                  </c:pt>
                  <c:pt idx="7">
                    <c:v>Juice</c:v>
                  </c:pt>
                </c15:dlblRangeCache>
              </c15:datalabelsRange>
            </c:ext>
            <c:ext xmlns:c16="http://schemas.microsoft.com/office/drawing/2014/chart" uri="{C3380CC4-5D6E-409C-BE32-E72D297353CC}">
              <c16:uniqueId val="{00000001-8B00-4671-B1F9-B36D60B31A73}"/>
            </c:ext>
          </c:extLst>
        </c:ser>
        <c:ser>
          <c:idx val="0"/>
          <c:order val="1"/>
          <c:spPr>
            <a:solidFill>
              <a:srgbClr val="4BD0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3'!$BV$19:$BV$26</c:f>
              <c:strCache>
                <c:ptCount val="8"/>
                <c:pt idx="0">
                  <c:v>Soft Drink</c:v>
                </c:pt>
                <c:pt idx="1">
                  <c:v>Sports Drink</c:v>
                </c:pt>
                <c:pt idx="2">
                  <c:v>Tea</c:v>
                </c:pt>
                <c:pt idx="3">
                  <c:v>Water</c:v>
                </c:pt>
                <c:pt idx="4">
                  <c:v>Energy Drink</c:v>
                </c:pt>
                <c:pt idx="5">
                  <c:v>Coffee</c:v>
                </c:pt>
                <c:pt idx="6">
                  <c:v>Alcoholic Beverage</c:v>
                </c:pt>
                <c:pt idx="7">
                  <c:v>Juice</c:v>
                </c:pt>
              </c:strCache>
            </c:strRef>
          </c:cat>
          <c:val>
            <c:numRef>
              <c:f>'Analysis 3'!$BW$19:$BW$26</c:f>
              <c:numCache>
                <c:formatCode>[&lt;999999]"$"#," K";[&lt;999999999]"$"#,," M";#,000" B"</c:formatCode>
                <c:ptCount val="8"/>
                <c:pt idx="0">
                  <c:v>718216.26999999932</c:v>
                </c:pt>
                <c:pt idx="1">
                  <c:v>417457.830000002</c:v>
                </c:pt>
                <c:pt idx="2">
                  <c:v>367414.25000000041</c:v>
                </c:pt>
                <c:pt idx="3">
                  <c:v>339210.4900000029</c:v>
                </c:pt>
                <c:pt idx="4">
                  <c:v>174072.76000000047</c:v>
                </c:pt>
                <c:pt idx="5">
                  <c:v>142236.05999999959</c:v>
                </c:pt>
                <c:pt idx="6">
                  <c:v>86449.160000000265</c:v>
                </c:pt>
                <c:pt idx="7">
                  <c:v>52455.239999999583</c:v>
                </c:pt>
              </c:numCache>
            </c:numRef>
          </c:val>
          <c:extLst>
            <c:ext xmlns:c16="http://schemas.microsoft.com/office/drawing/2014/chart" uri="{C3380CC4-5D6E-409C-BE32-E72D297353CC}">
              <c16:uniqueId val="{00000000-8B00-4671-B1F9-B36D60B31A73}"/>
            </c:ext>
          </c:extLst>
        </c:ser>
        <c:dLbls>
          <c:showLegendKey val="0"/>
          <c:showVal val="0"/>
          <c:showCatName val="0"/>
          <c:showSerName val="0"/>
          <c:showPercent val="0"/>
          <c:showBubbleSize val="0"/>
        </c:dLbls>
        <c:gapWidth val="16"/>
        <c:overlap val="100"/>
        <c:axId val="315264544"/>
        <c:axId val="315266208"/>
      </c:barChart>
      <c:catAx>
        <c:axId val="315264544"/>
        <c:scaling>
          <c:orientation val="maxMin"/>
        </c:scaling>
        <c:delete val="1"/>
        <c:axPos val="l"/>
        <c:numFmt formatCode="General" sourceLinked="1"/>
        <c:majorTickMark val="none"/>
        <c:minorTickMark val="none"/>
        <c:tickLblPos val="nextTo"/>
        <c:crossAx val="315266208"/>
        <c:crosses val="autoZero"/>
        <c:auto val="1"/>
        <c:lblAlgn val="ctr"/>
        <c:lblOffset val="100"/>
        <c:noMultiLvlLbl val="0"/>
      </c:catAx>
      <c:valAx>
        <c:axId val="315266208"/>
        <c:scaling>
          <c:orientation val="minMax"/>
        </c:scaling>
        <c:delete val="1"/>
        <c:axPos val="t"/>
        <c:numFmt formatCode="General" sourceLinked="1"/>
        <c:majorTickMark val="none"/>
        <c:minorTickMark val="none"/>
        <c:tickLblPos val="nextTo"/>
        <c:crossAx val="3152645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 3'!$H$4"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Drop" dropStyle="combo" dx="26" fmlaLink="'Analysis 3'!$H$5" fmlaRange="'Analysis 3'!$K$4:$K$5" noThreeD="1" sel="2" val="0"/>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firstButton="1" fmlaLink="'Analysis 3'!$BM$3" lockText="1" noThreeD="1"/>
</file>

<file path=xl/ctrlProps/ctrlProp6.xml><?xml version="1.0" encoding="utf-8"?>
<formControlPr xmlns="http://schemas.microsoft.com/office/spreadsheetml/2009/9/main" objectType="Radio" checked="Checked" lockText="1" noThreeD="1"/>
</file>

<file path=xl/ctrlProps/ctrlProp7.xml><?xml version="1.0" encoding="utf-8"?>
<formControlPr xmlns="http://schemas.microsoft.com/office/spreadsheetml/2009/9/main" objectType="Spin" dx="26" fmlaLink="$N$13" max="100" min="1" page="10"/>
</file>

<file path=xl/drawings/_rels/drawing1.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hyperlink" Target="#'Time Frame'!A1"/><Relationship Id="rId7" Type="http://schemas.openxmlformats.org/officeDocument/2006/relationships/chart" Target="../charts/chart2.xml"/><Relationship Id="rId2" Type="http://schemas.openxmlformats.org/officeDocument/2006/relationships/hyperlink" Target="#'Profit View'!A1"/><Relationship Id="rId1" Type="http://schemas.openxmlformats.org/officeDocument/2006/relationships/hyperlink" Target="#Store!A1"/><Relationship Id="rId6" Type="http://schemas.openxmlformats.org/officeDocument/2006/relationships/image" Target="../media/image2.emf"/><Relationship Id="rId5" Type="http://schemas.openxmlformats.org/officeDocument/2006/relationships/image" Target="../media/image1.emf"/><Relationship Id="rId10" Type="http://schemas.openxmlformats.org/officeDocument/2006/relationships/chart" Target="../charts/chart4.xml"/><Relationship Id="rId4" Type="http://schemas.openxmlformats.org/officeDocument/2006/relationships/chart" Target="../charts/chart1.xml"/><Relationship Id="rId9" Type="http://schemas.openxmlformats.org/officeDocument/2006/relationships/chart" Target="../charts/chart3.xml"/></Relationships>
</file>

<file path=xl/drawings/_rels/drawing2.xml.rels><?xml version="1.0" encoding="UTF-8" standalone="yes"?>
<Relationships xmlns="http://schemas.openxmlformats.org/package/2006/relationships"><Relationship Id="rId3" Type="http://schemas.openxmlformats.org/officeDocument/2006/relationships/hyperlink" Target="#'Time Frame'!A1"/><Relationship Id="rId2" Type="http://schemas.openxmlformats.org/officeDocument/2006/relationships/hyperlink" Target="#'Profit View'!A1"/><Relationship Id="rId1" Type="http://schemas.openxmlformats.org/officeDocument/2006/relationships/hyperlink" Target="#Store!A1"/><Relationship Id="rId6" Type="http://schemas.openxmlformats.org/officeDocument/2006/relationships/image" Target="../media/image8.emf"/><Relationship Id="rId5" Type="http://schemas.openxmlformats.org/officeDocument/2006/relationships/image" Target="../media/image7.png"/><Relationship Id="rId4" Type="http://schemas.microsoft.com/office/2011/relationships/webextension" Target="../webextensions/webextension1.xml"/></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5.png"/><Relationship Id="rId18" Type="http://schemas.openxmlformats.org/officeDocument/2006/relationships/chart" Target="../charts/chart9.xml"/><Relationship Id="rId3" Type="http://schemas.openxmlformats.org/officeDocument/2006/relationships/hyperlink" Target="#'Time Frame'!A1"/><Relationship Id="rId7" Type="http://schemas.openxmlformats.org/officeDocument/2006/relationships/chart" Target="../charts/chart7.xml"/><Relationship Id="rId12" Type="http://schemas.openxmlformats.org/officeDocument/2006/relationships/image" Target="../media/image14.svg"/><Relationship Id="rId17" Type="http://schemas.openxmlformats.org/officeDocument/2006/relationships/hyperlink" Target="#'Product Details'!A1"/><Relationship Id="rId2" Type="http://schemas.openxmlformats.org/officeDocument/2006/relationships/hyperlink" Target="#'Profit View'!A1"/><Relationship Id="rId16" Type="http://schemas.openxmlformats.org/officeDocument/2006/relationships/image" Target="../media/image18.svg"/><Relationship Id="rId1" Type="http://schemas.openxmlformats.org/officeDocument/2006/relationships/hyperlink" Target="#Store!A1"/><Relationship Id="rId6" Type="http://schemas.openxmlformats.org/officeDocument/2006/relationships/image" Target="../media/image10.emf"/><Relationship Id="rId11" Type="http://schemas.openxmlformats.org/officeDocument/2006/relationships/image" Target="../media/image13.png"/><Relationship Id="rId5" Type="http://schemas.openxmlformats.org/officeDocument/2006/relationships/chart" Target="../charts/chart6.xml"/><Relationship Id="rId15" Type="http://schemas.openxmlformats.org/officeDocument/2006/relationships/image" Target="../media/image17.png"/><Relationship Id="rId10" Type="http://schemas.openxmlformats.org/officeDocument/2006/relationships/image" Target="../media/image12.svg"/><Relationship Id="rId19" Type="http://schemas.openxmlformats.org/officeDocument/2006/relationships/chart" Target="../charts/chart10.xml"/><Relationship Id="rId4" Type="http://schemas.openxmlformats.org/officeDocument/2006/relationships/chart" Target="../charts/chart5.xml"/><Relationship Id="rId9" Type="http://schemas.openxmlformats.org/officeDocument/2006/relationships/image" Target="../media/image11.png"/><Relationship Id="rId14" Type="http://schemas.openxmlformats.org/officeDocument/2006/relationships/image" Target="../media/image16.svg"/></Relationships>
</file>

<file path=xl/drawings/_rels/drawing4.xml.rels><?xml version="1.0" encoding="UTF-8" standalone="yes"?>
<Relationships xmlns="http://schemas.openxmlformats.org/package/2006/relationships"><Relationship Id="rId3" Type="http://schemas.openxmlformats.org/officeDocument/2006/relationships/hyperlink" Target="#'Time Frame'!A1"/><Relationship Id="rId2" Type="http://schemas.openxmlformats.org/officeDocument/2006/relationships/hyperlink" Target="#'Profit View'!A1"/><Relationship Id="rId1" Type="http://schemas.openxmlformats.org/officeDocument/2006/relationships/hyperlink" Target="#Store!A1"/></Relationships>
</file>

<file path=xl/drawings/_rels/vmlDrawing1.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xdr:twoCellAnchor>
    <xdr:from>
      <xdr:col>0</xdr:col>
      <xdr:colOff>365760</xdr:colOff>
      <xdr:row>6</xdr:row>
      <xdr:rowOff>121920</xdr:rowOff>
    </xdr:from>
    <xdr:to>
      <xdr:col>4</xdr:col>
      <xdr:colOff>487680</xdr:colOff>
      <xdr:row>24</xdr:row>
      <xdr:rowOff>137160</xdr:rowOff>
    </xdr:to>
    <xdr:sp macro="" textlink="">
      <xdr:nvSpPr>
        <xdr:cNvPr id="2" name="Rectangle: Diagonal Corners Rounded 1">
          <a:extLst>
            <a:ext uri="{FF2B5EF4-FFF2-40B4-BE49-F238E27FC236}">
              <a16:creationId xmlns:a16="http://schemas.microsoft.com/office/drawing/2014/main" id="{00000000-0008-0000-0500-000002000000}"/>
            </a:ext>
          </a:extLst>
        </xdr:cNvPr>
        <xdr:cNvSpPr/>
      </xdr:nvSpPr>
      <xdr:spPr>
        <a:xfrm>
          <a:off x="365760" y="1219200"/>
          <a:ext cx="2560320" cy="3307080"/>
        </a:xfrm>
        <a:prstGeom prst="round2DiagRect">
          <a:avLst>
            <a:gd name="adj1" fmla="val 7530"/>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228600</xdr:colOff>
      <xdr:row>0</xdr:row>
      <xdr:rowOff>0</xdr:rowOff>
    </xdr:from>
    <xdr:to>
      <xdr:col>28</xdr:col>
      <xdr:colOff>53340</xdr:colOff>
      <xdr:row>48</xdr:row>
      <xdr:rowOff>167640</xdr:rowOff>
    </xdr:to>
    <xdr:sp macro="" textlink="">
      <xdr:nvSpPr>
        <xdr:cNvPr id="4" name="Moon 3">
          <a:extLst>
            <a:ext uri="{FF2B5EF4-FFF2-40B4-BE49-F238E27FC236}">
              <a16:creationId xmlns:a16="http://schemas.microsoft.com/office/drawing/2014/main" id="{00000000-0008-0000-0500-000004000000}"/>
            </a:ext>
          </a:extLst>
        </xdr:cNvPr>
        <xdr:cNvSpPr/>
      </xdr:nvSpPr>
      <xdr:spPr>
        <a:xfrm flipH="1">
          <a:off x="11201400" y="0"/>
          <a:ext cx="5920740" cy="8945880"/>
        </a:xfrm>
        <a:prstGeom prst="moon">
          <a:avLst>
            <a:gd name="adj" fmla="val 62246"/>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175260</xdr:colOff>
      <xdr:row>0</xdr:row>
      <xdr:rowOff>0</xdr:rowOff>
    </xdr:from>
    <xdr:to>
      <xdr:col>22</xdr:col>
      <xdr:colOff>137160</xdr:colOff>
      <xdr:row>2</xdr:row>
      <xdr:rowOff>15240</xdr:rowOff>
    </xdr:to>
    <xdr:sp macro="" textlink="">
      <xdr:nvSpPr>
        <xdr:cNvPr id="5" name="Rectangle 4">
          <a:extLst>
            <a:ext uri="{FF2B5EF4-FFF2-40B4-BE49-F238E27FC236}">
              <a16:creationId xmlns:a16="http://schemas.microsoft.com/office/drawing/2014/main" id="{00000000-0008-0000-0500-000005000000}"/>
            </a:ext>
          </a:extLst>
        </xdr:cNvPr>
        <xdr:cNvSpPr/>
      </xdr:nvSpPr>
      <xdr:spPr>
        <a:xfrm>
          <a:off x="11757660" y="0"/>
          <a:ext cx="1790700" cy="381000"/>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426720</xdr:colOff>
      <xdr:row>0</xdr:row>
      <xdr:rowOff>0</xdr:rowOff>
    </xdr:from>
    <xdr:to>
      <xdr:col>26</xdr:col>
      <xdr:colOff>396240</xdr:colOff>
      <xdr:row>9</xdr:row>
      <xdr:rowOff>106680</xdr:rowOff>
    </xdr:to>
    <xdr:sp macro="" textlink="">
      <xdr:nvSpPr>
        <xdr:cNvPr id="6" name="Rectangle 5">
          <a:extLst>
            <a:ext uri="{FF2B5EF4-FFF2-40B4-BE49-F238E27FC236}">
              <a16:creationId xmlns:a16="http://schemas.microsoft.com/office/drawing/2014/main" id="{00000000-0008-0000-0500-000006000000}"/>
            </a:ext>
          </a:extLst>
        </xdr:cNvPr>
        <xdr:cNvSpPr/>
      </xdr:nvSpPr>
      <xdr:spPr>
        <a:xfrm>
          <a:off x="13228320" y="0"/>
          <a:ext cx="3017520" cy="1752600"/>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297180</xdr:colOff>
      <xdr:row>0</xdr:row>
      <xdr:rowOff>0</xdr:rowOff>
    </xdr:from>
    <xdr:to>
      <xdr:col>28</xdr:col>
      <xdr:colOff>121920</xdr:colOff>
      <xdr:row>48</xdr:row>
      <xdr:rowOff>167640</xdr:rowOff>
    </xdr:to>
    <xdr:sp macro="" textlink="">
      <xdr:nvSpPr>
        <xdr:cNvPr id="7" name="Moon 6">
          <a:extLst>
            <a:ext uri="{FF2B5EF4-FFF2-40B4-BE49-F238E27FC236}">
              <a16:creationId xmlns:a16="http://schemas.microsoft.com/office/drawing/2014/main" id="{00000000-0008-0000-0500-000007000000}"/>
            </a:ext>
          </a:extLst>
        </xdr:cNvPr>
        <xdr:cNvSpPr/>
      </xdr:nvSpPr>
      <xdr:spPr>
        <a:xfrm flipH="1">
          <a:off x="11269980" y="0"/>
          <a:ext cx="5920740" cy="8945880"/>
        </a:xfrm>
        <a:prstGeom prst="moon">
          <a:avLst>
            <a:gd name="adj" fmla="val 62246"/>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533400</xdr:colOff>
      <xdr:row>1</xdr:row>
      <xdr:rowOff>175260</xdr:rowOff>
    </xdr:from>
    <xdr:to>
      <xdr:col>18</xdr:col>
      <xdr:colOff>411480</xdr:colOff>
      <xdr:row>5</xdr:row>
      <xdr:rowOff>60960</xdr:rowOff>
    </xdr:to>
    <xdr:sp macro="" textlink="">
      <xdr:nvSpPr>
        <xdr:cNvPr id="9" name="Rectangle 8">
          <a:extLst>
            <a:ext uri="{FF2B5EF4-FFF2-40B4-BE49-F238E27FC236}">
              <a16:creationId xmlns:a16="http://schemas.microsoft.com/office/drawing/2014/main" id="{00000000-0008-0000-0500-000009000000}"/>
            </a:ext>
          </a:extLst>
        </xdr:cNvPr>
        <xdr:cNvSpPr/>
      </xdr:nvSpPr>
      <xdr:spPr>
        <a:xfrm>
          <a:off x="533400" y="358140"/>
          <a:ext cx="10850880" cy="617220"/>
        </a:xfrm>
        <a:prstGeom prst="rect">
          <a:avLst/>
        </a:prstGeom>
        <a:gradFill flip="none" rotWithShape="1">
          <a:gsLst>
            <a:gs pos="0">
              <a:schemeClr val="bg1">
                <a:lumMod val="95000"/>
              </a:schemeClr>
            </a:gs>
            <a:gs pos="50000">
              <a:schemeClr val="bg1">
                <a:lumMod val="95000"/>
                <a:lumOff val="5000"/>
              </a:schemeClr>
            </a:gs>
            <a:gs pos="100000">
              <a:schemeClr val="bg1">
                <a:lumMod val="95000"/>
              </a:schemeClr>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304800</xdr:colOff>
      <xdr:row>2</xdr:row>
      <xdr:rowOff>30480</xdr:rowOff>
    </xdr:from>
    <xdr:to>
      <xdr:col>6</xdr:col>
      <xdr:colOff>594360</xdr:colOff>
      <xdr:row>5</xdr:row>
      <xdr:rowOff>22860</xdr:rowOff>
    </xdr:to>
    <xdr:sp macro="" textlink="">
      <xdr:nvSpPr>
        <xdr:cNvPr id="18" name="TextBox 17">
          <a:extLst>
            <a:ext uri="{FF2B5EF4-FFF2-40B4-BE49-F238E27FC236}">
              <a16:creationId xmlns:a16="http://schemas.microsoft.com/office/drawing/2014/main" id="{00000000-0008-0000-0500-000012000000}"/>
            </a:ext>
          </a:extLst>
        </xdr:cNvPr>
        <xdr:cNvSpPr txBox="1"/>
      </xdr:nvSpPr>
      <xdr:spPr>
        <a:xfrm>
          <a:off x="304800" y="396240"/>
          <a:ext cx="3947160" cy="541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4000">
              <a:gradFill>
                <a:gsLst>
                  <a:gs pos="0">
                    <a:srgbClr val="7030A0"/>
                  </a:gs>
                  <a:gs pos="100000">
                    <a:schemeClr val="tx1">
                      <a:lumMod val="50000"/>
                      <a:lumOff val="50000"/>
                    </a:schemeClr>
                  </a:gs>
                </a:gsLst>
                <a:lin ang="10800000" scaled="1"/>
              </a:gradFill>
            </a:rPr>
            <a:t>Sales Dashboard </a:t>
          </a:r>
        </a:p>
      </xdr:txBody>
    </xdr:sp>
    <xdr:clientData/>
  </xdr:twoCellAnchor>
  <xdr:twoCellAnchor>
    <xdr:from>
      <xdr:col>7</xdr:col>
      <xdr:colOff>182880</xdr:colOff>
      <xdr:row>2</xdr:row>
      <xdr:rowOff>118110</xdr:rowOff>
    </xdr:from>
    <xdr:to>
      <xdr:col>9</xdr:col>
      <xdr:colOff>144780</xdr:colOff>
      <xdr:row>4</xdr:row>
      <xdr:rowOff>118110</xdr:rowOff>
    </xdr:to>
    <xdr:sp macro="" textlink="">
      <xdr:nvSpPr>
        <xdr:cNvPr id="19" name="Rectangle: Diagonal Corners Rounded 18">
          <a:extLst>
            <a:ext uri="{FF2B5EF4-FFF2-40B4-BE49-F238E27FC236}">
              <a16:creationId xmlns:a16="http://schemas.microsoft.com/office/drawing/2014/main" id="{00000000-0008-0000-0500-000013000000}"/>
            </a:ext>
          </a:extLst>
        </xdr:cNvPr>
        <xdr:cNvSpPr/>
      </xdr:nvSpPr>
      <xdr:spPr>
        <a:xfrm flipH="1">
          <a:off x="4450080" y="483870"/>
          <a:ext cx="1181100" cy="365760"/>
        </a:xfrm>
        <a:prstGeom prst="round2Diag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9</xdr:col>
      <xdr:colOff>381000</xdr:colOff>
      <xdr:row>2</xdr:row>
      <xdr:rowOff>118110</xdr:rowOff>
    </xdr:from>
    <xdr:to>
      <xdr:col>11</xdr:col>
      <xdr:colOff>342900</xdr:colOff>
      <xdr:row>4</xdr:row>
      <xdr:rowOff>118110</xdr:rowOff>
    </xdr:to>
    <xdr:sp macro="" textlink="">
      <xdr:nvSpPr>
        <xdr:cNvPr id="20" name="Rectangle: Diagonal Corners Rounded 19">
          <a:extLst>
            <a:ext uri="{FF2B5EF4-FFF2-40B4-BE49-F238E27FC236}">
              <a16:creationId xmlns:a16="http://schemas.microsoft.com/office/drawing/2014/main" id="{00000000-0008-0000-0500-000014000000}"/>
            </a:ext>
          </a:extLst>
        </xdr:cNvPr>
        <xdr:cNvSpPr/>
      </xdr:nvSpPr>
      <xdr:spPr>
        <a:xfrm flipH="1">
          <a:off x="5867400" y="483870"/>
          <a:ext cx="1181100" cy="365760"/>
        </a:xfrm>
        <a:prstGeom prst="round2DiagRect">
          <a:avLst/>
        </a:prstGeom>
        <a:solidFill>
          <a:schemeClr val="bg1">
            <a:lumMod val="85000"/>
            <a:alpha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11</xdr:col>
      <xdr:colOff>579120</xdr:colOff>
      <xdr:row>2</xdr:row>
      <xdr:rowOff>118110</xdr:rowOff>
    </xdr:from>
    <xdr:to>
      <xdr:col>13</xdr:col>
      <xdr:colOff>541020</xdr:colOff>
      <xdr:row>4</xdr:row>
      <xdr:rowOff>118110</xdr:rowOff>
    </xdr:to>
    <xdr:sp macro="" textlink="">
      <xdr:nvSpPr>
        <xdr:cNvPr id="21" name="Rectangle: Diagonal Corners Rounded 20">
          <a:extLst>
            <a:ext uri="{FF2B5EF4-FFF2-40B4-BE49-F238E27FC236}">
              <a16:creationId xmlns:a16="http://schemas.microsoft.com/office/drawing/2014/main" id="{00000000-0008-0000-0500-000015000000}"/>
            </a:ext>
          </a:extLst>
        </xdr:cNvPr>
        <xdr:cNvSpPr/>
      </xdr:nvSpPr>
      <xdr:spPr>
        <a:xfrm flipH="1">
          <a:off x="7284720" y="483870"/>
          <a:ext cx="1181100" cy="365760"/>
        </a:xfrm>
        <a:prstGeom prst="round2DiagRect">
          <a:avLst/>
        </a:prstGeom>
        <a:solidFill>
          <a:schemeClr val="bg1">
            <a:lumMod val="85000"/>
            <a:alpha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30480</xdr:colOff>
      <xdr:row>2</xdr:row>
      <xdr:rowOff>45720</xdr:rowOff>
    </xdr:from>
    <xdr:to>
      <xdr:col>19</xdr:col>
      <xdr:colOff>297180</xdr:colOff>
      <xdr:row>5</xdr:row>
      <xdr:rowOff>38100</xdr:rowOff>
    </xdr:to>
    <xdr:sp macro="" textlink="">
      <xdr:nvSpPr>
        <xdr:cNvPr id="22" name="TextBox 21">
          <a:extLst>
            <a:ext uri="{FF2B5EF4-FFF2-40B4-BE49-F238E27FC236}">
              <a16:creationId xmlns:a16="http://schemas.microsoft.com/office/drawing/2014/main" id="{00000000-0008-0000-0500-000016000000}"/>
            </a:ext>
          </a:extLst>
        </xdr:cNvPr>
        <xdr:cNvSpPr txBox="1"/>
      </xdr:nvSpPr>
      <xdr:spPr>
        <a:xfrm>
          <a:off x="9174480" y="411480"/>
          <a:ext cx="2705100" cy="541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600">
              <a:gradFill>
                <a:gsLst>
                  <a:gs pos="0">
                    <a:srgbClr val="7030A0"/>
                  </a:gs>
                  <a:gs pos="100000">
                    <a:schemeClr val="tx1">
                      <a:lumMod val="50000"/>
                      <a:lumOff val="50000"/>
                    </a:schemeClr>
                  </a:gs>
                </a:gsLst>
                <a:lin ang="10800000" scaled="1"/>
              </a:gradFill>
            </a:rPr>
            <a:t>Monthly Budget Vs</a:t>
          </a:r>
          <a:r>
            <a:rPr lang="en-US" sz="1600" baseline="0">
              <a:gradFill>
                <a:gsLst>
                  <a:gs pos="0">
                    <a:srgbClr val="7030A0"/>
                  </a:gs>
                  <a:gs pos="100000">
                    <a:schemeClr val="tx1">
                      <a:lumMod val="50000"/>
                      <a:lumOff val="50000"/>
                    </a:schemeClr>
                  </a:gs>
                </a:gsLst>
                <a:lin ang="10800000" scaled="1"/>
              </a:gradFill>
            </a:rPr>
            <a:t> Revenue</a:t>
          </a:r>
          <a:endParaRPr lang="en-US" sz="1600">
            <a:gradFill>
              <a:gsLst>
                <a:gs pos="0">
                  <a:srgbClr val="7030A0"/>
                </a:gs>
                <a:gs pos="100000">
                  <a:schemeClr val="tx1">
                    <a:lumMod val="50000"/>
                    <a:lumOff val="50000"/>
                  </a:schemeClr>
                </a:gs>
              </a:gsLst>
              <a:lin ang="10800000" scaled="1"/>
            </a:gradFill>
          </a:endParaRPr>
        </a:p>
      </xdr:txBody>
    </xdr:sp>
    <xdr:clientData/>
  </xdr:twoCellAnchor>
  <xdr:twoCellAnchor>
    <xdr:from>
      <xdr:col>9</xdr:col>
      <xdr:colOff>556260</xdr:colOff>
      <xdr:row>3</xdr:row>
      <xdr:rowOff>11430</xdr:rowOff>
    </xdr:from>
    <xdr:to>
      <xdr:col>11</xdr:col>
      <xdr:colOff>167640</xdr:colOff>
      <xdr:row>4</xdr:row>
      <xdr:rowOff>49530</xdr:rowOff>
    </xdr:to>
    <xdr:sp macro="" textlink="">
      <xdr:nvSpPr>
        <xdr:cNvPr id="23" name="TextBox 22">
          <a:hlinkClick xmlns:r="http://schemas.openxmlformats.org/officeDocument/2006/relationships" r:id="rId1" tooltip="Store.Page"/>
          <a:extLst>
            <a:ext uri="{FF2B5EF4-FFF2-40B4-BE49-F238E27FC236}">
              <a16:creationId xmlns:a16="http://schemas.microsoft.com/office/drawing/2014/main" id="{00000000-0008-0000-0500-000017000000}"/>
            </a:ext>
          </a:extLst>
        </xdr:cNvPr>
        <xdr:cNvSpPr txBox="1"/>
      </xdr:nvSpPr>
      <xdr:spPr>
        <a:xfrm>
          <a:off x="6042660" y="560070"/>
          <a:ext cx="8305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bg2">
                  <a:lumMod val="25000"/>
                </a:schemeClr>
              </a:solidFill>
              <a:latin typeface="+mn-lt"/>
              <a:ea typeface="+mn-ea"/>
              <a:cs typeface="+mn-cs"/>
            </a:rPr>
            <a:t>Store</a:t>
          </a:r>
        </a:p>
      </xdr:txBody>
    </xdr:sp>
    <xdr:clientData/>
  </xdr:twoCellAnchor>
  <xdr:twoCellAnchor>
    <xdr:from>
      <xdr:col>11</xdr:col>
      <xdr:colOff>594360</xdr:colOff>
      <xdr:row>3</xdr:row>
      <xdr:rowOff>11430</xdr:rowOff>
    </xdr:from>
    <xdr:to>
      <xdr:col>13</xdr:col>
      <xdr:colOff>533400</xdr:colOff>
      <xdr:row>4</xdr:row>
      <xdr:rowOff>49530</xdr:rowOff>
    </xdr:to>
    <xdr:sp macro="" textlink="">
      <xdr:nvSpPr>
        <xdr:cNvPr id="24" name="TextBox 23">
          <a:hlinkClick xmlns:r="http://schemas.openxmlformats.org/officeDocument/2006/relationships" r:id="rId2" tooltip="Profit_View.Page"/>
          <a:extLst>
            <a:ext uri="{FF2B5EF4-FFF2-40B4-BE49-F238E27FC236}">
              <a16:creationId xmlns:a16="http://schemas.microsoft.com/office/drawing/2014/main" id="{00000000-0008-0000-0500-000018000000}"/>
            </a:ext>
          </a:extLst>
        </xdr:cNvPr>
        <xdr:cNvSpPr txBox="1"/>
      </xdr:nvSpPr>
      <xdr:spPr>
        <a:xfrm>
          <a:off x="7299960" y="560070"/>
          <a:ext cx="11582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bg2">
                  <a:lumMod val="25000"/>
                </a:schemeClr>
              </a:solidFill>
            </a:rPr>
            <a:t>Profit View</a:t>
          </a:r>
        </a:p>
      </xdr:txBody>
    </xdr:sp>
    <xdr:clientData/>
  </xdr:twoCellAnchor>
  <xdr:twoCellAnchor>
    <xdr:from>
      <xdr:col>7</xdr:col>
      <xdr:colOff>190500</xdr:colOff>
      <xdr:row>3</xdr:row>
      <xdr:rowOff>11430</xdr:rowOff>
    </xdr:from>
    <xdr:to>
      <xdr:col>9</xdr:col>
      <xdr:colOff>129540</xdr:colOff>
      <xdr:row>4</xdr:row>
      <xdr:rowOff>49530</xdr:rowOff>
    </xdr:to>
    <xdr:sp macro="" textlink="">
      <xdr:nvSpPr>
        <xdr:cNvPr id="25" name="TextBox 24">
          <a:hlinkClick xmlns:r="http://schemas.openxmlformats.org/officeDocument/2006/relationships" r:id="rId3" tooltip="Here"/>
          <a:extLst>
            <a:ext uri="{FF2B5EF4-FFF2-40B4-BE49-F238E27FC236}">
              <a16:creationId xmlns:a16="http://schemas.microsoft.com/office/drawing/2014/main" id="{00000000-0008-0000-0500-000019000000}"/>
            </a:ext>
          </a:extLst>
        </xdr:cNvPr>
        <xdr:cNvSpPr txBox="1"/>
      </xdr:nvSpPr>
      <xdr:spPr>
        <a:xfrm>
          <a:off x="4457700" y="560070"/>
          <a:ext cx="11582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bg1"/>
              </a:solidFill>
              <a:latin typeface="+mn-lt"/>
              <a:ea typeface="+mn-ea"/>
              <a:cs typeface="+mn-cs"/>
            </a:rPr>
            <a:t>Time</a:t>
          </a:r>
          <a:r>
            <a:rPr lang="en-US" sz="1400">
              <a:solidFill>
                <a:schemeClr val="bg2">
                  <a:lumMod val="25000"/>
                </a:schemeClr>
              </a:solidFill>
            </a:rPr>
            <a:t> </a:t>
          </a:r>
          <a:r>
            <a:rPr lang="en-US" sz="1400">
              <a:solidFill>
                <a:schemeClr val="bg1"/>
              </a:solidFill>
              <a:latin typeface="+mn-lt"/>
              <a:ea typeface="+mn-ea"/>
              <a:cs typeface="+mn-cs"/>
            </a:rPr>
            <a:t>Frame</a:t>
          </a:r>
        </a:p>
      </xdr:txBody>
    </xdr:sp>
    <xdr:clientData/>
  </xdr:twoCellAnchor>
  <xdr:twoCellAnchor>
    <xdr:from>
      <xdr:col>0</xdr:col>
      <xdr:colOff>0</xdr:colOff>
      <xdr:row>49</xdr:row>
      <xdr:rowOff>60960</xdr:rowOff>
    </xdr:from>
    <xdr:to>
      <xdr:col>0</xdr:col>
      <xdr:colOff>0</xdr:colOff>
      <xdr:row>52</xdr:row>
      <xdr:rowOff>53340</xdr:rowOff>
    </xdr:to>
    <xdr:sp macro="" textlink="">
      <xdr:nvSpPr>
        <xdr:cNvPr id="27" name="TextBox 26">
          <a:extLst>
            <a:ext uri="{FF2B5EF4-FFF2-40B4-BE49-F238E27FC236}">
              <a16:creationId xmlns:a16="http://schemas.microsoft.com/office/drawing/2014/main" id="{00000000-0008-0000-0500-00001B000000}"/>
            </a:ext>
          </a:extLst>
        </xdr:cNvPr>
        <xdr:cNvSpPr txBox="1"/>
      </xdr:nvSpPr>
      <xdr:spPr>
        <a:xfrm>
          <a:off x="0" y="9022080"/>
          <a:ext cx="0" cy="541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600">
              <a:solidFill>
                <a:schemeClr val="accent1">
                  <a:lumMod val="75000"/>
                </a:schemeClr>
              </a:solidFill>
            </a:rPr>
            <a:t>Store Budget Vs</a:t>
          </a:r>
          <a:r>
            <a:rPr lang="en-US" sz="1600" baseline="0">
              <a:solidFill>
                <a:schemeClr val="accent1">
                  <a:lumMod val="75000"/>
                </a:schemeClr>
              </a:solidFill>
            </a:rPr>
            <a:t> Revenue</a:t>
          </a:r>
          <a:endParaRPr lang="en-US" sz="1600">
            <a:solidFill>
              <a:schemeClr val="accent1">
                <a:lumMod val="75000"/>
              </a:schemeClr>
            </a:solidFill>
          </a:endParaRPr>
        </a:p>
      </xdr:txBody>
    </xdr:sp>
    <xdr:clientData/>
  </xdr:twoCellAnchor>
  <xdr:twoCellAnchor>
    <xdr:from>
      <xdr:col>5</xdr:col>
      <xdr:colOff>129540</xdr:colOff>
      <xdr:row>6</xdr:row>
      <xdr:rowOff>121920</xdr:rowOff>
    </xdr:from>
    <xdr:to>
      <xdr:col>9</xdr:col>
      <xdr:colOff>190500</xdr:colOff>
      <xdr:row>24</xdr:row>
      <xdr:rowOff>137160</xdr:rowOff>
    </xdr:to>
    <xdr:sp macro="" textlink="">
      <xdr:nvSpPr>
        <xdr:cNvPr id="37" name="Rectangle: Diagonal Corners Rounded 36">
          <a:extLst>
            <a:ext uri="{FF2B5EF4-FFF2-40B4-BE49-F238E27FC236}">
              <a16:creationId xmlns:a16="http://schemas.microsoft.com/office/drawing/2014/main" id="{00000000-0008-0000-0500-000025000000}"/>
            </a:ext>
          </a:extLst>
        </xdr:cNvPr>
        <xdr:cNvSpPr/>
      </xdr:nvSpPr>
      <xdr:spPr>
        <a:xfrm>
          <a:off x="3177540" y="1219200"/>
          <a:ext cx="2499360" cy="3307080"/>
        </a:xfrm>
        <a:prstGeom prst="round2DiagRect">
          <a:avLst>
            <a:gd name="adj1" fmla="val 7530"/>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403860</xdr:colOff>
      <xdr:row>6</xdr:row>
      <xdr:rowOff>129540</xdr:rowOff>
    </xdr:from>
    <xdr:to>
      <xdr:col>19</xdr:col>
      <xdr:colOff>449580</xdr:colOff>
      <xdr:row>40</xdr:row>
      <xdr:rowOff>137160</xdr:rowOff>
    </xdr:to>
    <xdr:sp macro="" textlink="">
      <xdr:nvSpPr>
        <xdr:cNvPr id="38" name="Rectangle: Diagonal Corners Rounded 37">
          <a:extLst>
            <a:ext uri="{FF2B5EF4-FFF2-40B4-BE49-F238E27FC236}">
              <a16:creationId xmlns:a16="http://schemas.microsoft.com/office/drawing/2014/main" id="{00000000-0008-0000-0500-000026000000}"/>
            </a:ext>
          </a:extLst>
        </xdr:cNvPr>
        <xdr:cNvSpPr/>
      </xdr:nvSpPr>
      <xdr:spPr>
        <a:xfrm>
          <a:off x="5890260" y="1226820"/>
          <a:ext cx="6141720" cy="6225540"/>
        </a:xfrm>
        <a:prstGeom prst="round2DiagRect">
          <a:avLst>
            <a:gd name="adj1" fmla="val 7530"/>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365760</xdr:colOff>
      <xdr:row>26</xdr:row>
      <xdr:rowOff>60960</xdr:rowOff>
    </xdr:from>
    <xdr:to>
      <xdr:col>9</xdr:col>
      <xdr:colOff>182880</xdr:colOff>
      <xdr:row>40</xdr:row>
      <xdr:rowOff>137160</xdr:rowOff>
    </xdr:to>
    <xdr:sp macro="" textlink="">
      <xdr:nvSpPr>
        <xdr:cNvPr id="39" name="Rectangle: Diagonal Corners Rounded 38">
          <a:extLst>
            <a:ext uri="{FF2B5EF4-FFF2-40B4-BE49-F238E27FC236}">
              <a16:creationId xmlns:a16="http://schemas.microsoft.com/office/drawing/2014/main" id="{00000000-0008-0000-0500-000027000000}"/>
            </a:ext>
          </a:extLst>
        </xdr:cNvPr>
        <xdr:cNvSpPr/>
      </xdr:nvSpPr>
      <xdr:spPr>
        <a:xfrm>
          <a:off x="365760" y="4815840"/>
          <a:ext cx="5303520" cy="2636520"/>
        </a:xfrm>
        <a:prstGeom prst="round2DiagRect">
          <a:avLst>
            <a:gd name="adj1" fmla="val 7530"/>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365760</xdr:colOff>
      <xdr:row>12</xdr:row>
      <xdr:rowOff>167640</xdr:rowOff>
    </xdr:from>
    <xdr:to>
      <xdr:col>4</xdr:col>
      <xdr:colOff>426720</xdr:colOff>
      <xdr:row>22</xdr:row>
      <xdr:rowOff>60960</xdr:rowOff>
    </xdr:to>
    <xdr:graphicFrame macro="">
      <xdr:nvGraphicFramePr>
        <xdr:cNvPr id="40" name="Chart 39">
          <a:extLst>
            <a:ext uri="{FF2B5EF4-FFF2-40B4-BE49-F238E27FC236}">
              <a16:creationId xmlns:a16="http://schemas.microsoft.com/office/drawing/2014/main" id="{00000000-0008-0000-05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426720</xdr:colOff>
      <xdr:row>22</xdr:row>
      <xdr:rowOff>68580</xdr:rowOff>
    </xdr:from>
    <xdr:to>
      <xdr:col>0</xdr:col>
      <xdr:colOff>571500</xdr:colOff>
      <xdr:row>23</xdr:row>
      <xdr:rowOff>30480</xdr:rowOff>
    </xdr:to>
    <xdr:sp macro="" textlink="">
      <xdr:nvSpPr>
        <xdr:cNvPr id="42" name="Oval 41">
          <a:extLst>
            <a:ext uri="{FF2B5EF4-FFF2-40B4-BE49-F238E27FC236}">
              <a16:creationId xmlns:a16="http://schemas.microsoft.com/office/drawing/2014/main" id="{00000000-0008-0000-0500-00002A000000}"/>
            </a:ext>
          </a:extLst>
        </xdr:cNvPr>
        <xdr:cNvSpPr/>
      </xdr:nvSpPr>
      <xdr:spPr>
        <a:xfrm>
          <a:off x="426720" y="4091940"/>
          <a:ext cx="144780" cy="144780"/>
        </a:xfrm>
        <a:prstGeom prst="ellipse">
          <a:avLst/>
        </a:prstGeom>
        <a:solidFill>
          <a:srgbClr val="77BE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426720</xdr:colOff>
      <xdr:row>23</xdr:row>
      <xdr:rowOff>121920</xdr:rowOff>
    </xdr:from>
    <xdr:to>
      <xdr:col>0</xdr:col>
      <xdr:colOff>571500</xdr:colOff>
      <xdr:row>24</xdr:row>
      <xdr:rowOff>83820</xdr:rowOff>
    </xdr:to>
    <xdr:sp macro="" textlink="">
      <xdr:nvSpPr>
        <xdr:cNvPr id="43" name="Oval 42">
          <a:extLst>
            <a:ext uri="{FF2B5EF4-FFF2-40B4-BE49-F238E27FC236}">
              <a16:creationId xmlns:a16="http://schemas.microsoft.com/office/drawing/2014/main" id="{00000000-0008-0000-0500-00002B000000}"/>
            </a:ext>
          </a:extLst>
        </xdr:cNvPr>
        <xdr:cNvSpPr/>
      </xdr:nvSpPr>
      <xdr:spPr>
        <a:xfrm>
          <a:off x="426720" y="4328160"/>
          <a:ext cx="144780" cy="144780"/>
        </a:xfrm>
        <a:prstGeom prst="ellipse">
          <a:avLst/>
        </a:prstGeom>
        <a:solidFill>
          <a:srgbClr val="1C6EA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213360</xdr:colOff>
      <xdr:row>23</xdr:row>
      <xdr:rowOff>60960</xdr:rowOff>
    </xdr:from>
    <xdr:to>
      <xdr:col>4</xdr:col>
      <xdr:colOff>396240</xdr:colOff>
      <xdr:row>23</xdr:row>
      <xdr:rowOff>60960</xdr:rowOff>
    </xdr:to>
    <xdr:cxnSp macro="">
      <xdr:nvCxnSpPr>
        <xdr:cNvPr id="46" name="Straight Connector 45">
          <a:extLst>
            <a:ext uri="{FF2B5EF4-FFF2-40B4-BE49-F238E27FC236}">
              <a16:creationId xmlns:a16="http://schemas.microsoft.com/office/drawing/2014/main" id="{00000000-0008-0000-0500-00002E000000}"/>
            </a:ext>
          </a:extLst>
        </xdr:cNvPr>
        <xdr:cNvCxnSpPr/>
      </xdr:nvCxnSpPr>
      <xdr:spPr>
        <a:xfrm flipH="1">
          <a:off x="2651760" y="4267200"/>
          <a:ext cx="182880" cy="0"/>
        </a:xfrm>
        <a:prstGeom prst="line">
          <a:avLst/>
        </a:prstGeom>
        <a:ln w="1905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594360</xdr:colOff>
      <xdr:row>23</xdr:row>
      <xdr:rowOff>60960</xdr:rowOff>
    </xdr:from>
    <xdr:to>
      <xdr:col>4</xdr:col>
      <xdr:colOff>167640</xdr:colOff>
      <xdr:row>23</xdr:row>
      <xdr:rowOff>60960</xdr:rowOff>
    </xdr:to>
    <xdr:cxnSp macro="">
      <xdr:nvCxnSpPr>
        <xdr:cNvPr id="48" name="Straight Connector 47">
          <a:extLst>
            <a:ext uri="{FF2B5EF4-FFF2-40B4-BE49-F238E27FC236}">
              <a16:creationId xmlns:a16="http://schemas.microsoft.com/office/drawing/2014/main" id="{00000000-0008-0000-0500-000030000000}"/>
            </a:ext>
          </a:extLst>
        </xdr:cNvPr>
        <xdr:cNvCxnSpPr/>
      </xdr:nvCxnSpPr>
      <xdr:spPr>
        <a:xfrm flipH="1">
          <a:off x="2423160" y="4267200"/>
          <a:ext cx="182880" cy="0"/>
        </a:xfrm>
        <a:prstGeom prst="line">
          <a:avLst/>
        </a:prstGeom>
        <a:ln w="1905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502920</xdr:colOff>
      <xdr:row>21</xdr:row>
      <xdr:rowOff>175260</xdr:rowOff>
    </xdr:from>
    <xdr:to>
      <xdr:col>2</xdr:col>
      <xdr:colOff>358140</xdr:colOff>
      <xdr:row>23</xdr:row>
      <xdr:rowOff>91440</xdr:rowOff>
    </xdr:to>
    <xdr:sp macro="" textlink="">
      <xdr:nvSpPr>
        <xdr:cNvPr id="49" name="TextBox 48">
          <a:extLst>
            <a:ext uri="{FF2B5EF4-FFF2-40B4-BE49-F238E27FC236}">
              <a16:creationId xmlns:a16="http://schemas.microsoft.com/office/drawing/2014/main" id="{00000000-0008-0000-0500-000031000000}"/>
            </a:ext>
          </a:extLst>
        </xdr:cNvPr>
        <xdr:cNvSpPr txBox="1"/>
      </xdr:nvSpPr>
      <xdr:spPr>
        <a:xfrm>
          <a:off x="502920" y="4015740"/>
          <a:ext cx="107442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a:solidFill>
                <a:schemeClr val="bg1">
                  <a:lumMod val="50000"/>
                </a:schemeClr>
              </a:solidFill>
            </a:rPr>
            <a:t>Below Average</a:t>
          </a:r>
        </a:p>
      </xdr:txBody>
    </xdr:sp>
    <xdr:clientData/>
  </xdr:twoCellAnchor>
  <xdr:twoCellAnchor>
    <xdr:from>
      <xdr:col>0</xdr:col>
      <xdr:colOff>502920</xdr:colOff>
      <xdr:row>23</xdr:row>
      <xdr:rowOff>38100</xdr:rowOff>
    </xdr:from>
    <xdr:to>
      <xdr:col>2</xdr:col>
      <xdr:colOff>358140</xdr:colOff>
      <xdr:row>24</xdr:row>
      <xdr:rowOff>137160</xdr:rowOff>
    </xdr:to>
    <xdr:sp macro="" textlink="">
      <xdr:nvSpPr>
        <xdr:cNvPr id="50" name="TextBox 49">
          <a:extLst>
            <a:ext uri="{FF2B5EF4-FFF2-40B4-BE49-F238E27FC236}">
              <a16:creationId xmlns:a16="http://schemas.microsoft.com/office/drawing/2014/main" id="{00000000-0008-0000-0500-000032000000}"/>
            </a:ext>
          </a:extLst>
        </xdr:cNvPr>
        <xdr:cNvSpPr txBox="1"/>
      </xdr:nvSpPr>
      <xdr:spPr>
        <a:xfrm>
          <a:off x="502920" y="4244340"/>
          <a:ext cx="107442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a:solidFill>
                <a:schemeClr val="bg1">
                  <a:lumMod val="50000"/>
                </a:schemeClr>
              </a:solidFill>
            </a:rPr>
            <a:t>Above Average</a:t>
          </a:r>
        </a:p>
      </xdr:txBody>
    </xdr:sp>
    <xdr:clientData/>
  </xdr:twoCellAnchor>
  <xdr:twoCellAnchor>
    <xdr:from>
      <xdr:col>2</xdr:col>
      <xdr:colOff>312420</xdr:colOff>
      <xdr:row>22</xdr:row>
      <xdr:rowOff>91440</xdr:rowOff>
    </xdr:from>
    <xdr:to>
      <xdr:col>4</xdr:col>
      <xdr:colOff>15240</xdr:colOff>
      <xdr:row>24</xdr:row>
      <xdr:rowOff>7620</xdr:rowOff>
    </xdr:to>
    <xdr:sp macro="" textlink="">
      <xdr:nvSpPr>
        <xdr:cNvPr id="51" name="TextBox 50">
          <a:extLst>
            <a:ext uri="{FF2B5EF4-FFF2-40B4-BE49-F238E27FC236}">
              <a16:creationId xmlns:a16="http://schemas.microsoft.com/office/drawing/2014/main" id="{00000000-0008-0000-0500-000033000000}"/>
            </a:ext>
          </a:extLst>
        </xdr:cNvPr>
        <xdr:cNvSpPr txBox="1"/>
      </xdr:nvSpPr>
      <xdr:spPr>
        <a:xfrm>
          <a:off x="1531620" y="4114800"/>
          <a:ext cx="92202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a:solidFill>
                <a:schemeClr val="bg1">
                  <a:lumMod val="50000"/>
                </a:schemeClr>
              </a:solidFill>
            </a:rPr>
            <a:t>Average Line</a:t>
          </a:r>
        </a:p>
      </xdr:txBody>
    </xdr:sp>
    <xdr:clientData/>
  </xdr:twoCellAnchor>
  <xdr:twoCellAnchor>
    <xdr:from>
      <xdr:col>0</xdr:col>
      <xdr:colOff>396240</xdr:colOff>
      <xdr:row>6</xdr:row>
      <xdr:rowOff>152400</xdr:rowOff>
    </xdr:from>
    <xdr:to>
      <xdr:col>4</xdr:col>
      <xdr:colOff>152400</xdr:colOff>
      <xdr:row>10</xdr:row>
      <xdr:rowOff>99060</xdr:rowOff>
    </xdr:to>
    <xdr:sp macro="" textlink="">
      <xdr:nvSpPr>
        <xdr:cNvPr id="52" name="TextBox 51">
          <a:extLst>
            <a:ext uri="{FF2B5EF4-FFF2-40B4-BE49-F238E27FC236}">
              <a16:creationId xmlns:a16="http://schemas.microsoft.com/office/drawing/2014/main" id="{00000000-0008-0000-0500-000034000000}"/>
            </a:ext>
          </a:extLst>
        </xdr:cNvPr>
        <xdr:cNvSpPr txBox="1"/>
      </xdr:nvSpPr>
      <xdr:spPr>
        <a:xfrm>
          <a:off x="396240" y="1249680"/>
          <a:ext cx="2194560" cy="678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600" b="0">
              <a:solidFill>
                <a:schemeClr val="tx1">
                  <a:lumMod val="85000"/>
                  <a:lumOff val="15000"/>
                </a:schemeClr>
              </a:solidFill>
            </a:rPr>
            <a:t>Revenue by Quarter</a:t>
          </a:r>
        </a:p>
        <a:p>
          <a:pPr algn="l"/>
          <a:r>
            <a:rPr lang="en-US" sz="1600" b="0">
              <a:solidFill>
                <a:schemeClr val="tx1">
                  <a:lumMod val="85000"/>
                  <a:lumOff val="15000"/>
                </a:schemeClr>
              </a:solidFill>
            </a:rPr>
            <a:t>Vs</a:t>
          </a:r>
          <a:r>
            <a:rPr lang="en-US" sz="1600" b="0" baseline="0">
              <a:solidFill>
                <a:schemeClr val="tx1">
                  <a:lumMod val="85000"/>
                  <a:lumOff val="15000"/>
                </a:schemeClr>
              </a:solidFill>
            </a:rPr>
            <a:t> Percentage change</a:t>
          </a:r>
          <a:endParaRPr lang="en-US" sz="1600" b="0">
            <a:solidFill>
              <a:schemeClr val="tx1">
                <a:lumMod val="85000"/>
                <a:lumOff val="15000"/>
              </a:schemeClr>
            </a:solidFill>
          </a:endParaRPr>
        </a:p>
      </xdr:txBody>
    </xdr:sp>
    <xdr:clientData/>
  </xdr:twoCellAnchor>
  <xdr:twoCellAnchor>
    <xdr:from>
      <xdr:col>0</xdr:col>
      <xdr:colOff>403860</xdr:colOff>
      <xdr:row>9</xdr:row>
      <xdr:rowOff>129540</xdr:rowOff>
    </xdr:from>
    <xdr:to>
      <xdr:col>4</xdr:col>
      <xdr:colOff>60960</xdr:colOff>
      <xdr:row>11</xdr:row>
      <xdr:rowOff>45720</xdr:rowOff>
    </xdr:to>
    <xdr:sp macro="" textlink="">
      <xdr:nvSpPr>
        <xdr:cNvPr id="53" name="TextBox 52">
          <a:extLst>
            <a:ext uri="{FF2B5EF4-FFF2-40B4-BE49-F238E27FC236}">
              <a16:creationId xmlns:a16="http://schemas.microsoft.com/office/drawing/2014/main" id="{00000000-0008-0000-0500-000035000000}"/>
            </a:ext>
          </a:extLst>
        </xdr:cNvPr>
        <xdr:cNvSpPr txBox="1"/>
      </xdr:nvSpPr>
      <xdr:spPr>
        <a:xfrm>
          <a:off x="403860" y="1775460"/>
          <a:ext cx="20955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a:solidFill>
                <a:schemeClr val="bg1">
                  <a:lumMod val="50000"/>
                </a:schemeClr>
              </a:solidFill>
            </a:rPr>
            <a:t>The</a:t>
          </a:r>
          <a:r>
            <a:rPr lang="en-US" sz="1200" b="0" baseline="0">
              <a:solidFill>
                <a:schemeClr val="bg1">
                  <a:lumMod val="50000"/>
                </a:schemeClr>
              </a:solidFill>
            </a:rPr>
            <a:t> Line in the chart indicates</a:t>
          </a:r>
          <a:endParaRPr lang="en-US" sz="1200" b="0">
            <a:solidFill>
              <a:schemeClr val="bg1">
                <a:lumMod val="50000"/>
              </a:schemeClr>
            </a:solidFill>
          </a:endParaRPr>
        </a:p>
      </xdr:txBody>
    </xdr:sp>
    <xdr:clientData/>
  </xdr:twoCellAnchor>
  <xdr:twoCellAnchor>
    <xdr:from>
      <xdr:col>0</xdr:col>
      <xdr:colOff>419100</xdr:colOff>
      <xdr:row>10</xdr:row>
      <xdr:rowOff>91440</xdr:rowOff>
    </xdr:from>
    <xdr:to>
      <xdr:col>2</xdr:col>
      <xdr:colOff>0</xdr:colOff>
      <xdr:row>12</xdr:row>
      <xdr:rowOff>7620</xdr:rowOff>
    </xdr:to>
    <xdr:sp macro="" textlink="'Analysis 2'!D18">
      <xdr:nvSpPr>
        <xdr:cNvPr id="54" name="TextBox 53">
          <a:extLst>
            <a:ext uri="{FF2B5EF4-FFF2-40B4-BE49-F238E27FC236}">
              <a16:creationId xmlns:a16="http://schemas.microsoft.com/office/drawing/2014/main" id="{00000000-0008-0000-0500-000036000000}"/>
            </a:ext>
          </a:extLst>
        </xdr:cNvPr>
        <xdr:cNvSpPr txBox="1"/>
      </xdr:nvSpPr>
      <xdr:spPr>
        <a:xfrm>
          <a:off x="419100" y="1920240"/>
          <a:ext cx="8001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818CF48-CC91-4EA6-B8D3-7A6168C85021}" type="TxLink">
            <a:rPr lang="en-US" sz="1100" b="0" i="0" u="none" strike="noStrike">
              <a:solidFill>
                <a:schemeClr val="tx1">
                  <a:lumMod val="65000"/>
                  <a:lumOff val="35000"/>
                </a:schemeClr>
              </a:solidFill>
              <a:latin typeface="Calibri"/>
              <a:ea typeface="Calibri"/>
              <a:cs typeface="Calibri"/>
            </a:rPr>
            <a:pPr algn="l"/>
            <a:t>$1,361,702</a:t>
          </a:fld>
          <a:endParaRPr lang="en-US" sz="1200" b="0">
            <a:solidFill>
              <a:schemeClr val="tx1">
                <a:lumMod val="65000"/>
                <a:lumOff val="35000"/>
              </a:schemeClr>
            </a:solidFill>
          </a:endParaRPr>
        </a:p>
      </xdr:txBody>
    </xdr:sp>
    <xdr:clientData/>
  </xdr:twoCellAnchor>
  <xdr:twoCellAnchor>
    <xdr:from>
      <xdr:col>1</xdr:col>
      <xdr:colOff>381000</xdr:colOff>
      <xdr:row>10</xdr:row>
      <xdr:rowOff>76200</xdr:rowOff>
    </xdr:from>
    <xdr:to>
      <xdr:col>3</xdr:col>
      <xdr:colOff>556260</xdr:colOff>
      <xdr:row>11</xdr:row>
      <xdr:rowOff>175260</xdr:rowOff>
    </xdr:to>
    <xdr:sp macro="" textlink="'Analysis 2'!D18">
      <xdr:nvSpPr>
        <xdr:cNvPr id="55" name="TextBox 54">
          <a:extLst>
            <a:ext uri="{FF2B5EF4-FFF2-40B4-BE49-F238E27FC236}">
              <a16:creationId xmlns:a16="http://schemas.microsoft.com/office/drawing/2014/main" id="{00000000-0008-0000-0500-000037000000}"/>
            </a:ext>
          </a:extLst>
        </xdr:cNvPr>
        <xdr:cNvSpPr txBox="1"/>
      </xdr:nvSpPr>
      <xdr:spPr>
        <a:xfrm>
          <a:off x="990600" y="1905000"/>
          <a:ext cx="13944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chemeClr val="bg1">
                  <a:lumMod val="50000"/>
                </a:schemeClr>
              </a:solidFill>
              <a:latin typeface="Calibri"/>
              <a:ea typeface="Calibri"/>
              <a:cs typeface="Calibri"/>
            </a:rPr>
            <a:t>average Revenue</a:t>
          </a:r>
          <a:endParaRPr lang="en-US" sz="1400" b="0">
            <a:solidFill>
              <a:schemeClr val="bg1">
                <a:lumMod val="50000"/>
              </a:schemeClr>
            </a:solidFill>
          </a:endParaRPr>
        </a:p>
      </xdr:txBody>
    </xdr:sp>
    <xdr:clientData/>
  </xdr:twoCellAnchor>
  <mc:AlternateContent xmlns:mc="http://schemas.openxmlformats.org/markup-compatibility/2006">
    <mc:Choice xmlns:a14="http://schemas.microsoft.com/office/drawing/2010/main" Requires="a14">
      <xdr:twoCellAnchor editAs="oneCell">
        <xdr:from>
          <xdr:col>5</xdr:col>
          <xdr:colOff>259080</xdr:colOff>
          <xdr:row>9</xdr:row>
          <xdr:rowOff>0</xdr:rowOff>
        </xdr:from>
        <xdr:to>
          <xdr:col>7</xdr:col>
          <xdr:colOff>411480</xdr:colOff>
          <xdr:row>15</xdr:row>
          <xdr:rowOff>83820</xdr:rowOff>
        </xdr:to>
        <xdr:pic>
          <xdr:nvPicPr>
            <xdr:cNvPr id="14" name="Picture 13">
              <a:extLst>
                <a:ext uri="{FF2B5EF4-FFF2-40B4-BE49-F238E27FC236}">
                  <a16:creationId xmlns:a16="http://schemas.microsoft.com/office/drawing/2014/main" id="{00000000-0008-0000-0500-00000E000000}"/>
                </a:ext>
              </a:extLst>
            </xdr:cNvPr>
            <xdr:cNvPicPr>
              <a:picLocks noChangeAspect="1" noChangeArrowheads="1"/>
              <a:extLst>
                <a:ext uri="{84589F7E-364E-4C9E-8A38-B11213B215E9}">
                  <a14:cameraTool cellRange="'Wafle chart'!$G$28:$P$37" spid="_x0000_s3310"/>
                </a:ext>
              </a:extLst>
            </xdr:cNvPicPr>
          </xdr:nvPicPr>
          <xdr:blipFill>
            <a:blip xmlns:r="http://schemas.openxmlformats.org/officeDocument/2006/relationships" r:embed="rId5"/>
            <a:srcRect/>
            <a:stretch>
              <a:fillRect/>
            </a:stretch>
          </xdr:blipFill>
          <xdr:spPr bwMode="auto">
            <a:xfrm>
              <a:off x="3307080" y="1645920"/>
              <a:ext cx="1371600" cy="11811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259080</xdr:colOff>
          <xdr:row>17</xdr:row>
          <xdr:rowOff>113669</xdr:rowOff>
        </xdr:from>
        <xdr:to>
          <xdr:col>7</xdr:col>
          <xdr:colOff>411480</xdr:colOff>
          <xdr:row>24</xdr:row>
          <xdr:rowOff>631</xdr:rowOff>
        </xdr:to>
        <xdr:pic>
          <xdr:nvPicPr>
            <xdr:cNvPr id="11" name="Picture 10">
              <a:extLst>
                <a:ext uri="{FF2B5EF4-FFF2-40B4-BE49-F238E27FC236}">
                  <a16:creationId xmlns:a16="http://schemas.microsoft.com/office/drawing/2014/main" id="{00000000-0008-0000-0500-00000B000000}"/>
                </a:ext>
              </a:extLst>
            </xdr:cNvPr>
            <xdr:cNvPicPr>
              <a:picLocks noChangeAspect="1" noChangeArrowheads="1"/>
              <a:extLst>
                <a:ext uri="{84589F7E-364E-4C9E-8A38-B11213B215E9}">
                  <a14:cameraTool cellRange="'Wafle chart'!$G$12:$P$21" spid="_x0000_s3311"/>
                </a:ext>
              </a:extLst>
            </xdr:cNvPicPr>
          </xdr:nvPicPr>
          <xdr:blipFill>
            <a:blip xmlns:r="http://schemas.openxmlformats.org/officeDocument/2006/relationships" r:embed="rId6"/>
            <a:srcRect/>
            <a:stretch>
              <a:fillRect/>
            </a:stretch>
          </xdr:blipFill>
          <xdr:spPr bwMode="auto">
            <a:xfrm>
              <a:off x="3307080" y="3222629"/>
              <a:ext cx="1371600" cy="1167122"/>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7</xdr:col>
      <xdr:colOff>396240</xdr:colOff>
      <xdr:row>10</xdr:row>
      <xdr:rowOff>22860</xdr:rowOff>
    </xdr:from>
    <xdr:to>
      <xdr:col>9</xdr:col>
      <xdr:colOff>350520</xdr:colOff>
      <xdr:row>11</xdr:row>
      <xdr:rowOff>137160</xdr:rowOff>
    </xdr:to>
    <xdr:sp macro="" textlink="">
      <xdr:nvSpPr>
        <xdr:cNvPr id="15" name="TextBox 14">
          <a:extLst>
            <a:ext uri="{FF2B5EF4-FFF2-40B4-BE49-F238E27FC236}">
              <a16:creationId xmlns:a16="http://schemas.microsoft.com/office/drawing/2014/main" id="{00000000-0008-0000-0500-00000F000000}"/>
            </a:ext>
          </a:extLst>
        </xdr:cNvPr>
        <xdr:cNvSpPr txBox="1"/>
      </xdr:nvSpPr>
      <xdr:spPr>
        <a:xfrm>
          <a:off x="4663440" y="1851660"/>
          <a:ext cx="117348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0">
              <a:solidFill>
                <a:schemeClr val="tx1">
                  <a:lumMod val="65000"/>
                  <a:lumOff val="35000"/>
                </a:schemeClr>
              </a:solidFill>
            </a:rPr>
            <a:t>Revenue by</a:t>
          </a:r>
        </a:p>
      </xdr:txBody>
    </xdr:sp>
    <xdr:clientData/>
  </xdr:twoCellAnchor>
  <xdr:twoCellAnchor>
    <xdr:from>
      <xdr:col>5</xdr:col>
      <xdr:colOff>160020</xdr:colOff>
      <xdr:row>7</xdr:row>
      <xdr:rowOff>76200</xdr:rowOff>
    </xdr:from>
    <xdr:to>
      <xdr:col>6</xdr:col>
      <xdr:colOff>518160</xdr:colOff>
      <xdr:row>9</xdr:row>
      <xdr:rowOff>7620</xdr:rowOff>
    </xdr:to>
    <xdr:sp macro="" textlink="">
      <xdr:nvSpPr>
        <xdr:cNvPr id="16" name="TextBox 15">
          <a:extLst>
            <a:ext uri="{FF2B5EF4-FFF2-40B4-BE49-F238E27FC236}">
              <a16:creationId xmlns:a16="http://schemas.microsoft.com/office/drawing/2014/main" id="{00000000-0008-0000-0500-000010000000}"/>
            </a:ext>
          </a:extLst>
        </xdr:cNvPr>
        <xdr:cNvSpPr txBox="1"/>
      </xdr:nvSpPr>
      <xdr:spPr>
        <a:xfrm>
          <a:off x="3208020" y="1356360"/>
          <a:ext cx="96774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0">
              <a:solidFill>
                <a:schemeClr val="tx1">
                  <a:lumMod val="65000"/>
                  <a:lumOff val="35000"/>
                </a:schemeClr>
              </a:solidFill>
            </a:rPr>
            <a:t>Generated</a:t>
          </a:r>
        </a:p>
      </xdr:txBody>
    </xdr:sp>
    <xdr:clientData/>
  </xdr:twoCellAnchor>
  <xdr:twoCellAnchor>
    <xdr:from>
      <xdr:col>6</xdr:col>
      <xdr:colOff>251460</xdr:colOff>
      <xdr:row>7</xdr:row>
      <xdr:rowOff>76200</xdr:rowOff>
    </xdr:from>
    <xdr:to>
      <xdr:col>8</xdr:col>
      <xdr:colOff>0</xdr:colOff>
      <xdr:row>9</xdr:row>
      <xdr:rowOff>7620</xdr:rowOff>
    </xdr:to>
    <xdr:sp macro="" textlink="'Analysis 2'!L14">
      <xdr:nvSpPr>
        <xdr:cNvPr id="17" name="TextBox 16">
          <a:extLst>
            <a:ext uri="{FF2B5EF4-FFF2-40B4-BE49-F238E27FC236}">
              <a16:creationId xmlns:a16="http://schemas.microsoft.com/office/drawing/2014/main" id="{00000000-0008-0000-0500-000011000000}"/>
            </a:ext>
          </a:extLst>
        </xdr:cNvPr>
        <xdr:cNvSpPr txBox="1"/>
      </xdr:nvSpPr>
      <xdr:spPr>
        <a:xfrm>
          <a:off x="3909060" y="1356360"/>
          <a:ext cx="96774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917445F-F85D-41C1-B099-95B453AFAA00}" type="TxLink">
            <a:rPr lang="en-US" sz="1400" b="0" i="0" u="none" strike="noStrike">
              <a:solidFill>
                <a:schemeClr val="tx1"/>
              </a:solidFill>
              <a:latin typeface="Calibri"/>
              <a:ea typeface="Calibri"/>
              <a:cs typeface="Calibri"/>
            </a:rPr>
            <a:pPr algn="ctr"/>
            <a:t>$3.89 M</a:t>
          </a:fld>
          <a:endParaRPr lang="en-US" sz="1800" b="0">
            <a:solidFill>
              <a:schemeClr val="tx1"/>
            </a:solidFill>
          </a:endParaRPr>
        </a:p>
      </xdr:txBody>
    </xdr:sp>
    <xdr:clientData/>
  </xdr:twoCellAnchor>
  <xdr:twoCellAnchor>
    <xdr:from>
      <xdr:col>5</xdr:col>
      <xdr:colOff>152400</xdr:colOff>
      <xdr:row>15</xdr:row>
      <xdr:rowOff>45720</xdr:rowOff>
    </xdr:from>
    <xdr:to>
      <xdr:col>6</xdr:col>
      <xdr:colOff>403860</xdr:colOff>
      <xdr:row>16</xdr:row>
      <xdr:rowOff>160020</xdr:rowOff>
    </xdr:to>
    <xdr:sp macro="" textlink="">
      <xdr:nvSpPr>
        <xdr:cNvPr id="26" name="TextBox 25">
          <a:extLst>
            <a:ext uri="{FF2B5EF4-FFF2-40B4-BE49-F238E27FC236}">
              <a16:creationId xmlns:a16="http://schemas.microsoft.com/office/drawing/2014/main" id="{00000000-0008-0000-0500-00001A000000}"/>
            </a:ext>
          </a:extLst>
        </xdr:cNvPr>
        <xdr:cNvSpPr txBox="1"/>
      </xdr:nvSpPr>
      <xdr:spPr>
        <a:xfrm>
          <a:off x="3200400" y="2788920"/>
          <a:ext cx="86106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0">
              <a:solidFill>
                <a:schemeClr val="tx1">
                  <a:lumMod val="65000"/>
                  <a:lumOff val="35000"/>
                </a:schemeClr>
              </a:solidFill>
            </a:rPr>
            <a:t>Revenue</a:t>
          </a:r>
        </a:p>
      </xdr:txBody>
    </xdr:sp>
    <xdr:clientData/>
  </xdr:twoCellAnchor>
  <xdr:twoCellAnchor>
    <xdr:from>
      <xdr:col>5</xdr:col>
      <xdr:colOff>152400</xdr:colOff>
      <xdr:row>16</xdr:row>
      <xdr:rowOff>15240</xdr:rowOff>
    </xdr:from>
    <xdr:to>
      <xdr:col>6</xdr:col>
      <xdr:colOff>510540</xdr:colOff>
      <xdr:row>17</xdr:row>
      <xdr:rowOff>129540</xdr:rowOff>
    </xdr:to>
    <xdr:sp macro="" textlink="">
      <xdr:nvSpPr>
        <xdr:cNvPr id="28" name="TextBox 27">
          <a:extLst>
            <a:ext uri="{FF2B5EF4-FFF2-40B4-BE49-F238E27FC236}">
              <a16:creationId xmlns:a16="http://schemas.microsoft.com/office/drawing/2014/main" id="{00000000-0008-0000-0500-00001C000000}"/>
            </a:ext>
          </a:extLst>
        </xdr:cNvPr>
        <xdr:cNvSpPr txBox="1"/>
      </xdr:nvSpPr>
      <xdr:spPr>
        <a:xfrm>
          <a:off x="3200400" y="2941320"/>
          <a:ext cx="96774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0">
              <a:solidFill>
                <a:schemeClr val="tx1">
                  <a:lumMod val="65000"/>
                  <a:lumOff val="35000"/>
                </a:schemeClr>
              </a:solidFill>
            </a:rPr>
            <a:t>Generated</a:t>
          </a:r>
        </a:p>
      </xdr:txBody>
    </xdr:sp>
    <xdr:clientData/>
  </xdr:twoCellAnchor>
  <xdr:twoCellAnchor>
    <xdr:from>
      <xdr:col>6</xdr:col>
      <xdr:colOff>236220</xdr:colOff>
      <xdr:row>16</xdr:row>
      <xdr:rowOff>15240</xdr:rowOff>
    </xdr:from>
    <xdr:to>
      <xdr:col>7</xdr:col>
      <xdr:colOff>594360</xdr:colOff>
      <xdr:row>17</xdr:row>
      <xdr:rowOff>129540</xdr:rowOff>
    </xdr:to>
    <xdr:sp macro="" textlink="'Analysis 2'!L15">
      <xdr:nvSpPr>
        <xdr:cNvPr id="29" name="TextBox 28">
          <a:extLst>
            <a:ext uri="{FF2B5EF4-FFF2-40B4-BE49-F238E27FC236}">
              <a16:creationId xmlns:a16="http://schemas.microsoft.com/office/drawing/2014/main" id="{00000000-0008-0000-0500-00001D000000}"/>
            </a:ext>
          </a:extLst>
        </xdr:cNvPr>
        <xdr:cNvSpPr txBox="1"/>
      </xdr:nvSpPr>
      <xdr:spPr>
        <a:xfrm>
          <a:off x="3893820" y="2941320"/>
          <a:ext cx="96774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0AD9D14-9C6A-48D7-8095-CEB7D930DA1B}" type="TxLink">
            <a:rPr lang="en-US" sz="1400" b="0" i="0" u="none" strike="noStrike">
              <a:solidFill>
                <a:schemeClr val="tx1"/>
              </a:solidFill>
              <a:latin typeface="Calibri"/>
              <a:ea typeface="Calibri"/>
              <a:cs typeface="Calibri"/>
            </a:rPr>
            <a:pPr marL="0" indent="0" algn="ctr"/>
            <a:t>$1.55 M</a:t>
          </a:fld>
          <a:endParaRPr lang="en-US" sz="1400" b="0" i="0" u="none" strike="noStrike">
            <a:solidFill>
              <a:schemeClr val="tx1"/>
            </a:solidFill>
            <a:latin typeface="Calibri"/>
            <a:ea typeface="Calibri"/>
            <a:cs typeface="Calibri"/>
          </a:endParaRPr>
        </a:p>
      </xdr:txBody>
    </xdr:sp>
    <xdr:clientData/>
  </xdr:twoCellAnchor>
  <xdr:twoCellAnchor>
    <xdr:from>
      <xdr:col>7</xdr:col>
      <xdr:colOff>411480</xdr:colOff>
      <xdr:row>11</xdr:row>
      <xdr:rowOff>15240</xdr:rowOff>
    </xdr:from>
    <xdr:to>
      <xdr:col>9</xdr:col>
      <xdr:colOff>365760</xdr:colOff>
      <xdr:row>12</xdr:row>
      <xdr:rowOff>129540</xdr:rowOff>
    </xdr:to>
    <xdr:sp macro="" textlink="">
      <xdr:nvSpPr>
        <xdr:cNvPr id="30" name="TextBox 29">
          <a:extLst>
            <a:ext uri="{FF2B5EF4-FFF2-40B4-BE49-F238E27FC236}">
              <a16:creationId xmlns:a16="http://schemas.microsoft.com/office/drawing/2014/main" id="{00000000-0008-0000-0500-00001E000000}"/>
            </a:ext>
          </a:extLst>
        </xdr:cNvPr>
        <xdr:cNvSpPr txBox="1"/>
      </xdr:nvSpPr>
      <xdr:spPr>
        <a:xfrm>
          <a:off x="4678680" y="2026920"/>
          <a:ext cx="117348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500" b="1">
              <a:solidFill>
                <a:schemeClr val="tx1">
                  <a:lumMod val="50000"/>
                  <a:lumOff val="50000"/>
                </a:schemeClr>
              </a:solidFill>
            </a:rPr>
            <a:t>Weekdays</a:t>
          </a:r>
        </a:p>
      </xdr:txBody>
    </xdr:sp>
    <xdr:clientData/>
  </xdr:twoCellAnchor>
  <xdr:twoCellAnchor>
    <xdr:from>
      <xdr:col>7</xdr:col>
      <xdr:colOff>350520</xdr:colOff>
      <xdr:row>12</xdr:row>
      <xdr:rowOff>83820</xdr:rowOff>
    </xdr:from>
    <xdr:to>
      <xdr:col>9</xdr:col>
      <xdr:colOff>274320</xdr:colOff>
      <xdr:row>14</xdr:row>
      <xdr:rowOff>15240</xdr:rowOff>
    </xdr:to>
    <xdr:sp macro="" textlink="'Analysis 2'!M14">
      <xdr:nvSpPr>
        <xdr:cNvPr id="31" name="TextBox 30">
          <a:extLst>
            <a:ext uri="{FF2B5EF4-FFF2-40B4-BE49-F238E27FC236}">
              <a16:creationId xmlns:a16="http://schemas.microsoft.com/office/drawing/2014/main" id="{00000000-0008-0000-0500-00001F000000}"/>
            </a:ext>
          </a:extLst>
        </xdr:cNvPr>
        <xdr:cNvSpPr txBox="1"/>
      </xdr:nvSpPr>
      <xdr:spPr>
        <a:xfrm>
          <a:off x="4617720" y="2278380"/>
          <a:ext cx="114300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46C4B46-D261-4FC3-B33C-236814AA11EF}" type="TxLink">
            <a:rPr lang="en-US" sz="2400" b="0" i="0" u="none" strike="noStrike">
              <a:solidFill>
                <a:schemeClr val="tx1">
                  <a:lumMod val="50000"/>
                  <a:lumOff val="50000"/>
                </a:schemeClr>
              </a:solidFill>
              <a:latin typeface="Calibri"/>
              <a:ea typeface="Calibri"/>
              <a:cs typeface="Calibri"/>
            </a:rPr>
            <a:pPr algn="ctr"/>
            <a:t>71.50%</a:t>
          </a:fld>
          <a:endParaRPr lang="en-US" sz="3600" b="0">
            <a:solidFill>
              <a:schemeClr val="tx1">
                <a:lumMod val="50000"/>
                <a:lumOff val="50000"/>
              </a:schemeClr>
            </a:solidFill>
          </a:endParaRPr>
        </a:p>
      </xdr:txBody>
    </xdr:sp>
    <xdr:clientData/>
  </xdr:twoCellAnchor>
  <xdr:twoCellAnchor>
    <xdr:from>
      <xdr:col>7</xdr:col>
      <xdr:colOff>396240</xdr:colOff>
      <xdr:row>18</xdr:row>
      <xdr:rowOff>175260</xdr:rowOff>
    </xdr:from>
    <xdr:to>
      <xdr:col>9</xdr:col>
      <xdr:colOff>350520</xdr:colOff>
      <xdr:row>20</xdr:row>
      <xdr:rowOff>106680</xdr:rowOff>
    </xdr:to>
    <xdr:sp macro="" textlink="">
      <xdr:nvSpPr>
        <xdr:cNvPr id="32" name="TextBox 31">
          <a:extLst>
            <a:ext uri="{FF2B5EF4-FFF2-40B4-BE49-F238E27FC236}">
              <a16:creationId xmlns:a16="http://schemas.microsoft.com/office/drawing/2014/main" id="{00000000-0008-0000-0500-000020000000}"/>
            </a:ext>
          </a:extLst>
        </xdr:cNvPr>
        <xdr:cNvSpPr txBox="1"/>
      </xdr:nvSpPr>
      <xdr:spPr>
        <a:xfrm>
          <a:off x="4663440" y="3467100"/>
          <a:ext cx="117348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0">
              <a:solidFill>
                <a:schemeClr val="tx1">
                  <a:lumMod val="65000"/>
                  <a:lumOff val="35000"/>
                </a:schemeClr>
              </a:solidFill>
            </a:rPr>
            <a:t>Revenue by</a:t>
          </a:r>
        </a:p>
      </xdr:txBody>
    </xdr:sp>
    <xdr:clientData/>
  </xdr:twoCellAnchor>
  <xdr:twoCellAnchor>
    <xdr:from>
      <xdr:col>7</xdr:col>
      <xdr:colOff>411480</xdr:colOff>
      <xdr:row>19</xdr:row>
      <xdr:rowOff>167640</xdr:rowOff>
    </xdr:from>
    <xdr:to>
      <xdr:col>9</xdr:col>
      <xdr:colOff>365760</xdr:colOff>
      <xdr:row>21</xdr:row>
      <xdr:rowOff>99060</xdr:rowOff>
    </xdr:to>
    <xdr:sp macro="" textlink="">
      <xdr:nvSpPr>
        <xdr:cNvPr id="33" name="TextBox 32">
          <a:extLst>
            <a:ext uri="{FF2B5EF4-FFF2-40B4-BE49-F238E27FC236}">
              <a16:creationId xmlns:a16="http://schemas.microsoft.com/office/drawing/2014/main" id="{00000000-0008-0000-0500-000021000000}"/>
            </a:ext>
          </a:extLst>
        </xdr:cNvPr>
        <xdr:cNvSpPr txBox="1"/>
      </xdr:nvSpPr>
      <xdr:spPr>
        <a:xfrm>
          <a:off x="4678680" y="3642360"/>
          <a:ext cx="117348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500" b="1">
              <a:solidFill>
                <a:srgbClr val="1C6EA4"/>
              </a:solidFill>
            </a:rPr>
            <a:t>Weekends</a:t>
          </a:r>
        </a:p>
      </xdr:txBody>
    </xdr:sp>
    <xdr:clientData/>
  </xdr:twoCellAnchor>
  <xdr:twoCellAnchor>
    <xdr:from>
      <xdr:col>7</xdr:col>
      <xdr:colOff>350520</xdr:colOff>
      <xdr:row>21</xdr:row>
      <xdr:rowOff>53340</xdr:rowOff>
    </xdr:from>
    <xdr:to>
      <xdr:col>9</xdr:col>
      <xdr:colOff>274320</xdr:colOff>
      <xdr:row>22</xdr:row>
      <xdr:rowOff>167640</xdr:rowOff>
    </xdr:to>
    <xdr:sp macro="" textlink="'Analysis 2'!M15">
      <xdr:nvSpPr>
        <xdr:cNvPr id="34" name="TextBox 33">
          <a:extLst>
            <a:ext uri="{FF2B5EF4-FFF2-40B4-BE49-F238E27FC236}">
              <a16:creationId xmlns:a16="http://schemas.microsoft.com/office/drawing/2014/main" id="{00000000-0008-0000-0500-000022000000}"/>
            </a:ext>
          </a:extLst>
        </xdr:cNvPr>
        <xdr:cNvSpPr txBox="1"/>
      </xdr:nvSpPr>
      <xdr:spPr>
        <a:xfrm>
          <a:off x="4617720" y="3893820"/>
          <a:ext cx="114300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EFDF37A-88CD-4670-926B-958CF66B1875}" type="TxLink">
            <a:rPr lang="en-US" sz="2400" b="0" i="0" u="none" strike="noStrike">
              <a:solidFill>
                <a:srgbClr val="1C6EA4"/>
              </a:solidFill>
              <a:latin typeface="Calibri"/>
              <a:ea typeface="Calibri"/>
              <a:cs typeface="Calibri"/>
            </a:rPr>
            <a:pPr marL="0" indent="0" algn="ctr"/>
            <a:t>28.50%</a:t>
          </a:fld>
          <a:endParaRPr lang="en-US" sz="2400" b="0" i="0" u="none" strike="noStrike">
            <a:solidFill>
              <a:srgbClr val="1C6EA4"/>
            </a:solidFill>
            <a:latin typeface="Calibri"/>
            <a:ea typeface="Calibri"/>
            <a:cs typeface="Calibri"/>
          </a:endParaRPr>
        </a:p>
      </xdr:txBody>
    </xdr:sp>
    <xdr:clientData/>
  </xdr:twoCellAnchor>
  <xdr:twoCellAnchor>
    <xdr:from>
      <xdr:col>5</xdr:col>
      <xdr:colOff>167640</xdr:colOff>
      <xdr:row>6</xdr:row>
      <xdr:rowOff>106680</xdr:rowOff>
    </xdr:from>
    <xdr:to>
      <xdr:col>6</xdr:col>
      <xdr:colOff>419100</xdr:colOff>
      <xdr:row>8</xdr:row>
      <xdr:rowOff>38100</xdr:rowOff>
    </xdr:to>
    <xdr:sp macro="" textlink="">
      <xdr:nvSpPr>
        <xdr:cNvPr id="35" name="TextBox 34">
          <a:extLst>
            <a:ext uri="{FF2B5EF4-FFF2-40B4-BE49-F238E27FC236}">
              <a16:creationId xmlns:a16="http://schemas.microsoft.com/office/drawing/2014/main" id="{00000000-0008-0000-0500-000023000000}"/>
            </a:ext>
          </a:extLst>
        </xdr:cNvPr>
        <xdr:cNvSpPr txBox="1"/>
      </xdr:nvSpPr>
      <xdr:spPr>
        <a:xfrm>
          <a:off x="3215640" y="1203960"/>
          <a:ext cx="86106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0">
              <a:solidFill>
                <a:schemeClr val="tx1">
                  <a:lumMod val="65000"/>
                  <a:lumOff val="35000"/>
                </a:schemeClr>
              </a:solidFill>
            </a:rPr>
            <a:t>Revenue</a:t>
          </a:r>
        </a:p>
      </xdr:txBody>
    </xdr:sp>
    <xdr:clientData/>
  </xdr:twoCellAnchor>
  <xdr:twoCellAnchor>
    <xdr:from>
      <xdr:col>0</xdr:col>
      <xdr:colOff>381000</xdr:colOff>
      <xdr:row>29</xdr:row>
      <xdr:rowOff>45720</xdr:rowOff>
    </xdr:from>
    <xdr:to>
      <xdr:col>9</xdr:col>
      <xdr:colOff>106680</xdr:colOff>
      <xdr:row>39</xdr:row>
      <xdr:rowOff>0</xdr:rowOff>
    </xdr:to>
    <xdr:graphicFrame macro="">
      <xdr:nvGraphicFramePr>
        <xdr:cNvPr id="36" name="Chart 35">
          <a:extLst>
            <a:ext uri="{FF2B5EF4-FFF2-40B4-BE49-F238E27FC236}">
              <a16:creationId xmlns:a16="http://schemas.microsoft.com/office/drawing/2014/main" id="{00000000-0008-0000-05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426720</xdr:colOff>
      <xdr:row>39</xdr:row>
      <xdr:rowOff>72390</xdr:rowOff>
    </xdr:from>
    <xdr:to>
      <xdr:col>3</xdr:col>
      <xdr:colOff>0</xdr:colOff>
      <xdr:row>39</xdr:row>
      <xdr:rowOff>72390</xdr:rowOff>
    </xdr:to>
    <xdr:cxnSp macro="">
      <xdr:nvCxnSpPr>
        <xdr:cNvPr id="44" name="Straight Connector 43">
          <a:extLst>
            <a:ext uri="{FF2B5EF4-FFF2-40B4-BE49-F238E27FC236}">
              <a16:creationId xmlns:a16="http://schemas.microsoft.com/office/drawing/2014/main" id="{00000000-0008-0000-0500-00002C000000}"/>
            </a:ext>
          </a:extLst>
        </xdr:cNvPr>
        <xdr:cNvCxnSpPr/>
      </xdr:nvCxnSpPr>
      <xdr:spPr>
        <a:xfrm flipH="1">
          <a:off x="1645920" y="7204710"/>
          <a:ext cx="182880" cy="0"/>
        </a:xfrm>
        <a:prstGeom prst="line">
          <a:avLst/>
        </a:prstGeom>
        <a:ln w="1905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198120</xdr:colOff>
      <xdr:row>39</xdr:row>
      <xdr:rowOff>72390</xdr:rowOff>
    </xdr:from>
    <xdr:to>
      <xdr:col>2</xdr:col>
      <xdr:colOff>381000</xdr:colOff>
      <xdr:row>39</xdr:row>
      <xdr:rowOff>72390</xdr:rowOff>
    </xdr:to>
    <xdr:cxnSp macro="">
      <xdr:nvCxnSpPr>
        <xdr:cNvPr id="45" name="Straight Connector 44">
          <a:extLst>
            <a:ext uri="{FF2B5EF4-FFF2-40B4-BE49-F238E27FC236}">
              <a16:creationId xmlns:a16="http://schemas.microsoft.com/office/drawing/2014/main" id="{00000000-0008-0000-0500-00002D000000}"/>
            </a:ext>
          </a:extLst>
        </xdr:cNvPr>
        <xdr:cNvCxnSpPr/>
      </xdr:nvCxnSpPr>
      <xdr:spPr>
        <a:xfrm flipH="1">
          <a:off x="1417320" y="7204710"/>
          <a:ext cx="182880" cy="0"/>
        </a:xfrm>
        <a:prstGeom prst="line">
          <a:avLst/>
        </a:prstGeom>
        <a:ln w="1905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525780</xdr:colOff>
      <xdr:row>38</xdr:row>
      <xdr:rowOff>114300</xdr:rowOff>
    </xdr:from>
    <xdr:to>
      <xdr:col>2</xdr:col>
      <xdr:colOff>228600</xdr:colOff>
      <xdr:row>40</xdr:row>
      <xdr:rowOff>30480</xdr:rowOff>
    </xdr:to>
    <xdr:sp macro="" textlink="">
      <xdr:nvSpPr>
        <xdr:cNvPr id="47" name="TextBox 46">
          <a:extLst>
            <a:ext uri="{FF2B5EF4-FFF2-40B4-BE49-F238E27FC236}">
              <a16:creationId xmlns:a16="http://schemas.microsoft.com/office/drawing/2014/main" id="{00000000-0008-0000-0500-00002F000000}"/>
            </a:ext>
          </a:extLst>
        </xdr:cNvPr>
        <xdr:cNvSpPr txBox="1"/>
      </xdr:nvSpPr>
      <xdr:spPr>
        <a:xfrm>
          <a:off x="525780" y="7063740"/>
          <a:ext cx="92202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a:solidFill>
                <a:schemeClr val="bg1">
                  <a:lumMod val="50000"/>
                </a:schemeClr>
              </a:solidFill>
            </a:rPr>
            <a:t>Average Line</a:t>
          </a:r>
        </a:p>
      </xdr:txBody>
    </xdr:sp>
    <xdr:clientData/>
  </xdr:twoCellAnchor>
  <xdr:twoCellAnchor>
    <xdr:from>
      <xdr:col>3</xdr:col>
      <xdr:colOff>571500</xdr:colOff>
      <xdr:row>39</xdr:row>
      <xdr:rowOff>0</xdr:rowOff>
    </xdr:from>
    <xdr:to>
      <xdr:col>4</xdr:col>
      <xdr:colOff>106680</xdr:colOff>
      <xdr:row>39</xdr:row>
      <xdr:rowOff>144780</xdr:rowOff>
    </xdr:to>
    <xdr:sp macro="" textlink="">
      <xdr:nvSpPr>
        <xdr:cNvPr id="57" name="Oval 56">
          <a:extLst>
            <a:ext uri="{FF2B5EF4-FFF2-40B4-BE49-F238E27FC236}">
              <a16:creationId xmlns:a16="http://schemas.microsoft.com/office/drawing/2014/main" id="{00000000-0008-0000-0500-000039000000}"/>
            </a:ext>
          </a:extLst>
        </xdr:cNvPr>
        <xdr:cNvSpPr/>
      </xdr:nvSpPr>
      <xdr:spPr>
        <a:xfrm>
          <a:off x="2400300" y="7132320"/>
          <a:ext cx="144780" cy="144780"/>
        </a:xfrm>
        <a:prstGeom prst="ellipse">
          <a:avLst/>
        </a:prstGeom>
        <a:solidFill>
          <a:srgbClr val="77BE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38100</xdr:colOff>
      <xdr:row>38</xdr:row>
      <xdr:rowOff>114300</xdr:rowOff>
    </xdr:from>
    <xdr:to>
      <xdr:col>5</xdr:col>
      <xdr:colOff>502920</xdr:colOff>
      <xdr:row>40</xdr:row>
      <xdr:rowOff>30480</xdr:rowOff>
    </xdr:to>
    <xdr:sp macro="" textlink="">
      <xdr:nvSpPr>
        <xdr:cNvPr id="58" name="TextBox 57">
          <a:extLst>
            <a:ext uri="{FF2B5EF4-FFF2-40B4-BE49-F238E27FC236}">
              <a16:creationId xmlns:a16="http://schemas.microsoft.com/office/drawing/2014/main" id="{00000000-0008-0000-0500-00003A000000}"/>
            </a:ext>
          </a:extLst>
        </xdr:cNvPr>
        <xdr:cNvSpPr txBox="1"/>
      </xdr:nvSpPr>
      <xdr:spPr>
        <a:xfrm>
          <a:off x="2476500" y="7063740"/>
          <a:ext cx="107442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a:solidFill>
                <a:schemeClr val="bg1">
                  <a:lumMod val="50000"/>
                </a:schemeClr>
              </a:solidFill>
            </a:rPr>
            <a:t>Below Average</a:t>
          </a:r>
        </a:p>
      </xdr:txBody>
    </xdr:sp>
    <xdr:clientData/>
  </xdr:twoCellAnchor>
  <xdr:twoCellAnchor>
    <xdr:from>
      <xdr:col>7</xdr:col>
      <xdr:colOff>7620</xdr:colOff>
      <xdr:row>39</xdr:row>
      <xdr:rowOff>0</xdr:rowOff>
    </xdr:from>
    <xdr:to>
      <xdr:col>7</xdr:col>
      <xdr:colOff>152400</xdr:colOff>
      <xdr:row>39</xdr:row>
      <xdr:rowOff>144780</xdr:rowOff>
    </xdr:to>
    <xdr:sp macro="" textlink="">
      <xdr:nvSpPr>
        <xdr:cNvPr id="59" name="Oval 58">
          <a:extLst>
            <a:ext uri="{FF2B5EF4-FFF2-40B4-BE49-F238E27FC236}">
              <a16:creationId xmlns:a16="http://schemas.microsoft.com/office/drawing/2014/main" id="{00000000-0008-0000-0500-00003B000000}"/>
            </a:ext>
          </a:extLst>
        </xdr:cNvPr>
        <xdr:cNvSpPr/>
      </xdr:nvSpPr>
      <xdr:spPr>
        <a:xfrm>
          <a:off x="4274820" y="7132320"/>
          <a:ext cx="144780" cy="144780"/>
        </a:xfrm>
        <a:prstGeom prst="ellipse">
          <a:avLst/>
        </a:prstGeom>
        <a:solidFill>
          <a:srgbClr val="1C6EA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83820</xdr:colOff>
      <xdr:row>38</xdr:row>
      <xdr:rowOff>114300</xdr:rowOff>
    </xdr:from>
    <xdr:to>
      <xdr:col>8</xdr:col>
      <xdr:colOff>548640</xdr:colOff>
      <xdr:row>40</xdr:row>
      <xdr:rowOff>30480</xdr:rowOff>
    </xdr:to>
    <xdr:sp macro="" textlink="">
      <xdr:nvSpPr>
        <xdr:cNvPr id="60" name="TextBox 59">
          <a:extLst>
            <a:ext uri="{FF2B5EF4-FFF2-40B4-BE49-F238E27FC236}">
              <a16:creationId xmlns:a16="http://schemas.microsoft.com/office/drawing/2014/main" id="{00000000-0008-0000-0500-00003C000000}"/>
            </a:ext>
          </a:extLst>
        </xdr:cNvPr>
        <xdr:cNvSpPr txBox="1"/>
      </xdr:nvSpPr>
      <xdr:spPr>
        <a:xfrm>
          <a:off x="4351020" y="7063740"/>
          <a:ext cx="107442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a:solidFill>
                <a:schemeClr val="bg1">
                  <a:lumMod val="50000"/>
                </a:schemeClr>
              </a:solidFill>
            </a:rPr>
            <a:t>Above Average</a:t>
          </a:r>
        </a:p>
      </xdr:txBody>
    </xdr:sp>
    <xdr:clientData/>
  </xdr:twoCellAnchor>
  <xdr:twoCellAnchor>
    <xdr:from>
      <xdr:col>0</xdr:col>
      <xdr:colOff>518160</xdr:colOff>
      <xdr:row>26</xdr:row>
      <xdr:rowOff>106680</xdr:rowOff>
    </xdr:from>
    <xdr:to>
      <xdr:col>7</xdr:col>
      <xdr:colOff>190500</xdr:colOff>
      <xdr:row>28</xdr:row>
      <xdr:rowOff>53340</xdr:rowOff>
    </xdr:to>
    <xdr:sp macro="" textlink="">
      <xdr:nvSpPr>
        <xdr:cNvPr id="68" name="TextBox 67">
          <a:extLst>
            <a:ext uri="{FF2B5EF4-FFF2-40B4-BE49-F238E27FC236}">
              <a16:creationId xmlns:a16="http://schemas.microsoft.com/office/drawing/2014/main" id="{00000000-0008-0000-0500-000044000000}"/>
            </a:ext>
          </a:extLst>
        </xdr:cNvPr>
        <xdr:cNvSpPr txBox="1"/>
      </xdr:nvSpPr>
      <xdr:spPr>
        <a:xfrm>
          <a:off x="518160" y="4861560"/>
          <a:ext cx="393954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b="0">
              <a:solidFill>
                <a:schemeClr val="tx1">
                  <a:lumMod val="85000"/>
                  <a:lumOff val="15000"/>
                </a:schemeClr>
              </a:solidFill>
            </a:rPr>
            <a:t>Revenue by Quarter</a:t>
          </a:r>
          <a:r>
            <a:rPr lang="en-US" sz="1600" b="0" baseline="0">
              <a:solidFill>
                <a:schemeClr val="tx1">
                  <a:lumMod val="85000"/>
                  <a:lumOff val="15000"/>
                </a:schemeClr>
              </a:solidFill>
            </a:rPr>
            <a:t> </a:t>
          </a:r>
          <a:r>
            <a:rPr lang="en-US" sz="1600" b="0">
              <a:solidFill>
                <a:schemeClr val="tx1">
                  <a:lumMod val="85000"/>
                  <a:lumOff val="15000"/>
                </a:schemeClr>
              </a:solidFill>
            </a:rPr>
            <a:t>Vs</a:t>
          </a:r>
          <a:r>
            <a:rPr lang="en-US" sz="1600" b="0" baseline="0">
              <a:solidFill>
                <a:schemeClr val="tx1">
                  <a:lumMod val="85000"/>
                  <a:lumOff val="15000"/>
                </a:schemeClr>
              </a:solidFill>
            </a:rPr>
            <a:t> Percentage change</a:t>
          </a:r>
          <a:endParaRPr lang="en-US" sz="1600" b="0">
            <a:solidFill>
              <a:schemeClr val="tx1">
                <a:lumMod val="85000"/>
                <a:lumOff val="15000"/>
              </a:schemeClr>
            </a:solidFill>
          </a:endParaRPr>
        </a:p>
      </xdr:txBody>
    </xdr:sp>
    <xdr:clientData/>
  </xdr:twoCellAnchor>
  <xdr:twoCellAnchor>
    <xdr:from>
      <xdr:col>0</xdr:col>
      <xdr:colOff>525780</xdr:colOff>
      <xdr:row>27</xdr:row>
      <xdr:rowOff>160020</xdr:rowOff>
    </xdr:from>
    <xdr:to>
      <xdr:col>4</xdr:col>
      <xdr:colOff>182880</xdr:colOff>
      <xdr:row>29</xdr:row>
      <xdr:rowOff>76200</xdr:rowOff>
    </xdr:to>
    <xdr:sp macro="" textlink="">
      <xdr:nvSpPr>
        <xdr:cNvPr id="69" name="TextBox 68">
          <a:extLst>
            <a:ext uri="{FF2B5EF4-FFF2-40B4-BE49-F238E27FC236}">
              <a16:creationId xmlns:a16="http://schemas.microsoft.com/office/drawing/2014/main" id="{00000000-0008-0000-0500-000045000000}"/>
            </a:ext>
          </a:extLst>
        </xdr:cNvPr>
        <xdr:cNvSpPr txBox="1"/>
      </xdr:nvSpPr>
      <xdr:spPr>
        <a:xfrm>
          <a:off x="525780" y="5097780"/>
          <a:ext cx="20955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a:solidFill>
                <a:schemeClr val="bg1">
                  <a:lumMod val="50000"/>
                </a:schemeClr>
              </a:solidFill>
            </a:rPr>
            <a:t>The</a:t>
          </a:r>
          <a:r>
            <a:rPr lang="en-US" sz="1200" b="0" baseline="0">
              <a:solidFill>
                <a:schemeClr val="bg1">
                  <a:lumMod val="50000"/>
                </a:schemeClr>
              </a:solidFill>
            </a:rPr>
            <a:t> Line in the chart indicates</a:t>
          </a:r>
          <a:endParaRPr lang="en-US" sz="1200" b="0">
            <a:solidFill>
              <a:schemeClr val="bg1">
                <a:lumMod val="50000"/>
              </a:schemeClr>
            </a:solidFill>
          </a:endParaRPr>
        </a:p>
      </xdr:txBody>
    </xdr:sp>
    <xdr:clientData/>
  </xdr:twoCellAnchor>
  <xdr:twoCellAnchor>
    <xdr:from>
      <xdr:col>3</xdr:col>
      <xdr:colOff>586740</xdr:colOff>
      <xdr:row>27</xdr:row>
      <xdr:rowOff>167640</xdr:rowOff>
    </xdr:from>
    <xdr:to>
      <xdr:col>5</xdr:col>
      <xdr:colOff>167640</xdr:colOff>
      <xdr:row>29</xdr:row>
      <xdr:rowOff>83820</xdr:rowOff>
    </xdr:to>
    <xdr:sp macro="" textlink="'Analysis 2'!V20">
      <xdr:nvSpPr>
        <xdr:cNvPr id="70" name="TextBox 69">
          <a:extLst>
            <a:ext uri="{FF2B5EF4-FFF2-40B4-BE49-F238E27FC236}">
              <a16:creationId xmlns:a16="http://schemas.microsoft.com/office/drawing/2014/main" id="{00000000-0008-0000-0500-000046000000}"/>
            </a:ext>
          </a:extLst>
        </xdr:cNvPr>
        <xdr:cNvSpPr txBox="1"/>
      </xdr:nvSpPr>
      <xdr:spPr>
        <a:xfrm>
          <a:off x="2415540" y="5105400"/>
          <a:ext cx="8001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1FCA09D-1547-4521-8E80-2890BF71BEC8}" type="TxLink">
            <a:rPr lang="en-US" sz="1100" b="0" i="0" u="none" strike="noStrike">
              <a:solidFill>
                <a:srgbClr val="000000"/>
              </a:solidFill>
              <a:latin typeface="Calibri"/>
              <a:ea typeface="Calibri"/>
              <a:cs typeface="Calibri"/>
            </a:rPr>
            <a:pPr algn="l"/>
            <a:t>$778,116</a:t>
          </a:fld>
          <a:endParaRPr lang="en-US" sz="1200" b="0">
            <a:solidFill>
              <a:schemeClr val="tx1">
                <a:lumMod val="65000"/>
                <a:lumOff val="35000"/>
              </a:schemeClr>
            </a:solidFill>
          </a:endParaRPr>
        </a:p>
      </xdr:txBody>
    </xdr:sp>
    <xdr:clientData/>
  </xdr:twoCellAnchor>
  <xdr:twoCellAnchor>
    <xdr:from>
      <xdr:col>4</xdr:col>
      <xdr:colOff>541020</xdr:colOff>
      <xdr:row>27</xdr:row>
      <xdr:rowOff>160020</xdr:rowOff>
    </xdr:from>
    <xdr:to>
      <xdr:col>7</xdr:col>
      <xdr:colOff>106680</xdr:colOff>
      <xdr:row>29</xdr:row>
      <xdr:rowOff>76200</xdr:rowOff>
    </xdr:to>
    <xdr:sp macro="" textlink="'Analysis 2'!D18">
      <xdr:nvSpPr>
        <xdr:cNvPr id="71" name="TextBox 70">
          <a:extLst>
            <a:ext uri="{FF2B5EF4-FFF2-40B4-BE49-F238E27FC236}">
              <a16:creationId xmlns:a16="http://schemas.microsoft.com/office/drawing/2014/main" id="{00000000-0008-0000-0500-000047000000}"/>
            </a:ext>
          </a:extLst>
        </xdr:cNvPr>
        <xdr:cNvSpPr txBox="1"/>
      </xdr:nvSpPr>
      <xdr:spPr>
        <a:xfrm>
          <a:off x="2979420" y="5097780"/>
          <a:ext cx="13944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chemeClr val="bg1">
                  <a:lumMod val="50000"/>
                </a:schemeClr>
              </a:solidFill>
              <a:latin typeface="Calibri"/>
              <a:ea typeface="Calibri"/>
              <a:cs typeface="Calibri"/>
            </a:rPr>
            <a:t>average Revenue</a:t>
          </a:r>
          <a:endParaRPr lang="en-US" sz="1400" b="0">
            <a:solidFill>
              <a:schemeClr val="bg1">
                <a:lumMod val="50000"/>
              </a:schemeClr>
            </a:solidFill>
          </a:endParaRPr>
        </a:p>
      </xdr:txBody>
    </xdr:sp>
    <xdr:clientData/>
  </xdr:twoCellAnchor>
  <xdr:twoCellAnchor>
    <xdr:from>
      <xdr:col>10</xdr:col>
      <xdr:colOff>236220</xdr:colOff>
      <xdr:row>7</xdr:row>
      <xdr:rowOff>53340</xdr:rowOff>
    </xdr:from>
    <xdr:to>
      <xdr:col>12</xdr:col>
      <xdr:colOff>457200</xdr:colOff>
      <xdr:row>10</xdr:row>
      <xdr:rowOff>45720</xdr:rowOff>
    </xdr:to>
    <xdr:sp macro="" textlink="">
      <xdr:nvSpPr>
        <xdr:cNvPr id="72" name="TextBox 71">
          <a:extLst>
            <a:ext uri="{FF2B5EF4-FFF2-40B4-BE49-F238E27FC236}">
              <a16:creationId xmlns:a16="http://schemas.microsoft.com/office/drawing/2014/main" id="{00000000-0008-0000-0500-000048000000}"/>
            </a:ext>
          </a:extLst>
        </xdr:cNvPr>
        <xdr:cNvSpPr txBox="1"/>
      </xdr:nvSpPr>
      <xdr:spPr>
        <a:xfrm>
          <a:off x="6332220" y="1333500"/>
          <a:ext cx="1440180" cy="541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tx1">
                  <a:lumMod val="65000"/>
                  <a:lumOff val="35000"/>
                </a:schemeClr>
              </a:solidFill>
            </a:rPr>
            <a:t>Total Revenue </a:t>
          </a:r>
        </a:p>
      </xdr:txBody>
    </xdr:sp>
    <xdr:clientData/>
  </xdr:twoCellAnchor>
  <xdr:twoCellAnchor>
    <xdr:from>
      <xdr:col>13</xdr:col>
      <xdr:colOff>487680</xdr:colOff>
      <xdr:row>7</xdr:row>
      <xdr:rowOff>53340</xdr:rowOff>
    </xdr:from>
    <xdr:to>
      <xdr:col>15</xdr:col>
      <xdr:colOff>601980</xdr:colOff>
      <xdr:row>10</xdr:row>
      <xdr:rowOff>45720</xdr:rowOff>
    </xdr:to>
    <xdr:sp macro="" textlink="">
      <xdr:nvSpPr>
        <xdr:cNvPr id="73" name="TextBox 72">
          <a:extLst>
            <a:ext uri="{FF2B5EF4-FFF2-40B4-BE49-F238E27FC236}">
              <a16:creationId xmlns:a16="http://schemas.microsoft.com/office/drawing/2014/main" id="{00000000-0008-0000-0500-000049000000}"/>
            </a:ext>
          </a:extLst>
        </xdr:cNvPr>
        <xdr:cNvSpPr txBox="1"/>
      </xdr:nvSpPr>
      <xdr:spPr>
        <a:xfrm>
          <a:off x="8412480" y="1333500"/>
          <a:ext cx="1333500" cy="541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a:solidFill>
                <a:schemeClr val="tx1">
                  <a:lumMod val="65000"/>
                  <a:lumOff val="35000"/>
                </a:schemeClr>
              </a:solidFill>
              <a:latin typeface="+mn-lt"/>
              <a:ea typeface="+mn-ea"/>
              <a:cs typeface="+mn-cs"/>
            </a:rPr>
            <a:t>Total Target</a:t>
          </a:r>
        </a:p>
      </xdr:txBody>
    </xdr:sp>
    <xdr:clientData/>
  </xdr:twoCellAnchor>
  <xdr:twoCellAnchor>
    <xdr:from>
      <xdr:col>17</xdr:col>
      <xdr:colOff>175260</xdr:colOff>
      <xdr:row>7</xdr:row>
      <xdr:rowOff>53340</xdr:rowOff>
    </xdr:from>
    <xdr:to>
      <xdr:col>19</xdr:col>
      <xdr:colOff>7620</xdr:colOff>
      <xdr:row>10</xdr:row>
      <xdr:rowOff>45720</xdr:rowOff>
    </xdr:to>
    <xdr:sp macro="" textlink="">
      <xdr:nvSpPr>
        <xdr:cNvPr id="74" name="TextBox 73">
          <a:extLst>
            <a:ext uri="{FF2B5EF4-FFF2-40B4-BE49-F238E27FC236}">
              <a16:creationId xmlns:a16="http://schemas.microsoft.com/office/drawing/2014/main" id="{00000000-0008-0000-0500-00004A000000}"/>
            </a:ext>
          </a:extLst>
        </xdr:cNvPr>
        <xdr:cNvSpPr txBox="1"/>
      </xdr:nvSpPr>
      <xdr:spPr>
        <a:xfrm>
          <a:off x="10538460" y="1333500"/>
          <a:ext cx="1051560" cy="541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a:solidFill>
                <a:schemeClr val="tx1">
                  <a:lumMod val="65000"/>
                  <a:lumOff val="35000"/>
                </a:schemeClr>
              </a:solidFill>
              <a:latin typeface="+mn-lt"/>
              <a:ea typeface="+mn-ea"/>
              <a:cs typeface="+mn-cs"/>
            </a:rPr>
            <a:t>Variance%</a:t>
          </a:r>
        </a:p>
      </xdr:txBody>
    </xdr:sp>
    <xdr:clientData/>
  </xdr:twoCellAnchor>
  <xdr:twoCellAnchor>
    <xdr:from>
      <xdr:col>10</xdr:col>
      <xdr:colOff>243840</xdr:colOff>
      <xdr:row>8</xdr:row>
      <xdr:rowOff>144780</xdr:rowOff>
    </xdr:from>
    <xdr:to>
      <xdr:col>12</xdr:col>
      <xdr:colOff>464820</xdr:colOff>
      <xdr:row>11</xdr:row>
      <xdr:rowOff>137160</xdr:rowOff>
    </xdr:to>
    <xdr:sp macro="" textlink="'Analysis 1'!C17">
      <xdr:nvSpPr>
        <xdr:cNvPr id="75" name="TextBox 74">
          <a:extLst>
            <a:ext uri="{FF2B5EF4-FFF2-40B4-BE49-F238E27FC236}">
              <a16:creationId xmlns:a16="http://schemas.microsoft.com/office/drawing/2014/main" id="{00000000-0008-0000-0500-00004B000000}"/>
            </a:ext>
          </a:extLst>
        </xdr:cNvPr>
        <xdr:cNvSpPr txBox="1"/>
      </xdr:nvSpPr>
      <xdr:spPr>
        <a:xfrm>
          <a:off x="6339840" y="1607820"/>
          <a:ext cx="1440180" cy="541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CCA1FFA-147F-4C81-8008-04F0B3017B73}" type="TxLink">
            <a:rPr lang="en-US" sz="2000" b="0" i="0" u="none" strike="noStrike">
              <a:solidFill>
                <a:srgbClr val="1C6EA4"/>
              </a:solidFill>
              <a:latin typeface="+mn-lt"/>
              <a:ea typeface="+mn-ea"/>
              <a:cs typeface="+mn-cs"/>
            </a:rPr>
            <a:pPr marL="0" indent="0" algn="ctr"/>
            <a:t>$5.45 M</a:t>
          </a:fld>
          <a:endParaRPr lang="en-US" sz="2000">
            <a:solidFill>
              <a:srgbClr val="1C6EA4"/>
            </a:solidFill>
            <a:latin typeface="+mn-lt"/>
            <a:ea typeface="+mn-ea"/>
            <a:cs typeface="+mn-cs"/>
          </a:endParaRPr>
        </a:p>
      </xdr:txBody>
    </xdr:sp>
    <xdr:clientData/>
  </xdr:twoCellAnchor>
  <xdr:twoCellAnchor>
    <xdr:from>
      <xdr:col>13</xdr:col>
      <xdr:colOff>457200</xdr:colOff>
      <xdr:row>8</xdr:row>
      <xdr:rowOff>144780</xdr:rowOff>
    </xdr:from>
    <xdr:to>
      <xdr:col>16</xdr:col>
      <xdr:colOff>68580</xdr:colOff>
      <xdr:row>11</xdr:row>
      <xdr:rowOff>137160</xdr:rowOff>
    </xdr:to>
    <xdr:sp macro="" textlink="'Analysis 1'!M17">
      <xdr:nvSpPr>
        <xdr:cNvPr id="76" name="TextBox 75">
          <a:extLst>
            <a:ext uri="{FF2B5EF4-FFF2-40B4-BE49-F238E27FC236}">
              <a16:creationId xmlns:a16="http://schemas.microsoft.com/office/drawing/2014/main" id="{00000000-0008-0000-0500-00004C000000}"/>
            </a:ext>
          </a:extLst>
        </xdr:cNvPr>
        <xdr:cNvSpPr txBox="1"/>
      </xdr:nvSpPr>
      <xdr:spPr>
        <a:xfrm>
          <a:off x="8382000" y="1607820"/>
          <a:ext cx="1440180" cy="541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F125E0A-DD77-4A30-B028-3F58DAE15B29}" type="TxLink">
            <a:rPr lang="en-US" sz="2000" b="0" i="0" u="none" strike="noStrike">
              <a:solidFill>
                <a:schemeClr val="tx1">
                  <a:lumMod val="65000"/>
                  <a:lumOff val="35000"/>
                </a:schemeClr>
              </a:solidFill>
              <a:latin typeface="+mn-lt"/>
              <a:ea typeface="+mn-ea"/>
              <a:cs typeface="+mn-cs"/>
            </a:rPr>
            <a:pPr marL="0" indent="0" algn="ctr"/>
            <a:t>$5.25 M</a:t>
          </a:fld>
          <a:endParaRPr lang="en-US" sz="2000">
            <a:solidFill>
              <a:schemeClr val="tx1">
                <a:lumMod val="65000"/>
                <a:lumOff val="35000"/>
              </a:schemeClr>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16</xdr:col>
          <xdr:colOff>448666</xdr:colOff>
          <xdr:row>9</xdr:row>
          <xdr:rowOff>45720</xdr:rowOff>
        </xdr:from>
        <xdr:to>
          <xdr:col>19</xdr:col>
          <xdr:colOff>397154</xdr:colOff>
          <xdr:row>11</xdr:row>
          <xdr:rowOff>53340</xdr:rowOff>
        </xdr:to>
        <xdr:pic>
          <xdr:nvPicPr>
            <xdr:cNvPr id="77" name="Picture 76">
              <a:extLst>
                <a:ext uri="{FF2B5EF4-FFF2-40B4-BE49-F238E27FC236}">
                  <a16:creationId xmlns:a16="http://schemas.microsoft.com/office/drawing/2014/main" id="{00000000-0008-0000-0500-00004D000000}"/>
                </a:ext>
              </a:extLst>
            </xdr:cNvPr>
            <xdr:cNvPicPr>
              <a:picLocks noChangeAspect="1" noChangeArrowheads="1"/>
              <a:extLst>
                <a:ext uri="{84589F7E-364E-4C9E-8A38-B11213B215E9}">
                  <a14:cameraTool cellRange="'Analysis 1'!C26" spid="_x0000_s3312"/>
                </a:ext>
              </a:extLst>
            </xdr:cNvPicPr>
          </xdr:nvPicPr>
          <xdr:blipFill>
            <a:blip xmlns:r="http://schemas.openxmlformats.org/officeDocument/2006/relationships" r:embed="rId8"/>
            <a:srcRect/>
            <a:stretch>
              <a:fillRect/>
            </a:stretch>
          </xdr:blipFill>
          <xdr:spPr bwMode="auto">
            <a:xfrm>
              <a:off x="10202266" y="1691640"/>
              <a:ext cx="1777288" cy="37338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10</xdr:col>
      <xdr:colOff>304800</xdr:colOff>
      <xdr:row>8</xdr:row>
      <xdr:rowOff>68580</xdr:rowOff>
    </xdr:from>
    <xdr:to>
      <xdr:col>10</xdr:col>
      <xdr:colOff>304800</xdr:colOff>
      <xdr:row>10</xdr:row>
      <xdr:rowOff>160020</xdr:rowOff>
    </xdr:to>
    <xdr:cxnSp macro="">
      <xdr:nvCxnSpPr>
        <xdr:cNvPr id="88" name="Straight Connector 87">
          <a:extLst>
            <a:ext uri="{FF2B5EF4-FFF2-40B4-BE49-F238E27FC236}">
              <a16:creationId xmlns:a16="http://schemas.microsoft.com/office/drawing/2014/main" id="{00000000-0008-0000-0500-000058000000}"/>
            </a:ext>
          </a:extLst>
        </xdr:cNvPr>
        <xdr:cNvCxnSpPr/>
      </xdr:nvCxnSpPr>
      <xdr:spPr>
        <a:xfrm>
          <a:off x="6400800" y="1531620"/>
          <a:ext cx="0" cy="457200"/>
        </a:xfrm>
        <a:prstGeom prst="line">
          <a:avLst/>
        </a:prstGeom>
        <a:ln w="3492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7620</xdr:colOff>
      <xdr:row>8</xdr:row>
      <xdr:rowOff>60960</xdr:rowOff>
    </xdr:from>
    <xdr:to>
      <xdr:col>14</xdr:col>
      <xdr:colOff>7620</xdr:colOff>
      <xdr:row>10</xdr:row>
      <xdr:rowOff>152400</xdr:rowOff>
    </xdr:to>
    <xdr:cxnSp macro="">
      <xdr:nvCxnSpPr>
        <xdr:cNvPr id="89" name="Straight Connector 88">
          <a:extLst>
            <a:ext uri="{FF2B5EF4-FFF2-40B4-BE49-F238E27FC236}">
              <a16:creationId xmlns:a16="http://schemas.microsoft.com/office/drawing/2014/main" id="{00000000-0008-0000-0500-000059000000}"/>
            </a:ext>
          </a:extLst>
        </xdr:cNvPr>
        <xdr:cNvCxnSpPr/>
      </xdr:nvCxnSpPr>
      <xdr:spPr>
        <a:xfrm>
          <a:off x="8542020" y="1524000"/>
          <a:ext cx="0" cy="457200"/>
        </a:xfrm>
        <a:prstGeom prst="line">
          <a:avLst/>
        </a:prstGeom>
        <a:ln w="3492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190500</xdr:colOff>
      <xdr:row>8</xdr:row>
      <xdr:rowOff>53340</xdr:rowOff>
    </xdr:from>
    <xdr:to>
      <xdr:col>17</xdr:col>
      <xdr:colOff>190500</xdr:colOff>
      <xdr:row>10</xdr:row>
      <xdr:rowOff>144780</xdr:rowOff>
    </xdr:to>
    <xdr:cxnSp macro="">
      <xdr:nvCxnSpPr>
        <xdr:cNvPr id="90" name="Straight Connector 89">
          <a:extLst>
            <a:ext uri="{FF2B5EF4-FFF2-40B4-BE49-F238E27FC236}">
              <a16:creationId xmlns:a16="http://schemas.microsoft.com/office/drawing/2014/main" id="{00000000-0008-0000-0500-00005A000000}"/>
            </a:ext>
          </a:extLst>
        </xdr:cNvPr>
        <xdr:cNvCxnSpPr/>
      </xdr:nvCxnSpPr>
      <xdr:spPr>
        <a:xfrm>
          <a:off x="10553700" y="1516380"/>
          <a:ext cx="0" cy="457200"/>
        </a:xfrm>
        <a:prstGeom prst="line">
          <a:avLst/>
        </a:prstGeom>
        <a:ln w="3492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441960</xdr:colOff>
      <xdr:row>26</xdr:row>
      <xdr:rowOff>76200</xdr:rowOff>
    </xdr:from>
    <xdr:to>
      <xdr:col>19</xdr:col>
      <xdr:colOff>381000</xdr:colOff>
      <xdr:row>40</xdr:row>
      <xdr:rowOff>160020</xdr:rowOff>
    </xdr:to>
    <xdr:graphicFrame macro="">
      <xdr:nvGraphicFramePr>
        <xdr:cNvPr id="113" name="Chart 112">
          <a:extLst>
            <a:ext uri="{FF2B5EF4-FFF2-40B4-BE49-F238E27FC236}">
              <a16:creationId xmlns:a16="http://schemas.microsoft.com/office/drawing/2014/main" id="{00000000-0008-0000-0500-00007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198120</xdr:colOff>
      <xdr:row>14</xdr:row>
      <xdr:rowOff>38100</xdr:rowOff>
    </xdr:from>
    <xdr:to>
      <xdr:col>19</xdr:col>
      <xdr:colOff>419100</xdr:colOff>
      <xdr:row>25</xdr:row>
      <xdr:rowOff>160020</xdr:rowOff>
    </xdr:to>
    <xdr:graphicFrame macro="">
      <xdr:nvGraphicFramePr>
        <xdr:cNvPr id="114" name="Chart 113">
          <a:extLst>
            <a:ext uri="{FF2B5EF4-FFF2-40B4-BE49-F238E27FC236}">
              <a16:creationId xmlns:a16="http://schemas.microsoft.com/office/drawing/2014/main" id="{00000000-0008-0000-05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xdr:col>
      <xdr:colOff>0</xdr:colOff>
      <xdr:row>13</xdr:row>
      <xdr:rowOff>114300</xdr:rowOff>
    </xdr:from>
    <xdr:to>
      <xdr:col>14</xdr:col>
      <xdr:colOff>342900</xdr:colOff>
      <xdr:row>15</xdr:row>
      <xdr:rowOff>22860</xdr:rowOff>
    </xdr:to>
    <xdr:sp macro="" textlink="">
      <xdr:nvSpPr>
        <xdr:cNvPr id="115" name="TextBox 114">
          <a:extLst>
            <a:ext uri="{FF2B5EF4-FFF2-40B4-BE49-F238E27FC236}">
              <a16:creationId xmlns:a16="http://schemas.microsoft.com/office/drawing/2014/main" id="{00000000-0008-0000-0500-000073000000}"/>
            </a:ext>
          </a:extLst>
        </xdr:cNvPr>
        <xdr:cNvSpPr txBox="1"/>
      </xdr:nvSpPr>
      <xdr:spPr>
        <a:xfrm>
          <a:off x="6096000" y="2491740"/>
          <a:ext cx="278130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tx1">
                  <a:lumMod val="65000"/>
                  <a:lumOff val="35000"/>
                </a:schemeClr>
              </a:solidFill>
            </a:rPr>
            <a:t>Revenue vs</a:t>
          </a:r>
          <a:r>
            <a:rPr lang="en-US" sz="1600" baseline="0">
              <a:solidFill>
                <a:schemeClr val="tx1">
                  <a:lumMod val="65000"/>
                  <a:lumOff val="35000"/>
                </a:schemeClr>
              </a:solidFill>
            </a:rPr>
            <a:t> Target by month</a:t>
          </a:r>
          <a:endParaRPr lang="en-US" sz="1600">
            <a:solidFill>
              <a:schemeClr val="tx1">
                <a:lumMod val="65000"/>
                <a:lumOff val="35000"/>
              </a:schemeClr>
            </a:solidFill>
          </a:endParaRPr>
        </a:p>
      </xdr:txBody>
    </xdr:sp>
    <xdr:clientData/>
  </xdr:twoCellAnchor>
  <xdr:twoCellAnchor>
    <xdr:from>
      <xdr:col>10</xdr:col>
      <xdr:colOff>205740</xdr:colOff>
      <xdr:row>14</xdr:row>
      <xdr:rowOff>175260</xdr:rowOff>
    </xdr:from>
    <xdr:to>
      <xdr:col>12</xdr:col>
      <xdr:colOff>45720</xdr:colOff>
      <xdr:row>14</xdr:row>
      <xdr:rowOff>175260</xdr:rowOff>
    </xdr:to>
    <xdr:cxnSp macro="">
      <xdr:nvCxnSpPr>
        <xdr:cNvPr id="117" name="Straight Connector 116">
          <a:extLst>
            <a:ext uri="{FF2B5EF4-FFF2-40B4-BE49-F238E27FC236}">
              <a16:creationId xmlns:a16="http://schemas.microsoft.com/office/drawing/2014/main" id="{00000000-0008-0000-0500-000075000000}"/>
            </a:ext>
          </a:extLst>
        </xdr:cNvPr>
        <xdr:cNvCxnSpPr/>
      </xdr:nvCxnSpPr>
      <xdr:spPr>
        <a:xfrm>
          <a:off x="6301740" y="2735580"/>
          <a:ext cx="1059180" cy="0"/>
        </a:xfrm>
        <a:prstGeom prst="line">
          <a:avLst/>
        </a:prstGeom>
        <a:ln w="19050">
          <a:solidFill>
            <a:schemeClr val="accent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266700</xdr:colOff>
      <xdr:row>1</xdr:row>
      <xdr:rowOff>152400</xdr:rowOff>
    </xdr:from>
    <xdr:to>
      <xdr:col>22</xdr:col>
      <xdr:colOff>335280</xdr:colOff>
      <xdr:row>3</xdr:row>
      <xdr:rowOff>175260</xdr:rowOff>
    </xdr:to>
    <xdr:sp macro="[0]!ToggleSlicers" textlink="">
      <xdr:nvSpPr>
        <xdr:cNvPr id="3" name="Rectangle: Rounded Corners 2">
          <a:extLst>
            <a:ext uri="{FF2B5EF4-FFF2-40B4-BE49-F238E27FC236}">
              <a16:creationId xmlns:a16="http://schemas.microsoft.com/office/drawing/2014/main" id="{00000000-0008-0000-0500-000003000000}"/>
            </a:ext>
          </a:extLst>
        </xdr:cNvPr>
        <xdr:cNvSpPr/>
      </xdr:nvSpPr>
      <xdr:spPr>
        <a:xfrm>
          <a:off x="12458700" y="335280"/>
          <a:ext cx="1287780" cy="388620"/>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396240</xdr:colOff>
      <xdr:row>2</xdr:row>
      <xdr:rowOff>7620</xdr:rowOff>
    </xdr:from>
    <xdr:to>
      <xdr:col>22</xdr:col>
      <xdr:colOff>205740</xdr:colOff>
      <xdr:row>3</xdr:row>
      <xdr:rowOff>121920</xdr:rowOff>
    </xdr:to>
    <xdr:sp macro="[0]!Module1.ToggleSlicers" textlink="">
      <xdr:nvSpPr>
        <xdr:cNvPr id="12" name="TextBox 11">
          <a:extLst>
            <a:ext uri="{FF2B5EF4-FFF2-40B4-BE49-F238E27FC236}">
              <a16:creationId xmlns:a16="http://schemas.microsoft.com/office/drawing/2014/main" id="{00000000-0008-0000-0500-00000C000000}"/>
            </a:ext>
          </a:extLst>
        </xdr:cNvPr>
        <xdr:cNvSpPr txBox="1"/>
      </xdr:nvSpPr>
      <xdr:spPr>
        <a:xfrm>
          <a:off x="12588240" y="373380"/>
          <a:ext cx="102870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0">
              <a:solidFill>
                <a:schemeClr val="bg1"/>
              </a:solidFill>
            </a:rPr>
            <a:t>Open Filter</a:t>
          </a:r>
        </a:p>
      </xdr:txBody>
    </xdr:sp>
    <xdr:clientData/>
  </xdr:twoCellAnchor>
  <xdr:twoCellAnchor>
    <xdr:from>
      <xdr:col>20</xdr:col>
      <xdr:colOff>60960</xdr:colOff>
      <xdr:row>1</xdr:row>
      <xdr:rowOff>144780</xdr:rowOff>
    </xdr:from>
    <xdr:to>
      <xdr:col>23</xdr:col>
      <xdr:colOff>320040</xdr:colOff>
      <xdr:row>40</xdr:row>
      <xdr:rowOff>121920</xdr:rowOff>
    </xdr:to>
    <xdr:grpSp>
      <xdr:nvGrpSpPr>
        <xdr:cNvPr id="62" name="Group 61" hidden="1">
          <a:extLst>
            <a:ext uri="{FF2B5EF4-FFF2-40B4-BE49-F238E27FC236}">
              <a16:creationId xmlns:a16="http://schemas.microsoft.com/office/drawing/2014/main" id="{00000000-0008-0000-0500-00003E000000}"/>
            </a:ext>
          </a:extLst>
        </xdr:cNvPr>
        <xdr:cNvGrpSpPr/>
      </xdr:nvGrpSpPr>
      <xdr:grpSpPr>
        <a:xfrm>
          <a:off x="12252960" y="327660"/>
          <a:ext cx="2087880" cy="7109460"/>
          <a:chOff x="12260580" y="335280"/>
          <a:chExt cx="2087880" cy="6720840"/>
        </a:xfrm>
      </xdr:grpSpPr>
      <xdr:grpSp>
        <xdr:nvGrpSpPr>
          <xdr:cNvPr id="10" name="fgroup1" hidden="1">
            <a:extLst>
              <a:ext uri="{FF2B5EF4-FFF2-40B4-BE49-F238E27FC236}">
                <a16:creationId xmlns:a16="http://schemas.microsoft.com/office/drawing/2014/main" id="{00000000-0008-0000-0500-00000A000000}"/>
              </a:ext>
            </a:extLst>
          </xdr:cNvPr>
          <xdr:cNvGrpSpPr/>
        </xdr:nvGrpSpPr>
        <xdr:grpSpPr>
          <a:xfrm>
            <a:off x="12260580" y="1211580"/>
            <a:ext cx="2087880" cy="5844540"/>
            <a:chOff x="12260580" y="1211580"/>
            <a:chExt cx="2087880" cy="5844540"/>
          </a:xfrm>
        </xdr:grpSpPr>
        <xdr:sp macro="" textlink="">
          <xdr:nvSpPr>
            <xdr:cNvPr id="56" name="Rectangle: Diagonal Corners Rounded 55" hidden="1">
              <a:extLst>
                <a:ext uri="{FF2B5EF4-FFF2-40B4-BE49-F238E27FC236}">
                  <a16:creationId xmlns:a16="http://schemas.microsoft.com/office/drawing/2014/main" id="{00000000-0008-0000-0500-000038000000}"/>
                </a:ext>
              </a:extLst>
            </xdr:cNvPr>
            <xdr:cNvSpPr/>
          </xdr:nvSpPr>
          <xdr:spPr>
            <a:xfrm>
              <a:off x="12260580" y="1211580"/>
              <a:ext cx="2087880" cy="5844540"/>
            </a:xfrm>
            <a:prstGeom prst="round2DiagRect">
              <a:avLst>
                <a:gd name="adj1" fmla="val 7530"/>
                <a:gd name="adj2" fmla="val 0"/>
              </a:avLst>
            </a:prstGeom>
            <a:solidFill>
              <a:srgbClr val="154D7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41" name="Store Name" hidden="1">
                  <a:extLst>
                    <a:ext uri="{FF2B5EF4-FFF2-40B4-BE49-F238E27FC236}">
                      <a16:creationId xmlns:a16="http://schemas.microsoft.com/office/drawing/2014/main" id="{00000000-0008-0000-0500-000029000000}"/>
                    </a:ext>
                  </a:extLst>
                </xdr:cNvPr>
                <xdr:cNvGraphicFramePr/>
              </xdr:nvGraphicFramePr>
              <xdr:xfrm>
                <a:off x="12306300" y="1303020"/>
                <a:ext cx="1981200" cy="5570220"/>
              </xdr:xfrm>
              <a:graphic>
                <a:graphicData uri="http://schemas.microsoft.com/office/drawing/2010/slicer">
                  <sle:slicer xmlns:sle="http://schemas.microsoft.com/office/drawing/2010/slicer" name="Store Name"/>
                </a:graphicData>
              </a:graphic>
            </xdr:graphicFrame>
          </mc:Choice>
          <mc:Fallback xmlns="">
            <xdr:sp macro="" textlink="">
              <xdr:nvSpPr>
                <xdr:cNvPr id="0" name=""/>
                <xdr:cNvSpPr>
                  <a:spLocks noTextEdit="1"/>
                </xdr:cNvSpPr>
              </xdr:nvSpPr>
              <xdr:spPr>
                <a:xfrm>
                  <a:off x="12298680" y="1351357"/>
                  <a:ext cx="1981200" cy="58923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sp macro="[0]!ToggleSlicers" textlink="">
        <xdr:nvSpPr>
          <xdr:cNvPr id="13" name="Rectangle: Rounded Corners 12" hidden="1">
            <a:extLst>
              <a:ext uri="{FF2B5EF4-FFF2-40B4-BE49-F238E27FC236}">
                <a16:creationId xmlns:a16="http://schemas.microsoft.com/office/drawing/2014/main" id="{00000000-0008-0000-0500-00000D000000}"/>
              </a:ext>
            </a:extLst>
          </xdr:cNvPr>
          <xdr:cNvSpPr/>
        </xdr:nvSpPr>
        <xdr:spPr>
          <a:xfrm>
            <a:off x="12466320" y="335280"/>
            <a:ext cx="1287780" cy="388620"/>
          </a:xfrm>
          <a:prstGeom prst="round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Module1.ToggleSlicers" textlink="">
        <xdr:nvSpPr>
          <xdr:cNvPr id="61" name="TextBox 60" hidden="1">
            <a:extLst>
              <a:ext uri="{FF2B5EF4-FFF2-40B4-BE49-F238E27FC236}">
                <a16:creationId xmlns:a16="http://schemas.microsoft.com/office/drawing/2014/main" id="{00000000-0008-0000-0500-00003D000000}"/>
              </a:ext>
            </a:extLst>
          </xdr:cNvPr>
          <xdr:cNvSpPr txBox="1"/>
        </xdr:nvSpPr>
        <xdr:spPr>
          <a:xfrm>
            <a:off x="12595860" y="373380"/>
            <a:ext cx="102870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0">
                <a:solidFill>
                  <a:schemeClr val="bg1"/>
                </a:solidFill>
              </a:rPr>
              <a:t>Close Filter</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601980</xdr:colOff>
      <xdr:row>7</xdr:row>
      <xdr:rowOff>106680</xdr:rowOff>
    </xdr:from>
    <xdr:to>
      <xdr:col>20</xdr:col>
      <xdr:colOff>0</xdr:colOff>
      <xdr:row>42</xdr:row>
      <xdr:rowOff>60960</xdr:rowOff>
    </xdr:to>
    <xdr:sp macro="" textlink="">
      <xdr:nvSpPr>
        <xdr:cNvPr id="5" name="Rectangle: Diagonal Corners Rounded 4">
          <a:extLst>
            <a:ext uri="{FF2B5EF4-FFF2-40B4-BE49-F238E27FC236}">
              <a16:creationId xmlns:a16="http://schemas.microsoft.com/office/drawing/2014/main" id="{00000000-0008-0000-0600-000005000000}"/>
            </a:ext>
          </a:extLst>
        </xdr:cNvPr>
        <xdr:cNvSpPr/>
      </xdr:nvSpPr>
      <xdr:spPr>
        <a:xfrm>
          <a:off x="601980" y="1386840"/>
          <a:ext cx="11590020" cy="6355080"/>
        </a:xfrm>
        <a:prstGeom prst="round2DiagRect">
          <a:avLst>
            <a:gd name="adj1" fmla="val 863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2</xdr:row>
      <xdr:rowOff>30480</xdr:rowOff>
    </xdr:from>
    <xdr:to>
      <xdr:col>6</xdr:col>
      <xdr:colOff>22860</xdr:colOff>
      <xdr:row>22</xdr:row>
      <xdr:rowOff>53340</xdr:rowOff>
    </xdr:to>
    <xdr:sp macro="" textlink="">
      <xdr:nvSpPr>
        <xdr:cNvPr id="8" name="Oval 7">
          <a:extLst>
            <a:ext uri="{FF2B5EF4-FFF2-40B4-BE49-F238E27FC236}">
              <a16:creationId xmlns:a16="http://schemas.microsoft.com/office/drawing/2014/main" id="{00000000-0008-0000-0600-000008000000}"/>
            </a:ext>
          </a:extLst>
        </xdr:cNvPr>
        <xdr:cNvSpPr/>
      </xdr:nvSpPr>
      <xdr:spPr>
        <a:xfrm>
          <a:off x="0" y="396240"/>
          <a:ext cx="3680460" cy="3680460"/>
        </a:xfrm>
        <a:prstGeom prst="ellipse">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228600</xdr:colOff>
      <xdr:row>0</xdr:row>
      <xdr:rowOff>0</xdr:rowOff>
    </xdr:from>
    <xdr:to>
      <xdr:col>28</xdr:col>
      <xdr:colOff>53340</xdr:colOff>
      <xdr:row>48</xdr:row>
      <xdr:rowOff>167640</xdr:rowOff>
    </xdr:to>
    <xdr:sp macro="" textlink="">
      <xdr:nvSpPr>
        <xdr:cNvPr id="2" name="Moon 1">
          <a:extLst>
            <a:ext uri="{FF2B5EF4-FFF2-40B4-BE49-F238E27FC236}">
              <a16:creationId xmlns:a16="http://schemas.microsoft.com/office/drawing/2014/main" id="{00000000-0008-0000-0600-000002000000}"/>
            </a:ext>
          </a:extLst>
        </xdr:cNvPr>
        <xdr:cNvSpPr/>
      </xdr:nvSpPr>
      <xdr:spPr>
        <a:xfrm flipH="1">
          <a:off x="11201400" y="0"/>
          <a:ext cx="5920740" cy="8945880"/>
        </a:xfrm>
        <a:prstGeom prst="moon">
          <a:avLst>
            <a:gd name="adj" fmla="val 62246"/>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175260</xdr:colOff>
      <xdr:row>0</xdr:row>
      <xdr:rowOff>0</xdr:rowOff>
    </xdr:from>
    <xdr:to>
      <xdr:col>22</xdr:col>
      <xdr:colOff>137160</xdr:colOff>
      <xdr:row>2</xdr:row>
      <xdr:rowOff>15240</xdr:rowOff>
    </xdr:to>
    <xdr:sp macro="" textlink="">
      <xdr:nvSpPr>
        <xdr:cNvPr id="10" name="Rectangle 9">
          <a:extLst>
            <a:ext uri="{FF2B5EF4-FFF2-40B4-BE49-F238E27FC236}">
              <a16:creationId xmlns:a16="http://schemas.microsoft.com/office/drawing/2014/main" id="{00000000-0008-0000-0600-00000A000000}"/>
            </a:ext>
          </a:extLst>
        </xdr:cNvPr>
        <xdr:cNvSpPr/>
      </xdr:nvSpPr>
      <xdr:spPr>
        <a:xfrm>
          <a:off x="11757660" y="0"/>
          <a:ext cx="1790700" cy="381000"/>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426720</xdr:colOff>
      <xdr:row>0</xdr:row>
      <xdr:rowOff>0</xdr:rowOff>
    </xdr:from>
    <xdr:to>
      <xdr:col>26</xdr:col>
      <xdr:colOff>396240</xdr:colOff>
      <xdr:row>9</xdr:row>
      <xdr:rowOff>106680</xdr:rowOff>
    </xdr:to>
    <xdr:sp macro="" textlink="">
      <xdr:nvSpPr>
        <xdr:cNvPr id="9" name="Rectangle 8">
          <a:extLst>
            <a:ext uri="{FF2B5EF4-FFF2-40B4-BE49-F238E27FC236}">
              <a16:creationId xmlns:a16="http://schemas.microsoft.com/office/drawing/2014/main" id="{00000000-0008-0000-0600-000009000000}"/>
            </a:ext>
          </a:extLst>
        </xdr:cNvPr>
        <xdr:cNvSpPr/>
      </xdr:nvSpPr>
      <xdr:spPr>
        <a:xfrm>
          <a:off x="13228320" y="0"/>
          <a:ext cx="3017520" cy="1752600"/>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297180</xdr:colOff>
      <xdr:row>0</xdr:row>
      <xdr:rowOff>0</xdr:rowOff>
    </xdr:from>
    <xdr:to>
      <xdr:col>28</xdr:col>
      <xdr:colOff>121920</xdr:colOff>
      <xdr:row>48</xdr:row>
      <xdr:rowOff>167640</xdr:rowOff>
    </xdr:to>
    <xdr:sp macro="" textlink="">
      <xdr:nvSpPr>
        <xdr:cNvPr id="7" name="Moon 6">
          <a:extLst>
            <a:ext uri="{FF2B5EF4-FFF2-40B4-BE49-F238E27FC236}">
              <a16:creationId xmlns:a16="http://schemas.microsoft.com/office/drawing/2014/main" id="{00000000-0008-0000-0600-000007000000}"/>
            </a:ext>
          </a:extLst>
        </xdr:cNvPr>
        <xdr:cNvSpPr/>
      </xdr:nvSpPr>
      <xdr:spPr>
        <a:xfrm flipH="1">
          <a:off x="11269980" y="0"/>
          <a:ext cx="5920740" cy="8945880"/>
        </a:xfrm>
        <a:prstGeom prst="moon">
          <a:avLst>
            <a:gd name="adj" fmla="val 62246"/>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0</xdr:rowOff>
    </xdr:from>
    <xdr:to>
      <xdr:col>0</xdr:col>
      <xdr:colOff>236220</xdr:colOff>
      <xdr:row>44</xdr:row>
      <xdr:rowOff>137160</xdr:rowOff>
    </xdr:to>
    <xdr:sp macro="" textlink="">
      <xdr:nvSpPr>
        <xdr:cNvPr id="3" name="Rectangle 2">
          <a:extLst>
            <a:ext uri="{FF2B5EF4-FFF2-40B4-BE49-F238E27FC236}">
              <a16:creationId xmlns:a16="http://schemas.microsoft.com/office/drawing/2014/main" id="{00000000-0008-0000-0600-000003000000}"/>
            </a:ext>
          </a:extLst>
        </xdr:cNvPr>
        <xdr:cNvSpPr/>
      </xdr:nvSpPr>
      <xdr:spPr>
        <a:xfrm>
          <a:off x="0" y="0"/>
          <a:ext cx="236220" cy="818388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533400</xdr:colOff>
      <xdr:row>1</xdr:row>
      <xdr:rowOff>175260</xdr:rowOff>
    </xdr:from>
    <xdr:to>
      <xdr:col>18</xdr:col>
      <xdr:colOff>411480</xdr:colOff>
      <xdr:row>5</xdr:row>
      <xdr:rowOff>60960</xdr:rowOff>
    </xdr:to>
    <xdr:sp macro="" textlink="">
      <xdr:nvSpPr>
        <xdr:cNvPr id="4" name="Rectangle 3">
          <a:extLst>
            <a:ext uri="{FF2B5EF4-FFF2-40B4-BE49-F238E27FC236}">
              <a16:creationId xmlns:a16="http://schemas.microsoft.com/office/drawing/2014/main" id="{00000000-0008-0000-0600-000004000000}"/>
            </a:ext>
          </a:extLst>
        </xdr:cNvPr>
        <xdr:cNvSpPr/>
      </xdr:nvSpPr>
      <xdr:spPr>
        <a:xfrm>
          <a:off x="533400" y="358140"/>
          <a:ext cx="10850880" cy="617220"/>
        </a:xfrm>
        <a:prstGeom prst="rect">
          <a:avLst/>
        </a:prstGeom>
        <a:gradFill flip="none" rotWithShape="1">
          <a:gsLst>
            <a:gs pos="0">
              <a:schemeClr val="bg1">
                <a:lumMod val="95000"/>
              </a:schemeClr>
            </a:gs>
            <a:gs pos="50000">
              <a:schemeClr val="bg1">
                <a:lumMod val="95000"/>
                <a:lumOff val="5000"/>
              </a:schemeClr>
            </a:gs>
            <a:gs pos="100000">
              <a:schemeClr val="bg1">
                <a:lumMod val="95000"/>
              </a:schemeClr>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22860</xdr:colOff>
      <xdr:row>8</xdr:row>
      <xdr:rowOff>167640</xdr:rowOff>
    </xdr:from>
    <xdr:to>
      <xdr:col>19</xdr:col>
      <xdr:colOff>228600</xdr:colOff>
      <xdr:row>41</xdr:row>
      <xdr:rowOff>53340</xdr:rowOff>
    </xdr:to>
    <xdr:sp macro="" textlink="">
      <xdr:nvSpPr>
        <xdr:cNvPr id="6" name="Rectangle: Diagonal Corners Rounded 5">
          <a:extLst>
            <a:ext uri="{FF2B5EF4-FFF2-40B4-BE49-F238E27FC236}">
              <a16:creationId xmlns:a16="http://schemas.microsoft.com/office/drawing/2014/main" id="{00000000-0008-0000-0600-000006000000}"/>
            </a:ext>
          </a:extLst>
        </xdr:cNvPr>
        <xdr:cNvSpPr/>
      </xdr:nvSpPr>
      <xdr:spPr>
        <a:xfrm>
          <a:off x="1242060" y="1630680"/>
          <a:ext cx="10568940" cy="5920740"/>
        </a:xfrm>
        <a:prstGeom prst="round2DiagRect">
          <a:avLst>
            <a:gd name="adj1" fmla="val 7089"/>
            <a:gd name="adj2" fmla="val 0"/>
          </a:avLst>
        </a:prstGeom>
        <a:solidFill>
          <a:schemeClr val="bg1"/>
        </a:solidFill>
        <a:ln>
          <a:noFill/>
        </a:ln>
        <a:effectLst>
          <a:outerShdw blurRad="63500" sx="102000" sy="102000" algn="ctr" rotWithShape="0">
            <a:prstClr val="black">
              <a:alpha val="11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502920</xdr:colOff>
      <xdr:row>9</xdr:row>
      <xdr:rowOff>76200</xdr:rowOff>
    </xdr:from>
    <xdr:to>
      <xdr:col>19</xdr:col>
      <xdr:colOff>129540</xdr:colOff>
      <xdr:row>40</xdr:row>
      <xdr:rowOff>129540</xdr:rowOff>
    </xdr:to>
    <xdr:sp macro="" textlink="">
      <xdr:nvSpPr>
        <xdr:cNvPr id="11" name="Rectangle: Diagonal Corners Rounded 10">
          <a:extLst>
            <a:ext uri="{FF2B5EF4-FFF2-40B4-BE49-F238E27FC236}">
              <a16:creationId xmlns:a16="http://schemas.microsoft.com/office/drawing/2014/main" id="{00000000-0008-0000-0600-00000B000000}"/>
            </a:ext>
          </a:extLst>
        </xdr:cNvPr>
        <xdr:cNvSpPr/>
      </xdr:nvSpPr>
      <xdr:spPr>
        <a:xfrm>
          <a:off x="4770120" y="1722120"/>
          <a:ext cx="6941820" cy="5722620"/>
        </a:xfrm>
        <a:prstGeom prst="round2DiagRect">
          <a:avLst>
            <a:gd name="adj1" fmla="val 4637"/>
            <a:gd name="adj2" fmla="val 0"/>
          </a:avLst>
        </a:prstGeom>
        <a:solidFill>
          <a:schemeClr val="bg1"/>
        </a:solidFill>
        <a:ln>
          <a:noFill/>
        </a:ln>
        <a:effectLst>
          <a:outerShdw blurRad="63500" sx="102000" sy="102000" algn="ctr" rotWithShape="0">
            <a:prstClr val="black">
              <a:alpha val="11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129540</xdr:colOff>
      <xdr:row>25</xdr:row>
      <xdr:rowOff>99060</xdr:rowOff>
    </xdr:from>
    <xdr:to>
      <xdr:col>7</xdr:col>
      <xdr:colOff>381000</xdr:colOff>
      <xdr:row>29</xdr:row>
      <xdr:rowOff>0</xdr:rowOff>
    </xdr:to>
    <xdr:sp macro="" textlink="">
      <xdr:nvSpPr>
        <xdr:cNvPr id="12" name="Rectangle: Diagonal Corners Rounded 11">
          <a:extLst>
            <a:ext uri="{FF2B5EF4-FFF2-40B4-BE49-F238E27FC236}">
              <a16:creationId xmlns:a16="http://schemas.microsoft.com/office/drawing/2014/main" id="{00000000-0008-0000-0600-00000C000000}"/>
            </a:ext>
          </a:extLst>
        </xdr:cNvPr>
        <xdr:cNvSpPr/>
      </xdr:nvSpPr>
      <xdr:spPr>
        <a:xfrm flipH="1">
          <a:off x="1348740" y="4671060"/>
          <a:ext cx="3299460" cy="632460"/>
        </a:xfrm>
        <a:prstGeom prst="round2DiagRect">
          <a:avLst/>
        </a:prstGeom>
        <a:solidFill>
          <a:schemeClr val="bg1">
            <a:lumMod val="85000"/>
            <a:alpha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137160</xdr:colOff>
      <xdr:row>29</xdr:row>
      <xdr:rowOff>60960</xdr:rowOff>
    </xdr:from>
    <xdr:to>
      <xdr:col>7</xdr:col>
      <xdr:colOff>388620</xdr:colOff>
      <xdr:row>32</xdr:row>
      <xdr:rowOff>144780</xdr:rowOff>
    </xdr:to>
    <xdr:sp macro="" textlink="">
      <xdr:nvSpPr>
        <xdr:cNvPr id="13" name="Rectangle: Diagonal Corners Rounded 12">
          <a:extLst>
            <a:ext uri="{FF2B5EF4-FFF2-40B4-BE49-F238E27FC236}">
              <a16:creationId xmlns:a16="http://schemas.microsoft.com/office/drawing/2014/main" id="{00000000-0008-0000-0600-00000D000000}"/>
            </a:ext>
          </a:extLst>
        </xdr:cNvPr>
        <xdr:cNvSpPr/>
      </xdr:nvSpPr>
      <xdr:spPr>
        <a:xfrm flipH="1">
          <a:off x="1356360" y="5364480"/>
          <a:ext cx="3299460" cy="632460"/>
        </a:xfrm>
        <a:prstGeom prst="round2DiagRect">
          <a:avLst/>
        </a:prstGeom>
        <a:solidFill>
          <a:schemeClr val="bg1">
            <a:lumMod val="85000"/>
            <a:alpha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144780</xdr:colOff>
      <xdr:row>33</xdr:row>
      <xdr:rowOff>22860</xdr:rowOff>
    </xdr:from>
    <xdr:to>
      <xdr:col>7</xdr:col>
      <xdr:colOff>396240</xdr:colOff>
      <xdr:row>36</xdr:row>
      <xdr:rowOff>106680</xdr:rowOff>
    </xdr:to>
    <xdr:sp macro="" textlink="">
      <xdr:nvSpPr>
        <xdr:cNvPr id="14" name="Rectangle: Diagonal Corners Rounded 13">
          <a:extLst>
            <a:ext uri="{FF2B5EF4-FFF2-40B4-BE49-F238E27FC236}">
              <a16:creationId xmlns:a16="http://schemas.microsoft.com/office/drawing/2014/main" id="{00000000-0008-0000-0600-00000E000000}"/>
            </a:ext>
          </a:extLst>
        </xdr:cNvPr>
        <xdr:cNvSpPr/>
      </xdr:nvSpPr>
      <xdr:spPr>
        <a:xfrm flipH="1">
          <a:off x="1363980" y="6057900"/>
          <a:ext cx="3299460" cy="632460"/>
        </a:xfrm>
        <a:prstGeom prst="round2DiagRect">
          <a:avLst/>
        </a:prstGeom>
        <a:solidFill>
          <a:schemeClr val="bg1">
            <a:lumMod val="85000"/>
            <a:alpha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335280</xdr:colOff>
      <xdr:row>26</xdr:row>
      <xdr:rowOff>133350</xdr:rowOff>
    </xdr:from>
    <xdr:to>
      <xdr:col>2</xdr:col>
      <xdr:colOff>518160</xdr:colOff>
      <xdr:row>27</xdr:row>
      <xdr:rowOff>148590</xdr:rowOff>
    </xdr:to>
    <xdr:sp macro="" textlink="">
      <xdr:nvSpPr>
        <xdr:cNvPr id="15" name="Rectangle: Diagonal Corners Rounded 14">
          <a:extLst>
            <a:ext uri="{FF2B5EF4-FFF2-40B4-BE49-F238E27FC236}">
              <a16:creationId xmlns:a16="http://schemas.microsoft.com/office/drawing/2014/main" id="{00000000-0008-0000-0600-00000F000000}"/>
            </a:ext>
          </a:extLst>
        </xdr:cNvPr>
        <xdr:cNvSpPr/>
      </xdr:nvSpPr>
      <xdr:spPr>
        <a:xfrm flipH="1">
          <a:off x="1554480" y="4888230"/>
          <a:ext cx="182880" cy="198120"/>
        </a:xfrm>
        <a:prstGeom prst="round2DiagRect">
          <a:avLst/>
        </a:prstGeom>
        <a:solidFill>
          <a:schemeClr val="bg1">
            <a:lumMod val="85000"/>
            <a:alpha val="93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335280</xdr:colOff>
      <xdr:row>30</xdr:row>
      <xdr:rowOff>87630</xdr:rowOff>
    </xdr:from>
    <xdr:to>
      <xdr:col>2</xdr:col>
      <xdr:colOff>518160</xdr:colOff>
      <xdr:row>31</xdr:row>
      <xdr:rowOff>102870</xdr:rowOff>
    </xdr:to>
    <xdr:sp macro="" textlink="">
      <xdr:nvSpPr>
        <xdr:cNvPr id="16" name="Rectangle: Diagonal Corners Rounded 15">
          <a:extLst>
            <a:ext uri="{FF2B5EF4-FFF2-40B4-BE49-F238E27FC236}">
              <a16:creationId xmlns:a16="http://schemas.microsoft.com/office/drawing/2014/main" id="{00000000-0008-0000-0600-000010000000}"/>
            </a:ext>
          </a:extLst>
        </xdr:cNvPr>
        <xdr:cNvSpPr/>
      </xdr:nvSpPr>
      <xdr:spPr>
        <a:xfrm flipH="1">
          <a:off x="1554480" y="5574030"/>
          <a:ext cx="182880" cy="198120"/>
        </a:xfrm>
        <a:prstGeom prst="round2DiagRect">
          <a:avLst/>
        </a:prstGeom>
        <a:solidFill>
          <a:schemeClr val="bg1">
            <a:lumMod val="85000"/>
            <a:alpha val="93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335280</xdr:colOff>
      <xdr:row>34</xdr:row>
      <xdr:rowOff>41910</xdr:rowOff>
    </xdr:from>
    <xdr:to>
      <xdr:col>2</xdr:col>
      <xdr:colOff>518160</xdr:colOff>
      <xdr:row>35</xdr:row>
      <xdr:rowOff>57150</xdr:rowOff>
    </xdr:to>
    <xdr:sp macro="" textlink="">
      <xdr:nvSpPr>
        <xdr:cNvPr id="17" name="Rectangle: Diagonal Corners Rounded 16">
          <a:extLst>
            <a:ext uri="{FF2B5EF4-FFF2-40B4-BE49-F238E27FC236}">
              <a16:creationId xmlns:a16="http://schemas.microsoft.com/office/drawing/2014/main" id="{00000000-0008-0000-0600-000011000000}"/>
            </a:ext>
          </a:extLst>
        </xdr:cNvPr>
        <xdr:cNvSpPr/>
      </xdr:nvSpPr>
      <xdr:spPr>
        <a:xfrm flipH="1">
          <a:off x="1554480" y="6259830"/>
          <a:ext cx="182880" cy="198120"/>
        </a:xfrm>
        <a:prstGeom prst="round2DiagRect">
          <a:avLst/>
        </a:prstGeom>
        <a:solidFill>
          <a:schemeClr val="bg1">
            <a:lumMod val="85000"/>
            <a:alpha val="93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304800</xdr:colOff>
      <xdr:row>2</xdr:row>
      <xdr:rowOff>30480</xdr:rowOff>
    </xdr:from>
    <xdr:to>
      <xdr:col>6</xdr:col>
      <xdr:colOff>594360</xdr:colOff>
      <xdr:row>5</xdr:row>
      <xdr:rowOff>22860</xdr:rowOff>
    </xdr:to>
    <xdr:sp macro="" textlink="">
      <xdr:nvSpPr>
        <xdr:cNvPr id="18" name="TextBox 17">
          <a:extLst>
            <a:ext uri="{FF2B5EF4-FFF2-40B4-BE49-F238E27FC236}">
              <a16:creationId xmlns:a16="http://schemas.microsoft.com/office/drawing/2014/main" id="{00000000-0008-0000-0600-000012000000}"/>
            </a:ext>
          </a:extLst>
        </xdr:cNvPr>
        <xdr:cNvSpPr txBox="1"/>
      </xdr:nvSpPr>
      <xdr:spPr>
        <a:xfrm>
          <a:off x="304800" y="396240"/>
          <a:ext cx="3947160" cy="541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4000">
              <a:gradFill>
                <a:gsLst>
                  <a:gs pos="0">
                    <a:srgbClr val="7030A0"/>
                  </a:gs>
                  <a:gs pos="100000">
                    <a:schemeClr val="tx1">
                      <a:lumMod val="50000"/>
                      <a:lumOff val="50000"/>
                    </a:schemeClr>
                  </a:gs>
                </a:gsLst>
                <a:lin ang="10800000" scaled="1"/>
              </a:gradFill>
            </a:rPr>
            <a:t>Sales Dashboard </a:t>
          </a:r>
        </a:p>
      </xdr:txBody>
    </xdr:sp>
    <xdr:clientData/>
  </xdr:twoCellAnchor>
  <xdr:twoCellAnchor>
    <xdr:from>
      <xdr:col>7</xdr:col>
      <xdr:colOff>182880</xdr:colOff>
      <xdr:row>2</xdr:row>
      <xdr:rowOff>118110</xdr:rowOff>
    </xdr:from>
    <xdr:to>
      <xdr:col>9</xdr:col>
      <xdr:colOff>144780</xdr:colOff>
      <xdr:row>4</xdr:row>
      <xdr:rowOff>118110</xdr:rowOff>
    </xdr:to>
    <xdr:sp macro="" textlink="">
      <xdr:nvSpPr>
        <xdr:cNvPr id="19" name="Rectangle: Diagonal Corners Rounded 18">
          <a:extLst>
            <a:ext uri="{FF2B5EF4-FFF2-40B4-BE49-F238E27FC236}">
              <a16:creationId xmlns:a16="http://schemas.microsoft.com/office/drawing/2014/main" id="{00000000-0008-0000-0600-000013000000}"/>
            </a:ext>
          </a:extLst>
        </xdr:cNvPr>
        <xdr:cNvSpPr/>
      </xdr:nvSpPr>
      <xdr:spPr>
        <a:xfrm flipH="1">
          <a:off x="4450080" y="483870"/>
          <a:ext cx="1181100" cy="365760"/>
        </a:xfrm>
        <a:prstGeom prst="round2DiagRect">
          <a:avLst/>
        </a:prstGeom>
        <a:solidFill>
          <a:schemeClr val="bg1">
            <a:lumMod val="85000"/>
            <a:alpha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381000</xdr:colOff>
      <xdr:row>2</xdr:row>
      <xdr:rowOff>118110</xdr:rowOff>
    </xdr:from>
    <xdr:to>
      <xdr:col>11</xdr:col>
      <xdr:colOff>342900</xdr:colOff>
      <xdr:row>4</xdr:row>
      <xdr:rowOff>118110</xdr:rowOff>
    </xdr:to>
    <xdr:sp macro="" textlink="">
      <xdr:nvSpPr>
        <xdr:cNvPr id="21" name="Rectangle: Diagonal Corners Rounded 20">
          <a:extLst>
            <a:ext uri="{FF2B5EF4-FFF2-40B4-BE49-F238E27FC236}">
              <a16:creationId xmlns:a16="http://schemas.microsoft.com/office/drawing/2014/main" id="{00000000-0008-0000-0600-000015000000}"/>
            </a:ext>
          </a:extLst>
        </xdr:cNvPr>
        <xdr:cNvSpPr/>
      </xdr:nvSpPr>
      <xdr:spPr>
        <a:xfrm flipH="1">
          <a:off x="5867400" y="483870"/>
          <a:ext cx="1181100" cy="365760"/>
        </a:xfrm>
        <a:prstGeom prst="round2Diag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579120</xdr:colOff>
      <xdr:row>2</xdr:row>
      <xdr:rowOff>118110</xdr:rowOff>
    </xdr:from>
    <xdr:to>
      <xdr:col>13</xdr:col>
      <xdr:colOff>541020</xdr:colOff>
      <xdr:row>4</xdr:row>
      <xdr:rowOff>118110</xdr:rowOff>
    </xdr:to>
    <xdr:sp macro="" textlink="">
      <xdr:nvSpPr>
        <xdr:cNvPr id="22" name="Rectangle: Diagonal Corners Rounded 21">
          <a:extLst>
            <a:ext uri="{FF2B5EF4-FFF2-40B4-BE49-F238E27FC236}">
              <a16:creationId xmlns:a16="http://schemas.microsoft.com/office/drawing/2014/main" id="{00000000-0008-0000-0600-000016000000}"/>
            </a:ext>
          </a:extLst>
        </xdr:cNvPr>
        <xdr:cNvSpPr/>
      </xdr:nvSpPr>
      <xdr:spPr>
        <a:xfrm flipH="1">
          <a:off x="7284720" y="483870"/>
          <a:ext cx="1181100" cy="365760"/>
        </a:xfrm>
        <a:prstGeom prst="round2DiagRect">
          <a:avLst/>
        </a:prstGeom>
        <a:solidFill>
          <a:schemeClr val="bg1">
            <a:lumMod val="85000"/>
            <a:alpha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68580</xdr:colOff>
      <xdr:row>2</xdr:row>
      <xdr:rowOff>45720</xdr:rowOff>
    </xdr:from>
    <xdr:to>
      <xdr:col>19</xdr:col>
      <xdr:colOff>335280</xdr:colOff>
      <xdr:row>5</xdr:row>
      <xdr:rowOff>38100</xdr:rowOff>
    </xdr:to>
    <xdr:sp macro="" textlink="">
      <xdr:nvSpPr>
        <xdr:cNvPr id="23" name="TextBox 22">
          <a:extLst>
            <a:ext uri="{FF2B5EF4-FFF2-40B4-BE49-F238E27FC236}">
              <a16:creationId xmlns:a16="http://schemas.microsoft.com/office/drawing/2014/main" id="{00000000-0008-0000-0600-000017000000}"/>
            </a:ext>
          </a:extLst>
        </xdr:cNvPr>
        <xdr:cNvSpPr txBox="1"/>
      </xdr:nvSpPr>
      <xdr:spPr>
        <a:xfrm>
          <a:off x="9212580" y="411480"/>
          <a:ext cx="2705100" cy="541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600">
              <a:gradFill>
                <a:gsLst>
                  <a:gs pos="0">
                    <a:srgbClr val="7030A0"/>
                  </a:gs>
                  <a:gs pos="100000">
                    <a:schemeClr val="tx1">
                      <a:lumMod val="50000"/>
                      <a:lumOff val="50000"/>
                    </a:schemeClr>
                  </a:gs>
                </a:gsLst>
                <a:lin ang="10800000" scaled="1"/>
              </a:gradFill>
            </a:rPr>
            <a:t>Store Budget Vs</a:t>
          </a:r>
          <a:r>
            <a:rPr lang="en-US" sz="1600" baseline="0">
              <a:gradFill>
                <a:gsLst>
                  <a:gs pos="0">
                    <a:srgbClr val="7030A0"/>
                  </a:gs>
                  <a:gs pos="100000">
                    <a:schemeClr val="tx1">
                      <a:lumMod val="50000"/>
                      <a:lumOff val="50000"/>
                    </a:schemeClr>
                  </a:gs>
                </a:gsLst>
                <a:lin ang="10800000" scaled="1"/>
              </a:gradFill>
            </a:rPr>
            <a:t> Revenue</a:t>
          </a:r>
          <a:endParaRPr lang="en-US" sz="1600">
            <a:gradFill>
              <a:gsLst>
                <a:gs pos="0">
                  <a:srgbClr val="7030A0"/>
                </a:gs>
                <a:gs pos="100000">
                  <a:schemeClr val="tx1">
                    <a:lumMod val="50000"/>
                    <a:lumOff val="50000"/>
                  </a:schemeClr>
                </a:gs>
              </a:gsLst>
              <a:lin ang="10800000" scaled="1"/>
            </a:gradFill>
          </a:endParaRPr>
        </a:p>
      </xdr:txBody>
    </xdr:sp>
    <xdr:clientData/>
  </xdr:twoCellAnchor>
  <xdr:twoCellAnchor>
    <xdr:from>
      <xdr:col>9</xdr:col>
      <xdr:colOff>556260</xdr:colOff>
      <xdr:row>3</xdr:row>
      <xdr:rowOff>11430</xdr:rowOff>
    </xdr:from>
    <xdr:to>
      <xdr:col>11</xdr:col>
      <xdr:colOff>167640</xdr:colOff>
      <xdr:row>4</xdr:row>
      <xdr:rowOff>49530</xdr:rowOff>
    </xdr:to>
    <xdr:sp macro="" textlink="">
      <xdr:nvSpPr>
        <xdr:cNvPr id="24" name="TextBox 23">
          <a:hlinkClick xmlns:r="http://schemas.openxmlformats.org/officeDocument/2006/relationships" r:id="rId1" tooltip="Here"/>
          <a:extLst>
            <a:ext uri="{FF2B5EF4-FFF2-40B4-BE49-F238E27FC236}">
              <a16:creationId xmlns:a16="http://schemas.microsoft.com/office/drawing/2014/main" id="{00000000-0008-0000-0600-000018000000}"/>
            </a:ext>
          </a:extLst>
        </xdr:cNvPr>
        <xdr:cNvSpPr txBox="1"/>
      </xdr:nvSpPr>
      <xdr:spPr>
        <a:xfrm>
          <a:off x="6042660" y="560070"/>
          <a:ext cx="8305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bg1"/>
              </a:solidFill>
            </a:rPr>
            <a:t>Store</a:t>
          </a:r>
          <a:endParaRPr lang="en-US" sz="1800">
            <a:solidFill>
              <a:schemeClr val="bg1"/>
            </a:solidFill>
          </a:endParaRPr>
        </a:p>
      </xdr:txBody>
    </xdr:sp>
    <xdr:clientData/>
  </xdr:twoCellAnchor>
  <xdr:twoCellAnchor>
    <xdr:from>
      <xdr:col>11</xdr:col>
      <xdr:colOff>594360</xdr:colOff>
      <xdr:row>3</xdr:row>
      <xdr:rowOff>11430</xdr:rowOff>
    </xdr:from>
    <xdr:to>
      <xdr:col>13</xdr:col>
      <xdr:colOff>533400</xdr:colOff>
      <xdr:row>4</xdr:row>
      <xdr:rowOff>49530</xdr:rowOff>
    </xdr:to>
    <xdr:sp macro="" textlink="">
      <xdr:nvSpPr>
        <xdr:cNvPr id="25" name="TextBox 24">
          <a:hlinkClick xmlns:r="http://schemas.openxmlformats.org/officeDocument/2006/relationships" r:id="rId2" tooltip="Profit_View.Page"/>
          <a:extLst>
            <a:ext uri="{FF2B5EF4-FFF2-40B4-BE49-F238E27FC236}">
              <a16:creationId xmlns:a16="http://schemas.microsoft.com/office/drawing/2014/main" id="{00000000-0008-0000-0600-000019000000}"/>
            </a:ext>
          </a:extLst>
        </xdr:cNvPr>
        <xdr:cNvSpPr txBox="1"/>
      </xdr:nvSpPr>
      <xdr:spPr>
        <a:xfrm>
          <a:off x="7299960" y="560070"/>
          <a:ext cx="11582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bg2">
                  <a:lumMod val="25000"/>
                </a:schemeClr>
              </a:solidFill>
            </a:rPr>
            <a:t>Profit View</a:t>
          </a:r>
        </a:p>
      </xdr:txBody>
    </xdr:sp>
    <xdr:clientData/>
  </xdr:twoCellAnchor>
  <xdr:twoCellAnchor>
    <xdr:from>
      <xdr:col>7</xdr:col>
      <xdr:colOff>190500</xdr:colOff>
      <xdr:row>3</xdr:row>
      <xdr:rowOff>11430</xdr:rowOff>
    </xdr:from>
    <xdr:to>
      <xdr:col>9</xdr:col>
      <xdr:colOff>129540</xdr:colOff>
      <xdr:row>4</xdr:row>
      <xdr:rowOff>49530</xdr:rowOff>
    </xdr:to>
    <xdr:sp macro="" textlink="">
      <xdr:nvSpPr>
        <xdr:cNvPr id="26" name="TextBox 25">
          <a:hlinkClick xmlns:r="http://schemas.openxmlformats.org/officeDocument/2006/relationships" r:id="rId3" tooltip="Time_Frame.Page"/>
          <a:extLst>
            <a:ext uri="{FF2B5EF4-FFF2-40B4-BE49-F238E27FC236}">
              <a16:creationId xmlns:a16="http://schemas.microsoft.com/office/drawing/2014/main" id="{00000000-0008-0000-0600-00001A000000}"/>
            </a:ext>
          </a:extLst>
        </xdr:cNvPr>
        <xdr:cNvSpPr txBox="1"/>
      </xdr:nvSpPr>
      <xdr:spPr>
        <a:xfrm>
          <a:off x="4457700" y="560070"/>
          <a:ext cx="11582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bg2">
                  <a:lumMod val="25000"/>
                </a:schemeClr>
              </a:solidFill>
            </a:rPr>
            <a:t>Time Frame</a:t>
          </a:r>
        </a:p>
      </xdr:txBody>
    </xdr:sp>
    <xdr:clientData/>
  </xdr:twoCellAnchor>
  <xdr:twoCellAnchor>
    <xdr:from>
      <xdr:col>2</xdr:col>
      <xdr:colOff>480060</xdr:colOff>
      <xdr:row>25</xdr:row>
      <xdr:rowOff>144780</xdr:rowOff>
    </xdr:from>
    <xdr:to>
      <xdr:col>5</xdr:col>
      <xdr:colOff>91440</xdr:colOff>
      <xdr:row>28</xdr:row>
      <xdr:rowOff>137160</xdr:rowOff>
    </xdr:to>
    <xdr:sp macro="" textlink="">
      <xdr:nvSpPr>
        <xdr:cNvPr id="20" name="TextBox 19">
          <a:extLst>
            <a:ext uri="{FF2B5EF4-FFF2-40B4-BE49-F238E27FC236}">
              <a16:creationId xmlns:a16="http://schemas.microsoft.com/office/drawing/2014/main" id="{00000000-0008-0000-0600-000014000000}"/>
            </a:ext>
          </a:extLst>
        </xdr:cNvPr>
        <xdr:cNvSpPr txBox="1"/>
      </xdr:nvSpPr>
      <xdr:spPr>
        <a:xfrm>
          <a:off x="1699260" y="4716780"/>
          <a:ext cx="1440180" cy="541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600">
              <a:solidFill>
                <a:schemeClr val="tx1">
                  <a:lumMod val="65000"/>
                  <a:lumOff val="35000"/>
                </a:schemeClr>
              </a:solidFill>
            </a:rPr>
            <a:t>Total Revenue </a:t>
          </a:r>
        </a:p>
      </xdr:txBody>
    </xdr:sp>
    <xdr:clientData/>
  </xdr:twoCellAnchor>
  <xdr:twoCellAnchor>
    <xdr:from>
      <xdr:col>0</xdr:col>
      <xdr:colOff>0</xdr:colOff>
      <xdr:row>49</xdr:row>
      <xdr:rowOff>60960</xdr:rowOff>
    </xdr:from>
    <xdr:to>
      <xdr:col>0</xdr:col>
      <xdr:colOff>0</xdr:colOff>
      <xdr:row>52</xdr:row>
      <xdr:rowOff>53340</xdr:rowOff>
    </xdr:to>
    <xdr:sp macro="" textlink="">
      <xdr:nvSpPr>
        <xdr:cNvPr id="27" name="TextBox 26">
          <a:extLst>
            <a:ext uri="{FF2B5EF4-FFF2-40B4-BE49-F238E27FC236}">
              <a16:creationId xmlns:a16="http://schemas.microsoft.com/office/drawing/2014/main" id="{00000000-0008-0000-0600-00001B000000}"/>
            </a:ext>
          </a:extLst>
        </xdr:cNvPr>
        <xdr:cNvSpPr txBox="1"/>
      </xdr:nvSpPr>
      <xdr:spPr>
        <a:xfrm>
          <a:off x="0" y="9022080"/>
          <a:ext cx="0" cy="541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600">
              <a:solidFill>
                <a:schemeClr val="accent1">
                  <a:lumMod val="75000"/>
                </a:schemeClr>
              </a:solidFill>
            </a:rPr>
            <a:t>Store Budget Vs</a:t>
          </a:r>
          <a:r>
            <a:rPr lang="en-US" sz="1600" baseline="0">
              <a:solidFill>
                <a:schemeClr val="accent1">
                  <a:lumMod val="75000"/>
                </a:schemeClr>
              </a:solidFill>
            </a:rPr>
            <a:t> Revenue</a:t>
          </a:r>
          <a:endParaRPr lang="en-US" sz="1600">
            <a:solidFill>
              <a:schemeClr val="accent1">
                <a:lumMod val="75000"/>
              </a:schemeClr>
            </a:solidFill>
          </a:endParaRPr>
        </a:p>
      </xdr:txBody>
    </xdr:sp>
    <xdr:clientData/>
  </xdr:twoCellAnchor>
  <xdr:twoCellAnchor>
    <xdr:from>
      <xdr:col>2</xdr:col>
      <xdr:colOff>472440</xdr:colOff>
      <xdr:row>29</xdr:row>
      <xdr:rowOff>106680</xdr:rowOff>
    </xdr:from>
    <xdr:to>
      <xdr:col>4</xdr:col>
      <xdr:colOff>586740</xdr:colOff>
      <xdr:row>32</xdr:row>
      <xdr:rowOff>99060</xdr:rowOff>
    </xdr:to>
    <xdr:sp macro="" textlink="">
      <xdr:nvSpPr>
        <xdr:cNvPr id="28" name="TextBox 27">
          <a:extLst>
            <a:ext uri="{FF2B5EF4-FFF2-40B4-BE49-F238E27FC236}">
              <a16:creationId xmlns:a16="http://schemas.microsoft.com/office/drawing/2014/main" id="{00000000-0008-0000-0600-00001C000000}"/>
            </a:ext>
          </a:extLst>
        </xdr:cNvPr>
        <xdr:cNvSpPr txBox="1"/>
      </xdr:nvSpPr>
      <xdr:spPr>
        <a:xfrm>
          <a:off x="1691640" y="5410200"/>
          <a:ext cx="1333500" cy="541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600">
              <a:solidFill>
                <a:schemeClr val="tx1">
                  <a:lumMod val="65000"/>
                  <a:lumOff val="35000"/>
                </a:schemeClr>
              </a:solidFill>
              <a:latin typeface="+mn-lt"/>
              <a:ea typeface="+mn-ea"/>
              <a:cs typeface="+mn-cs"/>
            </a:rPr>
            <a:t>Total Target</a:t>
          </a:r>
        </a:p>
      </xdr:txBody>
    </xdr:sp>
    <xdr:clientData/>
  </xdr:twoCellAnchor>
  <xdr:twoCellAnchor>
    <xdr:from>
      <xdr:col>2</xdr:col>
      <xdr:colOff>464820</xdr:colOff>
      <xdr:row>33</xdr:row>
      <xdr:rowOff>68580</xdr:rowOff>
    </xdr:from>
    <xdr:to>
      <xdr:col>4</xdr:col>
      <xdr:colOff>297180</xdr:colOff>
      <xdr:row>36</xdr:row>
      <xdr:rowOff>60960</xdr:rowOff>
    </xdr:to>
    <xdr:sp macro="" textlink="">
      <xdr:nvSpPr>
        <xdr:cNvPr id="29" name="TextBox 28">
          <a:extLst>
            <a:ext uri="{FF2B5EF4-FFF2-40B4-BE49-F238E27FC236}">
              <a16:creationId xmlns:a16="http://schemas.microsoft.com/office/drawing/2014/main" id="{00000000-0008-0000-0600-00001D000000}"/>
            </a:ext>
          </a:extLst>
        </xdr:cNvPr>
        <xdr:cNvSpPr txBox="1"/>
      </xdr:nvSpPr>
      <xdr:spPr>
        <a:xfrm>
          <a:off x="1684020" y="6103620"/>
          <a:ext cx="1051560" cy="541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600">
              <a:solidFill>
                <a:schemeClr val="tx1">
                  <a:lumMod val="65000"/>
                  <a:lumOff val="35000"/>
                </a:schemeClr>
              </a:solidFill>
              <a:latin typeface="+mn-lt"/>
              <a:ea typeface="+mn-ea"/>
              <a:cs typeface="+mn-cs"/>
            </a:rPr>
            <a:t>Variance</a:t>
          </a:r>
        </a:p>
      </xdr:txBody>
    </xdr:sp>
    <xdr:clientData/>
  </xdr:twoCellAnchor>
  <xdr:twoCellAnchor>
    <xdr:from>
      <xdr:col>5</xdr:col>
      <xdr:colOff>45720</xdr:colOff>
      <xdr:row>25</xdr:row>
      <xdr:rowOff>137160</xdr:rowOff>
    </xdr:from>
    <xdr:to>
      <xdr:col>7</xdr:col>
      <xdr:colOff>266700</xdr:colOff>
      <xdr:row>28</xdr:row>
      <xdr:rowOff>129540</xdr:rowOff>
    </xdr:to>
    <xdr:sp macro="" textlink="'Analysis 1'!C17">
      <xdr:nvSpPr>
        <xdr:cNvPr id="30" name="TextBox 29">
          <a:extLst>
            <a:ext uri="{FF2B5EF4-FFF2-40B4-BE49-F238E27FC236}">
              <a16:creationId xmlns:a16="http://schemas.microsoft.com/office/drawing/2014/main" id="{00000000-0008-0000-0600-00001E000000}"/>
            </a:ext>
          </a:extLst>
        </xdr:cNvPr>
        <xdr:cNvSpPr txBox="1"/>
      </xdr:nvSpPr>
      <xdr:spPr>
        <a:xfrm>
          <a:off x="3093720" y="4709160"/>
          <a:ext cx="1440180" cy="541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CCA1FFA-147F-4C81-8008-04F0B3017B73}" type="TxLink">
            <a:rPr lang="en-US" sz="2000">
              <a:solidFill>
                <a:schemeClr val="tx1">
                  <a:lumMod val="65000"/>
                  <a:lumOff val="35000"/>
                </a:schemeClr>
              </a:solidFill>
              <a:latin typeface="+mn-lt"/>
              <a:ea typeface="+mn-ea"/>
              <a:cs typeface="+mn-cs"/>
            </a:rPr>
            <a:pPr marL="0" indent="0" algn="l"/>
            <a:t>$5.45 M</a:t>
          </a:fld>
          <a:endParaRPr lang="en-US" sz="2000">
            <a:solidFill>
              <a:schemeClr val="tx1">
                <a:lumMod val="65000"/>
                <a:lumOff val="35000"/>
              </a:schemeClr>
            </a:solidFill>
            <a:latin typeface="+mn-lt"/>
            <a:ea typeface="+mn-ea"/>
            <a:cs typeface="+mn-cs"/>
          </a:endParaRPr>
        </a:p>
      </xdr:txBody>
    </xdr:sp>
    <xdr:clientData/>
  </xdr:twoCellAnchor>
  <xdr:twoCellAnchor>
    <xdr:from>
      <xdr:col>5</xdr:col>
      <xdr:colOff>60960</xdr:colOff>
      <xdr:row>29</xdr:row>
      <xdr:rowOff>106680</xdr:rowOff>
    </xdr:from>
    <xdr:to>
      <xdr:col>7</xdr:col>
      <xdr:colOff>281940</xdr:colOff>
      <xdr:row>32</xdr:row>
      <xdr:rowOff>99060</xdr:rowOff>
    </xdr:to>
    <xdr:sp macro="" textlink="'Analysis 1'!M17">
      <xdr:nvSpPr>
        <xdr:cNvPr id="31" name="TextBox 30">
          <a:extLst>
            <a:ext uri="{FF2B5EF4-FFF2-40B4-BE49-F238E27FC236}">
              <a16:creationId xmlns:a16="http://schemas.microsoft.com/office/drawing/2014/main" id="{00000000-0008-0000-0600-00001F000000}"/>
            </a:ext>
          </a:extLst>
        </xdr:cNvPr>
        <xdr:cNvSpPr txBox="1"/>
      </xdr:nvSpPr>
      <xdr:spPr>
        <a:xfrm>
          <a:off x="3108960" y="5410200"/>
          <a:ext cx="1440180" cy="541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F125E0A-DD77-4A30-B028-3F58DAE15B29}" type="TxLink">
            <a:rPr lang="en-US" sz="2000">
              <a:solidFill>
                <a:schemeClr val="tx1">
                  <a:lumMod val="65000"/>
                  <a:lumOff val="35000"/>
                </a:schemeClr>
              </a:solidFill>
              <a:latin typeface="+mn-lt"/>
              <a:ea typeface="+mn-ea"/>
              <a:cs typeface="+mn-cs"/>
            </a:rPr>
            <a:pPr marL="0" indent="0" algn="l"/>
            <a:t>$5.25 M</a:t>
          </a:fld>
          <a:endParaRPr lang="en-US" sz="2000">
            <a:solidFill>
              <a:schemeClr val="tx1">
                <a:lumMod val="65000"/>
                <a:lumOff val="35000"/>
              </a:schemeClr>
            </a:solidFill>
            <a:latin typeface="+mn-lt"/>
            <a:ea typeface="+mn-ea"/>
            <a:cs typeface="+mn-cs"/>
          </a:endParaRPr>
        </a:p>
      </xdr:txBody>
    </xdr:sp>
    <xdr:clientData/>
  </xdr:twoCellAnchor>
  <xdr:twoCellAnchor editAs="oneCell">
    <xdr:from>
      <xdr:col>2</xdr:col>
      <xdr:colOff>220980</xdr:colOff>
      <xdr:row>11</xdr:row>
      <xdr:rowOff>38099</xdr:rowOff>
    </xdr:from>
    <xdr:to>
      <xdr:col>7</xdr:col>
      <xdr:colOff>373380</xdr:colOff>
      <xdr:row>24</xdr:row>
      <xdr:rowOff>129539</xdr:rowOff>
    </xdr:to>
    <mc:AlternateContent xmlns:mc="http://schemas.openxmlformats.org/markup-compatibility/2006" xmlns:a14="http://schemas.microsoft.com/office/drawing/2010/main">
      <mc:Choice Requires="a14">
        <xdr:graphicFrame macro="">
          <xdr:nvGraphicFramePr>
            <xdr:cNvPr id="34" name="Month Filter">
              <a:extLst>
                <a:ext uri="{FF2B5EF4-FFF2-40B4-BE49-F238E27FC236}">
                  <a16:creationId xmlns:a16="http://schemas.microsoft.com/office/drawing/2014/main" id="{00000000-0008-0000-0600-000022000000}"/>
                </a:ext>
              </a:extLst>
            </xdr:cNvPr>
            <xdr:cNvGraphicFramePr/>
          </xdr:nvGraphicFramePr>
          <xdr:xfrm>
            <a:off x="0" y="0"/>
            <a:ext cx="0" cy="0"/>
          </xdr:xfrm>
          <a:graphic>
            <a:graphicData uri="http://schemas.microsoft.com/office/drawing/2010/slicer">
              <sle:slicer xmlns:sle="http://schemas.microsoft.com/office/drawing/2010/slicer" name="Month Filter"/>
            </a:graphicData>
          </a:graphic>
        </xdr:graphicFrame>
      </mc:Choice>
      <mc:Fallback xmlns="">
        <xdr:sp macro="" textlink="">
          <xdr:nvSpPr>
            <xdr:cNvPr id="0" name=""/>
            <xdr:cNvSpPr>
              <a:spLocks noTextEdit="1"/>
            </xdr:cNvSpPr>
          </xdr:nvSpPr>
          <xdr:spPr>
            <a:xfrm>
              <a:off x="1440180" y="2049779"/>
              <a:ext cx="3200400" cy="24688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22860</xdr:colOff>
      <xdr:row>11</xdr:row>
      <xdr:rowOff>0</xdr:rowOff>
    </xdr:from>
    <xdr:to>
      <xdr:col>19</xdr:col>
      <xdr:colOff>106680</xdr:colOff>
      <xdr:row>38</xdr:row>
      <xdr:rowOff>129540</xdr:rowOff>
    </xdr:to>
    <mc:AlternateContent xmlns:mc="http://schemas.openxmlformats.org/markup-compatibility/2006">
      <mc:Choice xmlns:we="http://schemas.microsoft.com/office/webextensions/webextension/2010/11" Requires="we">
        <xdr:graphicFrame macro="">
          <xdr:nvGraphicFramePr>
            <xdr:cNvPr id="37" name="Add-in 36" title="Zebra BI Tables for Office">
              <a:extLst>
                <a:ext uri="{FF2B5EF4-FFF2-40B4-BE49-F238E27FC236}">
                  <a16:creationId xmlns:a16="http://schemas.microsoft.com/office/drawing/2014/main" id="{00000000-0008-0000-0600-000025000000}"/>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4"/>
            </a:graphicData>
          </a:graphic>
        </xdr:graphicFrame>
      </mc:Choice>
      <mc:Fallback>
        <xdr:pic>
          <xdr:nvPicPr>
            <xdr:cNvPr id="37" name="Add-in 36" title="Zebra BI Tables for Office">
              <a:extLst>
                <a:ext uri="{FF2B5EF4-FFF2-40B4-BE49-F238E27FC236}">
                  <a16:creationId xmlns:a16="http://schemas.microsoft.com/office/drawing/2014/main" id="{00000000-0008-0000-0600-000025000000}"/>
                </a:ext>
              </a:extLst>
            </xdr:cNvPr>
            <xdr:cNvPicPr/>
          </xdr:nvPicPr>
          <xdr:blipFill>
            <a:blip xmlns:r="http://schemas.openxmlformats.org/officeDocument/2006/relationships" r:embed="rId5"/>
            <a:stretch>
              <a:fillRect/>
            </a:stretch>
          </xdr:blipFill>
          <xdr:spPr>
            <a:prstGeom prst="rect">
              <a:avLst/>
            </a:prstGeom>
          </xdr:spPr>
        </xdr:pic>
      </mc:Fallback>
    </mc:AlternateContent>
    <xdr:clientData/>
  </xdr:twoCellAnchor>
  <xdr:twoCellAnchor>
    <xdr:from>
      <xdr:col>7</xdr:col>
      <xdr:colOff>556260</xdr:colOff>
      <xdr:row>13</xdr:row>
      <xdr:rowOff>45720</xdr:rowOff>
    </xdr:from>
    <xdr:to>
      <xdr:col>9</xdr:col>
      <xdr:colOff>99060</xdr:colOff>
      <xdr:row>14</xdr:row>
      <xdr:rowOff>175260</xdr:rowOff>
    </xdr:to>
    <xdr:sp macro="" textlink="">
      <xdr:nvSpPr>
        <xdr:cNvPr id="38" name="TextBox 37">
          <a:extLst>
            <a:ext uri="{FF2B5EF4-FFF2-40B4-BE49-F238E27FC236}">
              <a16:creationId xmlns:a16="http://schemas.microsoft.com/office/drawing/2014/main" id="{00000000-0008-0000-0600-000026000000}"/>
            </a:ext>
          </a:extLst>
        </xdr:cNvPr>
        <xdr:cNvSpPr txBox="1"/>
      </xdr:nvSpPr>
      <xdr:spPr>
        <a:xfrm>
          <a:off x="4823460" y="2423160"/>
          <a:ext cx="76200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tx1">
                  <a:lumMod val="75000"/>
                  <a:lumOff val="25000"/>
                </a:schemeClr>
              </a:solidFill>
            </a:rPr>
            <a:t>Store</a:t>
          </a:r>
        </a:p>
      </xdr:txBody>
    </xdr:sp>
    <xdr:clientData/>
  </xdr:twoCellAnchor>
  <mc:AlternateContent xmlns:mc="http://schemas.openxmlformats.org/markup-compatibility/2006">
    <mc:Choice xmlns:a14="http://schemas.microsoft.com/office/drawing/2010/main" Requires="a14">
      <xdr:twoCellAnchor editAs="oneCell">
        <xdr:from>
          <xdr:col>4</xdr:col>
          <xdr:colOff>288646</xdr:colOff>
          <xdr:row>33</xdr:row>
          <xdr:rowOff>152400</xdr:rowOff>
        </xdr:from>
        <xdr:to>
          <xdr:col>7</xdr:col>
          <xdr:colOff>237134</xdr:colOff>
          <xdr:row>35</xdr:row>
          <xdr:rowOff>160020</xdr:rowOff>
        </xdr:to>
        <xdr:pic>
          <xdr:nvPicPr>
            <xdr:cNvPr id="36" name="Picture 35">
              <a:extLst>
                <a:ext uri="{FF2B5EF4-FFF2-40B4-BE49-F238E27FC236}">
                  <a16:creationId xmlns:a16="http://schemas.microsoft.com/office/drawing/2014/main" id="{00000000-0008-0000-0600-000024000000}"/>
                </a:ext>
              </a:extLst>
            </xdr:cNvPr>
            <xdr:cNvPicPr>
              <a:picLocks noChangeAspect="1" noChangeArrowheads="1"/>
              <a:extLst>
                <a:ext uri="{84589F7E-364E-4C9E-8A38-B11213B215E9}">
                  <a14:cameraTool cellRange="'Analysis 1'!C26" spid="_x0000_s1122"/>
                </a:ext>
              </a:extLst>
            </xdr:cNvPicPr>
          </xdr:nvPicPr>
          <xdr:blipFill>
            <a:blip xmlns:r="http://schemas.openxmlformats.org/officeDocument/2006/relationships" r:embed="rId6"/>
            <a:srcRect/>
            <a:stretch>
              <a:fillRect/>
            </a:stretch>
          </xdr:blipFill>
          <xdr:spPr bwMode="auto">
            <a:xfrm>
              <a:off x="2727046" y="6187440"/>
              <a:ext cx="1777288" cy="3733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419100</xdr:colOff>
      <xdr:row>13</xdr:row>
      <xdr:rowOff>114300</xdr:rowOff>
    </xdr:from>
    <xdr:to>
      <xdr:col>1</xdr:col>
      <xdr:colOff>259080</xdr:colOff>
      <xdr:row>28</xdr:row>
      <xdr:rowOff>0</xdr:rowOff>
    </xdr:to>
    <xdr:sp macro="" textlink="">
      <xdr:nvSpPr>
        <xdr:cNvPr id="2" name="Rectangle: Diagonal Corners Rounded 1">
          <a:extLst>
            <a:ext uri="{FF2B5EF4-FFF2-40B4-BE49-F238E27FC236}">
              <a16:creationId xmlns:a16="http://schemas.microsoft.com/office/drawing/2014/main" id="{00000000-0008-0000-0700-000002000000}"/>
            </a:ext>
          </a:extLst>
        </xdr:cNvPr>
        <xdr:cNvSpPr/>
      </xdr:nvSpPr>
      <xdr:spPr>
        <a:xfrm>
          <a:off x="419100" y="2491740"/>
          <a:ext cx="449580" cy="2628900"/>
        </a:xfrm>
        <a:prstGeom prst="round2DiagRect">
          <a:avLst>
            <a:gd name="adj1" fmla="val 8633"/>
            <a:gd name="adj2" fmla="val 0"/>
          </a:avLst>
        </a:prstGeom>
        <a:gradFill flip="none" rotWithShape="1">
          <a:gsLst>
            <a:gs pos="0">
              <a:srgbClr val="4BD0FF"/>
            </a:gs>
            <a:gs pos="41000">
              <a:srgbClr val="3F4E63"/>
            </a:gs>
            <a:gs pos="100000">
              <a:srgbClr val="333F50"/>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xdr:from>
      <xdr:col>18</xdr:col>
      <xdr:colOff>228600</xdr:colOff>
      <xdr:row>0</xdr:row>
      <xdr:rowOff>0</xdr:rowOff>
    </xdr:from>
    <xdr:to>
      <xdr:col>28</xdr:col>
      <xdr:colOff>53340</xdr:colOff>
      <xdr:row>48</xdr:row>
      <xdr:rowOff>167640</xdr:rowOff>
    </xdr:to>
    <xdr:sp macro="" textlink="">
      <xdr:nvSpPr>
        <xdr:cNvPr id="4" name="Moon 3">
          <a:extLst>
            <a:ext uri="{FF2B5EF4-FFF2-40B4-BE49-F238E27FC236}">
              <a16:creationId xmlns:a16="http://schemas.microsoft.com/office/drawing/2014/main" id="{00000000-0008-0000-0700-000004000000}"/>
            </a:ext>
          </a:extLst>
        </xdr:cNvPr>
        <xdr:cNvSpPr/>
      </xdr:nvSpPr>
      <xdr:spPr>
        <a:xfrm flipH="1">
          <a:off x="11201400" y="0"/>
          <a:ext cx="5920740" cy="8945880"/>
        </a:xfrm>
        <a:prstGeom prst="moon">
          <a:avLst>
            <a:gd name="adj" fmla="val 62246"/>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175260</xdr:colOff>
      <xdr:row>0</xdr:row>
      <xdr:rowOff>0</xdr:rowOff>
    </xdr:from>
    <xdr:to>
      <xdr:col>22</xdr:col>
      <xdr:colOff>137160</xdr:colOff>
      <xdr:row>2</xdr:row>
      <xdr:rowOff>15240</xdr:rowOff>
    </xdr:to>
    <xdr:sp macro="" textlink="">
      <xdr:nvSpPr>
        <xdr:cNvPr id="5" name="Rectangle 4">
          <a:extLst>
            <a:ext uri="{FF2B5EF4-FFF2-40B4-BE49-F238E27FC236}">
              <a16:creationId xmlns:a16="http://schemas.microsoft.com/office/drawing/2014/main" id="{00000000-0008-0000-0700-000005000000}"/>
            </a:ext>
          </a:extLst>
        </xdr:cNvPr>
        <xdr:cNvSpPr/>
      </xdr:nvSpPr>
      <xdr:spPr>
        <a:xfrm>
          <a:off x="11757660" y="0"/>
          <a:ext cx="1790700" cy="381000"/>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426720</xdr:colOff>
      <xdr:row>0</xdr:row>
      <xdr:rowOff>0</xdr:rowOff>
    </xdr:from>
    <xdr:to>
      <xdr:col>26</xdr:col>
      <xdr:colOff>396240</xdr:colOff>
      <xdr:row>9</xdr:row>
      <xdr:rowOff>106680</xdr:rowOff>
    </xdr:to>
    <xdr:sp macro="" textlink="">
      <xdr:nvSpPr>
        <xdr:cNvPr id="6" name="Rectangle 5">
          <a:extLst>
            <a:ext uri="{FF2B5EF4-FFF2-40B4-BE49-F238E27FC236}">
              <a16:creationId xmlns:a16="http://schemas.microsoft.com/office/drawing/2014/main" id="{00000000-0008-0000-0700-000006000000}"/>
            </a:ext>
          </a:extLst>
        </xdr:cNvPr>
        <xdr:cNvSpPr/>
      </xdr:nvSpPr>
      <xdr:spPr>
        <a:xfrm>
          <a:off x="13228320" y="0"/>
          <a:ext cx="3017520" cy="1752600"/>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297180</xdr:colOff>
      <xdr:row>0</xdr:row>
      <xdr:rowOff>0</xdr:rowOff>
    </xdr:from>
    <xdr:to>
      <xdr:col>28</xdr:col>
      <xdr:colOff>121920</xdr:colOff>
      <xdr:row>48</xdr:row>
      <xdr:rowOff>167640</xdr:rowOff>
    </xdr:to>
    <xdr:sp macro="" textlink="">
      <xdr:nvSpPr>
        <xdr:cNvPr id="7" name="Moon 6">
          <a:extLst>
            <a:ext uri="{FF2B5EF4-FFF2-40B4-BE49-F238E27FC236}">
              <a16:creationId xmlns:a16="http://schemas.microsoft.com/office/drawing/2014/main" id="{00000000-0008-0000-0700-000007000000}"/>
            </a:ext>
          </a:extLst>
        </xdr:cNvPr>
        <xdr:cNvSpPr/>
      </xdr:nvSpPr>
      <xdr:spPr>
        <a:xfrm flipH="1">
          <a:off x="11269980" y="0"/>
          <a:ext cx="5920740" cy="8945880"/>
        </a:xfrm>
        <a:prstGeom prst="moon">
          <a:avLst>
            <a:gd name="adj" fmla="val 62246"/>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0</xdr:rowOff>
    </xdr:from>
    <xdr:to>
      <xdr:col>0</xdr:col>
      <xdr:colOff>236220</xdr:colOff>
      <xdr:row>44</xdr:row>
      <xdr:rowOff>137160</xdr:rowOff>
    </xdr:to>
    <xdr:sp macro="" textlink="">
      <xdr:nvSpPr>
        <xdr:cNvPr id="8" name="Rectangle 7">
          <a:extLst>
            <a:ext uri="{FF2B5EF4-FFF2-40B4-BE49-F238E27FC236}">
              <a16:creationId xmlns:a16="http://schemas.microsoft.com/office/drawing/2014/main" id="{00000000-0008-0000-0700-000008000000}"/>
            </a:ext>
          </a:extLst>
        </xdr:cNvPr>
        <xdr:cNvSpPr/>
      </xdr:nvSpPr>
      <xdr:spPr>
        <a:xfrm>
          <a:off x="0" y="0"/>
          <a:ext cx="236220" cy="818388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533400</xdr:colOff>
      <xdr:row>1</xdr:row>
      <xdr:rowOff>175260</xdr:rowOff>
    </xdr:from>
    <xdr:to>
      <xdr:col>18</xdr:col>
      <xdr:colOff>411480</xdr:colOff>
      <xdr:row>5</xdr:row>
      <xdr:rowOff>60960</xdr:rowOff>
    </xdr:to>
    <xdr:sp macro="" textlink="">
      <xdr:nvSpPr>
        <xdr:cNvPr id="9" name="Rectangle 8">
          <a:extLst>
            <a:ext uri="{FF2B5EF4-FFF2-40B4-BE49-F238E27FC236}">
              <a16:creationId xmlns:a16="http://schemas.microsoft.com/office/drawing/2014/main" id="{00000000-0008-0000-0700-000009000000}"/>
            </a:ext>
          </a:extLst>
        </xdr:cNvPr>
        <xdr:cNvSpPr/>
      </xdr:nvSpPr>
      <xdr:spPr>
        <a:xfrm>
          <a:off x="533400" y="358140"/>
          <a:ext cx="10850880" cy="617220"/>
        </a:xfrm>
        <a:prstGeom prst="rect">
          <a:avLst/>
        </a:prstGeom>
        <a:gradFill flip="none" rotWithShape="1">
          <a:gsLst>
            <a:gs pos="0">
              <a:schemeClr val="bg1">
                <a:lumMod val="95000"/>
              </a:schemeClr>
            </a:gs>
            <a:gs pos="50000">
              <a:schemeClr val="bg1">
                <a:lumMod val="95000"/>
                <a:lumOff val="5000"/>
              </a:schemeClr>
            </a:gs>
            <a:gs pos="100000">
              <a:schemeClr val="bg1">
                <a:lumMod val="95000"/>
              </a:schemeClr>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304800</xdr:colOff>
      <xdr:row>2</xdr:row>
      <xdr:rowOff>30480</xdr:rowOff>
    </xdr:from>
    <xdr:to>
      <xdr:col>6</xdr:col>
      <xdr:colOff>594360</xdr:colOff>
      <xdr:row>5</xdr:row>
      <xdr:rowOff>22860</xdr:rowOff>
    </xdr:to>
    <xdr:sp macro="" textlink="">
      <xdr:nvSpPr>
        <xdr:cNvPr id="18" name="TextBox 17">
          <a:extLst>
            <a:ext uri="{FF2B5EF4-FFF2-40B4-BE49-F238E27FC236}">
              <a16:creationId xmlns:a16="http://schemas.microsoft.com/office/drawing/2014/main" id="{00000000-0008-0000-0700-000012000000}"/>
            </a:ext>
          </a:extLst>
        </xdr:cNvPr>
        <xdr:cNvSpPr txBox="1"/>
      </xdr:nvSpPr>
      <xdr:spPr>
        <a:xfrm>
          <a:off x="304800" y="396240"/>
          <a:ext cx="3947160" cy="541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4000">
              <a:gradFill>
                <a:gsLst>
                  <a:gs pos="0">
                    <a:srgbClr val="7030A0"/>
                  </a:gs>
                  <a:gs pos="100000">
                    <a:schemeClr val="tx1">
                      <a:lumMod val="50000"/>
                      <a:lumOff val="50000"/>
                    </a:schemeClr>
                  </a:gs>
                </a:gsLst>
                <a:lin ang="10800000" scaled="1"/>
              </a:gradFill>
            </a:rPr>
            <a:t>Sales Dashboard </a:t>
          </a:r>
        </a:p>
      </xdr:txBody>
    </xdr:sp>
    <xdr:clientData/>
  </xdr:twoCellAnchor>
  <xdr:twoCellAnchor>
    <xdr:from>
      <xdr:col>7</xdr:col>
      <xdr:colOff>182880</xdr:colOff>
      <xdr:row>2</xdr:row>
      <xdr:rowOff>118110</xdr:rowOff>
    </xdr:from>
    <xdr:to>
      <xdr:col>9</xdr:col>
      <xdr:colOff>144780</xdr:colOff>
      <xdr:row>4</xdr:row>
      <xdr:rowOff>118110</xdr:rowOff>
    </xdr:to>
    <xdr:sp macro="" textlink="">
      <xdr:nvSpPr>
        <xdr:cNvPr id="19" name="Rectangle: Diagonal Corners Rounded 18">
          <a:extLst>
            <a:ext uri="{FF2B5EF4-FFF2-40B4-BE49-F238E27FC236}">
              <a16:creationId xmlns:a16="http://schemas.microsoft.com/office/drawing/2014/main" id="{00000000-0008-0000-0700-000013000000}"/>
            </a:ext>
          </a:extLst>
        </xdr:cNvPr>
        <xdr:cNvSpPr/>
      </xdr:nvSpPr>
      <xdr:spPr>
        <a:xfrm flipH="1">
          <a:off x="4450080" y="483870"/>
          <a:ext cx="1181100" cy="365760"/>
        </a:xfrm>
        <a:prstGeom prst="round2DiagRect">
          <a:avLst/>
        </a:prstGeom>
        <a:solidFill>
          <a:schemeClr val="bg1">
            <a:lumMod val="85000"/>
            <a:alpha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381000</xdr:colOff>
      <xdr:row>2</xdr:row>
      <xdr:rowOff>118110</xdr:rowOff>
    </xdr:from>
    <xdr:to>
      <xdr:col>11</xdr:col>
      <xdr:colOff>342900</xdr:colOff>
      <xdr:row>4</xdr:row>
      <xdr:rowOff>118110</xdr:rowOff>
    </xdr:to>
    <xdr:sp macro="" textlink="">
      <xdr:nvSpPr>
        <xdr:cNvPr id="20" name="Rectangle: Diagonal Corners Rounded 19">
          <a:extLst>
            <a:ext uri="{FF2B5EF4-FFF2-40B4-BE49-F238E27FC236}">
              <a16:creationId xmlns:a16="http://schemas.microsoft.com/office/drawing/2014/main" id="{00000000-0008-0000-0700-000014000000}"/>
            </a:ext>
          </a:extLst>
        </xdr:cNvPr>
        <xdr:cNvSpPr/>
      </xdr:nvSpPr>
      <xdr:spPr>
        <a:xfrm flipH="1">
          <a:off x="5867400" y="483870"/>
          <a:ext cx="1181100" cy="365760"/>
        </a:xfrm>
        <a:prstGeom prst="round2DiagRect">
          <a:avLst/>
        </a:prstGeom>
        <a:solidFill>
          <a:schemeClr val="bg1">
            <a:lumMod val="85000"/>
            <a:alpha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11</xdr:col>
      <xdr:colOff>579120</xdr:colOff>
      <xdr:row>2</xdr:row>
      <xdr:rowOff>118110</xdr:rowOff>
    </xdr:from>
    <xdr:to>
      <xdr:col>13</xdr:col>
      <xdr:colOff>541020</xdr:colOff>
      <xdr:row>4</xdr:row>
      <xdr:rowOff>118110</xdr:rowOff>
    </xdr:to>
    <xdr:sp macro="" textlink="">
      <xdr:nvSpPr>
        <xdr:cNvPr id="21" name="Rectangle: Diagonal Corners Rounded 20">
          <a:extLst>
            <a:ext uri="{FF2B5EF4-FFF2-40B4-BE49-F238E27FC236}">
              <a16:creationId xmlns:a16="http://schemas.microsoft.com/office/drawing/2014/main" id="{00000000-0008-0000-0700-000015000000}"/>
            </a:ext>
          </a:extLst>
        </xdr:cNvPr>
        <xdr:cNvSpPr/>
      </xdr:nvSpPr>
      <xdr:spPr>
        <a:xfrm flipH="1">
          <a:off x="7284720" y="483870"/>
          <a:ext cx="1181100" cy="365760"/>
        </a:xfrm>
        <a:prstGeom prst="round2Diag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9</xdr:col>
      <xdr:colOff>556260</xdr:colOff>
      <xdr:row>3</xdr:row>
      <xdr:rowOff>11430</xdr:rowOff>
    </xdr:from>
    <xdr:to>
      <xdr:col>11</xdr:col>
      <xdr:colOff>167640</xdr:colOff>
      <xdr:row>4</xdr:row>
      <xdr:rowOff>49530</xdr:rowOff>
    </xdr:to>
    <xdr:sp macro="" textlink="">
      <xdr:nvSpPr>
        <xdr:cNvPr id="23" name="TextBox 22">
          <a:hlinkClick xmlns:r="http://schemas.openxmlformats.org/officeDocument/2006/relationships" r:id="rId1" tooltip="Store.Page"/>
          <a:extLst>
            <a:ext uri="{FF2B5EF4-FFF2-40B4-BE49-F238E27FC236}">
              <a16:creationId xmlns:a16="http://schemas.microsoft.com/office/drawing/2014/main" id="{00000000-0008-0000-0700-000017000000}"/>
            </a:ext>
          </a:extLst>
        </xdr:cNvPr>
        <xdr:cNvSpPr txBox="1"/>
      </xdr:nvSpPr>
      <xdr:spPr>
        <a:xfrm>
          <a:off x="6042660" y="560070"/>
          <a:ext cx="8305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a:solidFill>
                <a:schemeClr val="bg2">
                  <a:lumMod val="25000"/>
                </a:schemeClr>
              </a:solidFill>
              <a:latin typeface="+mn-lt"/>
              <a:ea typeface="+mn-ea"/>
              <a:cs typeface="+mn-cs"/>
            </a:rPr>
            <a:t>Store</a:t>
          </a:r>
        </a:p>
      </xdr:txBody>
    </xdr:sp>
    <xdr:clientData/>
  </xdr:twoCellAnchor>
  <xdr:twoCellAnchor>
    <xdr:from>
      <xdr:col>11</xdr:col>
      <xdr:colOff>594360</xdr:colOff>
      <xdr:row>3</xdr:row>
      <xdr:rowOff>11430</xdr:rowOff>
    </xdr:from>
    <xdr:to>
      <xdr:col>13</xdr:col>
      <xdr:colOff>533400</xdr:colOff>
      <xdr:row>4</xdr:row>
      <xdr:rowOff>49530</xdr:rowOff>
    </xdr:to>
    <xdr:sp macro="" textlink="">
      <xdr:nvSpPr>
        <xdr:cNvPr id="24" name="TextBox 23">
          <a:hlinkClick xmlns:r="http://schemas.openxmlformats.org/officeDocument/2006/relationships" r:id="rId2" tooltip="Here"/>
          <a:extLst>
            <a:ext uri="{FF2B5EF4-FFF2-40B4-BE49-F238E27FC236}">
              <a16:creationId xmlns:a16="http://schemas.microsoft.com/office/drawing/2014/main" id="{00000000-0008-0000-0700-000018000000}"/>
            </a:ext>
          </a:extLst>
        </xdr:cNvPr>
        <xdr:cNvSpPr txBox="1"/>
      </xdr:nvSpPr>
      <xdr:spPr>
        <a:xfrm>
          <a:off x="7299960" y="560070"/>
          <a:ext cx="11582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bg1"/>
              </a:solidFill>
              <a:latin typeface="+mn-lt"/>
              <a:ea typeface="+mn-ea"/>
              <a:cs typeface="+mn-cs"/>
            </a:rPr>
            <a:t>Profit</a:t>
          </a:r>
          <a:r>
            <a:rPr lang="en-US" sz="1400">
              <a:solidFill>
                <a:schemeClr val="bg2">
                  <a:lumMod val="25000"/>
                </a:schemeClr>
              </a:solidFill>
            </a:rPr>
            <a:t> </a:t>
          </a:r>
          <a:r>
            <a:rPr lang="en-US" sz="1400">
              <a:solidFill>
                <a:schemeClr val="bg1"/>
              </a:solidFill>
              <a:latin typeface="+mn-lt"/>
              <a:ea typeface="+mn-ea"/>
              <a:cs typeface="+mn-cs"/>
            </a:rPr>
            <a:t>View</a:t>
          </a:r>
        </a:p>
      </xdr:txBody>
    </xdr:sp>
    <xdr:clientData/>
  </xdr:twoCellAnchor>
  <xdr:twoCellAnchor>
    <xdr:from>
      <xdr:col>7</xdr:col>
      <xdr:colOff>190500</xdr:colOff>
      <xdr:row>3</xdr:row>
      <xdr:rowOff>11430</xdr:rowOff>
    </xdr:from>
    <xdr:to>
      <xdr:col>9</xdr:col>
      <xdr:colOff>129540</xdr:colOff>
      <xdr:row>4</xdr:row>
      <xdr:rowOff>49530</xdr:rowOff>
    </xdr:to>
    <xdr:sp macro="" textlink="">
      <xdr:nvSpPr>
        <xdr:cNvPr id="25" name="TextBox 24">
          <a:hlinkClick xmlns:r="http://schemas.openxmlformats.org/officeDocument/2006/relationships" r:id="rId3" tooltip="Time_Frame.Page"/>
          <a:extLst>
            <a:ext uri="{FF2B5EF4-FFF2-40B4-BE49-F238E27FC236}">
              <a16:creationId xmlns:a16="http://schemas.microsoft.com/office/drawing/2014/main" id="{00000000-0008-0000-0700-000019000000}"/>
            </a:ext>
          </a:extLst>
        </xdr:cNvPr>
        <xdr:cNvSpPr txBox="1"/>
      </xdr:nvSpPr>
      <xdr:spPr>
        <a:xfrm>
          <a:off x="4457700" y="560070"/>
          <a:ext cx="11582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bg2">
                  <a:lumMod val="25000"/>
                </a:schemeClr>
              </a:solidFill>
            </a:rPr>
            <a:t>Time Frame</a:t>
          </a:r>
        </a:p>
      </xdr:txBody>
    </xdr:sp>
    <xdr:clientData/>
  </xdr:twoCellAnchor>
  <xdr:twoCellAnchor>
    <xdr:from>
      <xdr:col>0</xdr:col>
      <xdr:colOff>0</xdr:colOff>
      <xdr:row>49</xdr:row>
      <xdr:rowOff>60960</xdr:rowOff>
    </xdr:from>
    <xdr:to>
      <xdr:col>0</xdr:col>
      <xdr:colOff>0</xdr:colOff>
      <xdr:row>52</xdr:row>
      <xdr:rowOff>53340</xdr:rowOff>
    </xdr:to>
    <xdr:sp macro="" textlink="">
      <xdr:nvSpPr>
        <xdr:cNvPr id="27" name="TextBox 26">
          <a:extLst>
            <a:ext uri="{FF2B5EF4-FFF2-40B4-BE49-F238E27FC236}">
              <a16:creationId xmlns:a16="http://schemas.microsoft.com/office/drawing/2014/main" id="{00000000-0008-0000-0700-00001B000000}"/>
            </a:ext>
          </a:extLst>
        </xdr:cNvPr>
        <xdr:cNvSpPr txBox="1"/>
      </xdr:nvSpPr>
      <xdr:spPr>
        <a:xfrm>
          <a:off x="0" y="9022080"/>
          <a:ext cx="0" cy="541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600">
              <a:solidFill>
                <a:schemeClr val="accent1">
                  <a:lumMod val="75000"/>
                </a:schemeClr>
              </a:solidFill>
            </a:rPr>
            <a:t>Store Budget Vs</a:t>
          </a:r>
          <a:r>
            <a:rPr lang="en-US" sz="1600" baseline="0">
              <a:solidFill>
                <a:schemeClr val="accent1">
                  <a:lumMod val="75000"/>
                </a:schemeClr>
              </a:solidFill>
            </a:rPr>
            <a:t> Revenue</a:t>
          </a:r>
          <a:endParaRPr lang="en-US" sz="1600">
            <a:solidFill>
              <a:schemeClr val="accent1">
                <a:lumMod val="75000"/>
              </a:schemeClr>
            </a:solidFill>
          </a:endParaRPr>
        </a:p>
      </xdr:txBody>
    </xdr:sp>
    <xdr:clientData/>
  </xdr:twoCellAnchor>
  <xdr:twoCellAnchor>
    <xdr:from>
      <xdr:col>0</xdr:col>
      <xdr:colOff>419100</xdr:colOff>
      <xdr:row>7</xdr:row>
      <xdr:rowOff>45720</xdr:rowOff>
    </xdr:from>
    <xdr:to>
      <xdr:col>3</xdr:col>
      <xdr:colOff>342900</xdr:colOff>
      <xdr:row>11</xdr:row>
      <xdr:rowOff>83820</xdr:rowOff>
    </xdr:to>
    <xdr:sp macro="" textlink="">
      <xdr:nvSpPr>
        <xdr:cNvPr id="28" name="Rectangle: Rounded Corners 27">
          <a:extLst>
            <a:ext uri="{FF2B5EF4-FFF2-40B4-BE49-F238E27FC236}">
              <a16:creationId xmlns:a16="http://schemas.microsoft.com/office/drawing/2014/main" id="{00000000-0008-0000-0700-00001C000000}"/>
            </a:ext>
          </a:extLst>
        </xdr:cNvPr>
        <xdr:cNvSpPr/>
      </xdr:nvSpPr>
      <xdr:spPr>
        <a:xfrm>
          <a:off x="419100" y="1325880"/>
          <a:ext cx="1752600" cy="769620"/>
        </a:xfrm>
        <a:prstGeom prst="roundRect">
          <a:avLst/>
        </a:prstGeom>
        <a:gradFill flip="none" rotWithShape="1">
          <a:gsLst>
            <a:gs pos="0">
              <a:schemeClr val="accent1">
                <a:lumMod val="75000"/>
              </a:schemeClr>
            </a:gs>
            <a:gs pos="41000">
              <a:srgbClr val="3F4E63"/>
            </a:gs>
            <a:gs pos="100000">
              <a:srgbClr val="333F50"/>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419100</xdr:colOff>
      <xdr:row>29</xdr:row>
      <xdr:rowOff>83820</xdr:rowOff>
    </xdr:from>
    <xdr:to>
      <xdr:col>1</xdr:col>
      <xdr:colOff>259080</xdr:colOff>
      <xdr:row>41</xdr:row>
      <xdr:rowOff>53340</xdr:rowOff>
    </xdr:to>
    <xdr:sp macro="" textlink="">
      <xdr:nvSpPr>
        <xdr:cNvPr id="29" name="Rectangle: Diagonal Corners Rounded 28">
          <a:extLst>
            <a:ext uri="{FF2B5EF4-FFF2-40B4-BE49-F238E27FC236}">
              <a16:creationId xmlns:a16="http://schemas.microsoft.com/office/drawing/2014/main" id="{00000000-0008-0000-0700-00001D000000}"/>
            </a:ext>
          </a:extLst>
        </xdr:cNvPr>
        <xdr:cNvSpPr/>
      </xdr:nvSpPr>
      <xdr:spPr>
        <a:xfrm>
          <a:off x="419100" y="5387340"/>
          <a:ext cx="449580" cy="2164080"/>
        </a:xfrm>
        <a:prstGeom prst="round2DiagRect">
          <a:avLst>
            <a:gd name="adj1" fmla="val 8633"/>
            <a:gd name="adj2" fmla="val 0"/>
          </a:avLst>
        </a:prstGeom>
        <a:gradFill flip="none" rotWithShape="1">
          <a:gsLst>
            <a:gs pos="0">
              <a:schemeClr val="accent1">
                <a:lumMod val="75000"/>
              </a:schemeClr>
            </a:gs>
            <a:gs pos="41000">
              <a:srgbClr val="3F4E63"/>
            </a:gs>
            <a:gs pos="100000">
              <a:srgbClr val="333F50"/>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xdr:from>
      <xdr:col>1</xdr:col>
      <xdr:colOff>480060</xdr:colOff>
      <xdr:row>13</xdr:row>
      <xdr:rowOff>53340</xdr:rowOff>
    </xdr:from>
    <xdr:to>
      <xdr:col>4</xdr:col>
      <xdr:colOff>426720</xdr:colOff>
      <xdr:row>28</xdr:row>
      <xdr:rowOff>45720</xdr:rowOff>
    </xdr:to>
    <xdr:sp macro="" textlink="">
      <xdr:nvSpPr>
        <xdr:cNvPr id="30" name="Rectangle: Diagonal Corners Rounded 29">
          <a:extLst>
            <a:ext uri="{FF2B5EF4-FFF2-40B4-BE49-F238E27FC236}">
              <a16:creationId xmlns:a16="http://schemas.microsoft.com/office/drawing/2014/main" id="{00000000-0008-0000-0700-00001E000000}"/>
            </a:ext>
          </a:extLst>
        </xdr:cNvPr>
        <xdr:cNvSpPr/>
      </xdr:nvSpPr>
      <xdr:spPr>
        <a:xfrm>
          <a:off x="1089660" y="2430780"/>
          <a:ext cx="1775460" cy="2735580"/>
        </a:xfrm>
        <a:prstGeom prst="round2DiagRect">
          <a:avLst>
            <a:gd name="adj1" fmla="val 863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579120</xdr:colOff>
      <xdr:row>13</xdr:row>
      <xdr:rowOff>45720</xdr:rowOff>
    </xdr:from>
    <xdr:to>
      <xdr:col>8</xdr:col>
      <xdr:colOff>342900</xdr:colOff>
      <xdr:row>28</xdr:row>
      <xdr:rowOff>38100</xdr:rowOff>
    </xdr:to>
    <xdr:sp macro="" textlink="">
      <xdr:nvSpPr>
        <xdr:cNvPr id="33" name="Rectangle: Diagonal Corners Rounded 32">
          <a:extLst>
            <a:ext uri="{FF2B5EF4-FFF2-40B4-BE49-F238E27FC236}">
              <a16:creationId xmlns:a16="http://schemas.microsoft.com/office/drawing/2014/main" id="{00000000-0008-0000-0700-000021000000}"/>
            </a:ext>
          </a:extLst>
        </xdr:cNvPr>
        <xdr:cNvSpPr/>
      </xdr:nvSpPr>
      <xdr:spPr>
        <a:xfrm>
          <a:off x="3017520" y="2423160"/>
          <a:ext cx="2202180" cy="2735580"/>
        </a:xfrm>
        <a:prstGeom prst="round2DiagRect">
          <a:avLst>
            <a:gd name="adj1" fmla="val 863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487680</xdr:colOff>
      <xdr:row>13</xdr:row>
      <xdr:rowOff>45720</xdr:rowOff>
    </xdr:from>
    <xdr:to>
      <xdr:col>15</xdr:col>
      <xdr:colOff>449580</xdr:colOff>
      <xdr:row>28</xdr:row>
      <xdr:rowOff>38100</xdr:rowOff>
    </xdr:to>
    <xdr:sp macro="" textlink="">
      <xdr:nvSpPr>
        <xdr:cNvPr id="34" name="Rectangle: Diagonal Corners Rounded 33">
          <a:extLst>
            <a:ext uri="{FF2B5EF4-FFF2-40B4-BE49-F238E27FC236}">
              <a16:creationId xmlns:a16="http://schemas.microsoft.com/office/drawing/2014/main" id="{00000000-0008-0000-0700-000022000000}"/>
            </a:ext>
          </a:extLst>
        </xdr:cNvPr>
        <xdr:cNvSpPr/>
      </xdr:nvSpPr>
      <xdr:spPr>
        <a:xfrm>
          <a:off x="5364480" y="2423160"/>
          <a:ext cx="4229100" cy="2735580"/>
        </a:xfrm>
        <a:prstGeom prst="round2DiagRect">
          <a:avLst>
            <a:gd name="adj1" fmla="val 863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457200</xdr:colOff>
      <xdr:row>29</xdr:row>
      <xdr:rowOff>91440</xdr:rowOff>
    </xdr:from>
    <xdr:to>
      <xdr:col>9</xdr:col>
      <xdr:colOff>396240</xdr:colOff>
      <xdr:row>41</xdr:row>
      <xdr:rowOff>99060</xdr:rowOff>
    </xdr:to>
    <xdr:sp macro="" textlink="">
      <xdr:nvSpPr>
        <xdr:cNvPr id="36" name="Rectangle: Diagonal Corners Rounded 35">
          <a:extLst>
            <a:ext uri="{FF2B5EF4-FFF2-40B4-BE49-F238E27FC236}">
              <a16:creationId xmlns:a16="http://schemas.microsoft.com/office/drawing/2014/main" id="{00000000-0008-0000-0700-000024000000}"/>
            </a:ext>
          </a:extLst>
        </xdr:cNvPr>
        <xdr:cNvSpPr/>
      </xdr:nvSpPr>
      <xdr:spPr>
        <a:xfrm>
          <a:off x="1066800" y="5394960"/>
          <a:ext cx="4815840" cy="2202180"/>
        </a:xfrm>
        <a:prstGeom prst="round2DiagRect">
          <a:avLst>
            <a:gd name="adj1" fmla="val 863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7620</xdr:colOff>
      <xdr:row>29</xdr:row>
      <xdr:rowOff>91440</xdr:rowOff>
    </xdr:from>
    <xdr:to>
      <xdr:col>15</xdr:col>
      <xdr:colOff>381000</xdr:colOff>
      <xdr:row>41</xdr:row>
      <xdr:rowOff>106680</xdr:rowOff>
    </xdr:to>
    <xdr:sp macro="" textlink="">
      <xdr:nvSpPr>
        <xdr:cNvPr id="37" name="Rectangle: Diagonal Corners Rounded 36">
          <a:extLst>
            <a:ext uri="{FF2B5EF4-FFF2-40B4-BE49-F238E27FC236}">
              <a16:creationId xmlns:a16="http://schemas.microsoft.com/office/drawing/2014/main" id="{00000000-0008-0000-0700-000025000000}"/>
            </a:ext>
          </a:extLst>
        </xdr:cNvPr>
        <xdr:cNvSpPr/>
      </xdr:nvSpPr>
      <xdr:spPr>
        <a:xfrm>
          <a:off x="6103620" y="5394960"/>
          <a:ext cx="3421380" cy="2209800"/>
        </a:xfrm>
        <a:prstGeom prst="round2DiagRect">
          <a:avLst>
            <a:gd name="adj1" fmla="val 863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7620</xdr:colOff>
      <xdr:row>7</xdr:row>
      <xdr:rowOff>80010</xdr:rowOff>
    </xdr:from>
    <xdr:to>
      <xdr:col>19</xdr:col>
      <xdr:colOff>556260</xdr:colOff>
      <xdr:row>41</xdr:row>
      <xdr:rowOff>144780</xdr:rowOff>
    </xdr:to>
    <xdr:sp macro="" textlink="">
      <xdr:nvSpPr>
        <xdr:cNvPr id="38" name="Rectangle: Diagonal Corners Rounded 37">
          <a:extLst>
            <a:ext uri="{FF2B5EF4-FFF2-40B4-BE49-F238E27FC236}">
              <a16:creationId xmlns:a16="http://schemas.microsoft.com/office/drawing/2014/main" id="{00000000-0008-0000-0700-000026000000}"/>
            </a:ext>
          </a:extLst>
        </xdr:cNvPr>
        <xdr:cNvSpPr/>
      </xdr:nvSpPr>
      <xdr:spPr>
        <a:xfrm>
          <a:off x="9761220" y="1360170"/>
          <a:ext cx="2377440" cy="6282690"/>
        </a:xfrm>
        <a:prstGeom prst="round2DiagRect">
          <a:avLst/>
        </a:prstGeom>
        <a:solidFill>
          <a:srgbClr val="2E75B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22860</xdr:colOff>
      <xdr:row>10</xdr:row>
      <xdr:rowOff>91440</xdr:rowOff>
    </xdr:from>
    <xdr:to>
      <xdr:col>20</xdr:col>
      <xdr:colOff>297180</xdr:colOff>
      <xdr:row>40</xdr:row>
      <xdr:rowOff>68580</xdr:rowOff>
    </xdr:to>
    <xdr:sp macro="" textlink="">
      <xdr:nvSpPr>
        <xdr:cNvPr id="40" name="Rectangle 39">
          <a:extLst>
            <a:ext uri="{FF2B5EF4-FFF2-40B4-BE49-F238E27FC236}">
              <a16:creationId xmlns:a16="http://schemas.microsoft.com/office/drawing/2014/main" id="{00000000-0008-0000-0700-000028000000}"/>
            </a:ext>
          </a:extLst>
        </xdr:cNvPr>
        <xdr:cNvSpPr/>
      </xdr:nvSpPr>
      <xdr:spPr>
        <a:xfrm>
          <a:off x="9776460" y="1920240"/>
          <a:ext cx="2712720" cy="546354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175260</xdr:colOff>
      <xdr:row>13</xdr:row>
      <xdr:rowOff>76200</xdr:rowOff>
    </xdr:from>
    <xdr:to>
      <xdr:col>20</xdr:col>
      <xdr:colOff>533400</xdr:colOff>
      <xdr:row>38</xdr:row>
      <xdr:rowOff>30480</xdr:rowOff>
    </xdr:to>
    <xdr:sp macro="" textlink="">
      <xdr:nvSpPr>
        <xdr:cNvPr id="41" name="Rectangle 40">
          <a:extLst>
            <a:ext uri="{FF2B5EF4-FFF2-40B4-BE49-F238E27FC236}">
              <a16:creationId xmlns:a16="http://schemas.microsoft.com/office/drawing/2014/main" id="{00000000-0008-0000-0700-000029000000}"/>
            </a:ext>
          </a:extLst>
        </xdr:cNvPr>
        <xdr:cNvSpPr/>
      </xdr:nvSpPr>
      <xdr:spPr>
        <a:xfrm>
          <a:off x="9928860" y="2453640"/>
          <a:ext cx="2796540" cy="452628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411480</xdr:colOff>
      <xdr:row>14</xdr:row>
      <xdr:rowOff>38100</xdr:rowOff>
    </xdr:from>
    <xdr:to>
      <xdr:col>21</xdr:col>
      <xdr:colOff>502920</xdr:colOff>
      <xdr:row>35</xdr:row>
      <xdr:rowOff>144780</xdr:rowOff>
    </xdr:to>
    <xdr:sp macro="" textlink="">
      <xdr:nvSpPr>
        <xdr:cNvPr id="43" name="Oval 42">
          <a:extLst>
            <a:ext uri="{FF2B5EF4-FFF2-40B4-BE49-F238E27FC236}">
              <a16:creationId xmlns:a16="http://schemas.microsoft.com/office/drawing/2014/main" id="{00000000-0008-0000-0700-00002B000000}"/>
            </a:ext>
          </a:extLst>
        </xdr:cNvPr>
        <xdr:cNvSpPr/>
      </xdr:nvSpPr>
      <xdr:spPr>
        <a:xfrm>
          <a:off x="10774680" y="2598420"/>
          <a:ext cx="2529840" cy="3947160"/>
        </a:xfrm>
        <a:prstGeom prst="ellipse">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388620</xdr:colOff>
          <xdr:row>13</xdr:row>
          <xdr:rowOff>106680</xdr:rowOff>
        </xdr:from>
        <xdr:to>
          <xdr:col>9</xdr:col>
          <xdr:colOff>601980</xdr:colOff>
          <xdr:row>14</xdr:row>
          <xdr:rowOff>175260</xdr:rowOff>
        </xdr:to>
        <xdr:sp macro="" textlink="">
          <xdr:nvSpPr>
            <xdr:cNvPr id="5121" name="Option Button 1" hidden="1">
              <a:extLst>
                <a:ext uri="{63B3BB69-23CF-44E3-9099-C40C66FF867C}">
                  <a14:compatExt spid="_x0000_s5121"/>
                </a:ext>
                <a:ext uri="{FF2B5EF4-FFF2-40B4-BE49-F238E27FC236}">
                  <a16:creationId xmlns:a16="http://schemas.microsoft.com/office/drawing/2014/main" id="{00000000-0008-0000-07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45720</xdr:colOff>
          <xdr:row>13</xdr:row>
          <xdr:rowOff>99060</xdr:rowOff>
        </xdr:from>
        <xdr:to>
          <xdr:col>11</xdr:col>
          <xdr:colOff>259080</xdr:colOff>
          <xdr:row>14</xdr:row>
          <xdr:rowOff>167640</xdr:rowOff>
        </xdr:to>
        <xdr:sp macro="" textlink="">
          <xdr:nvSpPr>
            <xdr:cNvPr id="5122" name="Option Button 2" hidden="1">
              <a:extLst>
                <a:ext uri="{63B3BB69-23CF-44E3-9099-C40C66FF867C}">
                  <a14:compatExt spid="_x0000_s5122"/>
                </a:ext>
                <a:ext uri="{FF2B5EF4-FFF2-40B4-BE49-F238E27FC236}">
                  <a16:creationId xmlns:a16="http://schemas.microsoft.com/office/drawing/2014/main" id="{00000000-0008-0000-07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13</xdr:row>
          <xdr:rowOff>144780</xdr:rowOff>
        </xdr:from>
        <xdr:to>
          <xdr:col>15</xdr:col>
          <xdr:colOff>335280</xdr:colOff>
          <xdr:row>15</xdr:row>
          <xdr:rowOff>0</xdr:rowOff>
        </xdr:to>
        <xdr:sp macro="" textlink="">
          <xdr:nvSpPr>
            <xdr:cNvPr id="5123" name="Drop Down 3" hidden="1">
              <a:extLst>
                <a:ext uri="{63B3BB69-23CF-44E3-9099-C40C66FF867C}">
                  <a14:compatExt spid="_x0000_s5123"/>
                </a:ext>
                <a:ext uri="{FF2B5EF4-FFF2-40B4-BE49-F238E27FC236}">
                  <a16:creationId xmlns:a16="http://schemas.microsoft.com/office/drawing/2014/main" id="{00000000-0008-0000-07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8</xdr:col>
      <xdr:colOff>464820</xdr:colOff>
      <xdr:row>19</xdr:row>
      <xdr:rowOff>45720</xdr:rowOff>
    </xdr:from>
    <xdr:to>
      <xdr:col>15</xdr:col>
      <xdr:colOff>388620</xdr:colOff>
      <xdr:row>28</xdr:row>
      <xdr:rowOff>68580</xdr:rowOff>
    </xdr:to>
    <xdr:graphicFrame macro="">
      <xdr:nvGraphicFramePr>
        <xdr:cNvPr id="45" name="Chart 44">
          <a:extLst>
            <a:ext uri="{FF2B5EF4-FFF2-40B4-BE49-F238E27FC236}">
              <a16:creationId xmlns:a16="http://schemas.microsoft.com/office/drawing/2014/main" id="{00000000-0008-0000-07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563880</xdr:colOff>
      <xdr:row>13</xdr:row>
      <xdr:rowOff>76200</xdr:rowOff>
    </xdr:from>
    <xdr:to>
      <xdr:col>9</xdr:col>
      <xdr:colOff>411480</xdr:colOff>
      <xdr:row>15</xdr:row>
      <xdr:rowOff>7620</xdr:rowOff>
    </xdr:to>
    <xdr:sp macro="" textlink="">
      <xdr:nvSpPr>
        <xdr:cNvPr id="46" name="TextBox 45">
          <a:extLst>
            <a:ext uri="{FF2B5EF4-FFF2-40B4-BE49-F238E27FC236}">
              <a16:creationId xmlns:a16="http://schemas.microsoft.com/office/drawing/2014/main" id="{00000000-0008-0000-0700-00002E000000}"/>
            </a:ext>
          </a:extLst>
        </xdr:cNvPr>
        <xdr:cNvSpPr txBox="1"/>
      </xdr:nvSpPr>
      <xdr:spPr>
        <a:xfrm>
          <a:off x="5440680" y="2453640"/>
          <a:ext cx="45720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tx1">
                  <a:lumMod val="75000"/>
                  <a:lumOff val="25000"/>
                </a:schemeClr>
              </a:solidFill>
            </a:rPr>
            <a:t>Top</a:t>
          </a:r>
        </a:p>
      </xdr:txBody>
    </xdr:sp>
    <xdr:clientData/>
  </xdr:twoCellAnchor>
  <xdr:twoCellAnchor>
    <xdr:from>
      <xdr:col>9</xdr:col>
      <xdr:colOff>579120</xdr:colOff>
      <xdr:row>13</xdr:row>
      <xdr:rowOff>76200</xdr:rowOff>
    </xdr:from>
    <xdr:to>
      <xdr:col>11</xdr:col>
      <xdr:colOff>91440</xdr:colOff>
      <xdr:row>15</xdr:row>
      <xdr:rowOff>7620</xdr:rowOff>
    </xdr:to>
    <xdr:sp macro="" textlink="">
      <xdr:nvSpPr>
        <xdr:cNvPr id="48" name="TextBox 47">
          <a:extLst>
            <a:ext uri="{FF2B5EF4-FFF2-40B4-BE49-F238E27FC236}">
              <a16:creationId xmlns:a16="http://schemas.microsoft.com/office/drawing/2014/main" id="{00000000-0008-0000-0700-000030000000}"/>
            </a:ext>
          </a:extLst>
        </xdr:cNvPr>
        <xdr:cNvSpPr txBox="1"/>
      </xdr:nvSpPr>
      <xdr:spPr>
        <a:xfrm>
          <a:off x="6065520" y="2453640"/>
          <a:ext cx="73152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tx1">
                  <a:lumMod val="75000"/>
                  <a:lumOff val="25000"/>
                </a:schemeClr>
              </a:solidFill>
            </a:rPr>
            <a:t>Bottom</a:t>
          </a:r>
        </a:p>
      </xdr:txBody>
    </xdr:sp>
    <xdr:clientData/>
  </xdr:twoCellAnchor>
  <xdr:twoCellAnchor>
    <xdr:from>
      <xdr:col>9</xdr:col>
      <xdr:colOff>91440</xdr:colOff>
      <xdr:row>15</xdr:row>
      <xdr:rowOff>38100</xdr:rowOff>
    </xdr:from>
    <xdr:to>
      <xdr:col>9</xdr:col>
      <xdr:colOff>246888</xdr:colOff>
      <xdr:row>16</xdr:row>
      <xdr:rowOff>10668</xdr:rowOff>
    </xdr:to>
    <xdr:sp macro="" textlink="">
      <xdr:nvSpPr>
        <xdr:cNvPr id="49" name="Oval 48">
          <a:extLst>
            <a:ext uri="{FF2B5EF4-FFF2-40B4-BE49-F238E27FC236}">
              <a16:creationId xmlns:a16="http://schemas.microsoft.com/office/drawing/2014/main" id="{00000000-0008-0000-0700-000031000000}"/>
            </a:ext>
          </a:extLst>
        </xdr:cNvPr>
        <xdr:cNvSpPr/>
      </xdr:nvSpPr>
      <xdr:spPr>
        <a:xfrm>
          <a:off x="5577840" y="2781300"/>
          <a:ext cx="155448" cy="155448"/>
        </a:xfrm>
        <a:prstGeom prst="ellipse">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167640</xdr:colOff>
      <xdr:row>16</xdr:row>
      <xdr:rowOff>99060</xdr:rowOff>
    </xdr:from>
    <xdr:to>
      <xdr:col>9</xdr:col>
      <xdr:colOff>175260</xdr:colOff>
      <xdr:row>18</xdr:row>
      <xdr:rowOff>106680</xdr:rowOff>
    </xdr:to>
    <xdr:cxnSp macro="">
      <xdr:nvCxnSpPr>
        <xdr:cNvPr id="51" name="Straight Connector 50">
          <a:extLst>
            <a:ext uri="{FF2B5EF4-FFF2-40B4-BE49-F238E27FC236}">
              <a16:creationId xmlns:a16="http://schemas.microsoft.com/office/drawing/2014/main" id="{00000000-0008-0000-0700-000033000000}"/>
            </a:ext>
          </a:extLst>
        </xdr:cNvPr>
        <xdr:cNvCxnSpPr/>
      </xdr:nvCxnSpPr>
      <xdr:spPr>
        <a:xfrm>
          <a:off x="5654040" y="3025140"/>
          <a:ext cx="7620" cy="373380"/>
        </a:xfrm>
        <a:prstGeom prst="line">
          <a:avLst/>
        </a:prstGeom>
        <a:ln w="47625">
          <a:solidFill>
            <a:srgbClr val="33A1E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213360</xdr:colOff>
      <xdr:row>14</xdr:row>
      <xdr:rowOff>137160</xdr:rowOff>
    </xdr:from>
    <xdr:to>
      <xdr:col>13</xdr:col>
      <xdr:colOff>15240</xdr:colOff>
      <xdr:row>16</xdr:row>
      <xdr:rowOff>68580</xdr:rowOff>
    </xdr:to>
    <xdr:sp macro="" textlink="'Analysis 3'!O22">
      <xdr:nvSpPr>
        <xdr:cNvPr id="53" name="TextBox 52">
          <a:extLst>
            <a:ext uri="{FF2B5EF4-FFF2-40B4-BE49-F238E27FC236}">
              <a16:creationId xmlns:a16="http://schemas.microsoft.com/office/drawing/2014/main" id="{00000000-0008-0000-0700-000035000000}"/>
            </a:ext>
          </a:extLst>
        </xdr:cNvPr>
        <xdr:cNvSpPr txBox="1"/>
      </xdr:nvSpPr>
      <xdr:spPr>
        <a:xfrm>
          <a:off x="5699760" y="2697480"/>
          <a:ext cx="224028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29250ACB-D71C-4AEB-AD86-DFAD2C2593BA}" type="TxLink">
            <a:rPr lang="en-US" sz="1400" b="0" i="0" u="none" strike="noStrike">
              <a:solidFill>
                <a:schemeClr val="tx1">
                  <a:lumMod val="65000"/>
                  <a:lumOff val="35000"/>
                </a:schemeClr>
              </a:solidFill>
              <a:latin typeface="Calibri"/>
              <a:ea typeface="Calibri"/>
              <a:cs typeface="Calibri"/>
            </a:rPr>
            <a:pPr algn="l"/>
            <a:t>5-Top Profitable Location</a:t>
          </a:fld>
          <a:endParaRPr lang="en-US" sz="1800" b="0">
            <a:solidFill>
              <a:schemeClr val="tx1">
                <a:lumMod val="65000"/>
                <a:lumOff val="35000"/>
              </a:schemeClr>
            </a:solidFill>
          </a:endParaRPr>
        </a:p>
      </xdr:txBody>
    </xdr:sp>
    <xdr:clientData/>
  </xdr:twoCellAnchor>
  <xdr:twoCellAnchor>
    <xdr:from>
      <xdr:col>9</xdr:col>
      <xdr:colOff>152400</xdr:colOff>
      <xdr:row>15</xdr:row>
      <xdr:rowOff>160020</xdr:rowOff>
    </xdr:from>
    <xdr:to>
      <xdr:col>10</xdr:col>
      <xdr:colOff>419100</xdr:colOff>
      <xdr:row>19</xdr:row>
      <xdr:rowOff>30480</xdr:rowOff>
    </xdr:to>
    <xdr:sp macro="" textlink="'Analysis 3'!O24">
      <xdr:nvSpPr>
        <xdr:cNvPr id="54" name="TextBox 53">
          <a:extLst>
            <a:ext uri="{FF2B5EF4-FFF2-40B4-BE49-F238E27FC236}">
              <a16:creationId xmlns:a16="http://schemas.microsoft.com/office/drawing/2014/main" id="{00000000-0008-0000-0700-000036000000}"/>
            </a:ext>
          </a:extLst>
        </xdr:cNvPr>
        <xdr:cNvSpPr txBox="1"/>
      </xdr:nvSpPr>
      <xdr:spPr>
        <a:xfrm>
          <a:off x="5638800" y="2903220"/>
          <a:ext cx="876300" cy="601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28E3039-E3DC-4F07-9E50-15E88E946268}" type="TxLink">
            <a:rPr lang="en-US" sz="1200" b="0" i="0" u="none" strike="noStrike">
              <a:solidFill>
                <a:schemeClr val="tx1">
                  <a:lumMod val="75000"/>
                  <a:lumOff val="25000"/>
                </a:schemeClr>
              </a:solidFill>
              <a:latin typeface="Calibri"/>
              <a:ea typeface="Calibri"/>
              <a:cs typeface="Calibri"/>
            </a:rPr>
            <a:pPr algn="l"/>
            <a:t>Total Locations</a:t>
          </a:fld>
          <a:endParaRPr lang="en-US" sz="2000" b="0">
            <a:solidFill>
              <a:schemeClr val="tx1">
                <a:lumMod val="75000"/>
                <a:lumOff val="25000"/>
              </a:schemeClr>
            </a:solidFill>
          </a:endParaRPr>
        </a:p>
      </xdr:txBody>
    </xdr:sp>
    <xdr:clientData/>
  </xdr:twoCellAnchor>
  <xdr:twoCellAnchor>
    <xdr:from>
      <xdr:col>10</xdr:col>
      <xdr:colOff>251460</xdr:colOff>
      <xdr:row>16</xdr:row>
      <xdr:rowOff>45720</xdr:rowOff>
    </xdr:from>
    <xdr:to>
      <xdr:col>11</xdr:col>
      <xdr:colOff>518160</xdr:colOff>
      <xdr:row>18</xdr:row>
      <xdr:rowOff>129540</xdr:rowOff>
    </xdr:to>
    <xdr:sp macro="" textlink="'Analysis 3'!O26">
      <xdr:nvSpPr>
        <xdr:cNvPr id="55" name="TextBox 54">
          <a:extLst>
            <a:ext uri="{FF2B5EF4-FFF2-40B4-BE49-F238E27FC236}">
              <a16:creationId xmlns:a16="http://schemas.microsoft.com/office/drawing/2014/main" id="{00000000-0008-0000-0700-000037000000}"/>
            </a:ext>
          </a:extLst>
        </xdr:cNvPr>
        <xdr:cNvSpPr txBox="1"/>
      </xdr:nvSpPr>
      <xdr:spPr>
        <a:xfrm>
          <a:off x="6347460" y="2971800"/>
          <a:ext cx="876300" cy="449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240E468-B75F-420E-A1EA-8723593D3DF3}" type="TxLink">
            <a:rPr lang="en-US" sz="2000" b="0" i="0" u="none" strike="noStrike">
              <a:solidFill>
                <a:srgbClr val="33A1E0"/>
              </a:solidFill>
              <a:latin typeface="Calibri"/>
              <a:ea typeface="Calibri"/>
              <a:cs typeface="Calibri"/>
            </a:rPr>
            <a:pPr algn="l"/>
            <a:t>20</a:t>
          </a:fld>
          <a:endParaRPr lang="en-US" sz="3600" b="0">
            <a:solidFill>
              <a:srgbClr val="33A1E0"/>
            </a:solidFill>
          </a:endParaRPr>
        </a:p>
      </xdr:txBody>
    </xdr:sp>
    <xdr:clientData/>
  </xdr:twoCellAnchor>
  <xdr:twoCellAnchor>
    <xdr:from>
      <xdr:col>4</xdr:col>
      <xdr:colOff>472440</xdr:colOff>
      <xdr:row>18</xdr:row>
      <xdr:rowOff>53340</xdr:rowOff>
    </xdr:from>
    <xdr:to>
      <xdr:col>8</xdr:col>
      <xdr:colOff>441960</xdr:colOff>
      <xdr:row>28</xdr:row>
      <xdr:rowOff>30480</xdr:rowOff>
    </xdr:to>
    <xdr:graphicFrame macro="">
      <xdr:nvGraphicFramePr>
        <xdr:cNvPr id="56" name="Chart 55">
          <a:extLst>
            <a:ext uri="{FF2B5EF4-FFF2-40B4-BE49-F238E27FC236}">
              <a16:creationId xmlns:a16="http://schemas.microsoft.com/office/drawing/2014/main" id="{00000000-0008-0000-07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22860</xdr:colOff>
      <xdr:row>14</xdr:row>
      <xdr:rowOff>15240</xdr:rowOff>
    </xdr:from>
    <xdr:to>
      <xdr:col>5</xdr:col>
      <xdr:colOff>178308</xdr:colOff>
      <xdr:row>14</xdr:row>
      <xdr:rowOff>170688</xdr:rowOff>
    </xdr:to>
    <xdr:sp macro="" textlink="">
      <xdr:nvSpPr>
        <xdr:cNvPr id="57" name="Oval 56">
          <a:extLst>
            <a:ext uri="{FF2B5EF4-FFF2-40B4-BE49-F238E27FC236}">
              <a16:creationId xmlns:a16="http://schemas.microsoft.com/office/drawing/2014/main" id="{00000000-0008-0000-0700-000039000000}"/>
            </a:ext>
          </a:extLst>
        </xdr:cNvPr>
        <xdr:cNvSpPr/>
      </xdr:nvSpPr>
      <xdr:spPr>
        <a:xfrm>
          <a:off x="3070860" y="2575560"/>
          <a:ext cx="155448" cy="155448"/>
        </a:xfrm>
        <a:prstGeom prst="ellipse">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106680</xdr:colOff>
      <xdr:row>13</xdr:row>
      <xdr:rowOff>121920</xdr:rowOff>
    </xdr:from>
    <xdr:to>
      <xdr:col>8</xdr:col>
      <xdr:colOff>518160</xdr:colOff>
      <xdr:row>15</xdr:row>
      <xdr:rowOff>53340</xdr:rowOff>
    </xdr:to>
    <xdr:sp macro="" textlink="">
      <xdr:nvSpPr>
        <xdr:cNvPr id="58" name="TextBox 57">
          <a:extLst>
            <a:ext uri="{FF2B5EF4-FFF2-40B4-BE49-F238E27FC236}">
              <a16:creationId xmlns:a16="http://schemas.microsoft.com/office/drawing/2014/main" id="{00000000-0008-0000-0700-00003A000000}"/>
            </a:ext>
          </a:extLst>
        </xdr:cNvPr>
        <xdr:cNvSpPr txBox="1"/>
      </xdr:nvSpPr>
      <xdr:spPr>
        <a:xfrm>
          <a:off x="3154680" y="2499360"/>
          <a:ext cx="224028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400" b="0" i="0" u="none" strike="noStrike">
              <a:solidFill>
                <a:schemeClr val="tx1">
                  <a:lumMod val="65000"/>
                  <a:lumOff val="35000"/>
                </a:schemeClr>
              </a:solidFill>
              <a:latin typeface="Calibri"/>
              <a:ea typeface="Calibri"/>
              <a:cs typeface="Calibri"/>
            </a:rPr>
            <a:t>Profit by Customers Age</a:t>
          </a:r>
        </a:p>
      </xdr:txBody>
    </xdr:sp>
    <xdr:clientData/>
  </xdr:twoCellAnchor>
  <xdr:twoCellAnchor>
    <xdr:from>
      <xdr:col>5</xdr:col>
      <xdr:colOff>91440</xdr:colOff>
      <xdr:row>15</xdr:row>
      <xdr:rowOff>22860</xdr:rowOff>
    </xdr:from>
    <xdr:to>
      <xdr:col>7</xdr:col>
      <xdr:colOff>7620</xdr:colOff>
      <xdr:row>18</xdr:row>
      <xdr:rowOff>76200</xdr:rowOff>
    </xdr:to>
    <xdr:sp macro="" textlink="">
      <xdr:nvSpPr>
        <xdr:cNvPr id="59" name="TextBox 58">
          <a:extLst>
            <a:ext uri="{FF2B5EF4-FFF2-40B4-BE49-F238E27FC236}">
              <a16:creationId xmlns:a16="http://schemas.microsoft.com/office/drawing/2014/main" id="{00000000-0008-0000-0700-00003B000000}"/>
            </a:ext>
          </a:extLst>
        </xdr:cNvPr>
        <xdr:cNvSpPr txBox="1"/>
      </xdr:nvSpPr>
      <xdr:spPr>
        <a:xfrm>
          <a:off x="3139440" y="2766060"/>
          <a:ext cx="1135380" cy="601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0" i="0" u="none" strike="noStrike">
              <a:solidFill>
                <a:schemeClr val="tx1">
                  <a:lumMod val="65000"/>
                  <a:lumOff val="35000"/>
                </a:schemeClr>
              </a:solidFill>
              <a:latin typeface="Calibri"/>
              <a:ea typeface="Calibri"/>
              <a:cs typeface="Calibri"/>
            </a:rPr>
            <a:t>Average Customers Age</a:t>
          </a:r>
        </a:p>
      </xdr:txBody>
    </xdr:sp>
    <xdr:clientData/>
  </xdr:twoCellAnchor>
  <xdr:twoCellAnchor>
    <xdr:from>
      <xdr:col>6</xdr:col>
      <xdr:colOff>472440</xdr:colOff>
      <xdr:row>15</xdr:row>
      <xdr:rowOff>91440</xdr:rowOff>
    </xdr:from>
    <xdr:to>
      <xdr:col>8</xdr:col>
      <xdr:colOff>129540</xdr:colOff>
      <xdr:row>17</xdr:row>
      <xdr:rowOff>175260</xdr:rowOff>
    </xdr:to>
    <xdr:sp macro="" textlink="'Analysis 3'!Y23">
      <xdr:nvSpPr>
        <xdr:cNvPr id="60" name="TextBox 59">
          <a:extLst>
            <a:ext uri="{FF2B5EF4-FFF2-40B4-BE49-F238E27FC236}">
              <a16:creationId xmlns:a16="http://schemas.microsoft.com/office/drawing/2014/main" id="{00000000-0008-0000-0700-00003C000000}"/>
            </a:ext>
          </a:extLst>
        </xdr:cNvPr>
        <xdr:cNvSpPr txBox="1"/>
      </xdr:nvSpPr>
      <xdr:spPr>
        <a:xfrm>
          <a:off x="4130040" y="2834640"/>
          <a:ext cx="876300" cy="449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97AF976-E452-4909-8F5F-0D12E1ED279B}" type="TxLink">
            <a:rPr lang="en-US" sz="2000" b="0" i="0" u="none" strike="noStrike">
              <a:solidFill>
                <a:srgbClr val="33A1E0"/>
              </a:solidFill>
              <a:latin typeface="Calibri"/>
              <a:ea typeface="Calibri"/>
              <a:cs typeface="Calibri"/>
            </a:rPr>
            <a:pPr marL="0" indent="0" algn="l"/>
            <a:t>47</a:t>
          </a:fld>
          <a:endParaRPr lang="en-US" sz="2000" b="0" i="0" u="none" strike="noStrike">
            <a:solidFill>
              <a:srgbClr val="33A1E0"/>
            </a:solidFill>
            <a:latin typeface="Calibri"/>
            <a:ea typeface="Calibri"/>
            <a:cs typeface="Calibri"/>
          </a:endParaRPr>
        </a:p>
      </xdr:txBody>
    </xdr:sp>
    <xdr:clientData/>
  </xdr:twoCellAnchor>
  <xdr:twoCellAnchor>
    <xdr:from>
      <xdr:col>5</xdr:col>
      <xdr:colOff>99060</xdr:colOff>
      <xdr:row>15</xdr:row>
      <xdr:rowOff>137160</xdr:rowOff>
    </xdr:from>
    <xdr:to>
      <xdr:col>5</xdr:col>
      <xdr:colOff>106680</xdr:colOff>
      <xdr:row>17</xdr:row>
      <xdr:rowOff>144780</xdr:rowOff>
    </xdr:to>
    <xdr:cxnSp macro="">
      <xdr:nvCxnSpPr>
        <xdr:cNvPr id="62" name="Straight Connector 61">
          <a:extLst>
            <a:ext uri="{FF2B5EF4-FFF2-40B4-BE49-F238E27FC236}">
              <a16:creationId xmlns:a16="http://schemas.microsoft.com/office/drawing/2014/main" id="{00000000-0008-0000-0700-00003E000000}"/>
            </a:ext>
          </a:extLst>
        </xdr:cNvPr>
        <xdr:cNvCxnSpPr/>
      </xdr:nvCxnSpPr>
      <xdr:spPr>
        <a:xfrm>
          <a:off x="3147060" y="2880360"/>
          <a:ext cx="7620" cy="373380"/>
        </a:xfrm>
        <a:prstGeom prst="line">
          <a:avLst/>
        </a:prstGeom>
        <a:ln w="47625">
          <a:solidFill>
            <a:srgbClr val="33A1E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533400</xdr:colOff>
      <xdr:row>13</xdr:row>
      <xdr:rowOff>175260</xdr:rowOff>
    </xdr:from>
    <xdr:to>
      <xdr:col>2</xdr:col>
      <xdr:colOff>79248</xdr:colOff>
      <xdr:row>14</xdr:row>
      <xdr:rowOff>147828</xdr:rowOff>
    </xdr:to>
    <xdr:sp macro="" textlink="">
      <xdr:nvSpPr>
        <xdr:cNvPr id="63" name="Oval 62">
          <a:extLst>
            <a:ext uri="{FF2B5EF4-FFF2-40B4-BE49-F238E27FC236}">
              <a16:creationId xmlns:a16="http://schemas.microsoft.com/office/drawing/2014/main" id="{00000000-0008-0000-0700-00003F000000}"/>
            </a:ext>
          </a:extLst>
        </xdr:cNvPr>
        <xdr:cNvSpPr/>
      </xdr:nvSpPr>
      <xdr:spPr>
        <a:xfrm>
          <a:off x="1143000" y="2552700"/>
          <a:ext cx="155448" cy="155448"/>
        </a:xfrm>
        <a:prstGeom prst="ellipse">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7620</xdr:colOff>
      <xdr:row>13</xdr:row>
      <xdr:rowOff>99060</xdr:rowOff>
    </xdr:from>
    <xdr:to>
      <xdr:col>4</xdr:col>
      <xdr:colOff>335280</xdr:colOff>
      <xdr:row>15</xdr:row>
      <xdr:rowOff>30480</xdr:rowOff>
    </xdr:to>
    <xdr:sp macro="" textlink="">
      <xdr:nvSpPr>
        <xdr:cNvPr id="5120" name="TextBox 5119">
          <a:extLst>
            <a:ext uri="{FF2B5EF4-FFF2-40B4-BE49-F238E27FC236}">
              <a16:creationId xmlns:a16="http://schemas.microsoft.com/office/drawing/2014/main" id="{00000000-0008-0000-0700-000000140000}"/>
            </a:ext>
          </a:extLst>
        </xdr:cNvPr>
        <xdr:cNvSpPr txBox="1"/>
      </xdr:nvSpPr>
      <xdr:spPr>
        <a:xfrm>
          <a:off x="1226820" y="2476500"/>
          <a:ext cx="154686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400" b="0" i="0" u="none" strike="noStrike">
              <a:solidFill>
                <a:schemeClr val="tx1">
                  <a:lumMod val="65000"/>
                  <a:lumOff val="35000"/>
                </a:schemeClr>
              </a:solidFill>
              <a:latin typeface="Calibri"/>
              <a:ea typeface="Calibri"/>
              <a:cs typeface="Calibri"/>
            </a:rPr>
            <a:t>Profit by Gender</a:t>
          </a:r>
        </a:p>
      </xdr:txBody>
    </xdr:sp>
    <xdr:clientData/>
  </xdr:twoCellAnchor>
  <mc:AlternateContent xmlns:mc="http://schemas.openxmlformats.org/markup-compatibility/2006">
    <mc:Choice xmlns:a14="http://schemas.microsoft.com/office/drawing/2010/main" Requires="a14">
      <xdr:twoCellAnchor editAs="oneCell">
        <xdr:from>
          <xdr:col>2</xdr:col>
          <xdr:colOff>32793</xdr:colOff>
          <xdr:row>16</xdr:row>
          <xdr:rowOff>7620</xdr:rowOff>
        </xdr:from>
        <xdr:to>
          <xdr:col>4</xdr:col>
          <xdr:colOff>241527</xdr:colOff>
          <xdr:row>24</xdr:row>
          <xdr:rowOff>53340</xdr:rowOff>
        </xdr:to>
        <xdr:pic>
          <xdr:nvPicPr>
            <xdr:cNvPr id="5129" name="Picture 5128">
              <a:extLst>
                <a:ext uri="{FF2B5EF4-FFF2-40B4-BE49-F238E27FC236}">
                  <a16:creationId xmlns:a16="http://schemas.microsoft.com/office/drawing/2014/main" id="{00000000-0008-0000-0700-000009140000}"/>
                </a:ext>
              </a:extLst>
            </xdr:cNvPr>
            <xdr:cNvPicPr>
              <a:picLocks noChangeAspect="1" noChangeArrowheads="1"/>
              <a:extLst>
                <a:ext uri="{84589F7E-364E-4C9E-8A38-B11213B215E9}">
                  <a14:cameraTool cellRange="'Wafle chart'!$Z$12:$AI$21" spid="_x0000_s5194"/>
                </a:ext>
              </a:extLst>
            </xdr:cNvPicPr>
          </xdr:nvPicPr>
          <xdr:blipFill>
            <a:blip xmlns:r="http://schemas.openxmlformats.org/officeDocument/2006/relationships" r:embed="rId6"/>
            <a:srcRect/>
            <a:stretch>
              <a:fillRect/>
            </a:stretch>
          </xdr:blipFill>
          <xdr:spPr bwMode="auto">
            <a:xfrm>
              <a:off x="1251993" y="2933700"/>
              <a:ext cx="1427934" cy="150876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2</xdr:col>
      <xdr:colOff>7620</xdr:colOff>
      <xdr:row>25</xdr:row>
      <xdr:rowOff>30480</xdr:rowOff>
    </xdr:from>
    <xdr:to>
      <xdr:col>2</xdr:col>
      <xdr:colOff>175260</xdr:colOff>
      <xdr:row>26</xdr:row>
      <xdr:rowOff>15240</xdr:rowOff>
    </xdr:to>
    <xdr:sp macro="" textlink="">
      <xdr:nvSpPr>
        <xdr:cNvPr id="5130" name="Rectangle 5129">
          <a:extLst>
            <a:ext uri="{FF2B5EF4-FFF2-40B4-BE49-F238E27FC236}">
              <a16:creationId xmlns:a16="http://schemas.microsoft.com/office/drawing/2014/main" id="{00000000-0008-0000-0700-00000A140000}"/>
            </a:ext>
          </a:extLst>
        </xdr:cNvPr>
        <xdr:cNvSpPr/>
      </xdr:nvSpPr>
      <xdr:spPr>
        <a:xfrm flipH="1">
          <a:off x="1226820" y="4602480"/>
          <a:ext cx="167640" cy="167640"/>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7620</xdr:colOff>
      <xdr:row>26</xdr:row>
      <xdr:rowOff>106680</xdr:rowOff>
    </xdr:from>
    <xdr:to>
      <xdr:col>2</xdr:col>
      <xdr:colOff>175260</xdr:colOff>
      <xdr:row>27</xdr:row>
      <xdr:rowOff>91440</xdr:rowOff>
    </xdr:to>
    <xdr:sp macro="" textlink="">
      <xdr:nvSpPr>
        <xdr:cNvPr id="5132" name="Rectangle 5131">
          <a:extLst>
            <a:ext uri="{FF2B5EF4-FFF2-40B4-BE49-F238E27FC236}">
              <a16:creationId xmlns:a16="http://schemas.microsoft.com/office/drawing/2014/main" id="{00000000-0008-0000-0700-00000C140000}"/>
            </a:ext>
          </a:extLst>
        </xdr:cNvPr>
        <xdr:cNvSpPr/>
      </xdr:nvSpPr>
      <xdr:spPr>
        <a:xfrm flipH="1">
          <a:off x="1226820" y="4861560"/>
          <a:ext cx="167640" cy="167640"/>
        </a:xfrm>
        <a:prstGeom prst="rect">
          <a:avLst/>
        </a:prstGeom>
        <a:solidFill>
          <a:srgbClr val="4BD0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114300</xdr:colOff>
      <xdr:row>24</xdr:row>
      <xdr:rowOff>137160</xdr:rowOff>
    </xdr:from>
    <xdr:to>
      <xdr:col>3</xdr:col>
      <xdr:colOff>320040</xdr:colOff>
      <xdr:row>26</xdr:row>
      <xdr:rowOff>68580</xdr:rowOff>
    </xdr:to>
    <xdr:sp macro="" textlink="">
      <xdr:nvSpPr>
        <xdr:cNvPr id="5133" name="TextBox 5132">
          <a:extLst>
            <a:ext uri="{FF2B5EF4-FFF2-40B4-BE49-F238E27FC236}">
              <a16:creationId xmlns:a16="http://schemas.microsoft.com/office/drawing/2014/main" id="{00000000-0008-0000-0700-00000D140000}"/>
            </a:ext>
          </a:extLst>
        </xdr:cNvPr>
        <xdr:cNvSpPr txBox="1"/>
      </xdr:nvSpPr>
      <xdr:spPr>
        <a:xfrm>
          <a:off x="1333500" y="4526280"/>
          <a:ext cx="81534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400" b="0" i="0" u="none" strike="noStrike">
              <a:solidFill>
                <a:schemeClr val="tx1">
                  <a:lumMod val="65000"/>
                  <a:lumOff val="35000"/>
                </a:schemeClr>
              </a:solidFill>
              <a:latin typeface="Calibri"/>
              <a:ea typeface="Calibri"/>
              <a:cs typeface="Calibri"/>
            </a:rPr>
            <a:t>Female</a:t>
          </a:r>
        </a:p>
      </xdr:txBody>
    </xdr:sp>
    <xdr:clientData/>
  </xdr:twoCellAnchor>
  <xdr:twoCellAnchor>
    <xdr:from>
      <xdr:col>2</xdr:col>
      <xdr:colOff>121920</xdr:colOff>
      <xdr:row>26</xdr:row>
      <xdr:rowOff>38100</xdr:rowOff>
    </xdr:from>
    <xdr:to>
      <xdr:col>3</xdr:col>
      <xdr:colOff>327660</xdr:colOff>
      <xdr:row>27</xdr:row>
      <xdr:rowOff>152400</xdr:rowOff>
    </xdr:to>
    <xdr:sp macro="" textlink="">
      <xdr:nvSpPr>
        <xdr:cNvPr id="5134" name="TextBox 5133">
          <a:extLst>
            <a:ext uri="{FF2B5EF4-FFF2-40B4-BE49-F238E27FC236}">
              <a16:creationId xmlns:a16="http://schemas.microsoft.com/office/drawing/2014/main" id="{00000000-0008-0000-0700-00000E140000}"/>
            </a:ext>
          </a:extLst>
        </xdr:cNvPr>
        <xdr:cNvSpPr txBox="1"/>
      </xdr:nvSpPr>
      <xdr:spPr>
        <a:xfrm>
          <a:off x="1341120" y="4792980"/>
          <a:ext cx="81534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400" b="0" i="0" u="none" strike="noStrike">
              <a:solidFill>
                <a:schemeClr val="tx1">
                  <a:lumMod val="65000"/>
                  <a:lumOff val="35000"/>
                </a:schemeClr>
              </a:solidFill>
              <a:latin typeface="Calibri"/>
              <a:ea typeface="Calibri"/>
              <a:cs typeface="Calibri"/>
            </a:rPr>
            <a:t>Male</a:t>
          </a:r>
        </a:p>
      </xdr:txBody>
    </xdr:sp>
    <xdr:clientData/>
  </xdr:twoCellAnchor>
  <xdr:twoCellAnchor>
    <xdr:from>
      <xdr:col>3</xdr:col>
      <xdr:colOff>144780</xdr:colOff>
      <xdr:row>24</xdr:row>
      <xdr:rowOff>53340</xdr:rowOff>
    </xdr:from>
    <xdr:to>
      <xdr:col>4</xdr:col>
      <xdr:colOff>487680</xdr:colOff>
      <xdr:row>26</xdr:row>
      <xdr:rowOff>137160</xdr:rowOff>
    </xdr:to>
    <xdr:sp macro="" textlink="'Analysis 3'!AJ13">
      <xdr:nvSpPr>
        <xdr:cNvPr id="5135" name="TextBox 5134">
          <a:extLst>
            <a:ext uri="{FF2B5EF4-FFF2-40B4-BE49-F238E27FC236}">
              <a16:creationId xmlns:a16="http://schemas.microsoft.com/office/drawing/2014/main" id="{00000000-0008-0000-0700-00000F140000}"/>
            </a:ext>
          </a:extLst>
        </xdr:cNvPr>
        <xdr:cNvSpPr txBox="1"/>
      </xdr:nvSpPr>
      <xdr:spPr>
        <a:xfrm>
          <a:off x="1973580" y="4442460"/>
          <a:ext cx="952500" cy="449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E27FF3F-08FE-4F49-A6D5-1C2BFD073D3B}" type="TxLink">
            <a:rPr lang="en-US" sz="1800" b="0" i="0" u="none" strike="noStrike">
              <a:solidFill>
                <a:srgbClr val="33A1E0"/>
              </a:solidFill>
              <a:latin typeface="Calibri"/>
              <a:ea typeface="Calibri"/>
              <a:cs typeface="Calibri"/>
            </a:rPr>
            <a:pPr marL="0" indent="0" algn="l"/>
            <a:t>48.53%</a:t>
          </a:fld>
          <a:endParaRPr lang="en-US" sz="1800" b="0" i="0" u="none" strike="noStrike">
            <a:solidFill>
              <a:srgbClr val="33A1E0"/>
            </a:solidFill>
            <a:latin typeface="Calibri"/>
            <a:ea typeface="Calibri"/>
            <a:cs typeface="Calibri"/>
          </a:endParaRPr>
        </a:p>
      </xdr:txBody>
    </xdr:sp>
    <xdr:clientData/>
  </xdr:twoCellAnchor>
  <xdr:twoCellAnchor>
    <xdr:from>
      <xdr:col>3</xdr:col>
      <xdr:colOff>137160</xdr:colOff>
      <xdr:row>25</xdr:row>
      <xdr:rowOff>144780</xdr:rowOff>
    </xdr:from>
    <xdr:to>
      <xdr:col>4</xdr:col>
      <xdr:colOff>571500</xdr:colOff>
      <xdr:row>28</xdr:row>
      <xdr:rowOff>45720</xdr:rowOff>
    </xdr:to>
    <xdr:sp macro="" textlink="'Analysis 3'!AJ14">
      <xdr:nvSpPr>
        <xdr:cNvPr id="5136" name="TextBox 5135">
          <a:extLst>
            <a:ext uri="{FF2B5EF4-FFF2-40B4-BE49-F238E27FC236}">
              <a16:creationId xmlns:a16="http://schemas.microsoft.com/office/drawing/2014/main" id="{00000000-0008-0000-0700-000010140000}"/>
            </a:ext>
          </a:extLst>
        </xdr:cNvPr>
        <xdr:cNvSpPr txBox="1"/>
      </xdr:nvSpPr>
      <xdr:spPr>
        <a:xfrm>
          <a:off x="1965960" y="4716780"/>
          <a:ext cx="1043940" cy="449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30D30B6-1C41-481F-9EA8-D5F60B9415B4}" type="TxLink">
            <a:rPr lang="en-US" sz="1800" b="0" i="0" u="none" strike="noStrike">
              <a:solidFill>
                <a:srgbClr val="33A1E0"/>
              </a:solidFill>
              <a:latin typeface="Calibri"/>
              <a:ea typeface="Calibri"/>
              <a:cs typeface="Calibri"/>
            </a:rPr>
            <a:pPr marL="0" indent="0" algn="l"/>
            <a:t>51.47%</a:t>
          </a:fld>
          <a:endParaRPr lang="en-US" sz="1800" b="0" i="0" u="none" strike="noStrike">
            <a:solidFill>
              <a:srgbClr val="33A1E0"/>
            </a:solidFill>
            <a:latin typeface="Calibri"/>
            <a:ea typeface="Calibri"/>
            <a:cs typeface="Calibri"/>
          </a:endParaRPr>
        </a:p>
      </xdr:txBody>
    </xdr:sp>
    <xdr:clientData/>
  </xdr:twoCellAnchor>
  <xdr:twoCellAnchor>
    <xdr:from>
      <xdr:col>10</xdr:col>
      <xdr:colOff>38100</xdr:colOff>
      <xdr:row>31</xdr:row>
      <xdr:rowOff>160020</xdr:rowOff>
    </xdr:from>
    <xdr:to>
      <xdr:col>15</xdr:col>
      <xdr:colOff>327660</xdr:colOff>
      <xdr:row>41</xdr:row>
      <xdr:rowOff>106680</xdr:rowOff>
    </xdr:to>
    <xdr:graphicFrame macro="">
      <xdr:nvGraphicFramePr>
        <xdr:cNvPr id="5137" name="Chart 5136">
          <a:extLst>
            <a:ext uri="{FF2B5EF4-FFF2-40B4-BE49-F238E27FC236}">
              <a16:creationId xmlns:a16="http://schemas.microsoft.com/office/drawing/2014/main" id="{00000000-0008-0000-0700-000011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152400</xdr:colOff>
      <xdr:row>30</xdr:row>
      <xdr:rowOff>7620</xdr:rowOff>
    </xdr:from>
    <xdr:to>
      <xdr:col>10</xdr:col>
      <xdr:colOff>307848</xdr:colOff>
      <xdr:row>30</xdr:row>
      <xdr:rowOff>163068</xdr:rowOff>
    </xdr:to>
    <xdr:sp macro="" textlink="">
      <xdr:nvSpPr>
        <xdr:cNvPr id="5138" name="Oval 5137">
          <a:extLst>
            <a:ext uri="{FF2B5EF4-FFF2-40B4-BE49-F238E27FC236}">
              <a16:creationId xmlns:a16="http://schemas.microsoft.com/office/drawing/2014/main" id="{00000000-0008-0000-0700-000012140000}"/>
            </a:ext>
          </a:extLst>
        </xdr:cNvPr>
        <xdr:cNvSpPr/>
      </xdr:nvSpPr>
      <xdr:spPr>
        <a:xfrm>
          <a:off x="6248400" y="5494020"/>
          <a:ext cx="155448" cy="155448"/>
        </a:xfrm>
        <a:prstGeom prst="ellipse">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236220</xdr:colOff>
      <xdr:row>29</xdr:row>
      <xdr:rowOff>114300</xdr:rowOff>
    </xdr:from>
    <xdr:to>
      <xdr:col>12</xdr:col>
      <xdr:colOff>563880</xdr:colOff>
      <xdr:row>31</xdr:row>
      <xdr:rowOff>45720</xdr:rowOff>
    </xdr:to>
    <xdr:sp macro="" textlink="">
      <xdr:nvSpPr>
        <xdr:cNvPr id="5139" name="TextBox 5138">
          <a:extLst>
            <a:ext uri="{FF2B5EF4-FFF2-40B4-BE49-F238E27FC236}">
              <a16:creationId xmlns:a16="http://schemas.microsoft.com/office/drawing/2014/main" id="{00000000-0008-0000-0700-000013140000}"/>
            </a:ext>
          </a:extLst>
        </xdr:cNvPr>
        <xdr:cNvSpPr txBox="1"/>
      </xdr:nvSpPr>
      <xdr:spPr>
        <a:xfrm>
          <a:off x="6332220" y="5417820"/>
          <a:ext cx="154686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400" b="0" i="0" u="none" strike="noStrike">
              <a:solidFill>
                <a:schemeClr val="tx1">
                  <a:lumMod val="65000"/>
                  <a:lumOff val="35000"/>
                </a:schemeClr>
              </a:solidFill>
              <a:latin typeface="Calibri"/>
              <a:ea typeface="Calibri"/>
              <a:cs typeface="Calibri"/>
            </a:rPr>
            <a:t>Profit by weekday</a:t>
          </a:r>
        </a:p>
      </xdr:txBody>
    </xdr:sp>
    <xdr:clientData/>
  </xdr:twoCellAnchor>
  <xdr:twoCellAnchor>
    <xdr:from>
      <xdr:col>1</xdr:col>
      <xdr:colOff>365760</xdr:colOff>
      <xdr:row>31</xdr:row>
      <xdr:rowOff>129540</xdr:rowOff>
    </xdr:from>
    <xdr:to>
      <xdr:col>9</xdr:col>
      <xdr:colOff>457200</xdr:colOff>
      <xdr:row>41</xdr:row>
      <xdr:rowOff>99060</xdr:rowOff>
    </xdr:to>
    <xdr:graphicFrame macro="">
      <xdr:nvGraphicFramePr>
        <xdr:cNvPr id="5140" name="Chart 5139">
          <a:extLst>
            <a:ext uri="{FF2B5EF4-FFF2-40B4-BE49-F238E27FC236}">
              <a16:creationId xmlns:a16="http://schemas.microsoft.com/office/drawing/2014/main" id="{00000000-0008-0000-0700-00001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53340</xdr:colOff>
      <xdr:row>30</xdr:row>
      <xdr:rowOff>7620</xdr:rowOff>
    </xdr:from>
    <xdr:to>
      <xdr:col>2</xdr:col>
      <xdr:colOff>208788</xdr:colOff>
      <xdr:row>30</xdr:row>
      <xdr:rowOff>163068</xdr:rowOff>
    </xdr:to>
    <xdr:sp macro="" textlink="">
      <xdr:nvSpPr>
        <xdr:cNvPr id="5141" name="Oval 5140">
          <a:extLst>
            <a:ext uri="{FF2B5EF4-FFF2-40B4-BE49-F238E27FC236}">
              <a16:creationId xmlns:a16="http://schemas.microsoft.com/office/drawing/2014/main" id="{00000000-0008-0000-0700-000015140000}"/>
            </a:ext>
          </a:extLst>
        </xdr:cNvPr>
        <xdr:cNvSpPr/>
      </xdr:nvSpPr>
      <xdr:spPr>
        <a:xfrm>
          <a:off x="1272540" y="5494020"/>
          <a:ext cx="155448" cy="155448"/>
        </a:xfrm>
        <a:prstGeom prst="ellipse">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137160</xdr:colOff>
      <xdr:row>29</xdr:row>
      <xdr:rowOff>114300</xdr:rowOff>
    </xdr:from>
    <xdr:to>
      <xdr:col>7</xdr:col>
      <xdr:colOff>22860</xdr:colOff>
      <xdr:row>31</xdr:row>
      <xdr:rowOff>45720</xdr:rowOff>
    </xdr:to>
    <xdr:sp macro="" textlink="">
      <xdr:nvSpPr>
        <xdr:cNvPr id="5142" name="TextBox 5141">
          <a:extLst>
            <a:ext uri="{FF2B5EF4-FFF2-40B4-BE49-F238E27FC236}">
              <a16:creationId xmlns:a16="http://schemas.microsoft.com/office/drawing/2014/main" id="{00000000-0008-0000-0700-000016140000}"/>
            </a:ext>
          </a:extLst>
        </xdr:cNvPr>
        <xdr:cNvSpPr txBox="1"/>
      </xdr:nvSpPr>
      <xdr:spPr>
        <a:xfrm>
          <a:off x="1356360" y="5417820"/>
          <a:ext cx="293370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400" b="0" i="0" u="none" strike="noStrike">
              <a:solidFill>
                <a:schemeClr val="tx1">
                  <a:lumMod val="65000"/>
                  <a:lumOff val="35000"/>
                </a:schemeClr>
              </a:solidFill>
              <a:latin typeface="Calibri"/>
              <a:ea typeface="Calibri"/>
              <a:cs typeface="Calibri"/>
            </a:rPr>
            <a:t>Profit Trend</a:t>
          </a:r>
          <a:r>
            <a:rPr lang="en-US" sz="1400" b="0" i="0" u="none" strike="noStrike" baseline="0">
              <a:solidFill>
                <a:schemeClr val="tx1">
                  <a:lumMod val="65000"/>
                  <a:lumOff val="35000"/>
                </a:schemeClr>
              </a:solidFill>
              <a:latin typeface="Calibri"/>
              <a:ea typeface="Calibri"/>
              <a:cs typeface="Calibri"/>
            </a:rPr>
            <a:t> and </a:t>
          </a:r>
          <a:r>
            <a:rPr lang="en-US" sz="1400" b="0" i="0" u="none" strike="noStrike" baseline="0">
              <a:solidFill>
                <a:schemeClr val="tx1">
                  <a:lumMod val="85000"/>
                  <a:lumOff val="15000"/>
                </a:schemeClr>
              </a:solidFill>
              <a:latin typeface="Calibri"/>
              <a:ea typeface="Calibri"/>
              <a:cs typeface="Calibri"/>
            </a:rPr>
            <a:t>M0M Growth Rate</a:t>
          </a:r>
          <a:endParaRPr lang="en-US" sz="1400" b="0" i="0" u="none" strike="noStrike">
            <a:solidFill>
              <a:schemeClr val="tx1">
                <a:lumMod val="65000"/>
                <a:lumOff val="35000"/>
              </a:schemeClr>
            </a:solidFill>
            <a:latin typeface="Calibri"/>
            <a:ea typeface="Calibri"/>
            <a:cs typeface="Calibri"/>
          </a:endParaRPr>
        </a:p>
      </xdr:txBody>
    </xdr:sp>
    <xdr:clientData/>
  </xdr:twoCellAnchor>
  <xdr:twoCellAnchor>
    <xdr:from>
      <xdr:col>4</xdr:col>
      <xdr:colOff>96520</xdr:colOff>
      <xdr:row>7</xdr:row>
      <xdr:rowOff>45720</xdr:rowOff>
    </xdr:from>
    <xdr:to>
      <xdr:col>7</xdr:col>
      <xdr:colOff>20320</xdr:colOff>
      <xdr:row>11</xdr:row>
      <xdr:rowOff>83820</xdr:rowOff>
    </xdr:to>
    <xdr:sp macro="" textlink="">
      <xdr:nvSpPr>
        <xdr:cNvPr id="5145" name="Rectangle: Rounded Corners 5144">
          <a:extLst>
            <a:ext uri="{FF2B5EF4-FFF2-40B4-BE49-F238E27FC236}">
              <a16:creationId xmlns:a16="http://schemas.microsoft.com/office/drawing/2014/main" id="{00000000-0008-0000-0700-000019140000}"/>
            </a:ext>
          </a:extLst>
        </xdr:cNvPr>
        <xdr:cNvSpPr/>
      </xdr:nvSpPr>
      <xdr:spPr>
        <a:xfrm>
          <a:off x="2534920" y="1325880"/>
          <a:ext cx="1752600" cy="769620"/>
        </a:xfrm>
        <a:prstGeom prst="roundRect">
          <a:avLst/>
        </a:prstGeom>
        <a:gradFill flip="none" rotWithShape="1">
          <a:gsLst>
            <a:gs pos="0">
              <a:schemeClr val="bg1">
                <a:lumMod val="95000"/>
              </a:schemeClr>
            </a:gs>
            <a:gs pos="41000">
              <a:srgbClr val="3F4E63"/>
            </a:gs>
            <a:gs pos="100000">
              <a:srgbClr val="333F50"/>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383540</xdr:colOff>
      <xdr:row>7</xdr:row>
      <xdr:rowOff>45720</xdr:rowOff>
    </xdr:from>
    <xdr:to>
      <xdr:col>10</xdr:col>
      <xdr:colOff>307340</xdr:colOff>
      <xdr:row>11</xdr:row>
      <xdr:rowOff>83820</xdr:rowOff>
    </xdr:to>
    <xdr:sp macro="" textlink="">
      <xdr:nvSpPr>
        <xdr:cNvPr id="5146" name="Rectangle: Rounded Corners 5145">
          <a:extLst>
            <a:ext uri="{FF2B5EF4-FFF2-40B4-BE49-F238E27FC236}">
              <a16:creationId xmlns:a16="http://schemas.microsoft.com/office/drawing/2014/main" id="{00000000-0008-0000-0700-00001A140000}"/>
            </a:ext>
          </a:extLst>
        </xdr:cNvPr>
        <xdr:cNvSpPr/>
      </xdr:nvSpPr>
      <xdr:spPr>
        <a:xfrm>
          <a:off x="4650740" y="1325880"/>
          <a:ext cx="1752600" cy="769620"/>
        </a:xfrm>
        <a:prstGeom prst="roundRect">
          <a:avLst/>
        </a:prstGeom>
        <a:gradFill flip="none" rotWithShape="1">
          <a:gsLst>
            <a:gs pos="0">
              <a:schemeClr val="accent4">
                <a:lumMod val="75000"/>
              </a:schemeClr>
            </a:gs>
            <a:gs pos="41000">
              <a:srgbClr val="3F4E63"/>
            </a:gs>
            <a:gs pos="100000">
              <a:srgbClr val="333F50"/>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60960</xdr:colOff>
      <xdr:row>7</xdr:row>
      <xdr:rowOff>45720</xdr:rowOff>
    </xdr:from>
    <xdr:to>
      <xdr:col>13</xdr:col>
      <xdr:colOff>594360</xdr:colOff>
      <xdr:row>11</xdr:row>
      <xdr:rowOff>83820</xdr:rowOff>
    </xdr:to>
    <xdr:sp macro="" textlink="">
      <xdr:nvSpPr>
        <xdr:cNvPr id="5147" name="Rectangle: Rounded Corners 5146">
          <a:extLst>
            <a:ext uri="{FF2B5EF4-FFF2-40B4-BE49-F238E27FC236}">
              <a16:creationId xmlns:a16="http://schemas.microsoft.com/office/drawing/2014/main" id="{00000000-0008-0000-0700-00001B140000}"/>
            </a:ext>
          </a:extLst>
        </xdr:cNvPr>
        <xdr:cNvSpPr/>
      </xdr:nvSpPr>
      <xdr:spPr>
        <a:xfrm>
          <a:off x="6766560" y="1325880"/>
          <a:ext cx="1752600" cy="769620"/>
        </a:xfrm>
        <a:prstGeom prst="roundRect">
          <a:avLst/>
        </a:prstGeom>
        <a:gradFill flip="none" rotWithShape="1">
          <a:gsLst>
            <a:gs pos="0">
              <a:srgbClr val="4BD0FF"/>
            </a:gs>
            <a:gs pos="41000">
              <a:srgbClr val="3F4E63"/>
            </a:gs>
            <a:gs pos="100000">
              <a:srgbClr val="333F50"/>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441960</xdr:colOff>
      <xdr:row>14</xdr:row>
      <xdr:rowOff>30480</xdr:rowOff>
    </xdr:from>
    <xdr:to>
      <xdr:col>1</xdr:col>
      <xdr:colOff>228600</xdr:colOff>
      <xdr:row>27</xdr:row>
      <xdr:rowOff>83820</xdr:rowOff>
    </xdr:to>
    <xdr:sp macro="" textlink="">
      <xdr:nvSpPr>
        <xdr:cNvPr id="5148" name="TextBox 5147">
          <a:extLst>
            <a:ext uri="{FF2B5EF4-FFF2-40B4-BE49-F238E27FC236}">
              <a16:creationId xmlns:a16="http://schemas.microsoft.com/office/drawing/2014/main" id="{00000000-0008-0000-0700-00001C140000}"/>
            </a:ext>
          </a:extLst>
        </xdr:cNvPr>
        <xdr:cNvSpPr txBox="1"/>
      </xdr:nvSpPr>
      <xdr:spPr>
        <a:xfrm>
          <a:off x="441960" y="2590800"/>
          <a:ext cx="396240" cy="2430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ctr"/>
          <a:r>
            <a:rPr lang="en-US" sz="2000">
              <a:solidFill>
                <a:schemeClr val="bg1"/>
              </a:solidFill>
            </a:rPr>
            <a:t>Customers</a:t>
          </a:r>
          <a:r>
            <a:rPr lang="en-US" sz="2000" baseline="0">
              <a:solidFill>
                <a:schemeClr val="bg1"/>
              </a:solidFill>
            </a:rPr>
            <a:t> Analysis</a:t>
          </a:r>
          <a:endParaRPr lang="en-US" sz="2000">
            <a:solidFill>
              <a:schemeClr val="bg1"/>
            </a:solidFill>
          </a:endParaRPr>
        </a:p>
      </xdr:txBody>
    </xdr:sp>
    <xdr:clientData/>
  </xdr:twoCellAnchor>
  <xdr:twoCellAnchor>
    <xdr:from>
      <xdr:col>0</xdr:col>
      <xdr:colOff>441960</xdr:colOff>
      <xdr:row>28</xdr:row>
      <xdr:rowOff>129540</xdr:rowOff>
    </xdr:from>
    <xdr:to>
      <xdr:col>1</xdr:col>
      <xdr:colOff>228600</xdr:colOff>
      <xdr:row>42</xdr:row>
      <xdr:rowOff>0</xdr:rowOff>
    </xdr:to>
    <xdr:sp macro="" textlink="">
      <xdr:nvSpPr>
        <xdr:cNvPr id="5149" name="TextBox 5148">
          <a:extLst>
            <a:ext uri="{FF2B5EF4-FFF2-40B4-BE49-F238E27FC236}">
              <a16:creationId xmlns:a16="http://schemas.microsoft.com/office/drawing/2014/main" id="{00000000-0008-0000-0700-00001D140000}"/>
            </a:ext>
          </a:extLst>
        </xdr:cNvPr>
        <xdr:cNvSpPr txBox="1"/>
      </xdr:nvSpPr>
      <xdr:spPr>
        <a:xfrm>
          <a:off x="441960" y="5250180"/>
          <a:ext cx="396240" cy="2430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ctr"/>
          <a:r>
            <a:rPr lang="en-US" sz="2000">
              <a:solidFill>
                <a:schemeClr val="bg1"/>
              </a:solidFill>
            </a:rPr>
            <a:t>Time Frame</a:t>
          </a:r>
        </a:p>
      </xdr:txBody>
    </xdr:sp>
    <xdr:clientData/>
  </xdr:twoCellAnchor>
  <xdr:twoCellAnchor>
    <xdr:from>
      <xdr:col>0</xdr:col>
      <xdr:colOff>518160</xdr:colOff>
      <xdr:row>8</xdr:row>
      <xdr:rowOff>7620</xdr:rowOff>
    </xdr:from>
    <xdr:to>
      <xdr:col>1</xdr:col>
      <xdr:colOff>350520</xdr:colOff>
      <xdr:row>10</xdr:row>
      <xdr:rowOff>83820</xdr:rowOff>
    </xdr:to>
    <xdr:sp macro="" textlink="">
      <xdr:nvSpPr>
        <xdr:cNvPr id="5158" name="Oval 5157">
          <a:extLst>
            <a:ext uri="{FF2B5EF4-FFF2-40B4-BE49-F238E27FC236}">
              <a16:creationId xmlns:a16="http://schemas.microsoft.com/office/drawing/2014/main" id="{00000000-0008-0000-0700-000026140000}"/>
            </a:ext>
          </a:extLst>
        </xdr:cNvPr>
        <xdr:cNvSpPr/>
      </xdr:nvSpPr>
      <xdr:spPr>
        <a:xfrm>
          <a:off x="518160" y="1470660"/>
          <a:ext cx="441960" cy="441960"/>
        </a:xfrm>
        <a:prstGeom prst="ellipse">
          <a:avLst/>
        </a:prstGeom>
        <a:solidFill>
          <a:schemeClr val="accent1">
            <a:lumMod val="75000"/>
            <a:alpha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220980</xdr:colOff>
      <xdr:row>8</xdr:row>
      <xdr:rowOff>7620</xdr:rowOff>
    </xdr:from>
    <xdr:to>
      <xdr:col>5</xdr:col>
      <xdr:colOff>53340</xdr:colOff>
      <xdr:row>10</xdr:row>
      <xdr:rowOff>83820</xdr:rowOff>
    </xdr:to>
    <xdr:sp macro="" textlink="">
      <xdr:nvSpPr>
        <xdr:cNvPr id="5161" name="Oval 5160">
          <a:extLst>
            <a:ext uri="{FF2B5EF4-FFF2-40B4-BE49-F238E27FC236}">
              <a16:creationId xmlns:a16="http://schemas.microsoft.com/office/drawing/2014/main" id="{00000000-0008-0000-0700-000029140000}"/>
            </a:ext>
          </a:extLst>
        </xdr:cNvPr>
        <xdr:cNvSpPr/>
      </xdr:nvSpPr>
      <xdr:spPr>
        <a:xfrm>
          <a:off x="2659380" y="1470660"/>
          <a:ext cx="441960" cy="441960"/>
        </a:xfrm>
        <a:prstGeom prst="ellipse">
          <a:avLst/>
        </a:prstGeom>
        <a:solidFill>
          <a:schemeClr val="tx1">
            <a:lumMod val="50000"/>
            <a:lumOff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533400</xdr:colOff>
      <xdr:row>8</xdr:row>
      <xdr:rowOff>7620</xdr:rowOff>
    </xdr:from>
    <xdr:to>
      <xdr:col>8</xdr:col>
      <xdr:colOff>365760</xdr:colOff>
      <xdr:row>10</xdr:row>
      <xdr:rowOff>83820</xdr:rowOff>
    </xdr:to>
    <xdr:sp macro="" textlink="">
      <xdr:nvSpPr>
        <xdr:cNvPr id="5162" name="Oval 5161">
          <a:extLst>
            <a:ext uri="{FF2B5EF4-FFF2-40B4-BE49-F238E27FC236}">
              <a16:creationId xmlns:a16="http://schemas.microsoft.com/office/drawing/2014/main" id="{00000000-0008-0000-0700-00002A140000}"/>
            </a:ext>
          </a:extLst>
        </xdr:cNvPr>
        <xdr:cNvSpPr/>
      </xdr:nvSpPr>
      <xdr:spPr>
        <a:xfrm>
          <a:off x="4800600" y="1470660"/>
          <a:ext cx="441960" cy="441960"/>
        </a:xfrm>
        <a:prstGeom prst="ellipse">
          <a:avLst/>
        </a:prstGeom>
        <a:solidFill>
          <a:schemeClr val="accent4">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144780</xdr:colOff>
      <xdr:row>8</xdr:row>
      <xdr:rowOff>7620</xdr:rowOff>
    </xdr:from>
    <xdr:to>
      <xdr:col>11</xdr:col>
      <xdr:colOff>586740</xdr:colOff>
      <xdr:row>10</xdr:row>
      <xdr:rowOff>83820</xdr:rowOff>
    </xdr:to>
    <xdr:sp macro="" textlink="">
      <xdr:nvSpPr>
        <xdr:cNvPr id="5163" name="Oval 5162">
          <a:extLst>
            <a:ext uri="{FF2B5EF4-FFF2-40B4-BE49-F238E27FC236}">
              <a16:creationId xmlns:a16="http://schemas.microsoft.com/office/drawing/2014/main" id="{00000000-0008-0000-0700-00002B140000}"/>
            </a:ext>
          </a:extLst>
        </xdr:cNvPr>
        <xdr:cNvSpPr/>
      </xdr:nvSpPr>
      <xdr:spPr>
        <a:xfrm>
          <a:off x="6850380" y="1470660"/>
          <a:ext cx="441960" cy="441960"/>
        </a:xfrm>
        <a:prstGeom prst="ellipse">
          <a:avLst/>
        </a:prstGeom>
        <a:solidFill>
          <a:srgbClr val="33A1E0">
            <a:alpha val="56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551040</xdr:colOff>
      <xdr:row>8</xdr:row>
      <xdr:rowOff>40500</xdr:rowOff>
    </xdr:from>
    <xdr:to>
      <xdr:col>1</xdr:col>
      <xdr:colOff>320040</xdr:colOff>
      <xdr:row>10</xdr:row>
      <xdr:rowOff>53340</xdr:rowOff>
    </xdr:to>
    <xdr:pic>
      <xdr:nvPicPr>
        <xdr:cNvPr id="5151" name="Graphic 5150" descr="Coins with solid fill">
          <a:extLst>
            <a:ext uri="{FF2B5EF4-FFF2-40B4-BE49-F238E27FC236}">
              <a16:creationId xmlns:a16="http://schemas.microsoft.com/office/drawing/2014/main" id="{00000000-0008-0000-0700-00001F140000}"/>
            </a:ext>
          </a:extLst>
        </xdr:cNvPr>
        <xdr:cNvPicPr>
          <a:picLocks noChangeAspect="1"/>
        </xdr:cNvPicPr>
      </xdr:nvPicPr>
      <xdr:blipFill>
        <a:blip xmlns:r="http://schemas.openxmlformats.org/officeDocument/2006/relationships" r:embed="rId9" cstate="print">
          <a:lum bright="70000" contrast="-70000"/>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551040" y="1503540"/>
          <a:ext cx="378600" cy="378600"/>
        </a:xfrm>
        <a:prstGeom prst="rect">
          <a:avLst/>
        </a:prstGeom>
      </xdr:spPr>
    </xdr:pic>
    <xdr:clientData/>
  </xdr:twoCellAnchor>
  <xdr:twoCellAnchor editAs="oneCell">
    <xdr:from>
      <xdr:col>4</xdr:col>
      <xdr:colOff>253860</xdr:colOff>
      <xdr:row>8</xdr:row>
      <xdr:rowOff>63360</xdr:rowOff>
    </xdr:from>
    <xdr:to>
      <xdr:col>5</xdr:col>
      <xdr:colOff>7620</xdr:colOff>
      <xdr:row>10</xdr:row>
      <xdr:rowOff>30480</xdr:rowOff>
    </xdr:to>
    <xdr:pic>
      <xdr:nvPicPr>
        <xdr:cNvPr id="5155" name="Graphic 5154" descr="Bar graph with upward trend with solid fill">
          <a:extLst>
            <a:ext uri="{FF2B5EF4-FFF2-40B4-BE49-F238E27FC236}">
              <a16:creationId xmlns:a16="http://schemas.microsoft.com/office/drawing/2014/main" id="{00000000-0008-0000-0700-000023140000}"/>
            </a:ext>
          </a:extLst>
        </xdr:cNvPr>
        <xdr:cNvPicPr>
          <a:picLocks noChangeAspect="1"/>
        </xdr:cNvPicPr>
      </xdr:nvPicPr>
      <xdr:blipFill>
        <a:blip xmlns:r="http://schemas.openxmlformats.org/officeDocument/2006/relationships" r:embed="rId11" cstate="print">
          <a:lum bright="70000" contrast="-70000"/>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2692260" y="1526400"/>
          <a:ext cx="363360" cy="332880"/>
        </a:xfrm>
        <a:prstGeom prst="rect">
          <a:avLst/>
        </a:prstGeom>
      </xdr:spPr>
    </xdr:pic>
    <xdr:clientData/>
  </xdr:twoCellAnchor>
  <xdr:twoCellAnchor editAs="oneCell">
    <xdr:from>
      <xdr:col>7</xdr:col>
      <xdr:colOff>553860</xdr:colOff>
      <xdr:row>8</xdr:row>
      <xdr:rowOff>5220</xdr:rowOff>
    </xdr:from>
    <xdr:to>
      <xdr:col>8</xdr:col>
      <xdr:colOff>342900</xdr:colOff>
      <xdr:row>10</xdr:row>
      <xdr:rowOff>38100</xdr:rowOff>
    </xdr:to>
    <xdr:pic>
      <xdr:nvPicPr>
        <xdr:cNvPr id="5153" name="Graphic 5152" descr="Money with solid fill">
          <a:extLst>
            <a:ext uri="{FF2B5EF4-FFF2-40B4-BE49-F238E27FC236}">
              <a16:creationId xmlns:a16="http://schemas.microsoft.com/office/drawing/2014/main" id="{00000000-0008-0000-0700-000021140000}"/>
            </a:ext>
          </a:extLst>
        </xdr:cNvPr>
        <xdr:cNvPicPr>
          <a:picLocks noChangeAspect="1"/>
        </xdr:cNvPicPr>
      </xdr:nvPicPr>
      <xdr:blipFill>
        <a:blip xmlns:r="http://schemas.openxmlformats.org/officeDocument/2006/relationships" r:embed="rId13">
          <a:lum bright="70000" contrast="-70000"/>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4821060" y="1468260"/>
          <a:ext cx="398640" cy="398640"/>
        </a:xfrm>
        <a:prstGeom prst="rect">
          <a:avLst/>
        </a:prstGeom>
      </xdr:spPr>
    </xdr:pic>
    <xdr:clientData/>
  </xdr:twoCellAnchor>
  <xdr:twoCellAnchor editAs="oneCell">
    <xdr:from>
      <xdr:col>11</xdr:col>
      <xdr:colOff>165240</xdr:colOff>
      <xdr:row>8</xdr:row>
      <xdr:rowOff>35700</xdr:rowOff>
    </xdr:from>
    <xdr:to>
      <xdr:col>11</xdr:col>
      <xdr:colOff>548640</xdr:colOff>
      <xdr:row>10</xdr:row>
      <xdr:rowOff>53340</xdr:rowOff>
    </xdr:to>
    <xdr:pic>
      <xdr:nvPicPr>
        <xdr:cNvPr id="5157" name="Graphic 5156" descr="Upward trend with solid fill">
          <a:extLst>
            <a:ext uri="{FF2B5EF4-FFF2-40B4-BE49-F238E27FC236}">
              <a16:creationId xmlns:a16="http://schemas.microsoft.com/office/drawing/2014/main" id="{00000000-0008-0000-0700-000025140000}"/>
            </a:ext>
          </a:extLst>
        </xdr:cNvPr>
        <xdr:cNvPicPr>
          <a:picLocks noChangeAspect="1"/>
        </xdr:cNvPicPr>
      </xdr:nvPicPr>
      <xdr:blipFill>
        <a:blip xmlns:r="http://schemas.openxmlformats.org/officeDocument/2006/relationships" r:embed="rId15" cstate="print">
          <a:lum bright="70000" contrast="-70000"/>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6870840" y="1498740"/>
          <a:ext cx="383400" cy="383400"/>
        </a:xfrm>
        <a:prstGeom prst="rect">
          <a:avLst/>
        </a:prstGeom>
      </xdr:spPr>
    </xdr:pic>
    <xdr:clientData/>
  </xdr:twoCellAnchor>
  <xdr:twoCellAnchor>
    <xdr:from>
      <xdr:col>1</xdr:col>
      <xdr:colOff>495300</xdr:colOff>
      <xdr:row>9</xdr:row>
      <xdr:rowOff>83820</xdr:rowOff>
    </xdr:from>
    <xdr:to>
      <xdr:col>3</xdr:col>
      <xdr:colOff>152400</xdr:colOff>
      <xdr:row>11</xdr:row>
      <xdr:rowOff>15240</xdr:rowOff>
    </xdr:to>
    <xdr:sp macro="" textlink="">
      <xdr:nvSpPr>
        <xdr:cNvPr id="5164" name="TextBox 5163">
          <a:extLst>
            <a:ext uri="{FF2B5EF4-FFF2-40B4-BE49-F238E27FC236}">
              <a16:creationId xmlns:a16="http://schemas.microsoft.com/office/drawing/2014/main" id="{00000000-0008-0000-0700-00002C140000}"/>
            </a:ext>
          </a:extLst>
        </xdr:cNvPr>
        <xdr:cNvSpPr txBox="1"/>
      </xdr:nvSpPr>
      <xdr:spPr>
        <a:xfrm>
          <a:off x="1104900" y="1729740"/>
          <a:ext cx="87630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0" i="0" u="none" strike="noStrike">
              <a:solidFill>
                <a:schemeClr val="bg1"/>
              </a:solidFill>
              <a:latin typeface="Calibri"/>
              <a:ea typeface="Calibri"/>
              <a:cs typeface="Calibri"/>
            </a:rPr>
            <a:t>COGS</a:t>
          </a:r>
        </a:p>
      </xdr:txBody>
    </xdr:sp>
    <xdr:clientData/>
  </xdr:twoCellAnchor>
  <xdr:twoCellAnchor>
    <xdr:from>
      <xdr:col>5</xdr:col>
      <xdr:colOff>15240</xdr:colOff>
      <xdr:row>9</xdr:row>
      <xdr:rowOff>83820</xdr:rowOff>
    </xdr:from>
    <xdr:to>
      <xdr:col>7</xdr:col>
      <xdr:colOff>53340</xdr:colOff>
      <xdr:row>11</xdr:row>
      <xdr:rowOff>15240</xdr:rowOff>
    </xdr:to>
    <xdr:sp macro="" textlink="">
      <xdr:nvSpPr>
        <xdr:cNvPr id="5165" name="TextBox 5164">
          <a:extLst>
            <a:ext uri="{FF2B5EF4-FFF2-40B4-BE49-F238E27FC236}">
              <a16:creationId xmlns:a16="http://schemas.microsoft.com/office/drawing/2014/main" id="{00000000-0008-0000-0700-00002D140000}"/>
            </a:ext>
          </a:extLst>
        </xdr:cNvPr>
        <xdr:cNvSpPr txBox="1"/>
      </xdr:nvSpPr>
      <xdr:spPr>
        <a:xfrm>
          <a:off x="3063240" y="1729740"/>
          <a:ext cx="125730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0" i="0" u="none" strike="noStrike">
              <a:solidFill>
                <a:schemeClr val="bg1"/>
              </a:solidFill>
              <a:latin typeface="Calibri"/>
              <a:ea typeface="Calibri"/>
              <a:cs typeface="Calibri"/>
            </a:rPr>
            <a:t>Total Revenue</a:t>
          </a:r>
        </a:p>
      </xdr:txBody>
    </xdr:sp>
    <xdr:clientData/>
  </xdr:twoCellAnchor>
  <xdr:twoCellAnchor>
    <xdr:from>
      <xdr:col>8</xdr:col>
      <xdr:colOff>365760</xdr:colOff>
      <xdr:row>9</xdr:row>
      <xdr:rowOff>83820</xdr:rowOff>
    </xdr:from>
    <xdr:to>
      <xdr:col>10</xdr:col>
      <xdr:colOff>342900</xdr:colOff>
      <xdr:row>11</xdr:row>
      <xdr:rowOff>15240</xdr:rowOff>
    </xdr:to>
    <xdr:sp macro="" textlink="">
      <xdr:nvSpPr>
        <xdr:cNvPr id="5166" name="TextBox 5165">
          <a:extLst>
            <a:ext uri="{FF2B5EF4-FFF2-40B4-BE49-F238E27FC236}">
              <a16:creationId xmlns:a16="http://schemas.microsoft.com/office/drawing/2014/main" id="{00000000-0008-0000-0700-00002E140000}"/>
            </a:ext>
          </a:extLst>
        </xdr:cNvPr>
        <xdr:cNvSpPr txBox="1"/>
      </xdr:nvSpPr>
      <xdr:spPr>
        <a:xfrm>
          <a:off x="5242560" y="1729740"/>
          <a:ext cx="119634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0" i="0" u="none" strike="noStrike">
              <a:solidFill>
                <a:schemeClr val="bg1"/>
              </a:solidFill>
              <a:latin typeface="Calibri"/>
              <a:ea typeface="Calibri"/>
              <a:cs typeface="Calibri"/>
            </a:rPr>
            <a:t>Profit Margin</a:t>
          </a:r>
        </a:p>
      </xdr:txBody>
    </xdr:sp>
    <xdr:clientData/>
  </xdr:twoCellAnchor>
  <xdr:twoCellAnchor>
    <xdr:from>
      <xdr:col>11</xdr:col>
      <xdr:colOff>457200</xdr:colOff>
      <xdr:row>9</xdr:row>
      <xdr:rowOff>83820</xdr:rowOff>
    </xdr:from>
    <xdr:to>
      <xdr:col>14</xdr:col>
      <xdr:colOff>53340</xdr:colOff>
      <xdr:row>11</xdr:row>
      <xdr:rowOff>15240</xdr:rowOff>
    </xdr:to>
    <xdr:sp macro="" textlink="">
      <xdr:nvSpPr>
        <xdr:cNvPr id="5167" name="TextBox 5166">
          <a:extLst>
            <a:ext uri="{FF2B5EF4-FFF2-40B4-BE49-F238E27FC236}">
              <a16:creationId xmlns:a16="http://schemas.microsoft.com/office/drawing/2014/main" id="{00000000-0008-0000-0700-00002F140000}"/>
            </a:ext>
          </a:extLst>
        </xdr:cNvPr>
        <xdr:cNvSpPr txBox="1"/>
      </xdr:nvSpPr>
      <xdr:spPr>
        <a:xfrm>
          <a:off x="7162800" y="1729740"/>
          <a:ext cx="142494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0" i="0" u="none" strike="noStrike">
              <a:solidFill>
                <a:schemeClr val="bg1"/>
              </a:solidFill>
              <a:latin typeface="Calibri"/>
              <a:ea typeface="Calibri"/>
              <a:cs typeface="Calibri"/>
            </a:rPr>
            <a:t>%Profit Margin</a:t>
          </a:r>
        </a:p>
      </xdr:txBody>
    </xdr:sp>
    <xdr:clientData/>
  </xdr:twoCellAnchor>
  <xdr:twoCellAnchor>
    <xdr:from>
      <xdr:col>1</xdr:col>
      <xdr:colOff>350520</xdr:colOff>
      <xdr:row>7</xdr:row>
      <xdr:rowOff>76200</xdr:rowOff>
    </xdr:from>
    <xdr:to>
      <xdr:col>3</xdr:col>
      <xdr:colOff>342900</xdr:colOff>
      <xdr:row>9</xdr:row>
      <xdr:rowOff>160020</xdr:rowOff>
    </xdr:to>
    <xdr:sp macro="" textlink="'Analysis 1'!D17">
      <xdr:nvSpPr>
        <xdr:cNvPr id="5168" name="TextBox 5167">
          <a:extLst>
            <a:ext uri="{FF2B5EF4-FFF2-40B4-BE49-F238E27FC236}">
              <a16:creationId xmlns:a16="http://schemas.microsoft.com/office/drawing/2014/main" id="{00000000-0008-0000-0700-000030140000}"/>
            </a:ext>
          </a:extLst>
        </xdr:cNvPr>
        <xdr:cNvSpPr txBox="1"/>
      </xdr:nvSpPr>
      <xdr:spPr>
        <a:xfrm>
          <a:off x="960120" y="1356360"/>
          <a:ext cx="1211580" cy="449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FFE82FB-4C31-478D-9447-BA7D646E2929}" type="TxLink">
            <a:rPr lang="en-US" sz="2400" b="0" i="0" u="none" strike="noStrike">
              <a:solidFill>
                <a:schemeClr val="bg1"/>
              </a:solidFill>
              <a:latin typeface="Calibri"/>
              <a:ea typeface="Calibri"/>
              <a:cs typeface="Calibri"/>
            </a:rPr>
            <a:pPr marL="0" indent="0" algn="ctr"/>
            <a:t>$3.15 M</a:t>
          </a:fld>
          <a:endParaRPr lang="en-US" sz="4400" b="0" i="0" u="none" strike="noStrike">
            <a:solidFill>
              <a:schemeClr val="bg1"/>
            </a:solidFill>
            <a:latin typeface="Calibri"/>
            <a:ea typeface="Calibri"/>
            <a:cs typeface="Calibri"/>
          </a:endParaRPr>
        </a:p>
      </xdr:txBody>
    </xdr:sp>
    <xdr:clientData/>
  </xdr:twoCellAnchor>
  <xdr:twoCellAnchor>
    <xdr:from>
      <xdr:col>4</xdr:col>
      <xdr:colOff>571500</xdr:colOff>
      <xdr:row>7</xdr:row>
      <xdr:rowOff>83820</xdr:rowOff>
    </xdr:from>
    <xdr:to>
      <xdr:col>7</xdr:col>
      <xdr:colOff>91440</xdr:colOff>
      <xdr:row>9</xdr:row>
      <xdr:rowOff>167640</xdr:rowOff>
    </xdr:to>
    <xdr:sp macro="" textlink="'Analysis 1'!C17">
      <xdr:nvSpPr>
        <xdr:cNvPr id="5170" name="TextBox 5169">
          <a:extLst>
            <a:ext uri="{FF2B5EF4-FFF2-40B4-BE49-F238E27FC236}">
              <a16:creationId xmlns:a16="http://schemas.microsoft.com/office/drawing/2014/main" id="{00000000-0008-0000-0700-000032140000}"/>
            </a:ext>
          </a:extLst>
        </xdr:cNvPr>
        <xdr:cNvSpPr txBox="1"/>
      </xdr:nvSpPr>
      <xdr:spPr>
        <a:xfrm>
          <a:off x="3009900" y="1363980"/>
          <a:ext cx="1348740" cy="449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335977D-5805-40B4-9DEE-F0B6A4736C1E}" type="TxLink">
            <a:rPr lang="en-US" sz="2400" b="0" i="0" u="none" strike="noStrike">
              <a:solidFill>
                <a:schemeClr val="bg1"/>
              </a:solidFill>
              <a:latin typeface="Calibri"/>
              <a:ea typeface="Calibri"/>
              <a:cs typeface="Calibri"/>
            </a:rPr>
            <a:pPr marL="0" indent="0" algn="ctr"/>
            <a:t>$5.45 M</a:t>
          </a:fld>
          <a:endParaRPr lang="en-US" sz="2400" b="0" i="0" u="none" strike="noStrike">
            <a:solidFill>
              <a:schemeClr val="bg1"/>
            </a:solidFill>
            <a:latin typeface="Calibri"/>
            <a:ea typeface="Calibri"/>
            <a:cs typeface="Calibri"/>
          </a:endParaRPr>
        </a:p>
      </xdr:txBody>
    </xdr:sp>
    <xdr:clientData/>
  </xdr:twoCellAnchor>
  <xdr:twoCellAnchor>
    <xdr:from>
      <xdr:col>8</xdr:col>
      <xdr:colOff>304800</xdr:colOff>
      <xdr:row>7</xdr:row>
      <xdr:rowOff>91440</xdr:rowOff>
    </xdr:from>
    <xdr:to>
      <xdr:col>10</xdr:col>
      <xdr:colOff>342900</xdr:colOff>
      <xdr:row>9</xdr:row>
      <xdr:rowOff>175260</xdr:rowOff>
    </xdr:to>
    <xdr:sp macro="" textlink="'Analysis 1'!E17">
      <xdr:nvSpPr>
        <xdr:cNvPr id="5171" name="TextBox 5170">
          <a:extLst>
            <a:ext uri="{FF2B5EF4-FFF2-40B4-BE49-F238E27FC236}">
              <a16:creationId xmlns:a16="http://schemas.microsoft.com/office/drawing/2014/main" id="{00000000-0008-0000-0700-000033140000}"/>
            </a:ext>
          </a:extLst>
        </xdr:cNvPr>
        <xdr:cNvSpPr txBox="1"/>
      </xdr:nvSpPr>
      <xdr:spPr>
        <a:xfrm>
          <a:off x="5181600" y="1371600"/>
          <a:ext cx="1257300" cy="449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2874FE9-44BC-40B9-A669-17300FFFB73F}" type="TxLink">
            <a:rPr lang="en-US" sz="2400" b="0" i="0" u="none" strike="noStrike">
              <a:solidFill>
                <a:schemeClr val="bg1"/>
              </a:solidFill>
              <a:latin typeface="Calibri"/>
              <a:ea typeface="Calibri"/>
              <a:cs typeface="Calibri"/>
            </a:rPr>
            <a:pPr marL="0" indent="0" algn="ctr"/>
            <a:t>$2.30 M</a:t>
          </a:fld>
          <a:endParaRPr lang="en-US" sz="2400" b="0" i="0" u="none" strike="noStrike">
            <a:solidFill>
              <a:schemeClr val="bg1"/>
            </a:solidFill>
            <a:latin typeface="Calibri"/>
            <a:ea typeface="Calibri"/>
            <a:cs typeface="Calibri"/>
          </a:endParaRPr>
        </a:p>
      </xdr:txBody>
    </xdr:sp>
    <xdr:clientData/>
  </xdr:twoCellAnchor>
  <xdr:twoCellAnchor>
    <xdr:from>
      <xdr:col>11</xdr:col>
      <xdr:colOff>594360</xdr:colOff>
      <xdr:row>7</xdr:row>
      <xdr:rowOff>99060</xdr:rowOff>
    </xdr:from>
    <xdr:to>
      <xdr:col>13</xdr:col>
      <xdr:colOff>525780</xdr:colOff>
      <xdr:row>10</xdr:row>
      <xdr:rowOff>0</xdr:rowOff>
    </xdr:to>
    <xdr:sp macro="" textlink="'Analysis 1'!F17">
      <xdr:nvSpPr>
        <xdr:cNvPr id="5172" name="TextBox 5171">
          <a:extLst>
            <a:ext uri="{FF2B5EF4-FFF2-40B4-BE49-F238E27FC236}">
              <a16:creationId xmlns:a16="http://schemas.microsoft.com/office/drawing/2014/main" id="{00000000-0008-0000-0700-000034140000}"/>
            </a:ext>
          </a:extLst>
        </xdr:cNvPr>
        <xdr:cNvSpPr txBox="1"/>
      </xdr:nvSpPr>
      <xdr:spPr>
        <a:xfrm>
          <a:off x="7299960" y="1379220"/>
          <a:ext cx="1150620" cy="449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CCC87AD-92A5-4E1A-8176-C41D5162346B}" type="TxLink">
            <a:rPr lang="en-US" sz="2400" b="0" i="0" u="none" strike="noStrike">
              <a:solidFill>
                <a:schemeClr val="bg1"/>
              </a:solidFill>
              <a:latin typeface="Calibri"/>
              <a:ea typeface="Calibri"/>
              <a:cs typeface="Calibri"/>
            </a:rPr>
            <a:pPr marL="0" indent="0" algn="ctr"/>
            <a:t>42.18%</a:t>
          </a:fld>
          <a:endParaRPr lang="en-US" sz="2400" b="0" i="0" u="none" strike="noStrike">
            <a:solidFill>
              <a:schemeClr val="bg1"/>
            </a:solidFill>
            <a:latin typeface="Calibri"/>
            <a:ea typeface="Calibri"/>
            <a:cs typeface="Calibri"/>
          </a:endParaRPr>
        </a:p>
      </xdr:txBody>
    </xdr:sp>
    <xdr:clientData/>
  </xdr:twoCellAnchor>
  <xdr:twoCellAnchor>
    <xdr:from>
      <xdr:col>16</xdr:col>
      <xdr:colOff>381000</xdr:colOff>
      <xdr:row>6</xdr:row>
      <xdr:rowOff>0</xdr:rowOff>
    </xdr:from>
    <xdr:to>
      <xdr:col>19</xdr:col>
      <xdr:colOff>304800</xdr:colOff>
      <xdr:row>8</xdr:row>
      <xdr:rowOff>0</xdr:rowOff>
    </xdr:to>
    <xdr:sp macro="" textlink="">
      <xdr:nvSpPr>
        <xdr:cNvPr id="3" name="Rectangle: Diagonal Corners Rounded 2">
          <a:extLst>
            <a:ext uri="{FF2B5EF4-FFF2-40B4-BE49-F238E27FC236}">
              <a16:creationId xmlns:a16="http://schemas.microsoft.com/office/drawing/2014/main" id="{00000000-0008-0000-0700-000003000000}"/>
            </a:ext>
          </a:extLst>
        </xdr:cNvPr>
        <xdr:cNvSpPr/>
      </xdr:nvSpPr>
      <xdr:spPr>
        <a:xfrm flipH="1">
          <a:off x="10134600" y="1097280"/>
          <a:ext cx="1752600" cy="365760"/>
        </a:xfrm>
        <a:prstGeom prst="round2DiagRect">
          <a:avLst/>
        </a:prstGeom>
        <a:solidFill>
          <a:srgbClr val="33A1E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335280</xdr:colOff>
      <xdr:row>6</xdr:row>
      <xdr:rowOff>34290</xdr:rowOff>
    </xdr:from>
    <xdr:to>
      <xdr:col>19</xdr:col>
      <xdr:colOff>342900</xdr:colOff>
      <xdr:row>7</xdr:row>
      <xdr:rowOff>148590</xdr:rowOff>
    </xdr:to>
    <xdr:sp macro="" textlink="">
      <xdr:nvSpPr>
        <xdr:cNvPr id="10" name="TextBox 9">
          <a:hlinkClick xmlns:r="http://schemas.openxmlformats.org/officeDocument/2006/relationships" r:id="rId17" tooltip="Product_Details.Dashboard"/>
          <a:extLst>
            <a:ext uri="{FF2B5EF4-FFF2-40B4-BE49-F238E27FC236}">
              <a16:creationId xmlns:a16="http://schemas.microsoft.com/office/drawing/2014/main" id="{00000000-0008-0000-0700-00000A000000}"/>
            </a:ext>
          </a:extLst>
        </xdr:cNvPr>
        <xdr:cNvSpPr txBox="1"/>
      </xdr:nvSpPr>
      <xdr:spPr>
        <a:xfrm>
          <a:off x="10088880" y="1131570"/>
          <a:ext cx="183642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0" i="0" u="none" strike="noStrike">
              <a:solidFill>
                <a:schemeClr val="bg1"/>
              </a:solidFill>
              <a:latin typeface="Calibri"/>
              <a:ea typeface="Calibri"/>
              <a:cs typeface="Calibri"/>
            </a:rPr>
            <a:t>Go to</a:t>
          </a:r>
          <a:r>
            <a:rPr lang="en-US" sz="1400" b="0" i="0" u="none" strike="noStrike" baseline="0">
              <a:solidFill>
                <a:schemeClr val="bg1"/>
              </a:solidFill>
              <a:latin typeface="Calibri"/>
              <a:ea typeface="Calibri"/>
              <a:cs typeface="Calibri"/>
            </a:rPr>
            <a:t> Product Details</a:t>
          </a:r>
          <a:endParaRPr lang="en-US" sz="1400" b="0" i="0" u="none" strike="noStrike">
            <a:solidFill>
              <a:schemeClr val="bg1"/>
            </a:solidFill>
            <a:latin typeface="Calibri"/>
            <a:ea typeface="Calibri"/>
            <a:cs typeface="Calibri"/>
          </a:endParaRPr>
        </a:p>
      </xdr:txBody>
    </xdr:sp>
    <xdr:clientData/>
  </xdr:twoCellAnchor>
  <xdr:twoCellAnchor>
    <xdr:from>
      <xdr:col>16</xdr:col>
      <xdr:colOff>137160</xdr:colOff>
      <xdr:row>8</xdr:row>
      <xdr:rowOff>156210</xdr:rowOff>
    </xdr:from>
    <xdr:to>
      <xdr:col>16</xdr:col>
      <xdr:colOff>274320</xdr:colOff>
      <xdr:row>9</xdr:row>
      <xdr:rowOff>110490</xdr:rowOff>
    </xdr:to>
    <xdr:sp macro="" textlink="">
      <xdr:nvSpPr>
        <xdr:cNvPr id="11" name="Oval 10">
          <a:extLst>
            <a:ext uri="{FF2B5EF4-FFF2-40B4-BE49-F238E27FC236}">
              <a16:creationId xmlns:a16="http://schemas.microsoft.com/office/drawing/2014/main" id="{00000000-0008-0000-0700-00000B000000}"/>
            </a:ext>
          </a:extLst>
        </xdr:cNvPr>
        <xdr:cNvSpPr/>
      </xdr:nvSpPr>
      <xdr:spPr>
        <a:xfrm flipH="1">
          <a:off x="9890760" y="1619250"/>
          <a:ext cx="137160" cy="137160"/>
        </a:xfrm>
        <a:prstGeom prst="ellipse">
          <a:avLst/>
        </a:prstGeom>
        <a:solidFill>
          <a:srgbClr val="33A1E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228600</xdr:colOff>
      <xdr:row>10</xdr:row>
      <xdr:rowOff>49530</xdr:rowOff>
    </xdr:from>
    <xdr:to>
      <xdr:col>16</xdr:col>
      <xdr:colOff>228600</xdr:colOff>
      <xdr:row>12</xdr:row>
      <xdr:rowOff>49530</xdr:rowOff>
    </xdr:to>
    <xdr:cxnSp macro="">
      <xdr:nvCxnSpPr>
        <xdr:cNvPr id="12" name="Straight Connector 11">
          <a:extLst>
            <a:ext uri="{FF2B5EF4-FFF2-40B4-BE49-F238E27FC236}">
              <a16:creationId xmlns:a16="http://schemas.microsoft.com/office/drawing/2014/main" id="{00000000-0008-0000-0700-00000C000000}"/>
            </a:ext>
          </a:extLst>
        </xdr:cNvPr>
        <xdr:cNvCxnSpPr/>
      </xdr:nvCxnSpPr>
      <xdr:spPr>
        <a:xfrm>
          <a:off x="9982200" y="1878330"/>
          <a:ext cx="0" cy="365760"/>
        </a:xfrm>
        <a:prstGeom prst="line">
          <a:avLst/>
        </a:prstGeom>
        <a:ln w="47625">
          <a:solidFill>
            <a:srgbClr val="33A1E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213360</xdr:colOff>
      <xdr:row>8</xdr:row>
      <xdr:rowOff>80010</xdr:rowOff>
    </xdr:from>
    <xdr:to>
      <xdr:col>18</xdr:col>
      <xdr:colOff>182880</xdr:colOff>
      <xdr:row>10</xdr:row>
      <xdr:rowOff>11430</xdr:rowOff>
    </xdr:to>
    <xdr:sp macro="" textlink="">
      <xdr:nvSpPr>
        <xdr:cNvPr id="13" name="TextBox 12">
          <a:extLst>
            <a:ext uri="{FF2B5EF4-FFF2-40B4-BE49-F238E27FC236}">
              <a16:creationId xmlns:a16="http://schemas.microsoft.com/office/drawing/2014/main" id="{00000000-0008-0000-0700-00000D000000}"/>
            </a:ext>
          </a:extLst>
        </xdr:cNvPr>
        <xdr:cNvSpPr txBox="1"/>
      </xdr:nvSpPr>
      <xdr:spPr>
        <a:xfrm>
          <a:off x="9966960" y="1543050"/>
          <a:ext cx="118872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400" b="0" i="0" u="none" strike="noStrike">
              <a:solidFill>
                <a:schemeClr val="bg1"/>
              </a:solidFill>
              <a:latin typeface="Calibri"/>
              <a:ea typeface="Calibri"/>
              <a:cs typeface="Calibri"/>
            </a:rPr>
            <a:t>Product Sold</a:t>
          </a:r>
        </a:p>
      </xdr:txBody>
    </xdr:sp>
    <xdr:clientData/>
  </xdr:twoCellAnchor>
  <xdr:twoCellAnchor>
    <xdr:from>
      <xdr:col>17</xdr:col>
      <xdr:colOff>586740</xdr:colOff>
      <xdr:row>8</xdr:row>
      <xdr:rowOff>64770</xdr:rowOff>
    </xdr:from>
    <xdr:to>
      <xdr:col>19</xdr:col>
      <xdr:colOff>198120</xdr:colOff>
      <xdr:row>9</xdr:row>
      <xdr:rowOff>179070</xdr:rowOff>
    </xdr:to>
    <xdr:sp macro="" textlink="'Analysis 3'!BC12">
      <xdr:nvSpPr>
        <xdr:cNvPr id="14" name="TextBox 13">
          <a:extLst>
            <a:ext uri="{FF2B5EF4-FFF2-40B4-BE49-F238E27FC236}">
              <a16:creationId xmlns:a16="http://schemas.microsoft.com/office/drawing/2014/main" id="{00000000-0008-0000-0700-00000E000000}"/>
            </a:ext>
          </a:extLst>
        </xdr:cNvPr>
        <xdr:cNvSpPr txBox="1"/>
      </xdr:nvSpPr>
      <xdr:spPr>
        <a:xfrm>
          <a:off x="10949940" y="1527810"/>
          <a:ext cx="83058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D39845F-4E9C-4BD0-A305-603AFD521C67}" type="TxLink">
            <a:rPr lang="en-US" sz="1800" b="0" i="0" u="none" strike="noStrike">
              <a:solidFill>
                <a:schemeClr val="bg1"/>
              </a:solidFill>
              <a:latin typeface="Calibri"/>
              <a:ea typeface="Calibri"/>
              <a:cs typeface="Calibri"/>
            </a:rPr>
            <a:pPr marL="0" indent="0" algn="l"/>
            <a:t>100</a:t>
          </a:fld>
          <a:endParaRPr lang="en-US" sz="4000" b="0" i="0" u="none" strike="noStrike">
            <a:solidFill>
              <a:schemeClr val="bg1"/>
            </a:solidFill>
            <a:latin typeface="Calibri"/>
            <a:ea typeface="Calibri"/>
            <a:cs typeface="Calibri"/>
          </a:endParaRPr>
        </a:p>
      </xdr:txBody>
    </xdr:sp>
    <xdr:clientData/>
  </xdr:twoCellAnchor>
  <xdr:twoCellAnchor>
    <xdr:from>
      <xdr:col>16</xdr:col>
      <xdr:colOff>220980</xdr:colOff>
      <xdr:row>9</xdr:row>
      <xdr:rowOff>148590</xdr:rowOff>
    </xdr:from>
    <xdr:to>
      <xdr:col>18</xdr:col>
      <xdr:colOff>190500</xdr:colOff>
      <xdr:row>12</xdr:row>
      <xdr:rowOff>125730</xdr:rowOff>
    </xdr:to>
    <xdr:sp macro="" textlink="">
      <xdr:nvSpPr>
        <xdr:cNvPr id="15" name="TextBox 14">
          <a:extLst>
            <a:ext uri="{FF2B5EF4-FFF2-40B4-BE49-F238E27FC236}">
              <a16:creationId xmlns:a16="http://schemas.microsoft.com/office/drawing/2014/main" id="{00000000-0008-0000-0700-00000F000000}"/>
            </a:ext>
          </a:extLst>
        </xdr:cNvPr>
        <xdr:cNvSpPr txBox="1"/>
      </xdr:nvSpPr>
      <xdr:spPr>
        <a:xfrm>
          <a:off x="9974580" y="1794510"/>
          <a:ext cx="1188720" cy="525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400" b="0" i="0" u="none" strike="noStrike">
              <a:solidFill>
                <a:schemeClr val="bg1"/>
              </a:solidFill>
              <a:latin typeface="Calibri"/>
              <a:ea typeface="Calibri"/>
              <a:cs typeface="Calibri"/>
            </a:rPr>
            <a:t>Product </a:t>
          </a:r>
        </a:p>
        <a:p>
          <a:pPr marL="0" indent="0" algn="l"/>
          <a:r>
            <a:rPr lang="en-US" sz="1400" b="0" i="0" u="none" strike="noStrike">
              <a:solidFill>
                <a:schemeClr val="bg1"/>
              </a:solidFill>
              <a:latin typeface="Calibri"/>
              <a:ea typeface="Calibri"/>
              <a:cs typeface="Calibri"/>
            </a:rPr>
            <a:t>Return Rate</a:t>
          </a:r>
        </a:p>
      </xdr:txBody>
    </xdr:sp>
    <xdr:clientData/>
  </xdr:twoCellAnchor>
  <xdr:twoCellAnchor>
    <xdr:from>
      <xdr:col>17</xdr:col>
      <xdr:colOff>601980</xdr:colOff>
      <xdr:row>10</xdr:row>
      <xdr:rowOff>64770</xdr:rowOff>
    </xdr:from>
    <xdr:to>
      <xdr:col>19</xdr:col>
      <xdr:colOff>213360</xdr:colOff>
      <xdr:row>11</xdr:row>
      <xdr:rowOff>179070</xdr:rowOff>
    </xdr:to>
    <xdr:sp macro="" textlink="'Analysis 3'!BD12">
      <xdr:nvSpPr>
        <xdr:cNvPr id="16" name="TextBox 15">
          <a:extLst>
            <a:ext uri="{FF2B5EF4-FFF2-40B4-BE49-F238E27FC236}">
              <a16:creationId xmlns:a16="http://schemas.microsoft.com/office/drawing/2014/main" id="{00000000-0008-0000-0700-000010000000}"/>
            </a:ext>
          </a:extLst>
        </xdr:cNvPr>
        <xdr:cNvSpPr txBox="1"/>
      </xdr:nvSpPr>
      <xdr:spPr>
        <a:xfrm>
          <a:off x="10965180" y="1893570"/>
          <a:ext cx="83058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F136D2A-C23A-4D3B-A8F4-0DAD675A0DF8}" type="TxLink">
            <a:rPr lang="en-US" sz="1800" b="0" i="0" u="none" strike="noStrike">
              <a:solidFill>
                <a:schemeClr val="bg1"/>
              </a:solidFill>
              <a:latin typeface="Calibri"/>
              <a:ea typeface="Calibri"/>
              <a:cs typeface="Calibri"/>
            </a:rPr>
            <a:pPr marL="0" indent="0" algn="l"/>
            <a:t>8.03%</a:t>
          </a:fld>
          <a:endParaRPr lang="en-US" sz="1800" b="0" i="0" u="none" strike="noStrike">
            <a:solidFill>
              <a:schemeClr val="bg1"/>
            </a:solidFill>
            <a:latin typeface="Calibri"/>
            <a:ea typeface="Calibri"/>
            <a:cs typeface="Calibri"/>
          </a:endParaRPr>
        </a:p>
      </xdr:txBody>
    </xdr:sp>
    <xdr:clientData/>
  </xdr:twoCellAnchor>
  <xdr:twoCellAnchor>
    <xdr:from>
      <xdr:col>16</xdr:col>
      <xdr:colOff>228600</xdr:colOff>
      <xdr:row>12</xdr:row>
      <xdr:rowOff>148590</xdr:rowOff>
    </xdr:from>
    <xdr:to>
      <xdr:col>16</xdr:col>
      <xdr:colOff>228600</xdr:colOff>
      <xdr:row>14</xdr:row>
      <xdr:rowOff>148590</xdr:rowOff>
    </xdr:to>
    <xdr:cxnSp macro="">
      <xdr:nvCxnSpPr>
        <xdr:cNvPr id="17" name="Straight Connector 16">
          <a:extLst>
            <a:ext uri="{FF2B5EF4-FFF2-40B4-BE49-F238E27FC236}">
              <a16:creationId xmlns:a16="http://schemas.microsoft.com/office/drawing/2014/main" id="{00000000-0008-0000-0700-000011000000}"/>
            </a:ext>
          </a:extLst>
        </xdr:cNvPr>
        <xdr:cNvCxnSpPr/>
      </xdr:nvCxnSpPr>
      <xdr:spPr>
        <a:xfrm>
          <a:off x="9982200" y="2343150"/>
          <a:ext cx="0" cy="365760"/>
        </a:xfrm>
        <a:prstGeom prst="line">
          <a:avLst/>
        </a:prstGeom>
        <a:ln w="47625">
          <a:solidFill>
            <a:srgbClr val="33A1E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220980</xdr:colOff>
      <xdr:row>12</xdr:row>
      <xdr:rowOff>64770</xdr:rowOff>
    </xdr:from>
    <xdr:to>
      <xdr:col>18</xdr:col>
      <xdr:colOff>190500</xdr:colOff>
      <xdr:row>15</xdr:row>
      <xdr:rowOff>41910</xdr:rowOff>
    </xdr:to>
    <xdr:sp macro="" textlink="">
      <xdr:nvSpPr>
        <xdr:cNvPr id="22" name="TextBox 21">
          <a:extLst>
            <a:ext uri="{FF2B5EF4-FFF2-40B4-BE49-F238E27FC236}">
              <a16:creationId xmlns:a16="http://schemas.microsoft.com/office/drawing/2014/main" id="{00000000-0008-0000-0700-000016000000}"/>
            </a:ext>
          </a:extLst>
        </xdr:cNvPr>
        <xdr:cNvSpPr txBox="1"/>
      </xdr:nvSpPr>
      <xdr:spPr>
        <a:xfrm>
          <a:off x="9974580" y="2259330"/>
          <a:ext cx="1188720" cy="525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400" b="0" i="0" u="none" strike="noStrike">
              <a:solidFill>
                <a:schemeClr val="bg1"/>
              </a:solidFill>
              <a:latin typeface="Calibri"/>
              <a:ea typeface="Calibri"/>
              <a:cs typeface="Calibri"/>
            </a:rPr>
            <a:t>Product </a:t>
          </a:r>
        </a:p>
        <a:p>
          <a:pPr marL="0" indent="0" algn="l"/>
          <a:r>
            <a:rPr lang="en-US" sz="1400" b="0" i="0" u="none" strike="noStrike">
              <a:solidFill>
                <a:schemeClr val="bg1"/>
              </a:solidFill>
              <a:latin typeface="Calibri"/>
              <a:ea typeface="Calibri"/>
              <a:cs typeface="Calibri"/>
            </a:rPr>
            <a:t>Refund Rate</a:t>
          </a:r>
        </a:p>
      </xdr:txBody>
    </xdr:sp>
    <xdr:clientData/>
  </xdr:twoCellAnchor>
  <xdr:twoCellAnchor>
    <xdr:from>
      <xdr:col>17</xdr:col>
      <xdr:colOff>601980</xdr:colOff>
      <xdr:row>12</xdr:row>
      <xdr:rowOff>163830</xdr:rowOff>
    </xdr:from>
    <xdr:to>
      <xdr:col>19</xdr:col>
      <xdr:colOff>213360</xdr:colOff>
      <xdr:row>14</xdr:row>
      <xdr:rowOff>95250</xdr:rowOff>
    </xdr:to>
    <xdr:sp macro="" textlink="'Analysis 3'!BE12">
      <xdr:nvSpPr>
        <xdr:cNvPr id="26" name="TextBox 25">
          <a:extLst>
            <a:ext uri="{FF2B5EF4-FFF2-40B4-BE49-F238E27FC236}">
              <a16:creationId xmlns:a16="http://schemas.microsoft.com/office/drawing/2014/main" id="{00000000-0008-0000-0700-00001A000000}"/>
            </a:ext>
          </a:extLst>
        </xdr:cNvPr>
        <xdr:cNvSpPr txBox="1"/>
      </xdr:nvSpPr>
      <xdr:spPr>
        <a:xfrm>
          <a:off x="10965180" y="2358390"/>
          <a:ext cx="83058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7DD9A6B-C50C-4473-9E35-3D0AEBA4BA74}" type="TxLink">
            <a:rPr lang="en-US" sz="1800" b="0" i="0" u="none" strike="noStrike">
              <a:solidFill>
                <a:schemeClr val="bg1"/>
              </a:solidFill>
              <a:latin typeface="Calibri"/>
              <a:ea typeface="Calibri"/>
              <a:cs typeface="Calibri"/>
            </a:rPr>
            <a:pPr marL="0" indent="0" algn="l"/>
            <a:t>8.05%</a:t>
          </a:fld>
          <a:endParaRPr lang="en-US" sz="1800" b="0" i="0" u="none" strike="noStrike">
            <a:solidFill>
              <a:schemeClr val="bg1"/>
            </a:solidFill>
            <a:latin typeface="Calibri"/>
            <a:ea typeface="Calibri"/>
            <a:cs typeface="Calibri"/>
          </a:endParaRPr>
        </a:p>
      </xdr:txBody>
    </xdr:sp>
    <xdr:clientData/>
  </xdr:twoCellAnchor>
  <xdr:twoCellAnchor>
    <xdr:from>
      <xdr:col>16</xdr:col>
      <xdr:colOff>152400</xdr:colOff>
      <xdr:row>29</xdr:row>
      <xdr:rowOff>137160</xdr:rowOff>
    </xdr:from>
    <xdr:to>
      <xdr:col>20</xdr:col>
      <xdr:colOff>297180</xdr:colOff>
      <xdr:row>29</xdr:row>
      <xdr:rowOff>137160</xdr:rowOff>
    </xdr:to>
    <xdr:cxnSp macro="">
      <xdr:nvCxnSpPr>
        <xdr:cNvPr id="35" name="Straight Connector 34">
          <a:extLst>
            <a:ext uri="{FF2B5EF4-FFF2-40B4-BE49-F238E27FC236}">
              <a16:creationId xmlns:a16="http://schemas.microsoft.com/office/drawing/2014/main" id="{00000000-0008-0000-0700-000023000000}"/>
            </a:ext>
          </a:extLst>
        </xdr:cNvPr>
        <xdr:cNvCxnSpPr/>
      </xdr:nvCxnSpPr>
      <xdr:spPr>
        <a:xfrm>
          <a:off x="9906000" y="5440680"/>
          <a:ext cx="2583180" cy="0"/>
        </a:xfrm>
        <a:prstGeom prst="line">
          <a:avLst/>
        </a:prstGeom>
        <a:ln w="22225">
          <a:gradFill flip="none" rotWithShape="1">
            <a:gsLst>
              <a:gs pos="16000">
                <a:schemeClr val="accent1">
                  <a:lumMod val="75000"/>
                </a:schemeClr>
              </a:gs>
              <a:gs pos="52500">
                <a:schemeClr val="bg1">
                  <a:lumMod val="95000"/>
                </a:schemeClr>
              </a:gs>
              <a:gs pos="42000">
                <a:schemeClr val="accent1">
                  <a:lumMod val="45000"/>
                  <a:lumOff val="55000"/>
                </a:schemeClr>
              </a:gs>
              <a:gs pos="61000">
                <a:schemeClr val="accent1">
                  <a:lumMod val="45000"/>
                  <a:lumOff val="55000"/>
                </a:schemeClr>
              </a:gs>
              <a:gs pos="88000">
                <a:schemeClr val="accent1">
                  <a:lumMod val="75000"/>
                </a:schemeClr>
              </a:gs>
            </a:gsLst>
            <a:lin ang="1080000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160020</xdr:colOff>
      <xdr:row>15</xdr:row>
      <xdr:rowOff>114300</xdr:rowOff>
    </xdr:from>
    <xdr:to>
      <xdr:col>17</xdr:col>
      <xdr:colOff>137160</xdr:colOff>
      <xdr:row>17</xdr:row>
      <xdr:rowOff>45720</xdr:rowOff>
    </xdr:to>
    <xdr:sp macro="" textlink="">
      <xdr:nvSpPr>
        <xdr:cNvPr id="5128" name="TextBox 5127">
          <a:extLst>
            <a:ext uri="{FF2B5EF4-FFF2-40B4-BE49-F238E27FC236}">
              <a16:creationId xmlns:a16="http://schemas.microsoft.com/office/drawing/2014/main" id="{00000000-0008-0000-0700-000008140000}"/>
            </a:ext>
          </a:extLst>
        </xdr:cNvPr>
        <xdr:cNvSpPr txBox="1"/>
      </xdr:nvSpPr>
      <xdr:spPr>
        <a:xfrm>
          <a:off x="9913620" y="2857500"/>
          <a:ext cx="58674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Profit</a:t>
          </a:r>
        </a:p>
      </xdr:txBody>
    </xdr:sp>
    <xdr:clientData/>
  </xdr:twoCellAnchor>
  <xdr:twoCellAnchor>
    <xdr:from>
      <xdr:col>17</xdr:col>
      <xdr:colOff>243840</xdr:colOff>
      <xdr:row>15</xdr:row>
      <xdr:rowOff>114300</xdr:rowOff>
    </xdr:from>
    <xdr:to>
      <xdr:col>18</xdr:col>
      <xdr:colOff>518160</xdr:colOff>
      <xdr:row>17</xdr:row>
      <xdr:rowOff>45720</xdr:rowOff>
    </xdr:to>
    <xdr:sp macro="" textlink="">
      <xdr:nvSpPr>
        <xdr:cNvPr id="5131" name="TextBox 5130">
          <a:extLst>
            <a:ext uri="{FF2B5EF4-FFF2-40B4-BE49-F238E27FC236}">
              <a16:creationId xmlns:a16="http://schemas.microsoft.com/office/drawing/2014/main" id="{00000000-0008-0000-0700-00000B140000}"/>
            </a:ext>
          </a:extLst>
        </xdr:cNvPr>
        <xdr:cNvSpPr txBox="1"/>
      </xdr:nvSpPr>
      <xdr:spPr>
        <a:xfrm>
          <a:off x="10607040" y="2857500"/>
          <a:ext cx="88392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Quantity</a:t>
          </a:r>
        </a:p>
      </xdr:txBody>
    </xdr:sp>
    <xdr:clientData/>
  </xdr:twoCellAnchor>
  <mc:AlternateContent xmlns:mc="http://schemas.openxmlformats.org/markup-compatibility/2006">
    <mc:Choice xmlns:a14="http://schemas.microsoft.com/office/drawing/2010/main" Requires="a14">
      <xdr:twoCellAnchor editAs="oneCell">
        <xdr:from>
          <xdr:col>16</xdr:col>
          <xdr:colOff>167640</xdr:colOff>
          <xdr:row>15</xdr:row>
          <xdr:rowOff>83820</xdr:rowOff>
        </xdr:from>
        <xdr:to>
          <xdr:col>19</xdr:col>
          <xdr:colOff>190500</xdr:colOff>
          <xdr:row>18</xdr:row>
          <xdr:rowOff>83820</xdr:rowOff>
        </xdr:to>
        <xdr:sp macro="" textlink="">
          <xdr:nvSpPr>
            <xdr:cNvPr id="31" name="Group Box 26" hidden="1">
              <a:extLst>
                <a:ext uri="{63B3BB69-23CF-44E3-9099-C40C66FF867C}">
                  <a14:compatExt spid="_x0000_s5146"/>
                </a:ext>
                <a:ext uri="{FF2B5EF4-FFF2-40B4-BE49-F238E27FC236}">
                  <a16:creationId xmlns:a16="http://schemas.microsoft.com/office/drawing/2014/main" id="{00000000-0008-0000-0700-00001F0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30480</xdr:colOff>
          <xdr:row>15</xdr:row>
          <xdr:rowOff>137160</xdr:rowOff>
        </xdr:from>
        <xdr:to>
          <xdr:col>17</xdr:col>
          <xdr:colOff>236220</xdr:colOff>
          <xdr:row>17</xdr:row>
          <xdr:rowOff>30480</xdr:rowOff>
        </xdr:to>
        <xdr:sp macro="" textlink="">
          <xdr:nvSpPr>
            <xdr:cNvPr id="39" name="Option Button 27" hidden="1">
              <a:extLst>
                <a:ext uri="{63B3BB69-23CF-44E3-9099-C40C66FF867C}">
                  <a14:compatExt spid="_x0000_s5147"/>
                </a:ext>
                <a:ext uri="{FF2B5EF4-FFF2-40B4-BE49-F238E27FC236}">
                  <a16:creationId xmlns:a16="http://schemas.microsoft.com/office/drawing/2014/main" id="{00000000-0008-0000-0700-0000270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342900</xdr:colOff>
          <xdr:row>15</xdr:row>
          <xdr:rowOff>137160</xdr:rowOff>
        </xdr:from>
        <xdr:to>
          <xdr:col>18</xdr:col>
          <xdr:colOff>556260</xdr:colOff>
          <xdr:row>17</xdr:row>
          <xdr:rowOff>30480</xdr:rowOff>
        </xdr:to>
        <xdr:sp macro="" textlink="">
          <xdr:nvSpPr>
            <xdr:cNvPr id="42" name="Option Button 28" hidden="1">
              <a:extLst>
                <a:ext uri="{63B3BB69-23CF-44E3-9099-C40C66FF867C}">
                  <a14:compatExt spid="_x0000_s5148"/>
                </a:ext>
                <a:ext uri="{FF2B5EF4-FFF2-40B4-BE49-F238E27FC236}">
                  <a16:creationId xmlns:a16="http://schemas.microsoft.com/office/drawing/2014/main" id="{00000000-0008-0000-0700-00002A0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144780</xdr:colOff>
      <xdr:row>15</xdr:row>
      <xdr:rowOff>68580</xdr:rowOff>
    </xdr:from>
    <xdr:to>
      <xdr:col>19</xdr:col>
      <xdr:colOff>220980</xdr:colOff>
      <xdr:row>18</xdr:row>
      <xdr:rowOff>91440</xdr:rowOff>
    </xdr:to>
    <xdr:sp macro="" textlink="">
      <xdr:nvSpPr>
        <xdr:cNvPr id="5159" name="Rectangle 5158">
          <a:extLst>
            <a:ext uri="{FF2B5EF4-FFF2-40B4-BE49-F238E27FC236}">
              <a16:creationId xmlns:a16="http://schemas.microsoft.com/office/drawing/2014/main" id="{00000000-0008-0000-0700-000027140000}"/>
            </a:ext>
          </a:extLst>
        </xdr:cNvPr>
        <xdr:cNvSpPr/>
      </xdr:nvSpPr>
      <xdr:spPr>
        <a:xfrm>
          <a:off x="9898380" y="2811780"/>
          <a:ext cx="1905000" cy="571500"/>
        </a:xfrm>
        <a:prstGeom prst="rect">
          <a:avLst/>
        </a:prstGeom>
        <a:noFill/>
        <a:ln w="79375">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137160</xdr:colOff>
      <xdr:row>17</xdr:row>
      <xdr:rowOff>57150</xdr:rowOff>
    </xdr:from>
    <xdr:to>
      <xdr:col>16</xdr:col>
      <xdr:colOff>274320</xdr:colOff>
      <xdr:row>18</xdr:row>
      <xdr:rowOff>11430</xdr:rowOff>
    </xdr:to>
    <xdr:sp macro="" textlink="">
      <xdr:nvSpPr>
        <xdr:cNvPr id="5160" name="Oval 5159">
          <a:extLst>
            <a:ext uri="{FF2B5EF4-FFF2-40B4-BE49-F238E27FC236}">
              <a16:creationId xmlns:a16="http://schemas.microsoft.com/office/drawing/2014/main" id="{00000000-0008-0000-0700-000028140000}"/>
            </a:ext>
          </a:extLst>
        </xdr:cNvPr>
        <xdr:cNvSpPr/>
      </xdr:nvSpPr>
      <xdr:spPr>
        <a:xfrm flipH="1">
          <a:off x="9890760" y="3166110"/>
          <a:ext cx="137160" cy="137160"/>
        </a:xfrm>
        <a:prstGeom prst="ellipse">
          <a:avLst/>
        </a:prstGeom>
        <a:solidFill>
          <a:srgbClr val="33A1E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213360</xdr:colOff>
      <xdr:row>16</xdr:row>
      <xdr:rowOff>148590</xdr:rowOff>
    </xdr:from>
    <xdr:to>
      <xdr:col>19</xdr:col>
      <xdr:colOff>563880</xdr:colOff>
      <xdr:row>18</xdr:row>
      <xdr:rowOff>80010</xdr:rowOff>
    </xdr:to>
    <xdr:sp macro="" textlink="'Analysis 3'!BO19">
      <xdr:nvSpPr>
        <xdr:cNvPr id="5169" name="TextBox 5168">
          <a:extLst>
            <a:ext uri="{FF2B5EF4-FFF2-40B4-BE49-F238E27FC236}">
              <a16:creationId xmlns:a16="http://schemas.microsoft.com/office/drawing/2014/main" id="{00000000-0008-0000-0700-000031140000}"/>
            </a:ext>
          </a:extLst>
        </xdr:cNvPr>
        <xdr:cNvSpPr txBox="1"/>
      </xdr:nvSpPr>
      <xdr:spPr>
        <a:xfrm>
          <a:off x="9966960" y="3074670"/>
          <a:ext cx="217932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EB03922C-E108-4B2E-923F-9510D8081A66}" type="TxLink">
            <a:rPr lang="en-US" sz="1400" b="0" i="0" u="none" strike="noStrike">
              <a:solidFill>
                <a:schemeClr val="bg1"/>
              </a:solidFill>
              <a:latin typeface="Calibri"/>
              <a:ea typeface="Calibri"/>
              <a:cs typeface="Calibri"/>
            </a:rPr>
            <a:pPr marL="0" indent="0" algn="l"/>
            <a:t>Top-5 Quntitable Product</a:t>
          </a:fld>
          <a:endParaRPr lang="en-US" sz="1400" b="0" i="0" u="none" strike="noStrike">
            <a:solidFill>
              <a:schemeClr val="bg1"/>
            </a:solidFill>
            <a:latin typeface="Calibri"/>
            <a:ea typeface="Calibri"/>
            <a:cs typeface="Calibri"/>
          </a:endParaRPr>
        </a:p>
      </xdr:txBody>
    </xdr:sp>
    <xdr:clientData/>
  </xdr:twoCellAnchor>
  <xdr:twoCellAnchor>
    <xdr:from>
      <xdr:col>16</xdr:col>
      <xdr:colOff>0</xdr:colOff>
      <xdr:row>18</xdr:row>
      <xdr:rowOff>30480</xdr:rowOff>
    </xdr:from>
    <xdr:to>
      <xdr:col>20</xdr:col>
      <xdr:colOff>579120</xdr:colOff>
      <xdr:row>30</xdr:row>
      <xdr:rowOff>7620</xdr:rowOff>
    </xdr:to>
    <xdr:graphicFrame macro="">
      <xdr:nvGraphicFramePr>
        <xdr:cNvPr id="5173" name="Chart 5172">
          <a:extLst>
            <a:ext uri="{FF2B5EF4-FFF2-40B4-BE49-F238E27FC236}">
              <a16:creationId xmlns:a16="http://schemas.microsoft.com/office/drawing/2014/main" id="{00000000-0008-0000-0700-00003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16</xdr:col>
      <xdr:colOff>114300</xdr:colOff>
      <xdr:row>30</xdr:row>
      <xdr:rowOff>41910</xdr:rowOff>
    </xdr:from>
    <xdr:to>
      <xdr:col>16</xdr:col>
      <xdr:colOff>251460</xdr:colOff>
      <xdr:row>30</xdr:row>
      <xdr:rowOff>179070</xdr:rowOff>
    </xdr:to>
    <xdr:sp macro="" textlink="">
      <xdr:nvSpPr>
        <xdr:cNvPr id="5174" name="Oval 5173">
          <a:extLst>
            <a:ext uri="{FF2B5EF4-FFF2-40B4-BE49-F238E27FC236}">
              <a16:creationId xmlns:a16="http://schemas.microsoft.com/office/drawing/2014/main" id="{00000000-0008-0000-0700-000036140000}"/>
            </a:ext>
          </a:extLst>
        </xdr:cNvPr>
        <xdr:cNvSpPr/>
      </xdr:nvSpPr>
      <xdr:spPr>
        <a:xfrm flipH="1">
          <a:off x="9867900" y="5528310"/>
          <a:ext cx="137160" cy="137160"/>
        </a:xfrm>
        <a:prstGeom prst="ellipse">
          <a:avLst/>
        </a:prstGeom>
        <a:solidFill>
          <a:srgbClr val="33A1E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198120</xdr:colOff>
      <xdr:row>29</xdr:row>
      <xdr:rowOff>133350</xdr:rowOff>
    </xdr:from>
    <xdr:to>
      <xdr:col>19</xdr:col>
      <xdr:colOff>548640</xdr:colOff>
      <xdr:row>31</xdr:row>
      <xdr:rowOff>64770</xdr:rowOff>
    </xdr:to>
    <xdr:sp macro="" textlink="">
      <xdr:nvSpPr>
        <xdr:cNvPr id="5175" name="TextBox 5174">
          <a:extLst>
            <a:ext uri="{FF2B5EF4-FFF2-40B4-BE49-F238E27FC236}">
              <a16:creationId xmlns:a16="http://schemas.microsoft.com/office/drawing/2014/main" id="{00000000-0008-0000-0700-000037140000}"/>
            </a:ext>
          </a:extLst>
        </xdr:cNvPr>
        <xdr:cNvSpPr txBox="1"/>
      </xdr:nvSpPr>
      <xdr:spPr>
        <a:xfrm>
          <a:off x="9951720" y="5436870"/>
          <a:ext cx="217932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400" b="0" i="0" u="none" strike="noStrike">
              <a:solidFill>
                <a:schemeClr val="bg1"/>
              </a:solidFill>
              <a:latin typeface="Calibri"/>
              <a:ea typeface="Calibri"/>
              <a:cs typeface="Calibri"/>
            </a:rPr>
            <a:t>Profit by Product Category</a:t>
          </a:r>
        </a:p>
      </xdr:txBody>
    </xdr:sp>
    <xdr:clientData/>
  </xdr:twoCellAnchor>
  <xdr:twoCellAnchor>
    <xdr:from>
      <xdr:col>15</xdr:col>
      <xdr:colOff>312420</xdr:colOff>
      <xdr:row>30</xdr:row>
      <xdr:rowOff>68580</xdr:rowOff>
    </xdr:from>
    <xdr:to>
      <xdr:col>24</xdr:col>
      <xdr:colOff>556260</xdr:colOff>
      <xdr:row>42</xdr:row>
      <xdr:rowOff>30480</xdr:rowOff>
    </xdr:to>
    <xdr:graphicFrame macro="">
      <xdr:nvGraphicFramePr>
        <xdr:cNvPr id="5176" name="Chart 5175">
          <a:extLst>
            <a:ext uri="{FF2B5EF4-FFF2-40B4-BE49-F238E27FC236}">
              <a16:creationId xmlns:a16="http://schemas.microsoft.com/office/drawing/2014/main" id="{00000000-0008-0000-0700-000038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16</xdr:col>
      <xdr:colOff>91440</xdr:colOff>
      <xdr:row>31</xdr:row>
      <xdr:rowOff>76200</xdr:rowOff>
    </xdr:from>
    <xdr:to>
      <xdr:col>16</xdr:col>
      <xdr:colOff>91440</xdr:colOff>
      <xdr:row>41</xdr:row>
      <xdr:rowOff>53340</xdr:rowOff>
    </xdr:to>
    <xdr:cxnSp macro="">
      <xdr:nvCxnSpPr>
        <xdr:cNvPr id="5179" name="Straight Connector 5178">
          <a:extLst>
            <a:ext uri="{FF2B5EF4-FFF2-40B4-BE49-F238E27FC236}">
              <a16:creationId xmlns:a16="http://schemas.microsoft.com/office/drawing/2014/main" id="{00000000-0008-0000-0700-00003B140000}"/>
            </a:ext>
          </a:extLst>
        </xdr:cNvPr>
        <xdr:cNvCxnSpPr/>
      </xdr:nvCxnSpPr>
      <xdr:spPr>
        <a:xfrm>
          <a:off x="9845040" y="5745480"/>
          <a:ext cx="0" cy="1805940"/>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137160</xdr:colOff>
      <xdr:row>15</xdr:row>
      <xdr:rowOff>83820</xdr:rowOff>
    </xdr:from>
    <xdr:to>
      <xdr:col>20</xdr:col>
      <xdr:colOff>281940</xdr:colOff>
      <xdr:row>15</xdr:row>
      <xdr:rowOff>83820</xdr:rowOff>
    </xdr:to>
    <xdr:cxnSp macro="">
      <xdr:nvCxnSpPr>
        <xdr:cNvPr id="32" name="Straight Connector 31">
          <a:extLst>
            <a:ext uri="{FF2B5EF4-FFF2-40B4-BE49-F238E27FC236}">
              <a16:creationId xmlns:a16="http://schemas.microsoft.com/office/drawing/2014/main" id="{00000000-0008-0000-0700-000020000000}"/>
            </a:ext>
          </a:extLst>
        </xdr:cNvPr>
        <xdr:cNvCxnSpPr/>
      </xdr:nvCxnSpPr>
      <xdr:spPr>
        <a:xfrm>
          <a:off x="9890760" y="2827020"/>
          <a:ext cx="2583180" cy="0"/>
        </a:xfrm>
        <a:prstGeom prst="line">
          <a:avLst/>
        </a:prstGeom>
        <a:ln w="22225">
          <a:gradFill flip="none" rotWithShape="1">
            <a:gsLst>
              <a:gs pos="16000">
                <a:schemeClr val="accent1">
                  <a:lumMod val="75000"/>
                </a:schemeClr>
              </a:gs>
              <a:gs pos="52500">
                <a:schemeClr val="bg1">
                  <a:lumMod val="95000"/>
                </a:schemeClr>
              </a:gs>
              <a:gs pos="42000">
                <a:schemeClr val="accent1">
                  <a:lumMod val="45000"/>
                  <a:lumOff val="55000"/>
                </a:schemeClr>
              </a:gs>
              <a:gs pos="61000">
                <a:schemeClr val="accent1">
                  <a:lumMod val="45000"/>
                  <a:lumOff val="55000"/>
                </a:schemeClr>
              </a:gs>
              <a:gs pos="88000">
                <a:schemeClr val="accent1">
                  <a:lumMod val="75000"/>
                </a:schemeClr>
              </a:gs>
            </a:gsLst>
            <a:lin ang="1080000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335280</xdr:colOff>
      <xdr:row>2</xdr:row>
      <xdr:rowOff>68580</xdr:rowOff>
    </xdr:from>
    <xdr:to>
      <xdr:col>22</xdr:col>
      <xdr:colOff>403860</xdr:colOff>
      <xdr:row>4</xdr:row>
      <xdr:rowOff>91440</xdr:rowOff>
    </xdr:to>
    <xdr:sp macro="[0]!ToggleSlicers" textlink="">
      <xdr:nvSpPr>
        <xdr:cNvPr id="5143" name="Rectangle: Rounded Corners 5142">
          <a:extLst>
            <a:ext uri="{FF2B5EF4-FFF2-40B4-BE49-F238E27FC236}">
              <a16:creationId xmlns:a16="http://schemas.microsoft.com/office/drawing/2014/main" id="{00000000-0008-0000-0700-000017140000}"/>
            </a:ext>
          </a:extLst>
        </xdr:cNvPr>
        <xdr:cNvSpPr/>
      </xdr:nvSpPr>
      <xdr:spPr>
        <a:xfrm>
          <a:off x="12527280" y="434340"/>
          <a:ext cx="1287780" cy="388620"/>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464820</xdr:colOff>
      <xdr:row>2</xdr:row>
      <xdr:rowOff>106680</xdr:rowOff>
    </xdr:from>
    <xdr:to>
      <xdr:col>22</xdr:col>
      <xdr:colOff>274320</xdr:colOff>
      <xdr:row>4</xdr:row>
      <xdr:rowOff>38100</xdr:rowOff>
    </xdr:to>
    <xdr:sp macro="[0]!Module2.ToggleSlicers" textlink="">
      <xdr:nvSpPr>
        <xdr:cNvPr id="5144" name="TextBox 5143">
          <a:extLst>
            <a:ext uri="{FF2B5EF4-FFF2-40B4-BE49-F238E27FC236}">
              <a16:creationId xmlns:a16="http://schemas.microsoft.com/office/drawing/2014/main" id="{00000000-0008-0000-0700-000018140000}"/>
            </a:ext>
          </a:extLst>
        </xdr:cNvPr>
        <xdr:cNvSpPr txBox="1"/>
      </xdr:nvSpPr>
      <xdr:spPr>
        <a:xfrm>
          <a:off x="12656820" y="472440"/>
          <a:ext cx="102870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0">
              <a:solidFill>
                <a:schemeClr val="bg1"/>
              </a:solidFill>
            </a:rPr>
            <a:t>Open Filter</a:t>
          </a:r>
        </a:p>
      </xdr:txBody>
    </xdr:sp>
    <xdr:clientData/>
  </xdr:twoCellAnchor>
  <xdr:twoCellAnchor>
    <xdr:from>
      <xdr:col>20</xdr:col>
      <xdr:colOff>129540</xdr:colOff>
      <xdr:row>2</xdr:row>
      <xdr:rowOff>68580</xdr:rowOff>
    </xdr:from>
    <xdr:to>
      <xdr:col>23</xdr:col>
      <xdr:colOff>388620</xdr:colOff>
      <xdr:row>41</xdr:row>
      <xdr:rowOff>30480</xdr:rowOff>
    </xdr:to>
    <xdr:grpSp>
      <xdr:nvGrpSpPr>
        <xdr:cNvPr id="5127" name="Group f" hidden="1">
          <a:extLst>
            <a:ext uri="{FF2B5EF4-FFF2-40B4-BE49-F238E27FC236}">
              <a16:creationId xmlns:a16="http://schemas.microsoft.com/office/drawing/2014/main" id="{00000000-0008-0000-0700-000007140000}"/>
            </a:ext>
          </a:extLst>
        </xdr:cNvPr>
        <xdr:cNvGrpSpPr/>
      </xdr:nvGrpSpPr>
      <xdr:grpSpPr>
        <a:xfrm>
          <a:off x="12321540" y="434340"/>
          <a:ext cx="2087880" cy="7094220"/>
          <a:chOff x="12260580" y="449580"/>
          <a:chExt cx="2087880" cy="6720840"/>
        </a:xfrm>
      </xdr:grpSpPr>
      <xdr:grpSp>
        <xdr:nvGrpSpPr>
          <xdr:cNvPr id="44" name="Group 43" hidden="1">
            <a:extLst>
              <a:ext uri="{FF2B5EF4-FFF2-40B4-BE49-F238E27FC236}">
                <a16:creationId xmlns:a16="http://schemas.microsoft.com/office/drawing/2014/main" id="{00000000-0008-0000-0700-00002C000000}"/>
              </a:ext>
            </a:extLst>
          </xdr:cNvPr>
          <xdr:cNvGrpSpPr/>
        </xdr:nvGrpSpPr>
        <xdr:grpSpPr>
          <a:xfrm>
            <a:off x="12260580" y="449580"/>
            <a:ext cx="2087880" cy="6720840"/>
            <a:chOff x="12260580" y="335280"/>
            <a:chExt cx="2087880" cy="6720840"/>
          </a:xfrm>
        </xdr:grpSpPr>
        <xdr:sp macro="" textlink="">
          <xdr:nvSpPr>
            <xdr:cNvPr id="61" name="Rectangle: Diagonal Corners Rounded 60" hidden="1">
              <a:extLst>
                <a:ext uri="{FF2B5EF4-FFF2-40B4-BE49-F238E27FC236}">
                  <a16:creationId xmlns:a16="http://schemas.microsoft.com/office/drawing/2014/main" id="{00000000-0008-0000-0700-00003D000000}"/>
                </a:ext>
              </a:extLst>
            </xdr:cNvPr>
            <xdr:cNvSpPr/>
          </xdr:nvSpPr>
          <xdr:spPr>
            <a:xfrm>
              <a:off x="12260580" y="1211580"/>
              <a:ext cx="2087880" cy="5844540"/>
            </a:xfrm>
            <a:prstGeom prst="round2DiagRect">
              <a:avLst>
                <a:gd name="adj1" fmla="val 7530"/>
                <a:gd name="adj2" fmla="val 0"/>
              </a:avLst>
            </a:prstGeom>
            <a:solidFill>
              <a:srgbClr val="154D7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ToggleSlicers" textlink="">
          <xdr:nvSpPr>
            <xdr:cNvPr id="50" name="Rectangle: Rounded Corners 49" hidden="1">
              <a:extLst>
                <a:ext uri="{FF2B5EF4-FFF2-40B4-BE49-F238E27FC236}">
                  <a16:creationId xmlns:a16="http://schemas.microsoft.com/office/drawing/2014/main" id="{00000000-0008-0000-0700-000032000000}"/>
                </a:ext>
              </a:extLst>
            </xdr:cNvPr>
            <xdr:cNvSpPr/>
          </xdr:nvSpPr>
          <xdr:spPr>
            <a:xfrm>
              <a:off x="12466320" y="335280"/>
              <a:ext cx="1287780" cy="388620"/>
            </a:xfrm>
            <a:prstGeom prst="round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Module2.ToggleSlicers" textlink="">
          <xdr:nvSpPr>
            <xdr:cNvPr id="52" name="TextBox 51" hidden="1">
              <a:extLst>
                <a:ext uri="{FF2B5EF4-FFF2-40B4-BE49-F238E27FC236}">
                  <a16:creationId xmlns:a16="http://schemas.microsoft.com/office/drawing/2014/main" id="{00000000-0008-0000-0700-000034000000}"/>
                </a:ext>
              </a:extLst>
            </xdr:cNvPr>
            <xdr:cNvSpPr txBox="1"/>
          </xdr:nvSpPr>
          <xdr:spPr>
            <a:xfrm>
              <a:off x="12595860" y="373380"/>
              <a:ext cx="102870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0">
                  <a:solidFill>
                    <a:schemeClr val="bg1"/>
                  </a:solidFill>
                </a:rPr>
                <a:t>Close Filter</a:t>
              </a:r>
            </a:p>
          </xdr:txBody>
        </xdr:sp>
      </xdr:grpSp>
      <mc:AlternateContent xmlns:mc="http://schemas.openxmlformats.org/markup-compatibility/2006" xmlns:a14="http://schemas.microsoft.com/office/drawing/2010/main">
        <mc:Choice Requires="a14">
          <xdr:graphicFrame macro="">
            <xdr:nvGraphicFramePr>
              <xdr:cNvPr id="5125" name="Month" hidden="1">
                <a:extLst>
                  <a:ext uri="{FF2B5EF4-FFF2-40B4-BE49-F238E27FC236}">
                    <a16:creationId xmlns:a16="http://schemas.microsoft.com/office/drawing/2014/main" id="{00000000-0008-0000-0700-000005140000}"/>
                  </a:ext>
                </a:extLst>
              </xdr:cNvPr>
              <xdr:cNvGraphicFramePr/>
            </xdr:nvGraphicFramePr>
            <xdr:xfrm>
              <a:off x="12291060" y="1394461"/>
              <a:ext cx="2028826" cy="201168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2352020" y="1431714"/>
                <a:ext cx="2028826" cy="21234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126" name="Category" hidden="1">
                <a:extLst>
                  <a:ext uri="{FF2B5EF4-FFF2-40B4-BE49-F238E27FC236}">
                    <a16:creationId xmlns:a16="http://schemas.microsoft.com/office/drawing/2014/main" id="{00000000-0008-0000-0700-000006140000}"/>
                  </a:ext>
                </a:extLst>
              </xdr:cNvPr>
              <xdr:cNvGraphicFramePr/>
            </xdr:nvGraphicFramePr>
            <xdr:xfrm>
              <a:off x="12321540" y="3444239"/>
              <a:ext cx="2000250" cy="365760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2382500" y="3595369"/>
                <a:ext cx="2000250" cy="3860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76200</xdr:colOff>
      <xdr:row>0</xdr:row>
      <xdr:rowOff>0</xdr:rowOff>
    </xdr:from>
    <xdr:to>
      <xdr:col>17</xdr:col>
      <xdr:colOff>464820</xdr:colOff>
      <xdr:row>43</xdr:row>
      <xdr:rowOff>106680</xdr:rowOff>
    </xdr:to>
    <xdr:sp macro="" textlink="">
      <xdr:nvSpPr>
        <xdr:cNvPr id="11414" name="Moon 11413">
          <a:extLst>
            <a:ext uri="{FF2B5EF4-FFF2-40B4-BE49-F238E27FC236}">
              <a16:creationId xmlns:a16="http://schemas.microsoft.com/office/drawing/2014/main" id="{00000000-0008-0000-0800-0000962C0000}"/>
            </a:ext>
          </a:extLst>
        </xdr:cNvPr>
        <xdr:cNvSpPr/>
      </xdr:nvSpPr>
      <xdr:spPr>
        <a:xfrm flipH="1">
          <a:off x="11064240" y="0"/>
          <a:ext cx="5920740" cy="8976360"/>
        </a:xfrm>
        <a:prstGeom prst="moon">
          <a:avLst>
            <a:gd name="adj" fmla="val 62246"/>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769620</xdr:colOff>
      <xdr:row>0</xdr:row>
      <xdr:rowOff>0</xdr:rowOff>
    </xdr:from>
    <xdr:to>
      <xdr:col>12</xdr:col>
      <xdr:colOff>76200</xdr:colOff>
      <xdr:row>2</xdr:row>
      <xdr:rowOff>15240</xdr:rowOff>
    </xdr:to>
    <xdr:sp macro="" textlink="">
      <xdr:nvSpPr>
        <xdr:cNvPr id="11415" name="Rectangle 11414">
          <a:extLst>
            <a:ext uri="{FF2B5EF4-FFF2-40B4-BE49-F238E27FC236}">
              <a16:creationId xmlns:a16="http://schemas.microsoft.com/office/drawing/2014/main" id="{00000000-0008-0000-0800-0000972C0000}"/>
            </a:ext>
          </a:extLst>
        </xdr:cNvPr>
        <xdr:cNvSpPr/>
      </xdr:nvSpPr>
      <xdr:spPr>
        <a:xfrm>
          <a:off x="11757660" y="0"/>
          <a:ext cx="1790700" cy="381000"/>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365760</xdr:colOff>
      <xdr:row>0</xdr:row>
      <xdr:rowOff>0</xdr:rowOff>
    </xdr:from>
    <xdr:to>
      <xdr:col>16</xdr:col>
      <xdr:colOff>335280</xdr:colOff>
      <xdr:row>9</xdr:row>
      <xdr:rowOff>106680</xdr:rowOff>
    </xdr:to>
    <xdr:sp macro="" textlink="">
      <xdr:nvSpPr>
        <xdr:cNvPr id="11416" name="Rectangle 11415">
          <a:extLst>
            <a:ext uri="{FF2B5EF4-FFF2-40B4-BE49-F238E27FC236}">
              <a16:creationId xmlns:a16="http://schemas.microsoft.com/office/drawing/2014/main" id="{00000000-0008-0000-0800-0000982C0000}"/>
            </a:ext>
          </a:extLst>
        </xdr:cNvPr>
        <xdr:cNvSpPr/>
      </xdr:nvSpPr>
      <xdr:spPr>
        <a:xfrm>
          <a:off x="13228320" y="0"/>
          <a:ext cx="3017520" cy="1752600"/>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144780</xdr:colOff>
      <xdr:row>0</xdr:row>
      <xdr:rowOff>0</xdr:rowOff>
    </xdr:from>
    <xdr:to>
      <xdr:col>17</xdr:col>
      <xdr:colOff>533400</xdr:colOff>
      <xdr:row>43</xdr:row>
      <xdr:rowOff>106680</xdr:rowOff>
    </xdr:to>
    <xdr:sp macro="" textlink="">
      <xdr:nvSpPr>
        <xdr:cNvPr id="11417" name="Moon 11416">
          <a:extLst>
            <a:ext uri="{FF2B5EF4-FFF2-40B4-BE49-F238E27FC236}">
              <a16:creationId xmlns:a16="http://schemas.microsoft.com/office/drawing/2014/main" id="{00000000-0008-0000-0800-0000992C0000}"/>
            </a:ext>
          </a:extLst>
        </xdr:cNvPr>
        <xdr:cNvSpPr/>
      </xdr:nvSpPr>
      <xdr:spPr>
        <a:xfrm flipH="1">
          <a:off x="11132820" y="0"/>
          <a:ext cx="5920740" cy="8976360"/>
        </a:xfrm>
        <a:prstGeom prst="moon">
          <a:avLst>
            <a:gd name="adj" fmla="val 62246"/>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533400</xdr:colOff>
      <xdr:row>1</xdr:row>
      <xdr:rowOff>175260</xdr:rowOff>
    </xdr:from>
    <xdr:to>
      <xdr:col>9</xdr:col>
      <xdr:colOff>396240</xdr:colOff>
      <xdr:row>5</xdr:row>
      <xdr:rowOff>60960</xdr:rowOff>
    </xdr:to>
    <xdr:sp macro="" textlink="">
      <xdr:nvSpPr>
        <xdr:cNvPr id="11419" name="Rectangle 11418">
          <a:extLst>
            <a:ext uri="{FF2B5EF4-FFF2-40B4-BE49-F238E27FC236}">
              <a16:creationId xmlns:a16="http://schemas.microsoft.com/office/drawing/2014/main" id="{00000000-0008-0000-0800-00009B2C0000}"/>
            </a:ext>
          </a:extLst>
        </xdr:cNvPr>
        <xdr:cNvSpPr/>
      </xdr:nvSpPr>
      <xdr:spPr>
        <a:xfrm>
          <a:off x="533400" y="358140"/>
          <a:ext cx="10850880" cy="617220"/>
        </a:xfrm>
        <a:prstGeom prst="rect">
          <a:avLst/>
        </a:prstGeom>
        <a:gradFill flip="none" rotWithShape="1">
          <a:gsLst>
            <a:gs pos="0">
              <a:schemeClr val="bg1">
                <a:lumMod val="95000"/>
              </a:schemeClr>
            </a:gs>
            <a:gs pos="50000">
              <a:schemeClr val="bg1">
                <a:lumMod val="95000"/>
                <a:lumOff val="5000"/>
              </a:schemeClr>
            </a:gs>
            <a:gs pos="100000">
              <a:schemeClr val="bg1">
                <a:lumMod val="95000"/>
              </a:schemeClr>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304800</xdr:colOff>
      <xdr:row>2</xdr:row>
      <xdr:rowOff>30480</xdr:rowOff>
    </xdr:from>
    <xdr:to>
      <xdr:col>3</xdr:col>
      <xdr:colOff>853440</xdr:colOff>
      <xdr:row>5</xdr:row>
      <xdr:rowOff>22860</xdr:rowOff>
    </xdr:to>
    <xdr:sp macro="" textlink="">
      <xdr:nvSpPr>
        <xdr:cNvPr id="11428" name="TextBox 11427">
          <a:extLst>
            <a:ext uri="{FF2B5EF4-FFF2-40B4-BE49-F238E27FC236}">
              <a16:creationId xmlns:a16="http://schemas.microsoft.com/office/drawing/2014/main" id="{00000000-0008-0000-0800-0000A42C0000}"/>
            </a:ext>
          </a:extLst>
        </xdr:cNvPr>
        <xdr:cNvSpPr txBox="1"/>
      </xdr:nvSpPr>
      <xdr:spPr>
        <a:xfrm>
          <a:off x="304800" y="396240"/>
          <a:ext cx="3947160" cy="541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4000">
              <a:gradFill>
                <a:gsLst>
                  <a:gs pos="0">
                    <a:srgbClr val="7030A0"/>
                  </a:gs>
                  <a:gs pos="100000">
                    <a:schemeClr val="tx1">
                      <a:lumMod val="50000"/>
                      <a:lumOff val="50000"/>
                    </a:schemeClr>
                  </a:gs>
                </a:gsLst>
                <a:lin ang="10800000" scaled="1"/>
              </a:gradFill>
            </a:rPr>
            <a:t>Sales Dashboard </a:t>
          </a:r>
        </a:p>
      </xdr:txBody>
    </xdr:sp>
    <xdr:clientData/>
  </xdr:twoCellAnchor>
  <xdr:twoCellAnchor>
    <xdr:from>
      <xdr:col>3</xdr:col>
      <xdr:colOff>1051560</xdr:colOff>
      <xdr:row>2</xdr:row>
      <xdr:rowOff>118110</xdr:rowOff>
    </xdr:from>
    <xdr:to>
      <xdr:col>4</xdr:col>
      <xdr:colOff>967740</xdr:colOff>
      <xdr:row>4</xdr:row>
      <xdr:rowOff>118110</xdr:rowOff>
    </xdr:to>
    <xdr:sp macro="" textlink="">
      <xdr:nvSpPr>
        <xdr:cNvPr id="11429" name="Rectangle: Diagonal Corners Rounded 11428">
          <a:extLst>
            <a:ext uri="{FF2B5EF4-FFF2-40B4-BE49-F238E27FC236}">
              <a16:creationId xmlns:a16="http://schemas.microsoft.com/office/drawing/2014/main" id="{00000000-0008-0000-0800-0000A52C0000}"/>
            </a:ext>
          </a:extLst>
        </xdr:cNvPr>
        <xdr:cNvSpPr/>
      </xdr:nvSpPr>
      <xdr:spPr>
        <a:xfrm flipH="1">
          <a:off x="4450080" y="483870"/>
          <a:ext cx="1181100" cy="365760"/>
        </a:xfrm>
        <a:prstGeom prst="round2DiagRect">
          <a:avLst/>
        </a:prstGeom>
        <a:solidFill>
          <a:schemeClr val="bg1">
            <a:lumMod val="85000"/>
            <a:alpha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4</xdr:col>
      <xdr:colOff>1203960</xdr:colOff>
      <xdr:row>2</xdr:row>
      <xdr:rowOff>118110</xdr:rowOff>
    </xdr:from>
    <xdr:to>
      <xdr:col>5</xdr:col>
      <xdr:colOff>1120140</xdr:colOff>
      <xdr:row>4</xdr:row>
      <xdr:rowOff>118110</xdr:rowOff>
    </xdr:to>
    <xdr:sp macro="" textlink="">
      <xdr:nvSpPr>
        <xdr:cNvPr id="11430" name="Rectangle: Diagonal Corners Rounded 11429">
          <a:extLst>
            <a:ext uri="{FF2B5EF4-FFF2-40B4-BE49-F238E27FC236}">
              <a16:creationId xmlns:a16="http://schemas.microsoft.com/office/drawing/2014/main" id="{00000000-0008-0000-0800-0000A62C0000}"/>
            </a:ext>
          </a:extLst>
        </xdr:cNvPr>
        <xdr:cNvSpPr/>
      </xdr:nvSpPr>
      <xdr:spPr>
        <a:xfrm flipH="1">
          <a:off x="5867400" y="483870"/>
          <a:ext cx="1181100" cy="365760"/>
        </a:xfrm>
        <a:prstGeom prst="round2DiagRect">
          <a:avLst/>
        </a:prstGeom>
        <a:solidFill>
          <a:schemeClr val="bg1">
            <a:lumMod val="85000"/>
            <a:alpha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6</xdr:col>
      <xdr:colOff>91440</xdr:colOff>
      <xdr:row>2</xdr:row>
      <xdr:rowOff>118110</xdr:rowOff>
    </xdr:from>
    <xdr:to>
      <xdr:col>7</xdr:col>
      <xdr:colOff>7620</xdr:colOff>
      <xdr:row>4</xdr:row>
      <xdr:rowOff>118110</xdr:rowOff>
    </xdr:to>
    <xdr:sp macro="" textlink="">
      <xdr:nvSpPr>
        <xdr:cNvPr id="11431" name="Rectangle: Diagonal Corners Rounded 11430">
          <a:extLst>
            <a:ext uri="{FF2B5EF4-FFF2-40B4-BE49-F238E27FC236}">
              <a16:creationId xmlns:a16="http://schemas.microsoft.com/office/drawing/2014/main" id="{00000000-0008-0000-0800-0000A72C0000}"/>
            </a:ext>
          </a:extLst>
        </xdr:cNvPr>
        <xdr:cNvSpPr/>
      </xdr:nvSpPr>
      <xdr:spPr>
        <a:xfrm flipH="1">
          <a:off x="7284720" y="483870"/>
          <a:ext cx="1181100" cy="365760"/>
        </a:xfrm>
        <a:prstGeom prst="round2DiagRect">
          <a:avLst/>
        </a:prstGeom>
        <a:solidFill>
          <a:schemeClr val="bg1">
            <a:lumMod val="85000"/>
            <a:alpha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754380</xdr:colOff>
      <xdr:row>2</xdr:row>
      <xdr:rowOff>45720</xdr:rowOff>
    </xdr:from>
    <xdr:to>
      <xdr:col>9</xdr:col>
      <xdr:colOff>929640</xdr:colOff>
      <xdr:row>5</xdr:row>
      <xdr:rowOff>38100</xdr:rowOff>
    </xdr:to>
    <xdr:sp macro="" textlink="">
      <xdr:nvSpPr>
        <xdr:cNvPr id="11432" name="TextBox 11431">
          <a:extLst>
            <a:ext uri="{FF2B5EF4-FFF2-40B4-BE49-F238E27FC236}">
              <a16:creationId xmlns:a16="http://schemas.microsoft.com/office/drawing/2014/main" id="{00000000-0008-0000-0800-0000A82C0000}"/>
            </a:ext>
          </a:extLst>
        </xdr:cNvPr>
        <xdr:cNvSpPr txBox="1"/>
      </xdr:nvSpPr>
      <xdr:spPr>
        <a:xfrm>
          <a:off x="9212580" y="411480"/>
          <a:ext cx="2705100" cy="541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600">
              <a:gradFill>
                <a:gsLst>
                  <a:gs pos="0">
                    <a:srgbClr val="7030A0"/>
                  </a:gs>
                  <a:gs pos="100000">
                    <a:schemeClr val="tx1">
                      <a:lumMod val="50000"/>
                      <a:lumOff val="50000"/>
                    </a:schemeClr>
                  </a:gs>
                </a:gsLst>
                <a:lin ang="10800000" scaled="1"/>
              </a:gradFill>
            </a:rPr>
            <a:t>Profitability</a:t>
          </a:r>
          <a:r>
            <a:rPr lang="en-US" sz="1600" baseline="0">
              <a:gradFill>
                <a:gsLst>
                  <a:gs pos="0">
                    <a:srgbClr val="7030A0"/>
                  </a:gs>
                  <a:gs pos="100000">
                    <a:schemeClr val="tx1">
                      <a:lumMod val="50000"/>
                      <a:lumOff val="50000"/>
                    </a:schemeClr>
                  </a:gs>
                </a:gsLst>
                <a:lin ang="10800000" scaled="1"/>
              </a:gradFill>
            </a:rPr>
            <a:t> View</a:t>
          </a:r>
        </a:p>
      </xdr:txBody>
    </xdr:sp>
    <xdr:clientData/>
  </xdr:twoCellAnchor>
  <xdr:twoCellAnchor>
    <xdr:from>
      <xdr:col>5</xdr:col>
      <xdr:colOff>114300</xdr:colOff>
      <xdr:row>3</xdr:row>
      <xdr:rowOff>11430</xdr:rowOff>
    </xdr:from>
    <xdr:to>
      <xdr:col>5</xdr:col>
      <xdr:colOff>944880</xdr:colOff>
      <xdr:row>4</xdr:row>
      <xdr:rowOff>49530</xdr:rowOff>
    </xdr:to>
    <xdr:sp macro="" textlink="">
      <xdr:nvSpPr>
        <xdr:cNvPr id="11433" name="TextBox 11432">
          <a:hlinkClick xmlns:r="http://schemas.openxmlformats.org/officeDocument/2006/relationships" r:id="rId1" tooltip="Store.page"/>
          <a:extLst>
            <a:ext uri="{FF2B5EF4-FFF2-40B4-BE49-F238E27FC236}">
              <a16:creationId xmlns:a16="http://schemas.microsoft.com/office/drawing/2014/main" id="{00000000-0008-0000-0800-0000A92C0000}"/>
            </a:ext>
          </a:extLst>
        </xdr:cNvPr>
        <xdr:cNvSpPr txBox="1"/>
      </xdr:nvSpPr>
      <xdr:spPr>
        <a:xfrm>
          <a:off x="6042660" y="560070"/>
          <a:ext cx="8305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a:solidFill>
                <a:schemeClr val="bg2">
                  <a:lumMod val="25000"/>
                </a:schemeClr>
              </a:solidFill>
              <a:latin typeface="+mn-lt"/>
              <a:ea typeface="+mn-ea"/>
              <a:cs typeface="+mn-cs"/>
            </a:rPr>
            <a:t>Store</a:t>
          </a:r>
        </a:p>
      </xdr:txBody>
    </xdr:sp>
    <xdr:clientData/>
  </xdr:twoCellAnchor>
  <xdr:twoCellAnchor>
    <xdr:from>
      <xdr:col>6</xdr:col>
      <xdr:colOff>106680</xdr:colOff>
      <xdr:row>3</xdr:row>
      <xdr:rowOff>11430</xdr:rowOff>
    </xdr:from>
    <xdr:to>
      <xdr:col>7</xdr:col>
      <xdr:colOff>0</xdr:colOff>
      <xdr:row>4</xdr:row>
      <xdr:rowOff>49530</xdr:rowOff>
    </xdr:to>
    <xdr:sp macro="" textlink="">
      <xdr:nvSpPr>
        <xdr:cNvPr id="11434" name="TextBox 11433">
          <a:hlinkClick xmlns:r="http://schemas.openxmlformats.org/officeDocument/2006/relationships" r:id="rId2" tooltip="Profit_View.Page"/>
          <a:extLst>
            <a:ext uri="{FF2B5EF4-FFF2-40B4-BE49-F238E27FC236}">
              <a16:creationId xmlns:a16="http://schemas.microsoft.com/office/drawing/2014/main" id="{00000000-0008-0000-0800-0000AA2C0000}"/>
            </a:ext>
          </a:extLst>
        </xdr:cNvPr>
        <xdr:cNvSpPr txBox="1"/>
      </xdr:nvSpPr>
      <xdr:spPr>
        <a:xfrm>
          <a:off x="7299960" y="560070"/>
          <a:ext cx="11582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bg2">
                  <a:lumMod val="25000"/>
                </a:schemeClr>
              </a:solidFill>
            </a:rPr>
            <a:t>Profit View</a:t>
          </a:r>
        </a:p>
      </xdr:txBody>
    </xdr:sp>
    <xdr:clientData/>
  </xdr:twoCellAnchor>
  <xdr:twoCellAnchor>
    <xdr:from>
      <xdr:col>3</xdr:col>
      <xdr:colOff>1059180</xdr:colOff>
      <xdr:row>3</xdr:row>
      <xdr:rowOff>11430</xdr:rowOff>
    </xdr:from>
    <xdr:to>
      <xdr:col>4</xdr:col>
      <xdr:colOff>952500</xdr:colOff>
      <xdr:row>4</xdr:row>
      <xdr:rowOff>49530</xdr:rowOff>
    </xdr:to>
    <xdr:sp macro="" textlink="">
      <xdr:nvSpPr>
        <xdr:cNvPr id="11435" name="TextBox 11434">
          <a:hlinkClick xmlns:r="http://schemas.openxmlformats.org/officeDocument/2006/relationships" r:id="rId3" tooltip="Time_Frame.Page"/>
          <a:extLst>
            <a:ext uri="{FF2B5EF4-FFF2-40B4-BE49-F238E27FC236}">
              <a16:creationId xmlns:a16="http://schemas.microsoft.com/office/drawing/2014/main" id="{00000000-0008-0000-0800-0000AB2C0000}"/>
            </a:ext>
          </a:extLst>
        </xdr:cNvPr>
        <xdr:cNvSpPr txBox="1"/>
      </xdr:nvSpPr>
      <xdr:spPr>
        <a:xfrm>
          <a:off x="4457700" y="560070"/>
          <a:ext cx="11582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a:solidFill>
                <a:schemeClr val="bg2">
                  <a:lumMod val="25000"/>
                </a:schemeClr>
              </a:solidFill>
              <a:latin typeface="+mn-lt"/>
              <a:ea typeface="+mn-ea"/>
              <a:cs typeface="+mn-cs"/>
            </a:rPr>
            <a:t>Time Frame</a:t>
          </a:r>
        </a:p>
      </xdr:txBody>
    </xdr:sp>
    <xdr:clientData/>
  </xdr:twoCellAnchor>
  <xdr:twoCellAnchor>
    <xdr:from>
      <xdr:col>0</xdr:col>
      <xdr:colOff>0</xdr:colOff>
      <xdr:row>44</xdr:row>
      <xdr:rowOff>0</xdr:rowOff>
    </xdr:from>
    <xdr:to>
      <xdr:col>0</xdr:col>
      <xdr:colOff>0</xdr:colOff>
      <xdr:row>46</xdr:row>
      <xdr:rowOff>175260</xdr:rowOff>
    </xdr:to>
    <xdr:sp macro="" textlink="">
      <xdr:nvSpPr>
        <xdr:cNvPr id="11437" name="TextBox 11436">
          <a:extLst>
            <a:ext uri="{FF2B5EF4-FFF2-40B4-BE49-F238E27FC236}">
              <a16:creationId xmlns:a16="http://schemas.microsoft.com/office/drawing/2014/main" id="{00000000-0008-0000-0800-0000AD2C0000}"/>
            </a:ext>
          </a:extLst>
        </xdr:cNvPr>
        <xdr:cNvSpPr txBox="1"/>
      </xdr:nvSpPr>
      <xdr:spPr>
        <a:xfrm>
          <a:off x="0" y="9022080"/>
          <a:ext cx="0" cy="541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600">
              <a:solidFill>
                <a:schemeClr val="accent1">
                  <a:lumMod val="75000"/>
                </a:schemeClr>
              </a:solidFill>
            </a:rPr>
            <a:t>Store Budget Vs</a:t>
          </a:r>
          <a:r>
            <a:rPr lang="en-US" sz="1600" baseline="0">
              <a:solidFill>
                <a:schemeClr val="accent1">
                  <a:lumMod val="75000"/>
                </a:schemeClr>
              </a:solidFill>
            </a:rPr>
            <a:t> Revenue</a:t>
          </a:r>
          <a:endParaRPr lang="en-US" sz="1600">
            <a:solidFill>
              <a:schemeClr val="accent1">
                <a:lumMod val="75000"/>
              </a:schemeClr>
            </a:solidFill>
          </a:endParaRPr>
        </a:p>
      </xdr:txBody>
    </xdr:sp>
    <xdr:clientData/>
  </xdr:twoCellAnchor>
  <mc:AlternateContent xmlns:mc="http://schemas.openxmlformats.org/markup-compatibility/2006">
    <mc:Choice xmlns:a14="http://schemas.microsoft.com/office/drawing/2010/main" Requires="a14">
      <xdr:twoCellAnchor>
        <xdr:from>
          <xdr:col>12</xdr:col>
          <xdr:colOff>83820</xdr:colOff>
          <xdr:row>17</xdr:row>
          <xdr:rowOff>160020</xdr:rowOff>
        </xdr:from>
        <xdr:to>
          <xdr:col>12</xdr:col>
          <xdr:colOff>556260</xdr:colOff>
          <xdr:row>19</xdr:row>
          <xdr:rowOff>83820</xdr:rowOff>
        </xdr:to>
        <xdr:sp macro="" textlink="">
          <xdr:nvSpPr>
            <xdr:cNvPr id="11269" name="Spinner 5" hidden="1">
              <a:extLst>
                <a:ext uri="{63B3BB69-23CF-44E3-9099-C40C66FF867C}">
                  <a14:compatExt spid="_x0000_s11269"/>
                </a:ext>
                <a:ext uri="{FF2B5EF4-FFF2-40B4-BE49-F238E27FC236}">
                  <a16:creationId xmlns:a16="http://schemas.microsoft.com/office/drawing/2014/main" id="{00000000-0008-0000-0800-0000052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495300</xdr:colOff>
      <xdr:row>6</xdr:row>
      <xdr:rowOff>114300</xdr:rowOff>
    </xdr:from>
    <xdr:to>
      <xdr:col>2</xdr:col>
      <xdr:colOff>1203960</xdr:colOff>
      <xdr:row>11</xdr:row>
      <xdr:rowOff>144780</xdr:rowOff>
    </xdr:to>
    <xdr:sp macro="" textlink="">
      <xdr:nvSpPr>
        <xdr:cNvPr id="11446" name="Rectangle 11445">
          <a:extLst>
            <a:ext uri="{FF2B5EF4-FFF2-40B4-BE49-F238E27FC236}">
              <a16:creationId xmlns:a16="http://schemas.microsoft.com/office/drawing/2014/main" id="{00000000-0008-0000-0800-0000B62C0000}"/>
            </a:ext>
          </a:extLst>
        </xdr:cNvPr>
        <xdr:cNvSpPr/>
      </xdr:nvSpPr>
      <xdr:spPr>
        <a:xfrm>
          <a:off x="495300" y="1211580"/>
          <a:ext cx="2842260" cy="944880"/>
        </a:xfrm>
        <a:prstGeom prst="rect">
          <a:avLst/>
        </a:prstGeom>
        <a:gradFill flip="none" rotWithShape="1">
          <a:gsLst>
            <a:gs pos="0">
              <a:schemeClr val="bg1">
                <a:lumMod val="95000"/>
              </a:schemeClr>
            </a:gs>
            <a:gs pos="50000">
              <a:schemeClr val="bg1">
                <a:lumMod val="95000"/>
                <a:lumOff val="5000"/>
              </a:schemeClr>
            </a:gs>
            <a:gs pos="100000">
              <a:schemeClr val="bg1">
                <a:lumMod val="95000"/>
              </a:schemeClr>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365760</xdr:colOff>
      <xdr:row>6</xdr:row>
      <xdr:rowOff>91440</xdr:rowOff>
    </xdr:from>
    <xdr:to>
      <xdr:col>2</xdr:col>
      <xdr:colOff>480060</xdr:colOff>
      <xdr:row>9</xdr:row>
      <xdr:rowOff>38100</xdr:rowOff>
    </xdr:to>
    <xdr:sp macro="" textlink="">
      <xdr:nvSpPr>
        <xdr:cNvPr id="11447" name="TextBox 11446">
          <a:extLst>
            <a:ext uri="{FF2B5EF4-FFF2-40B4-BE49-F238E27FC236}">
              <a16:creationId xmlns:a16="http://schemas.microsoft.com/office/drawing/2014/main" id="{00000000-0008-0000-0800-0000B72C0000}"/>
            </a:ext>
          </a:extLst>
        </xdr:cNvPr>
        <xdr:cNvSpPr txBox="1"/>
      </xdr:nvSpPr>
      <xdr:spPr>
        <a:xfrm>
          <a:off x="1234440" y="1188720"/>
          <a:ext cx="137922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600">
              <a:solidFill>
                <a:schemeClr val="tx1">
                  <a:lumMod val="75000"/>
                  <a:lumOff val="25000"/>
                </a:schemeClr>
              </a:solidFill>
            </a:rPr>
            <a:t>Total Product</a:t>
          </a:r>
          <a:endParaRPr lang="en-US" sz="1600" baseline="0">
            <a:solidFill>
              <a:schemeClr val="tx1">
                <a:lumMod val="75000"/>
                <a:lumOff val="25000"/>
              </a:schemeClr>
            </a:solidFill>
          </a:endParaRPr>
        </a:p>
      </xdr:txBody>
    </xdr:sp>
    <xdr:clientData/>
  </xdr:twoCellAnchor>
  <xdr:twoCellAnchor>
    <xdr:from>
      <xdr:col>1</xdr:col>
      <xdr:colOff>335280</xdr:colOff>
      <xdr:row>8</xdr:row>
      <xdr:rowOff>76200</xdr:rowOff>
    </xdr:from>
    <xdr:to>
      <xdr:col>2</xdr:col>
      <xdr:colOff>449580</xdr:colOff>
      <xdr:row>11</xdr:row>
      <xdr:rowOff>22860</xdr:rowOff>
    </xdr:to>
    <xdr:sp macro="" textlink="'Analysis 3'!BC12">
      <xdr:nvSpPr>
        <xdr:cNvPr id="11448" name="TextBox 11447">
          <a:extLst>
            <a:ext uri="{FF2B5EF4-FFF2-40B4-BE49-F238E27FC236}">
              <a16:creationId xmlns:a16="http://schemas.microsoft.com/office/drawing/2014/main" id="{00000000-0008-0000-0800-0000B82C0000}"/>
            </a:ext>
          </a:extLst>
        </xdr:cNvPr>
        <xdr:cNvSpPr txBox="1"/>
      </xdr:nvSpPr>
      <xdr:spPr>
        <a:xfrm>
          <a:off x="1203960" y="1539240"/>
          <a:ext cx="137922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EB423F0-7855-4253-9E38-AB3C15081D23}" type="TxLink">
            <a:rPr lang="en-US" sz="3600" b="0" i="0" u="none" strike="noStrike">
              <a:solidFill>
                <a:schemeClr val="tx1">
                  <a:lumMod val="75000"/>
                  <a:lumOff val="25000"/>
                </a:schemeClr>
              </a:solidFill>
              <a:latin typeface="Calibri"/>
              <a:ea typeface="Calibri"/>
              <a:cs typeface="Calibri"/>
            </a:rPr>
            <a:pPr algn="ctr"/>
            <a:t>100</a:t>
          </a:fld>
          <a:endParaRPr lang="en-US" sz="4800" baseline="0">
            <a:solidFill>
              <a:schemeClr val="tx1">
                <a:lumMod val="75000"/>
                <a:lumOff val="25000"/>
              </a:schemeClr>
            </a:solidFill>
          </a:endParaRPr>
        </a:p>
      </xdr:txBody>
    </xdr:sp>
    <xdr:clientData/>
  </xdr:twoCellAnchor>
  <xdr:twoCellAnchor>
    <xdr:from>
      <xdr:col>12</xdr:col>
      <xdr:colOff>167640</xdr:colOff>
      <xdr:row>15</xdr:row>
      <xdr:rowOff>228600</xdr:rowOff>
    </xdr:from>
    <xdr:to>
      <xdr:col>12</xdr:col>
      <xdr:colOff>472440</xdr:colOff>
      <xdr:row>17</xdr:row>
      <xdr:rowOff>99060</xdr:rowOff>
    </xdr:to>
    <xdr:sp macro="" textlink="">
      <xdr:nvSpPr>
        <xdr:cNvPr id="11462" name="Isosceles Triangle 11461">
          <a:extLst>
            <a:ext uri="{FF2B5EF4-FFF2-40B4-BE49-F238E27FC236}">
              <a16:creationId xmlns:a16="http://schemas.microsoft.com/office/drawing/2014/main" id="{00000000-0008-0000-0800-0000C62C0000}"/>
            </a:ext>
          </a:extLst>
        </xdr:cNvPr>
        <xdr:cNvSpPr/>
      </xdr:nvSpPr>
      <xdr:spPr>
        <a:xfrm>
          <a:off x="13639800" y="3215640"/>
          <a:ext cx="304800" cy="358140"/>
        </a:xfrm>
        <a:prstGeom prst="triangle">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167640</xdr:colOff>
      <xdr:row>19</xdr:row>
      <xdr:rowOff>152400</xdr:rowOff>
    </xdr:from>
    <xdr:to>
      <xdr:col>12</xdr:col>
      <xdr:colOff>472440</xdr:colOff>
      <xdr:row>21</xdr:row>
      <xdr:rowOff>22860</xdr:rowOff>
    </xdr:to>
    <xdr:sp macro="" textlink="">
      <xdr:nvSpPr>
        <xdr:cNvPr id="11464" name="Isosceles Triangle 11463">
          <a:extLst>
            <a:ext uri="{FF2B5EF4-FFF2-40B4-BE49-F238E27FC236}">
              <a16:creationId xmlns:a16="http://schemas.microsoft.com/office/drawing/2014/main" id="{00000000-0008-0000-0800-0000C82C0000}"/>
            </a:ext>
          </a:extLst>
        </xdr:cNvPr>
        <xdr:cNvSpPr/>
      </xdr:nvSpPr>
      <xdr:spPr>
        <a:xfrm flipV="1">
          <a:off x="13639800" y="4114800"/>
          <a:ext cx="304800" cy="358140"/>
        </a:xfrm>
        <a:prstGeom prst="triangle">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464820</xdr:colOff>
      <xdr:row>12</xdr:row>
      <xdr:rowOff>175260</xdr:rowOff>
    </xdr:from>
    <xdr:to>
      <xdr:col>13</xdr:col>
      <xdr:colOff>144780</xdr:colOff>
      <xdr:row>15</xdr:row>
      <xdr:rowOff>38100</xdr:rowOff>
    </xdr:to>
    <xdr:sp macro="" textlink="">
      <xdr:nvSpPr>
        <xdr:cNvPr id="11465" name="TextBox 11464">
          <a:extLst>
            <a:ext uri="{FF2B5EF4-FFF2-40B4-BE49-F238E27FC236}">
              <a16:creationId xmlns:a16="http://schemas.microsoft.com/office/drawing/2014/main" id="{00000000-0008-0000-0800-0000C92C0000}"/>
            </a:ext>
          </a:extLst>
        </xdr:cNvPr>
        <xdr:cNvSpPr txBox="1"/>
      </xdr:nvSpPr>
      <xdr:spPr>
        <a:xfrm>
          <a:off x="13327380" y="2430780"/>
          <a:ext cx="899160" cy="594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tx1">
                  <a:lumMod val="75000"/>
                  <a:lumOff val="25000"/>
                </a:schemeClr>
              </a:solidFill>
            </a:rPr>
            <a:t>Next</a:t>
          </a:r>
        </a:p>
        <a:p>
          <a:pPr algn="ctr"/>
          <a:r>
            <a:rPr lang="en-US" sz="1600" baseline="0">
              <a:solidFill>
                <a:schemeClr val="tx1">
                  <a:lumMod val="75000"/>
                  <a:lumOff val="25000"/>
                </a:schemeClr>
              </a:solidFill>
            </a:rPr>
            <a:t>Product</a:t>
          </a:r>
        </a:p>
      </xdr:txBody>
    </xdr:sp>
    <xdr:clientData/>
  </xdr:twoCellAnchor>
  <xdr:twoCellAnchor>
    <xdr:from>
      <xdr:col>11</xdr:col>
      <xdr:colOff>464820</xdr:colOff>
      <xdr:row>21</xdr:row>
      <xdr:rowOff>198120</xdr:rowOff>
    </xdr:from>
    <xdr:to>
      <xdr:col>13</xdr:col>
      <xdr:colOff>144780</xdr:colOff>
      <xdr:row>24</xdr:row>
      <xdr:rowOff>60960</xdr:rowOff>
    </xdr:to>
    <xdr:sp macro="" textlink="">
      <xdr:nvSpPr>
        <xdr:cNvPr id="11466" name="TextBox 11465">
          <a:extLst>
            <a:ext uri="{FF2B5EF4-FFF2-40B4-BE49-F238E27FC236}">
              <a16:creationId xmlns:a16="http://schemas.microsoft.com/office/drawing/2014/main" id="{00000000-0008-0000-0800-0000CA2C0000}"/>
            </a:ext>
          </a:extLst>
        </xdr:cNvPr>
        <xdr:cNvSpPr txBox="1"/>
      </xdr:nvSpPr>
      <xdr:spPr>
        <a:xfrm>
          <a:off x="13327380" y="4648200"/>
          <a:ext cx="899160" cy="594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tx1">
                  <a:lumMod val="75000"/>
                  <a:lumOff val="25000"/>
                </a:schemeClr>
              </a:solidFill>
            </a:rPr>
            <a:t>Previuos</a:t>
          </a:r>
        </a:p>
        <a:p>
          <a:pPr algn="ctr"/>
          <a:r>
            <a:rPr lang="en-US" sz="1600" baseline="0">
              <a:solidFill>
                <a:schemeClr val="tx1">
                  <a:lumMod val="75000"/>
                  <a:lumOff val="25000"/>
                </a:schemeClr>
              </a:solidFill>
            </a:rPr>
            <a:t>Product</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05.51442511574" backgroundQuery="1" createdVersion="8" refreshedVersion="8" minRefreshableVersion="3" recordCount="0" supportSubquery="1" supportAdvancedDrill="1" xr:uid="{5F8EF435-0A9C-4AE8-B58C-4B1786D590CA}">
  <cacheSource type="external" connectionId="9"/>
  <cacheFields count="4">
    <cacheField name="[Measures].[Total Revenue]" caption="Total Revenue" numFmtId="0" hierarchy="36" level="32767"/>
    <cacheField name="[Date].[Quarter].[Quarter]" caption="Quarter" numFmtId="0" hierarchy="8" level="1">
      <sharedItems count="4">
        <s v="Qtr-1"/>
        <s v="Qtr-2"/>
        <s v="Qtr-3"/>
        <s v="Qtr-4"/>
      </sharedItems>
    </cacheField>
    <cacheField name="[Dim_Salesperson].[Store Name].[Store Name]" caption="Store Name" numFmtId="0" hierarchy="17" level="1">
      <sharedItems containsSemiMixedTypes="0" containsNonDate="0" containsString="0"/>
    </cacheField>
    <cacheField name="Dummy0" numFmtId="0" hierarchy="65" level="32767">
      <extLst>
        <ext xmlns:x14="http://schemas.microsoft.com/office/spreadsheetml/2009/9/main" uri="{63CAB8AC-B538-458d-9737-405883B0398D}">
          <x14:cacheField ignore="1"/>
        </ext>
      </extLst>
    </cacheField>
  </cacheFields>
  <cacheHierarchies count="66">
    <cacheHierarchy uniqueName="[Calculation].[Measure]" caption="Measure" attribute="1" defaultMemberUniqueName="[Calculation].[Measure].[All]" allUniqueName="[Calculation].[Measure].[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2" memberValueDatatype="130" unbalanced="0">
      <fieldsUsage count="2">
        <fieldUsage x="-1"/>
        <fieldUsage x="1"/>
      </fieldsUsage>
    </cacheHierarchy>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s Age]" caption="Customers Age" attribute="1" defaultMemberUniqueName="[Dim_Customers].[Customers Age].[All]" allUniqueName="[Dim_Customers].[Customers Age].[All]" dimensionUniqueName="[Dim_Customers]" displayFolder="" count="0" memberValueDatatype="20" unbalanced="0"/>
    <cacheHierarchy uniqueName="[Dim_Customers].[Age Group]" caption="Age Group" attribute="1" defaultMemberUniqueName="[Dim_Customers].[Age Group].[All]" allUniqueName="[Dim_Customers].[Age Group].[All]" dimensionUniqueName="[Dim_Customers]"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2"/>
      </fieldsUsage>
    </cacheHierarchy>
    <cacheHierarchy uniqueName="[Dim_Salesperson].[Date of Birth]" caption="Date of Birth" attribute="1" defaultMemberUniqueName="[Dim_Salesperson].[Date of Birth].[All]" allUniqueName="[Dim_Salesperson].[Date of Birth].[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fact_table  2].[Product ID]" caption="Product ID" attribute="1" defaultMemberUniqueName="[fact_table  2].[Product ID].[All]" allUniqueName="[fact_table  2].[Product ID].[All]" dimensionUniqueName="[fact_table  2]" displayFolder="" count="0" memberValueDatatype="20" unbalanced="0"/>
    <cacheHierarchy uniqueName="[fact_table  2].[Sold Product Name]" caption="Sold Product Name" attribute="1" defaultMemberUniqueName="[fact_table  2].[Sold Product Name].[All]" allUniqueName="[fact_table  2].[Sold Product Name].[All]" dimensionUniqueName="[fact_table  2]"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roducts].[Product ID]" caption="Product ID" attribute="1" defaultMemberUniqueName="[Sales_Products].[Product ID].[All]" allUniqueName="[Sales_Products].[Product ID].[All]" dimensionUniqueName="[Sales_Products]" displayFolder="" count="0" memberValueDatatype="20" unbalanced="0"/>
    <cacheHierarchy uniqueName="[Sales_Products].[Product Name]" caption="Product Name" attribute="1" defaultMemberUniqueName="[Sales_Products].[Product Name].[All]" allUniqueName="[Sales_Products].[Product Name].[All]" dimensionUniqueName="[Sales_Products]" displayFolder="" count="0" memberValueDatatype="130" unbalanced="0"/>
    <cacheHierarchy uniqueName="[Sales_Products].[Category]" caption="Category" attribute="1" defaultMemberUniqueName="[Sales_Products].[Category].[All]" allUniqueName="[Sales_Products].[Category].[All]" dimensionUniqueName="[Sales_Products]" displayFolder="" count="0" memberValueDatatype="130" unbalanced="0"/>
    <cacheHierarchy uniqueName="[Sales_Products].[Sales Price]" caption="Sales Price" attribute="1" defaultMemberUniqueName="[Sales_Products].[Sales Price].[All]" allUniqueName="[Sales_Products].[Sales Price].[All]" dimensionUniqueName="[Sales_Products]" displayFolder="" count="0" memberValueDatatype="5" unbalanced="0"/>
    <cacheHierarchy uniqueName="[Sales_Products].[Cost Price]" caption="Cost Price" attribute="1" defaultMemberUniqueName="[Sales_Products].[Cost Price].[All]" allUniqueName="[Sales_Products].[Cost Price].[All]" dimensionUniqueName="[Sales_Products]" displayFolder="" count="0" memberValueDatatype="5" unbalanced="0"/>
    <cacheHierarchy uniqueName="[Measures].[Total Revenue]" caption="Total Revenue" measure="1" displayFolder="" measureGroup="Calculation" count="0" oneField="1">
      <fieldsUsage count="1">
        <fieldUsage x="0"/>
      </fieldsUsage>
    </cacheHierarchy>
    <cacheHierarchy uniqueName="[Measures].[COGS]" caption="COGS" measure="1" displayFolder="" measureGroup="Calculation" count="0"/>
    <cacheHierarchy uniqueName="[Measures].[Profit Margin]" caption="Profit Margin" measure="1" displayFolder="" measureGroup="Calculation" count="0"/>
    <cacheHierarchy uniqueName="[Measures].[Profit Margin %]" caption="Profit Margin %" measure="1" displayFolder="" measureGroup="Calculation" count="0"/>
    <cacheHierarchy uniqueName="[Measures].[#Transactions]" caption="#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Products]" caption="#Products" measure="1" displayFolder="" measureGroup="Calculation" count="0"/>
    <cacheHierarchy uniqueName="[Measures].[Qty Returned]" caption="Qty Returned" measure="1" displayFolder="" measureGroup="Calculation" count="0"/>
    <cacheHierarchy uniqueName="[Measures].[Total Quantity]" caption="Total Quantity" measure="1" displayFolder="" measureGroup="Calculation" count="0"/>
    <cacheHierarchy uniqueName="[Measures].[Total target]" caption="Total target" measure="1" displayFolder="" measureGroup="Calculation" count="0"/>
    <cacheHierarchy uniqueName="[Measures].[Total Customers]" caption="Total Customers" measure="1" displayFolder="" measureGroup="Calculation" count="0"/>
    <cacheHierarchy uniqueName="[Measures].[Total locations]" caption="Total locations" measure="1" displayFolder="" measureGroup="Calculation" count="0"/>
    <cacheHierarchy uniqueName="[Measures].[Product sold]" caption="Product sold" measure="1" displayFolder="" measureGroup="Calculation" count="0"/>
    <cacheHierarchy uniqueName="[Measures].[Return rate]" caption="Return rate" measure="1" displayFolder="" measureGroup="Calculation" count="0"/>
    <cacheHierarchy uniqueName="[Measures].[__XL_Count Dim_Customers]" caption="__XL_Count Dim_Customers" measure="1" displayFolder="" measureGroup="Dim_Customers"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Sales_Products]" caption="__XL_Count Sales_Products" measure="1" displayFolder="" measureGroup="Sales_Product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fact_table  2]" caption="__XL_Count fact_table  2" measure="1" displayFolder="" measureGroup="fact_table  2" count="0" hidden="1"/>
    <cacheHierarchy uniqueName="[Measures].[__No measures defined]" caption="__No measures defined" measure="1" displayFolder="" count="0" hidden="1"/>
    <cacheHierarchy uniqueName="[Measures].[Sum of Customers Age]" caption="Sum of Customers Age" measure="1" displayFolder="" measureGroup="Dim_Customers" count="0" hidden="1">
      <extLst>
        <ext xmlns:x15="http://schemas.microsoft.com/office/spreadsheetml/2010/11/main" uri="{B97F6D7D-B522-45F9-BDA1-12C45D357490}">
          <x15:cacheHierarchy aggregatedColumn="13"/>
        </ext>
      </extLst>
    </cacheHierarchy>
    <cacheHierarchy uniqueName="[Measures].[Average of Customers Age]" caption="Average of Customers Age" measure="1" displayFolder="" measureGroup="Dim_Customers" count="0" hidden="1">
      <extLst>
        <ext xmlns:x15="http://schemas.microsoft.com/office/spreadsheetml/2010/11/main" uri="{B97F6D7D-B522-45F9-BDA1-12C45D357490}">
          <x15:cacheHierarchy aggregatedColumn="13"/>
        </ext>
      </extLst>
    </cacheHierarchy>
    <cacheHierarchy uniqueName="[Measures].[Count of Measure]" caption="Count of Measure" measure="1" displayFolder="" measureGroup="Calculation" count="0" hidden="1">
      <extLst>
        <ext xmlns:x15="http://schemas.microsoft.com/office/spreadsheetml/2010/11/main" uri="{B97F6D7D-B522-45F9-BDA1-12C45D357490}">
          <x15:cacheHierarchy aggregatedColumn="0"/>
        </ext>
      </extLst>
    </cacheHierarchy>
    <cacheHierarchy uniqueName="[Measures].[Sum of Quantity Sold]" caption="Sum of Quantity Sold" measure="1" displayFolder="" measureGroup="fact_table" count="0" hidden="1">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hidden="1">
      <extLst>
        <ext xmlns:x15="http://schemas.microsoft.com/office/spreadsheetml/2010/11/main" uri="{B97F6D7D-B522-45F9-BDA1-12C45D357490}">
          <x15:cacheHierarchy aggregatedColumn="22"/>
        </ext>
      </extLst>
    </cacheHierarchy>
    <cacheHierarchy uniqueName="Dummy0" caption="Measure" measure="1" count="0">
      <extLst>
        <ext xmlns:x14="http://schemas.microsoft.com/office/spreadsheetml/2009/9/main" uri="{8CF416AD-EC4C-4aba-99F5-12A058AE0983}">
          <x14:cacheHierarchy ignore="1"/>
        </ext>
      </extLst>
    </cacheHierarchy>
  </cacheHierarchies>
  <kpis count="0"/>
  <dimensions count="9">
    <dimension name="Calculation" uniqueName="[Calculation]" caption="Calculation"/>
    <dimension name="Date" uniqueName="[Date]" caption="Date"/>
    <dimension name="Dim_Customers" uniqueName="[Dim_Customers]" caption="Dim_Customers"/>
    <dimension name="Dim_Salesperson" uniqueName="[Dim_Salesperson]" caption="Dim_Salesperson"/>
    <dimension name="fact_table" uniqueName="[fact_table]" caption="fact_table"/>
    <dimension name="fact_table  2" uniqueName="[fact_table  2]" caption="fact_table  2"/>
    <dimension measure="1" name="Measures" uniqueName="[Measures]" caption="Measures"/>
    <dimension name="monthly_store_targets" uniqueName="[monthly_store_targets]" caption="monthly_store_targets"/>
    <dimension name="Sales_Products" uniqueName="[Sales_Products]" caption="Sales_Products"/>
  </dimensions>
  <measureGroups count="8">
    <measureGroup name="Calculation" caption="Calculation"/>
    <measureGroup name="Date" caption="Date"/>
    <measureGroup name="Dim_Customers" caption="Dim_Customers"/>
    <measureGroup name="Dim_Salesperson" caption="Dim_Salesperson"/>
    <measureGroup name="fact_table" caption="fact_table"/>
    <measureGroup name="fact_table  2" caption="fact_table  2"/>
    <measureGroup name="monthly_store_targets" caption="monthly_store_targets"/>
    <measureGroup name="Sales_Products" caption="Sales_Products"/>
  </measureGroups>
  <maps count="15">
    <map measureGroup="0" dimension="0"/>
    <map measureGroup="1" dimension="1"/>
    <map measureGroup="2" dimension="2"/>
    <map measureGroup="3" dimension="3"/>
    <map measureGroup="4" dimension="1"/>
    <map measureGroup="4" dimension="2"/>
    <map measureGroup="4" dimension="3"/>
    <map measureGroup="4" dimension="4"/>
    <map measureGroup="4" dimension="5"/>
    <map measureGroup="4" dimension="8"/>
    <map measureGroup="5" dimension="5"/>
    <map measureGroup="6" dimension="1"/>
    <map measureGroup="6" dimension="3"/>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05.514434722223" backgroundQuery="1" createdVersion="8" refreshedVersion="8" minRefreshableVersion="3" recordCount="0" supportSubquery="1" supportAdvancedDrill="1" xr:uid="{E145F528-36C4-4913-A571-9AC8EA82EF89}">
  <cacheSource type="external" connectionId="9"/>
  <cacheFields count="4">
    <cacheField name="[Date].[WeekType].[WeekType]" caption="WeekType" numFmtId="0" hierarchy="7" level="1">
      <sharedItems count="2">
        <s v="Weekday"/>
        <s v="Weekend"/>
      </sharedItems>
    </cacheField>
    <cacheField name="[Measures].[Total Revenue]" caption="Total Revenue" numFmtId="0" hierarchy="36" level="32767"/>
    <cacheField name="[Dim_Salesperson].[Store Name].[Store Name]" caption="Store Name" numFmtId="0" hierarchy="17" level="1">
      <sharedItems containsSemiMixedTypes="0" containsNonDate="0" containsString="0"/>
    </cacheField>
    <cacheField name="Dummy0" numFmtId="0" hierarchy="65" level="32767">
      <extLst>
        <ext xmlns:x14="http://schemas.microsoft.com/office/spreadsheetml/2009/9/main" uri="{63CAB8AC-B538-458d-9737-405883B0398D}">
          <x14:cacheField ignore="1"/>
        </ext>
      </extLst>
    </cacheField>
  </cacheFields>
  <cacheHierarchies count="66">
    <cacheHierarchy uniqueName="[Calculation].[Measure]" caption="Measure" attribute="1" defaultMemberUniqueName="[Calculation].[Measure].[All]" allUniqueName="[Calculation].[Measure].[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2" memberValueDatatype="130" unbalanced="0">
      <fieldsUsage count="2">
        <fieldUsage x="-1"/>
        <fieldUsage x="0"/>
      </fieldsUsage>
    </cacheHierarchy>
    <cacheHierarchy uniqueName="[Date].[Quarter]" caption="Quarter" attribute="1" defaultMemberUniqueName="[Date].[Quarter].[All]" allUniqueName="[Date].[Quarter].[All]" dimensionUniqueName="[Dat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s Age]" caption="Customers Age" attribute="1" defaultMemberUniqueName="[Dim_Customers].[Customers Age].[All]" allUniqueName="[Dim_Customers].[Customers Age].[All]" dimensionUniqueName="[Dim_Customers]" displayFolder="" count="0" memberValueDatatype="20" unbalanced="0"/>
    <cacheHierarchy uniqueName="[Dim_Customers].[Age Group]" caption="Age Group" attribute="1" defaultMemberUniqueName="[Dim_Customers].[Age Group].[All]" allUniqueName="[Dim_Customers].[Age Group].[All]" dimensionUniqueName="[Dim_Customers]"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2"/>
      </fieldsUsage>
    </cacheHierarchy>
    <cacheHierarchy uniqueName="[Dim_Salesperson].[Date of Birth]" caption="Date of Birth" attribute="1" defaultMemberUniqueName="[Dim_Salesperson].[Date of Birth].[All]" allUniqueName="[Dim_Salesperson].[Date of Birth].[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fact_table  2].[Product ID]" caption="Product ID" attribute="1" defaultMemberUniqueName="[fact_table  2].[Product ID].[All]" allUniqueName="[fact_table  2].[Product ID].[All]" dimensionUniqueName="[fact_table  2]" displayFolder="" count="0" memberValueDatatype="20" unbalanced="0"/>
    <cacheHierarchy uniqueName="[fact_table  2].[Sold Product Name]" caption="Sold Product Name" attribute="1" defaultMemberUniqueName="[fact_table  2].[Sold Product Name].[All]" allUniqueName="[fact_table  2].[Sold Product Name].[All]" dimensionUniqueName="[fact_table  2]"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roducts].[Product ID]" caption="Product ID" attribute="1" defaultMemberUniqueName="[Sales_Products].[Product ID].[All]" allUniqueName="[Sales_Products].[Product ID].[All]" dimensionUniqueName="[Sales_Products]" displayFolder="" count="0" memberValueDatatype="20" unbalanced="0"/>
    <cacheHierarchy uniqueName="[Sales_Products].[Product Name]" caption="Product Name" attribute="1" defaultMemberUniqueName="[Sales_Products].[Product Name].[All]" allUniqueName="[Sales_Products].[Product Name].[All]" dimensionUniqueName="[Sales_Products]" displayFolder="" count="0" memberValueDatatype="130" unbalanced="0"/>
    <cacheHierarchy uniqueName="[Sales_Products].[Category]" caption="Category" attribute="1" defaultMemberUniqueName="[Sales_Products].[Category].[All]" allUniqueName="[Sales_Products].[Category].[All]" dimensionUniqueName="[Sales_Products]" displayFolder="" count="0" memberValueDatatype="130" unbalanced="0"/>
    <cacheHierarchy uniqueName="[Sales_Products].[Sales Price]" caption="Sales Price" attribute="1" defaultMemberUniqueName="[Sales_Products].[Sales Price].[All]" allUniqueName="[Sales_Products].[Sales Price].[All]" dimensionUniqueName="[Sales_Products]" displayFolder="" count="0" memberValueDatatype="5" unbalanced="0"/>
    <cacheHierarchy uniqueName="[Sales_Products].[Cost Price]" caption="Cost Price" attribute="1" defaultMemberUniqueName="[Sales_Products].[Cost Price].[All]" allUniqueName="[Sales_Products].[Cost Price].[All]" dimensionUniqueName="[Sales_Products]" displayFolder="" count="0" memberValueDatatype="5" unbalanced="0"/>
    <cacheHierarchy uniqueName="[Measures].[Total Revenue]" caption="Total Revenue" measure="1" displayFolder="" measureGroup="Calculation" count="0" oneField="1">
      <fieldsUsage count="1">
        <fieldUsage x="1"/>
      </fieldsUsage>
    </cacheHierarchy>
    <cacheHierarchy uniqueName="[Measures].[COGS]" caption="COGS" measure="1" displayFolder="" measureGroup="Calculation" count="0"/>
    <cacheHierarchy uniqueName="[Measures].[Profit Margin]" caption="Profit Margin" measure="1" displayFolder="" measureGroup="Calculation" count="0"/>
    <cacheHierarchy uniqueName="[Measures].[Profit Margin %]" caption="Profit Margin %" measure="1" displayFolder="" measureGroup="Calculation" count="0"/>
    <cacheHierarchy uniqueName="[Measures].[#Transactions]" caption="#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Products]" caption="#Products" measure="1" displayFolder="" measureGroup="Calculation" count="0"/>
    <cacheHierarchy uniqueName="[Measures].[Qty Returned]" caption="Qty Returned" measure="1" displayFolder="" measureGroup="Calculation" count="0"/>
    <cacheHierarchy uniqueName="[Measures].[Total Quantity]" caption="Total Quantity" measure="1" displayFolder="" measureGroup="Calculation" count="0"/>
    <cacheHierarchy uniqueName="[Measures].[Total target]" caption="Total target" measure="1" displayFolder="" measureGroup="Calculation" count="0"/>
    <cacheHierarchy uniqueName="[Measures].[Total Customers]" caption="Total Customers" measure="1" displayFolder="" measureGroup="Calculation" count="0"/>
    <cacheHierarchy uniqueName="[Measures].[Total locations]" caption="Total locations" measure="1" displayFolder="" measureGroup="Calculation" count="0"/>
    <cacheHierarchy uniqueName="[Measures].[Product sold]" caption="Product sold" measure="1" displayFolder="" measureGroup="Calculation" count="0"/>
    <cacheHierarchy uniqueName="[Measures].[Return rate]" caption="Return rate" measure="1" displayFolder="" measureGroup="Calculation" count="0"/>
    <cacheHierarchy uniqueName="[Measures].[__XL_Count Dim_Customers]" caption="__XL_Count Dim_Customers" measure="1" displayFolder="" measureGroup="Dim_Customers"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Sales_Products]" caption="__XL_Count Sales_Products" measure="1" displayFolder="" measureGroup="Sales_Product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fact_table  2]" caption="__XL_Count fact_table  2" measure="1" displayFolder="" measureGroup="fact_table  2" count="0" hidden="1"/>
    <cacheHierarchy uniqueName="[Measures].[__No measures defined]" caption="__No measures defined" measure="1" displayFolder="" count="0" hidden="1"/>
    <cacheHierarchy uniqueName="[Measures].[Sum of Customers Age]" caption="Sum of Customers Age" measure="1" displayFolder="" measureGroup="Dim_Customers" count="0" hidden="1">
      <extLst>
        <ext xmlns:x15="http://schemas.microsoft.com/office/spreadsheetml/2010/11/main" uri="{B97F6D7D-B522-45F9-BDA1-12C45D357490}">
          <x15:cacheHierarchy aggregatedColumn="13"/>
        </ext>
      </extLst>
    </cacheHierarchy>
    <cacheHierarchy uniqueName="[Measures].[Average of Customers Age]" caption="Average of Customers Age" measure="1" displayFolder="" measureGroup="Dim_Customers" count="0" hidden="1">
      <extLst>
        <ext xmlns:x15="http://schemas.microsoft.com/office/spreadsheetml/2010/11/main" uri="{B97F6D7D-B522-45F9-BDA1-12C45D357490}">
          <x15:cacheHierarchy aggregatedColumn="13"/>
        </ext>
      </extLst>
    </cacheHierarchy>
    <cacheHierarchy uniqueName="[Measures].[Count of Measure]" caption="Count of Measure" measure="1" displayFolder="" measureGroup="Calculation" count="0" hidden="1">
      <extLst>
        <ext xmlns:x15="http://schemas.microsoft.com/office/spreadsheetml/2010/11/main" uri="{B97F6D7D-B522-45F9-BDA1-12C45D357490}">
          <x15:cacheHierarchy aggregatedColumn="0"/>
        </ext>
      </extLst>
    </cacheHierarchy>
    <cacheHierarchy uniqueName="[Measures].[Sum of Quantity Sold]" caption="Sum of Quantity Sold" measure="1" displayFolder="" measureGroup="fact_table" count="0" hidden="1">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hidden="1">
      <extLst>
        <ext xmlns:x15="http://schemas.microsoft.com/office/spreadsheetml/2010/11/main" uri="{B97F6D7D-B522-45F9-BDA1-12C45D357490}">
          <x15:cacheHierarchy aggregatedColumn="22"/>
        </ext>
      </extLst>
    </cacheHierarchy>
    <cacheHierarchy uniqueName="Dummy0" caption="Measure" measure="1" count="0">
      <extLst>
        <ext xmlns:x14="http://schemas.microsoft.com/office/spreadsheetml/2009/9/main" uri="{8CF416AD-EC4C-4aba-99F5-12A058AE0983}">
          <x14:cacheHierarchy ignore="1"/>
        </ext>
      </extLst>
    </cacheHierarchy>
  </cacheHierarchies>
  <kpis count="0"/>
  <dimensions count="9">
    <dimension name="Calculation" uniqueName="[Calculation]" caption="Calculation"/>
    <dimension name="Date" uniqueName="[Date]" caption="Date"/>
    <dimension name="Dim_Customers" uniqueName="[Dim_Customers]" caption="Dim_Customers"/>
    <dimension name="Dim_Salesperson" uniqueName="[Dim_Salesperson]" caption="Dim_Salesperson"/>
    <dimension name="fact_table" uniqueName="[fact_table]" caption="fact_table"/>
    <dimension name="fact_table  2" uniqueName="[fact_table  2]" caption="fact_table  2"/>
    <dimension measure="1" name="Measures" uniqueName="[Measures]" caption="Measures"/>
    <dimension name="monthly_store_targets" uniqueName="[monthly_store_targets]" caption="monthly_store_targets"/>
    <dimension name="Sales_Products" uniqueName="[Sales_Products]" caption="Sales_Products"/>
  </dimensions>
  <measureGroups count="8">
    <measureGroup name="Calculation" caption="Calculation"/>
    <measureGroup name="Date" caption="Date"/>
    <measureGroup name="Dim_Customers" caption="Dim_Customers"/>
    <measureGroup name="Dim_Salesperson" caption="Dim_Salesperson"/>
    <measureGroup name="fact_table" caption="fact_table"/>
    <measureGroup name="fact_table  2" caption="fact_table  2"/>
    <measureGroup name="monthly_store_targets" caption="monthly_store_targets"/>
    <measureGroup name="Sales_Products" caption="Sales_Products"/>
  </measureGroups>
  <maps count="15">
    <map measureGroup="0" dimension="0"/>
    <map measureGroup="1" dimension="1"/>
    <map measureGroup="2" dimension="2"/>
    <map measureGroup="3" dimension="3"/>
    <map measureGroup="4" dimension="1"/>
    <map measureGroup="4" dimension="2"/>
    <map measureGroup="4" dimension="3"/>
    <map measureGroup="4" dimension="4"/>
    <map measureGroup="4" dimension="5"/>
    <map measureGroup="4" dimension="8"/>
    <map measureGroup="5" dimension="5"/>
    <map measureGroup="6" dimension="1"/>
    <map measureGroup="6" dimension="3"/>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05.514438541664" backgroundQuery="1" createdVersion="8" refreshedVersion="8" minRefreshableVersion="3" recordCount="0" supportSubquery="1" supportAdvancedDrill="1" xr:uid="{60A2D54B-A2DE-4876-BCC5-AF66E5015DF1}">
  <cacheSource type="external" connectionId="9"/>
  <cacheFields count="4">
    <cacheField name="[Date].[WeekDay].[WeekDay]" caption="WeekDay" numFmtId="0" hierarchy="5" level="1">
      <sharedItems count="7">
        <s v="Sun"/>
        <s v="Mon"/>
        <s v="Tue"/>
        <s v="Wed"/>
        <s v="Thu"/>
        <s v="Fri"/>
        <s v="Sat"/>
      </sharedItems>
    </cacheField>
    <cacheField name="[Measures].[Total Revenue]" caption="Total Revenue" numFmtId="0" hierarchy="36" level="32767"/>
    <cacheField name="[Dim_Salesperson].[Store Name].[Store Name]" caption="Store Name" numFmtId="0" hierarchy="17" level="1">
      <sharedItems containsSemiMixedTypes="0" containsNonDate="0" containsString="0"/>
    </cacheField>
    <cacheField name="Dummy0" numFmtId="0" hierarchy="65" level="32767">
      <extLst>
        <ext xmlns:x14="http://schemas.microsoft.com/office/spreadsheetml/2009/9/main" uri="{63CAB8AC-B538-458d-9737-405883B0398D}">
          <x14:cacheField ignore="1"/>
        </ext>
      </extLst>
    </cacheField>
  </cacheFields>
  <cacheHierarchies count="66">
    <cacheHierarchy uniqueName="[Calculation].[Measure]" caption="Measure" attribute="1" defaultMemberUniqueName="[Calculation].[Measure].[All]" allUniqueName="[Calculation].[Measure].[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2" memberValueDatatype="130" unbalanced="0">
      <fieldsUsage count="2">
        <fieldUsage x="-1"/>
        <fieldUsage x="0"/>
      </fieldsUsage>
    </cacheHierarchy>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s Age]" caption="Customers Age" attribute="1" defaultMemberUniqueName="[Dim_Customers].[Customers Age].[All]" allUniqueName="[Dim_Customers].[Customers Age].[All]" dimensionUniqueName="[Dim_Customers]" displayFolder="" count="0" memberValueDatatype="20" unbalanced="0"/>
    <cacheHierarchy uniqueName="[Dim_Customers].[Age Group]" caption="Age Group" attribute="1" defaultMemberUniqueName="[Dim_Customers].[Age Group].[All]" allUniqueName="[Dim_Customers].[Age Group].[All]" dimensionUniqueName="[Dim_Customers]"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2"/>
      </fieldsUsage>
    </cacheHierarchy>
    <cacheHierarchy uniqueName="[Dim_Salesperson].[Date of Birth]" caption="Date of Birth" attribute="1" defaultMemberUniqueName="[Dim_Salesperson].[Date of Birth].[All]" allUniqueName="[Dim_Salesperson].[Date of Birth].[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fact_table  2].[Product ID]" caption="Product ID" attribute="1" defaultMemberUniqueName="[fact_table  2].[Product ID].[All]" allUniqueName="[fact_table  2].[Product ID].[All]" dimensionUniqueName="[fact_table  2]" displayFolder="" count="0" memberValueDatatype="20" unbalanced="0"/>
    <cacheHierarchy uniqueName="[fact_table  2].[Sold Product Name]" caption="Sold Product Name" attribute="1" defaultMemberUniqueName="[fact_table  2].[Sold Product Name].[All]" allUniqueName="[fact_table  2].[Sold Product Name].[All]" dimensionUniqueName="[fact_table  2]"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roducts].[Product ID]" caption="Product ID" attribute="1" defaultMemberUniqueName="[Sales_Products].[Product ID].[All]" allUniqueName="[Sales_Products].[Product ID].[All]" dimensionUniqueName="[Sales_Products]" displayFolder="" count="0" memberValueDatatype="20" unbalanced="0"/>
    <cacheHierarchy uniqueName="[Sales_Products].[Product Name]" caption="Product Name" attribute="1" defaultMemberUniqueName="[Sales_Products].[Product Name].[All]" allUniqueName="[Sales_Products].[Product Name].[All]" dimensionUniqueName="[Sales_Products]" displayFolder="" count="0" memberValueDatatype="130" unbalanced="0"/>
    <cacheHierarchy uniqueName="[Sales_Products].[Category]" caption="Category" attribute="1" defaultMemberUniqueName="[Sales_Products].[Category].[All]" allUniqueName="[Sales_Products].[Category].[All]" dimensionUniqueName="[Sales_Products]" displayFolder="" count="0" memberValueDatatype="130" unbalanced="0"/>
    <cacheHierarchy uniqueName="[Sales_Products].[Sales Price]" caption="Sales Price" attribute="1" defaultMemberUniqueName="[Sales_Products].[Sales Price].[All]" allUniqueName="[Sales_Products].[Sales Price].[All]" dimensionUniqueName="[Sales_Products]" displayFolder="" count="0" memberValueDatatype="5" unbalanced="0"/>
    <cacheHierarchy uniqueName="[Sales_Products].[Cost Price]" caption="Cost Price" attribute="1" defaultMemberUniqueName="[Sales_Products].[Cost Price].[All]" allUniqueName="[Sales_Products].[Cost Price].[All]" dimensionUniqueName="[Sales_Products]" displayFolder="" count="0" memberValueDatatype="5" unbalanced="0"/>
    <cacheHierarchy uniqueName="[Measures].[Total Revenue]" caption="Total Revenue" measure="1" displayFolder="" measureGroup="Calculation" count="0" oneField="1">
      <fieldsUsage count="1">
        <fieldUsage x="1"/>
      </fieldsUsage>
    </cacheHierarchy>
    <cacheHierarchy uniqueName="[Measures].[COGS]" caption="COGS" measure="1" displayFolder="" measureGroup="Calculation" count="0"/>
    <cacheHierarchy uniqueName="[Measures].[Profit Margin]" caption="Profit Margin" measure="1" displayFolder="" measureGroup="Calculation" count="0"/>
    <cacheHierarchy uniqueName="[Measures].[Profit Margin %]" caption="Profit Margin %" measure="1" displayFolder="" measureGroup="Calculation" count="0"/>
    <cacheHierarchy uniqueName="[Measures].[#Transactions]" caption="#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Products]" caption="#Products" measure="1" displayFolder="" measureGroup="Calculation" count="0"/>
    <cacheHierarchy uniqueName="[Measures].[Qty Returned]" caption="Qty Returned" measure="1" displayFolder="" measureGroup="Calculation" count="0"/>
    <cacheHierarchy uniqueName="[Measures].[Total Quantity]" caption="Total Quantity" measure="1" displayFolder="" measureGroup="Calculation" count="0"/>
    <cacheHierarchy uniqueName="[Measures].[Total target]" caption="Total target" measure="1" displayFolder="" measureGroup="Calculation" count="0"/>
    <cacheHierarchy uniqueName="[Measures].[Total Customers]" caption="Total Customers" measure="1" displayFolder="" measureGroup="Calculation" count="0"/>
    <cacheHierarchy uniqueName="[Measures].[Total locations]" caption="Total locations" measure="1" displayFolder="" measureGroup="Calculation" count="0"/>
    <cacheHierarchy uniqueName="[Measures].[Product sold]" caption="Product sold" measure="1" displayFolder="" measureGroup="Calculation" count="0"/>
    <cacheHierarchy uniqueName="[Measures].[Return rate]" caption="Return rate" measure="1" displayFolder="" measureGroup="Calculation" count="0"/>
    <cacheHierarchy uniqueName="[Measures].[__XL_Count Dim_Customers]" caption="__XL_Count Dim_Customers" measure="1" displayFolder="" measureGroup="Dim_Customers"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Sales_Products]" caption="__XL_Count Sales_Products" measure="1" displayFolder="" measureGroup="Sales_Product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fact_table  2]" caption="__XL_Count fact_table  2" measure="1" displayFolder="" measureGroup="fact_table  2" count="0" hidden="1"/>
    <cacheHierarchy uniqueName="[Measures].[__No measures defined]" caption="__No measures defined" measure="1" displayFolder="" count="0" hidden="1"/>
    <cacheHierarchy uniqueName="[Measures].[Sum of Customers Age]" caption="Sum of Customers Age" measure="1" displayFolder="" measureGroup="Dim_Customers" count="0" hidden="1">
      <extLst>
        <ext xmlns:x15="http://schemas.microsoft.com/office/spreadsheetml/2010/11/main" uri="{B97F6D7D-B522-45F9-BDA1-12C45D357490}">
          <x15:cacheHierarchy aggregatedColumn="13"/>
        </ext>
      </extLst>
    </cacheHierarchy>
    <cacheHierarchy uniqueName="[Measures].[Average of Customers Age]" caption="Average of Customers Age" measure="1" displayFolder="" measureGroup="Dim_Customers" count="0" hidden="1">
      <extLst>
        <ext xmlns:x15="http://schemas.microsoft.com/office/spreadsheetml/2010/11/main" uri="{B97F6D7D-B522-45F9-BDA1-12C45D357490}">
          <x15:cacheHierarchy aggregatedColumn="13"/>
        </ext>
      </extLst>
    </cacheHierarchy>
    <cacheHierarchy uniqueName="[Measures].[Count of Measure]" caption="Count of Measure" measure="1" displayFolder="" measureGroup="Calculation" count="0" hidden="1">
      <extLst>
        <ext xmlns:x15="http://schemas.microsoft.com/office/spreadsheetml/2010/11/main" uri="{B97F6D7D-B522-45F9-BDA1-12C45D357490}">
          <x15:cacheHierarchy aggregatedColumn="0"/>
        </ext>
      </extLst>
    </cacheHierarchy>
    <cacheHierarchy uniqueName="[Measures].[Sum of Quantity Sold]" caption="Sum of Quantity Sold" measure="1" displayFolder="" measureGroup="fact_table" count="0" hidden="1">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hidden="1">
      <extLst>
        <ext xmlns:x15="http://schemas.microsoft.com/office/spreadsheetml/2010/11/main" uri="{B97F6D7D-B522-45F9-BDA1-12C45D357490}">
          <x15:cacheHierarchy aggregatedColumn="22"/>
        </ext>
      </extLst>
    </cacheHierarchy>
    <cacheHierarchy uniqueName="Dummy0" caption="Measure" measure="1" count="0">
      <extLst>
        <ext xmlns:x14="http://schemas.microsoft.com/office/spreadsheetml/2009/9/main" uri="{8CF416AD-EC4C-4aba-99F5-12A058AE0983}">
          <x14:cacheHierarchy ignore="1"/>
        </ext>
      </extLst>
    </cacheHierarchy>
  </cacheHierarchies>
  <kpis count="0"/>
  <dimensions count="9">
    <dimension name="Calculation" uniqueName="[Calculation]" caption="Calculation"/>
    <dimension name="Date" uniqueName="[Date]" caption="Date"/>
    <dimension name="Dim_Customers" uniqueName="[Dim_Customers]" caption="Dim_Customers"/>
    <dimension name="Dim_Salesperson" uniqueName="[Dim_Salesperson]" caption="Dim_Salesperson"/>
    <dimension name="fact_table" uniqueName="[fact_table]" caption="fact_table"/>
    <dimension name="fact_table  2" uniqueName="[fact_table  2]" caption="fact_table  2"/>
    <dimension measure="1" name="Measures" uniqueName="[Measures]" caption="Measures"/>
    <dimension name="monthly_store_targets" uniqueName="[monthly_store_targets]" caption="monthly_store_targets"/>
    <dimension name="Sales_Products" uniqueName="[Sales_Products]" caption="Sales_Products"/>
  </dimensions>
  <measureGroups count="8">
    <measureGroup name="Calculation" caption="Calculation"/>
    <measureGroup name="Date" caption="Date"/>
    <measureGroup name="Dim_Customers" caption="Dim_Customers"/>
    <measureGroup name="Dim_Salesperson" caption="Dim_Salesperson"/>
    <measureGroup name="fact_table" caption="fact_table"/>
    <measureGroup name="fact_table  2" caption="fact_table  2"/>
    <measureGroup name="monthly_store_targets" caption="monthly_store_targets"/>
    <measureGroup name="Sales_Products" caption="Sales_Products"/>
  </measureGroups>
  <maps count="15">
    <map measureGroup="0" dimension="0"/>
    <map measureGroup="1" dimension="1"/>
    <map measureGroup="2" dimension="2"/>
    <map measureGroup="3" dimension="3"/>
    <map measureGroup="4" dimension="1"/>
    <map measureGroup="4" dimension="2"/>
    <map measureGroup="4" dimension="3"/>
    <map measureGroup="4" dimension="4"/>
    <map measureGroup="4" dimension="5"/>
    <map measureGroup="4" dimension="8"/>
    <map measureGroup="5" dimension="5"/>
    <map measureGroup="6" dimension="1"/>
    <map measureGroup="6" dimension="3"/>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05.514442476851" backgroundQuery="1" createdVersion="8" refreshedVersion="8" minRefreshableVersion="3" recordCount="0" supportSubquery="1" supportAdvancedDrill="1" xr:uid="{61842375-AC9A-4225-860B-43360BEE7805}">
  <cacheSource type="external" connectionId="9"/>
  <cacheFields count="4">
    <cacheField name="[Date].[Month].[Month]" caption="Month" numFmtId="0" hierarchy="3" level="1">
      <sharedItems count="12">
        <s v="Jan"/>
        <s v="Feb"/>
        <s v="Mar"/>
        <s v="Apr"/>
        <s v="May"/>
        <s v="Jun"/>
        <s v="Jul"/>
        <s v="Aug"/>
        <s v="Sep"/>
        <s v="Oct"/>
        <s v="Nov"/>
        <s v="Dec"/>
      </sharedItems>
    </cacheField>
    <cacheField name="[Measures].[Total Revenue]" caption="Total Revenue" numFmtId="0" hierarchy="36" level="32767"/>
    <cacheField name="[Measures].[Total target]" caption="Total target" numFmtId="0" hierarchy="46" level="32767"/>
    <cacheField name="[Dim_Salesperson].[Store Name].[Store Name]" caption="Store Name" numFmtId="0" hierarchy="17" level="1">
      <sharedItems containsSemiMixedTypes="0" containsNonDate="0" containsString="0"/>
    </cacheField>
  </cacheFields>
  <cacheHierarchies count="65">
    <cacheHierarchy uniqueName="[Calculation].[Measure]" caption="Measure" attribute="1" defaultMemberUniqueName="[Calculation].[Measure].[All]" allUniqueName="[Calculation].[Measure].[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0"/>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s Age]" caption="Customers Age" attribute="1" defaultMemberUniqueName="[Dim_Customers].[Customers Age].[All]" allUniqueName="[Dim_Customers].[Customers Age].[All]" dimensionUniqueName="[Dim_Customers]" displayFolder="" count="0" memberValueDatatype="20" unbalanced="0"/>
    <cacheHierarchy uniqueName="[Dim_Customers].[Age Group]" caption="Age Group" attribute="1" defaultMemberUniqueName="[Dim_Customers].[Age Group].[All]" allUniqueName="[Dim_Customers].[Age Group].[All]" dimensionUniqueName="[Dim_Customers]"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3"/>
      </fieldsUsage>
    </cacheHierarchy>
    <cacheHierarchy uniqueName="[Dim_Salesperson].[Date of Birth]" caption="Date of Birth" attribute="1" defaultMemberUniqueName="[Dim_Salesperson].[Date of Birth].[All]" allUniqueName="[Dim_Salesperson].[Date of Birth].[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fact_table  2].[Product ID]" caption="Product ID" attribute="1" defaultMemberUniqueName="[fact_table  2].[Product ID].[All]" allUniqueName="[fact_table  2].[Product ID].[All]" dimensionUniqueName="[fact_table  2]" displayFolder="" count="0" memberValueDatatype="20" unbalanced="0"/>
    <cacheHierarchy uniqueName="[fact_table  2].[Sold Product Name]" caption="Sold Product Name" attribute="1" defaultMemberUniqueName="[fact_table  2].[Sold Product Name].[All]" allUniqueName="[fact_table  2].[Sold Product Name].[All]" dimensionUniqueName="[fact_table  2]"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roducts].[Product ID]" caption="Product ID" attribute="1" defaultMemberUniqueName="[Sales_Products].[Product ID].[All]" allUniqueName="[Sales_Products].[Product ID].[All]" dimensionUniqueName="[Sales_Products]" displayFolder="" count="0" memberValueDatatype="20" unbalanced="0"/>
    <cacheHierarchy uniqueName="[Sales_Products].[Product Name]" caption="Product Name" attribute="1" defaultMemberUniqueName="[Sales_Products].[Product Name].[All]" allUniqueName="[Sales_Products].[Product Name].[All]" dimensionUniqueName="[Sales_Products]" displayFolder="" count="0" memberValueDatatype="130" unbalanced="0"/>
    <cacheHierarchy uniqueName="[Sales_Products].[Category]" caption="Category" attribute="1" defaultMemberUniqueName="[Sales_Products].[Category].[All]" allUniqueName="[Sales_Products].[Category].[All]" dimensionUniqueName="[Sales_Products]" displayFolder="" count="0" memberValueDatatype="130" unbalanced="0"/>
    <cacheHierarchy uniqueName="[Sales_Products].[Sales Price]" caption="Sales Price" attribute="1" defaultMemberUniqueName="[Sales_Products].[Sales Price].[All]" allUniqueName="[Sales_Products].[Sales Price].[All]" dimensionUniqueName="[Sales_Products]" displayFolder="" count="0" memberValueDatatype="5" unbalanced="0"/>
    <cacheHierarchy uniqueName="[Sales_Products].[Cost Price]" caption="Cost Price" attribute="1" defaultMemberUniqueName="[Sales_Products].[Cost Price].[All]" allUniqueName="[Sales_Products].[Cost Price].[All]" dimensionUniqueName="[Sales_Products]" displayFolder="" count="0" memberValueDatatype="5" unbalanced="0"/>
    <cacheHierarchy uniqueName="[Measures].[Total Revenue]" caption="Total Revenue" measure="1" displayFolder="" measureGroup="Calculation" count="0" oneField="1">
      <fieldsUsage count="1">
        <fieldUsage x="1"/>
      </fieldsUsage>
    </cacheHierarchy>
    <cacheHierarchy uniqueName="[Measures].[COGS]" caption="COGS" measure="1" displayFolder="" measureGroup="Calculation" count="0"/>
    <cacheHierarchy uniqueName="[Measures].[Profit Margin]" caption="Profit Margin" measure="1" displayFolder="" measureGroup="Calculation" count="0"/>
    <cacheHierarchy uniqueName="[Measures].[Profit Margin %]" caption="Profit Margin %" measure="1" displayFolder="" measureGroup="Calculation" count="0"/>
    <cacheHierarchy uniqueName="[Measures].[#Transactions]" caption="#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Products]" caption="#Products" measure="1" displayFolder="" measureGroup="Calculation" count="0"/>
    <cacheHierarchy uniqueName="[Measures].[Qty Returned]" caption="Qty Returned" measure="1" displayFolder="" measureGroup="Calculation" count="0"/>
    <cacheHierarchy uniqueName="[Measures].[Total Quantity]" caption="Total Quantity" measure="1" displayFolder="" measureGroup="Calculation" count="0"/>
    <cacheHierarchy uniqueName="[Measures].[Total target]" caption="Total target" measure="1" displayFolder="" measureGroup="Calculation" count="0" oneField="1">
      <fieldsUsage count="1">
        <fieldUsage x="2"/>
      </fieldsUsage>
    </cacheHierarchy>
    <cacheHierarchy uniqueName="[Measures].[Total Customers]" caption="Total Customers" measure="1" displayFolder="" measureGroup="Calculation" count="0"/>
    <cacheHierarchy uniqueName="[Measures].[Total locations]" caption="Total locations" measure="1" displayFolder="" measureGroup="Calculation" count="0"/>
    <cacheHierarchy uniqueName="[Measures].[Product sold]" caption="Product sold" measure="1" displayFolder="" measureGroup="Calculation" count="0"/>
    <cacheHierarchy uniqueName="[Measures].[Return rate]" caption="Return rate" measure="1" displayFolder="" measureGroup="Calculation" count="0"/>
    <cacheHierarchy uniqueName="[Measures].[__XL_Count Dim_Customers]" caption="__XL_Count Dim_Customers" measure="1" displayFolder="" measureGroup="Dim_Customers"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Sales_Products]" caption="__XL_Count Sales_Products" measure="1" displayFolder="" measureGroup="Sales_Product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fact_table  2]" caption="__XL_Count fact_table  2" measure="1" displayFolder="" measureGroup="fact_table  2" count="0" hidden="1"/>
    <cacheHierarchy uniqueName="[Measures].[__No measures defined]" caption="__No measures defined" measure="1" displayFolder="" count="0" hidden="1"/>
    <cacheHierarchy uniqueName="[Measures].[Sum of Customers Age]" caption="Sum of Customers Age" measure="1" displayFolder="" measureGroup="Dim_Customers" count="0" hidden="1">
      <extLst>
        <ext xmlns:x15="http://schemas.microsoft.com/office/spreadsheetml/2010/11/main" uri="{B97F6D7D-B522-45F9-BDA1-12C45D357490}">
          <x15:cacheHierarchy aggregatedColumn="13"/>
        </ext>
      </extLst>
    </cacheHierarchy>
    <cacheHierarchy uniqueName="[Measures].[Average of Customers Age]" caption="Average of Customers Age" measure="1" displayFolder="" measureGroup="Dim_Customers" count="0" hidden="1">
      <extLst>
        <ext xmlns:x15="http://schemas.microsoft.com/office/spreadsheetml/2010/11/main" uri="{B97F6D7D-B522-45F9-BDA1-12C45D357490}">
          <x15:cacheHierarchy aggregatedColumn="13"/>
        </ext>
      </extLst>
    </cacheHierarchy>
    <cacheHierarchy uniqueName="[Measures].[Count of Measure]" caption="Count of Measure" measure="1" displayFolder="" measureGroup="Calculation" count="0" hidden="1">
      <extLst>
        <ext xmlns:x15="http://schemas.microsoft.com/office/spreadsheetml/2010/11/main" uri="{B97F6D7D-B522-45F9-BDA1-12C45D357490}">
          <x15:cacheHierarchy aggregatedColumn="0"/>
        </ext>
      </extLst>
    </cacheHierarchy>
    <cacheHierarchy uniqueName="[Measures].[Sum of Quantity Sold]" caption="Sum of Quantity Sold" measure="1" displayFolder="" measureGroup="fact_table" count="0" hidden="1">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hidden="1">
      <extLst>
        <ext xmlns:x15="http://schemas.microsoft.com/office/spreadsheetml/2010/11/main" uri="{B97F6D7D-B522-45F9-BDA1-12C45D357490}">
          <x15:cacheHierarchy aggregatedColumn="22"/>
        </ext>
      </extLst>
    </cacheHierarchy>
  </cacheHierarchies>
  <kpis count="0"/>
  <dimensions count="9">
    <dimension name="Calculation" uniqueName="[Calculation]" caption="Calculation"/>
    <dimension name="Date" uniqueName="[Date]" caption="Date"/>
    <dimension name="Dim_Customers" uniqueName="[Dim_Customers]" caption="Dim_Customers"/>
    <dimension name="Dim_Salesperson" uniqueName="[Dim_Salesperson]" caption="Dim_Salesperson"/>
    <dimension name="fact_table" uniqueName="[fact_table]" caption="fact_table"/>
    <dimension name="fact_table  2" uniqueName="[fact_table  2]" caption="fact_table  2"/>
    <dimension measure="1" name="Measures" uniqueName="[Measures]" caption="Measures"/>
    <dimension name="monthly_store_targets" uniqueName="[monthly_store_targets]" caption="monthly_store_targets"/>
    <dimension name="Sales_Products" uniqueName="[Sales_Products]" caption="Sales_Products"/>
  </dimensions>
  <measureGroups count="8">
    <measureGroup name="Calculation" caption="Calculation"/>
    <measureGroup name="Date" caption="Date"/>
    <measureGroup name="Dim_Customers" caption="Dim_Customers"/>
    <measureGroup name="Dim_Salesperson" caption="Dim_Salesperson"/>
    <measureGroup name="fact_table" caption="fact_table"/>
    <measureGroup name="fact_table  2" caption="fact_table  2"/>
    <measureGroup name="monthly_store_targets" caption="monthly_store_targets"/>
    <measureGroup name="Sales_Products" caption="Sales_Products"/>
  </measureGroups>
  <maps count="15">
    <map measureGroup="0" dimension="0"/>
    <map measureGroup="1" dimension="1"/>
    <map measureGroup="2" dimension="2"/>
    <map measureGroup="3" dimension="3"/>
    <map measureGroup="4" dimension="1"/>
    <map measureGroup="4" dimension="2"/>
    <map measureGroup="4" dimension="3"/>
    <map measureGroup="4" dimension="4"/>
    <map measureGroup="4" dimension="5"/>
    <map measureGroup="4" dimension="8"/>
    <map measureGroup="5" dimension="5"/>
    <map measureGroup="6" dimension="1"/>
    <map measureGroup="6" dimension="3"/>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05.519638888887" backgroundQuery="1" createdVersion="8" refreshedVersion="8" minRefreshableVersion="3" recordCount="0" supportSubquery="1" supportAdvancedDrill="1" xr:uid="{A7A9FF9A-FC79-4314-8C53-059FBC593C53}">
  <cacheSource type="external" connectionId="9"/>
  <cacheFields count="5">
    <cacheField name="[Measures].[Profit Margin]" caption="Profit Margin" numFmtId="0" hierarchy="38" level="32767"/>
    <cacheField name="[Dim_Customers].[Full Name].[Full Name]" caption="Full Name" numFmtId="0" hierarchy="10" level="1">
      <sharedItems count="5">
        <s v="John Brown"/>
        <s v="Judith Simmons"/>
        <s v="Kristine Barrett"/>
        <s v="Laura Gross"/>
        <s v="Paul Noble"/>
      </sharedItems>
    </cacheField>
    <cacheField name="[Sales_Products].[Product Name].[Product Name]" caption="Product Name" numFmtId="0" hierarchy="32" level="1">
      <sharedItems count="5">
        <s v="Attorney Mist"/>
        <s v="Begin Brew"/>
        <s v="Common Splash"/>
        <s v="Eight Brew"/>
        <s v="Onto Dew"/>
      </sharedItems>
    </cacheField>
    <cacheField name="[Sales_Products].[Category].[Category]" caption="Category" numFmtId="0" hierarchy="33" level="1">
      <sharedItems count="8">
        <s v="Alcoholic Beverage"/>
        <s v="Coffee"/>
        <s v="Energy Drink"/>
        <s v="Juice"/>
        <s v="Soft Drink"/>
        <s v="Sports Drink"/>
        <s v="Tea"/>
        <s v="Water"/>
      </sharedItems>
    </cacheField>
    <cacheField name="[Date].[Month].[Month]" caption="Month" numFmtId="0" hierarchy="3" level="1">
      <sharedItems containsSemiMixedTypes="0" containsNonDate="0" containsString="0"/>
    </cacheField>
  </cacheFields>
  <cacheHierarchies count="65">
    <cacheHierarchy uniqueName="[Calculation].[Measure]" caption="Measure" attribute="1" defaultMemberUniqueName="[Calculation].[Measure].[All]" allUniqueName="[Calculation].[Measure].[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4"/>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1"/>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s Age]" caption="Customers Age" attribute="1" defaultMemberUniqueName="[Dim_Customers].[Customers Age].[All]" allUniqueName="[Dim_Customers].[Customers Age].[All]" dimensionUniqueName="[Dim_Customers]" displayFolder="" count="0" memberValueDatatype="20" unbalanced="0"/>
    <cacheHierarchy uniqueName="[Dim_Customers].[Age Group]" caption="Age Group" attribute="1" defaultMemberUniqueName="[Dim_Customers].[Age Group].[All]" allUniqueName="[Dim_Customers].[Age Group].[All]" dimensionUniqueName="[Dim_Customers]"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Date of Birth]" caption="Date of Birth" attribute="1" defaultMemberUniqueName="[Dim_Salesperson].[Date of Birth].[All]" allUniqueName="[Dim_Salesperson].[Date of Birth].[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fact_table  2].[Product ID]" caption="Product ID" attribute="1" defaultMemberUniqueName="[fact_table  2].[Product ID].[All]" allUniqueName="[fact_table  2].[Product ID].[All]" dimensionUniqueName="[fact_table  2]" displayFolder="" count="0" memberValueDatatype="20" unbalanced="0"/>
    <cacheHierarchy uniqueName="[fact_table  2].[Sold Product Name]" caption="Sold Product Name" attribute="1" defaultMemberUniqueName="[fact_table  2].[Sold Product Name].[All]" allUniqueName="[fact_table  2].[Sold Product Name].[All]" dimensionUniqueName="[fact_table  2]"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roducts].[Product ID]" caption="Product ID" attribute="1" defaultMemberUniqueName="[Sales_Products].[Product ID].[All]" allUniqueName="[Sales_Products].[Product ID].[All]" dimensionUniqueName="[Sales_Products]" displayFolder="" count="0" memberValueDatatype="20" unbalanced="0"/>
    <cacheHierarchy uniqueName="[Sales_Products].[Product Name]" caption="Product Name" attribute="1" defaultMemberUniqueName="[Sales_Products].[Product Name].[All]" allUniqueName="[Sales_Products].[Product Name].[All]" dimensionUniqueName="[Sales_Products]" displayFolder="" count="2" memberValueDatatype="130" unbalanced="0">
      <fieldsUsage count="2">
        <fieldUsage x="-1"/>
        <fieldUsage x="2"/>
      </fieldsUsage>
    </cacheHierarchy>
    <cacheHierarchy uniqueName="[Sales_Products].[Category]" caption="Category" attribute="1" defaultMemberUniqueName="[Sales_Products].[Category].[All]" allUniqueName="[Sales_Products].[Category].[All]" dimensionUniqueName="[Sales_Products]" displayFolder="" count="2" memberValueDatatype="130" unbalanced="0">
      <fieldsUsage count="2">
        <fieldUsage x="-1"/>
        <fieldUsage x="3"/>
      </fieldsUsage>
    </cacheHierarchy>
    <cacheHierarchy uniqueName="[Sales_Products].[Sales Price]" caption="Sales Price" attribute="1" defaultMemberUniqueName="[Sales_Products].[Sales Price].[All]" allUniqueName="[Sales_Products].[Sales Price].[All]" dimensionUniqueName="[Sales_Products]" displayFolder="" count="0" memberValueDatatype="5" unbalanced="0"/>
    <cacheHierarchy uniqueName="[Sales_Products].[Cost Price]" caption="Cost Price" attribute="1" defaultMemberUniqueName="[Sales_Products].[Cost Price].[All]" allUniqueName="[Sales_Products].[Cost Price].[All]" dimensionUniqueName="[Sales_Products]" displayFolder="" count="0" memberValueDatatype="5" unbalanced="0"/>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oneField="1">
      <fieldsUsage count="1">
        <fieldUsage x="0"/>
      </fieldsUsage>
    </cacheHierarchy>
    <cacheHierarchy uniqueName="[Measures].[Profit Margin %]" caption="Profit Margin %" measure="1" displayFolder="" measureGroup="Calculation" count="0"/>
    <cacheHierarchy uniqueName="[Measures].[#Transactions]" caption="#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Products]" caption="#Products" measure="1" displayFolder="" measureGroup="Calculation" count="0"/>
    <cacheHierarchy uniqueName="[Measures].[Qty Returned]" caption="Qty Returned" measure="1" displayFolder="" measureGroup="Calculation" count="0"/>
    <cacheHierarchy uniqueName="[Measures].[Total Quantity]" caption="Total Quantity" measure="1" displayFolder="" measureGroup="Calculation" count="0"/>
    <cacheHierarchy uniqueName="[Measures].[Total target]" caption="Total target" measure="1" displayFolder="" measureGroup="Calculation" count="0"/>
    <cacheHierarchy uniqueName="[Measures].[Total Customers]" caption="Total Customers" measure="1" displayFolder="" measureGroup="Calculation" count="0"/>
    <cacheHierarchy uniqueName="[Measures].[Total locations]" caption="Total locations" measure="1" displayFolder="" measureGroup="Calculation" count="0"/>
    <cacheHierarchy uniqueName="[Measures].[Product sold]" caption="Product sold" measure="1" displayFolder="" measureGroup="Calculation" count="0"/>
    <cacheHierarchy uniqueName="[Measures].[Return rate]" caption="Return rate" measure="1" displayFolder="" measureGroup="Calculation" count="0"/>
    <cacheHierarchy uniqueName="[Measures].[__XL_Count Dim_Customers]" caption="__XL_Count Dim_Customers" measure="1" displayFolder="" measureGroup="Dim_Customers"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Sales_Products]" caption="__XL_Count Sales_Products" measure="1" displayFolder="" measureGroup="Sales_Product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fact_table  2]" caption="__XL_Count fact_table  2" measure="1" displayFolder="" measureGroup="fact_table  2" count="0" hidden="1"/>
    <cacheHierarchy uniqueName="[Measures].[__No measures defined]" caption="__No measures defined" measure="1" displayFolder="" count="0" hidden="1"/>
    <cacheHierarchy uniqueName="[Measures].[Sum of Customers Age]" caption="Sum of Customers Age" measure="1" displayFolder="" measureGroup="Dim_Customers" count="0" hidden="1">
      <extLst>
        <ext xmlns:x15="http://schemas.microsoft.com/office/spreadsheetml/2010/11/main" uri="{B97F6D7D-B522-45F9-BDA1-12C45D357490}">
          <x15:cacheHierarchy aggregatedColumn="13"/>
        </ext>
      </extLst>
    </cacheHierarchy>
    <cacheHierarchy uniqueName="[Measures].[Average of Customers Age]" caption="Average of Customers Age" measure="1" displayFolder="" measureGroup="Dim_Customers" count="0" hidden="1">
      <extLst>
        <ext xmlns:x15="http://schemas.microsoft.com/office/spreadsheetml/2010/11/main" uri="{B97F6D7D-B522-45F9-BDA1-12C45D357490}">
          <x15:cacheHierarchy aggregatedColumn="13"/>
        </ext>
      </extLst>
    </cacheHierarchy>
    <cacheHierarchy uniqueName="[Measures].[Count of Measure]" caption="Count of Measure" measure="1" displayFolder="" measureGroup="Calculation" count="0" hidden="1">
      <extLst>
        <ext xmlns:x15="http://schemas.microsoft.com/office/spreadsheetml/2010/11/main" uri="{B97F6D7D-B522-45F9-BDA1-12C45D357490}">
          <x15:cacheHierarchy aggregatedColumn="0"/>
        </ext>
      </extLst>
    </cacheHierarchy>
    <cacheHierarchy uniqueName="[Measures].[Sum of Quantity Sold]" caption="Sum of Quantity Sold" measure="1" displayFolder="" measureGroup="fact_table" count="0" hidden="1">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hidden="1">
      <extLst>
        <ext xmlns:x15="http://schemas.microsoft.com/office/spreadsheetml/2010/11/main" uri="{B97F6D7D-B522-45F9-BDA1-12C45D357490}">
          <x15:cacheHierarchy aggregatedColumn="22"/>
        </ext>
      </extLst>
    </cacheHierarchy>
  </cacheHierarchies>
  <kpis count="0"/>
  <dimensions count="9">
    <dimension name="Calculation" uniqueName="[Calculation]" caption="Calculation"/>
    <dimension name="Date" uniqueName="[Date]" caption="Date"/>
    <dimension name="Dim_Customers" uniqueName="[Dim_Customers]" caption="Dim_Customers"/>
    <dimension name="Dim_Salesperson" uniqueName="[Dim_Salesperson]" caption="Dim_Salesperson"/>
    <dimension name="fact_table" uniqueName="[fact_table]" caption="fact_table"/>
    <dimension name="fact_table  2" uniqueName="[fact_table  2]" caption="fact_table  2"/>
    <dimension measure="1" name="Measures" uniqueName="[Measures]" caption="Measures"/>
    <dimension name="monthly_store_targets" uniqueName="[monthly_store_targets]" caption="monthly_store_targets"/>
    <dimension name="Sales_Products" uniqueName="[Sales_Products]" caption="Sales_Products"/>
  </dimensions>
  <measureGroups count="8">
    <measureGroup name="Calculation" caption="Calculation"/>
    <measureGroup name="Date" caption="Date"/>
    <measureGroup name="Dim_Customers" caption="Dim_Customers"/>
    <measureGroup name="Dim_Salesperson" caption="Dim_Salesperson"/>
    <measureGroup name="fact_table" caption="fact_table"/>
    <measureGroup name="fact_table  2" caption="fact_table  2"/>
    <measureGroup name="monthly_store_targets" caption="monthly_store_targets"/>
    <measureGroup name="Sales_Products" caption="Sales_Products"/>
  </measureGroups>
  <maps count="15">
    <map measureGroup="0" dimension="0"/>
    <map measureGroup="1" dimension="1"/>
    <map measureGroup="2" dimension="2"/>
    <map measureGroup="3" dimension="3"/>
    <map measureGroup="4" dimension="1"/>
    <map measureGroup="4" dimension="2"/>
    <map measureGroup="4" dimension="3"/>
    <map measureGroup="4" dimension="4"/>
    <map measureGroup="4" dimension="5"/>
    <map measureGroup="4" dimension="8"/>
    <map measureGroup="5" dimension="5"/>
    <map measureGroup="6" dimension="1"/>
    <map measureGroup="6" dimension="3"/>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05.519659837963" backgroundQuery="1" createdVersion="8" refreshedVersion="8" minRefreshableVersion="3" recordCount="0" supportSubquery="1" supportAdvancedDrill="1" xr:uid="{13C7D405-4737-47B2-A8E8-15E2722CB262}">
  <cacheSource type="external" connectionId="9"/>
  <cacheFields count="4">
    <cacheField name="[Measures].[Total Revenue]" caption="Total Revenue" numFmtId="0" hierarchy="36" level="32767"/>
    <cacheField name="[Measures].[Total target]" caption="Total target" numFmtId="0" hierarchy="46" level="32767"/>
    <cacheField name="[Dim_Salesperson].[Store Name].[Store Name]" caption="Store Name" numFmtId="0" hierarchy="17" level="1">
      <sharedItems count="10">
        <s v="Barron-Fleming"/>
        <s v="Berg-Trujillo"/>
        <s v="Lee-Myers"/>
        <s v="Lopez"/>
        <s v="Martinez"/>
        <s v="Miller"/>
        <s v="Myers-Lopez"/>
        <s v="Novak PLC"/>
        <s v="Thomas"/>
        <s v="Valdez"/>
      </sharedItems>
    </cacheField>
    <cacheField name="[Date].[Month].[Month]" caption="Month" numFmtId="0" hierarchy="3" level="1">
      <sharedItems containsSemiMixedTypes="0" containsNonDate="0" containsString="0"/>
    </cacheField>
  </cacheFields>
  <cacheHierarchies count="65">
    <cacheHierarchy uniqueName="[Calculation].[Measure]" caption="Measure" attribute="1" defaultMemberUniqueName="[Calculation].[Measure].[All]" allUniqueName="[Calculation].[Measure].[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s Age]" caption="Customers Age" attribute="1" defaultMemberUniqueName="[Dim_Customers].[Customers Age].[All]" allUniqueName="[Dim_Customers].[Customers Age].[All]" dimensionUniqueName="[Dim_Customers]" displayFolder="" count="0" memberValueDatatype="20" unbalanced="0"/>
    <cacheHierarchy uniqueName="[Dim_Customers].[Age Group]" caption="Age Group" attribute="1" defaultMemberUniqueName="[Dim_Customers].[Age Group].[All]" allUniqueName="[Dim_Customers].[Age Group].[All]" dimensionUniqueName="[Dim_Customers]"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2"/>
      </fieldsUsage>
    </cacheHierarchy>
    <cacheHierarchy uniqueName="[Dim_Salesperson].[Date of Birth]" caption="Date of Birth" attribute="1" defaultMemberUniqueName="[Dim_Salesperson].[Date of Birth].[All]" allUniqueName="[Dim_Salesperson].[Date of Birth].[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fact_table  2].[Product ID]" caption="Product ID" attribute="1" defaultMemberUniqueName="[fact_table  2].[Product ID].[All]" allUniqueName="[fact_table  2].[Product ID].[All]" dimensionUniqueName="[fact_table  2]" displayFolder="" count="0" memberValueDatatype="20" unbalanced="0"/>
    <cacheHierarchy uniqueName="[fact_table  2].[Sold Product Name]" caption="Sold Product Name" attribute="1" defaultMemberUniqueName="[fact_table  2].[Sold Product Name].[All]" allUniqueName="[fact_table  2].[Sold Product Name].[All]" dimensionUniqueName="[fact_table  2]"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roducts].[Product ID]" caption="Product ID" attribute="1" defaultMemberUniqueName="[Sales_Products].[Product ID].[All]" allUniqueName="[Sales_Products].[Product ID].[All]" dimensionUniqueName="[Sales_Products]" displayFolder="" count="0" memberValueDatatype="20" unbalanced="0"/>
    <cacheHierarchy uniqueName="[Sales_Products].[Product Name]" caption="Product Name" attribute="1" defaultMemberUniqueName="[Sales_Products].[Product Name].[All]" allUniqueName="[Sales_Products].[Product Name].[All]" dimensionUniqueName="[Sales_Products]" displayFolder="" count="0" memberValueDatatype="130" unbalanced="0"/>
    <cacheHierarchy uniqueName="[Sales_Products].[Category]" caption="Category" attribute="1" defaultMemberUniqueName="[Sales_Products].[Category].[All]" allUniqueName="[Sales_Products].[Category].[All]" dimensionUniqueName="[Sales_Products]" displayFolder="" count="0" memberValueDatatype="130" unbalanced="0"/>
    <cacheHierarchy uniqueName="[Sales_Products].[Sales Price]" caption="Sales Price" attribute="1" defaultMemberUniqueName="[Sales_Products].[Sales Price].[All]" allUniqueName="[Sales_Products].[Sales Price].[All]" dimensionUniqueName="[Sales_Products]" displayFolder="" count="0" memberValueDatatype="5" unbalanced="0"/>
    <cacheHierarchy uniqueName="[Sales_Products].[Cost Price]" caption="Cost Price" attribute="1" defaultMemberUniqueName="[Sales_Products].[Cost Price].[All]" allUniqueName="[Sales_Products].[Cost Price].[All]" dimensionUniqueName="[Sales_Products]" displayFolder="" count="0" memberValueDatatype="5" unbalanced="0"/>
    <cacheHierarchy uniqueName="[Measures].[Total Revenue]" caption="Total Revenue" measure="1" displayFolder="" measureGroup="Calculation" count="0" oneField="1">
      <fieldsUsage count="1">
        <fieldUsage x="0"/>
      </fieldsUsage>
    </cacheHierarchy>
    <cacheHierarchy uniqueName="[Measures].[COGS]" caption="COGS" measure="1" displayFolder="" measureGroup="Calculation" count="0"/>
    <cacheHierarchy uniqueName="[Measures].[Profit Margin]" caption="Profit Margin" measure="1" displayFolder="" measureGroup="Calculation" count="0"/>
    <cacheHierarchy uniqueName="[Measures].[Profit Margin %]" caption="Profit Margin %" measure="1" displayFolder="" measureGroup="Calculation" count="0"/>
    <cacheHierarchy uniqueName="[Measures].[#Transactions]" caption="#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Products]" caption="#Products" measure="1" displayFolder="" measureGroup="Calculation" count="0"/>
    <cacheHierarchy uniqueName="[Measures].[Qty Returned]" caption="Qty Returned" measure="1" displayFolder="" measureGroup="Calculation" count="0"/>
    <cacheHierarchy uniqueName="[Measures].[Total Quantity]" caption="Total Quantity" measure="1" displayFolder="" measureGroup="Calculation" count="0"/>
    <cacheHierarchy uniqueName="[Measures].[Total target]" caption="Total target" measure="1" displayFolder="" measureGroup="Calculation" count="0" oneField="1">
      <fieldsUsage count="1">
        <fieldUsage x="1"/>
      </fieldsUsage>
    </cacheHierarchy>
    <cacheHierarchy uniqueName="[Measures].[Total Customers]" caption="Total Customers" measure="1" displayFolder="" measureGroup="Calculation" count="0"/>
    <cacheHierarchy uniqueName="[Measures].[Total locations]" caption="Total locations" measure="1" displayFolder="" measureGroup="Calculation" count="0"/>
    <cacheHierarchy uniqueName="[Measures].[Product sold]" caption="Product sold" measure="1" displayFolder="" measureGroup="Calculation" count="0"/>
    <cacheHierarchy uniqueName="[Measures].[Return rate]" caption="Return rate" measure="1" displayFolder="" measureGroup="Calculation" count="0"/>
    <cacheHierarchy uniqueName="[Measures].[__XL_Count Dim_Customers]" caption="__XL_Count Dim_Customers" measure="1" displayFolder="" measureGroup="Dim_Customers"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Sales_Products]" caption="__XL_Count Sales_Products" measure="1" displayFolder="" measureGroup="Sales_Product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fact_table  2]" caption="__XL_Count fact_table  2" measure="1" displayFolder="" measureGroup="fact_table  2" count="0" hidden="1"/>
    <cacheHierarchy uniqueName="[Measures].[__No measures defined]" caption="__No measures defined" measure="1" displayFolder="" count="0" hidden="1"/>
    <cacheHierarchy uniqueName="[Measures].[Sum of Customers Age]" caption="Sum of Customers Age" measure="1" displayFolder="" measureGroup="Dim_Customers" count="0" hidden="1">
      <extLst>
        <ext xmlns:x15="http://schemas.microsoft.com/office/spreadsheetml/2010/11/main" uri="{B97F6D7D-B522-45F9-BDA1-12C45D357490}">
          <x15:cacheHierarchy aggregatedColumn="13"/>
        </ext>
      </extLst>
    </cacheHierarchy>
    <cacheHierarchy uniqueName="[Measures].[Average of Customers Age]" caption="Average of Customers Age" measure="1" displayFolder="" measureGroup="Dim_Customers" count="0" hidden="1">
      <extLst>
        <ext xmlns:x15="http://schemas.microsoft.com/office/spreadsheetml/2010/11/main" uri="{B97F6D7D-B522-45F9-BDA1-12C45D357490}">
          <x15:cacheHierarchy aggregatedColumn="13"/>
        </ext>
      </extLst>
    </cacheHierarchy>
    <cacheHierarchy uniqueName="[Measures].[Count of Measure]" caption="Count of Measure" measure="1" displayFolder="" measureGroup="Calculation" count="0" hidden="1">
      <extLst>
        <ext xmlns:x15="http://schemas.microsoft.com/office/spreadsheetml/2010/11/main" uri="{B97F6D7D-B522-45F9-BDA1-12C45D357490}">
          <x15:cacheHierarchy aggregatedColumn="0"/>
        </ext>
      </extLst>
    </cacheHierarchy>
    <cacheHierarchy uniqueName="[Measures].[Sum of Quantity Sold]" caption="Sum of Quantity Sold" measure="1" displayFolder="" measureGroup="fact_table" count="0" hidden="1">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hidden="1">
      <extLst>
        <ext xmlns:x15="http://schemas.microsoft.com/office/spreadsheetml/2010/11/main" uri="{B97F6D7D-B522-45F9-BDA1-12C45D357490}">
          <x15:cacheHierarchy aggregatedColumn="22"/>
        </ext>
      </extLst>
    </cacheHierarchy>
  </cacheHierarchies>
  <kpis count="0"/>
  <dimensions count="9">
    <dimension name="Calculation" uniqueName="[Calculation]" caption="Calculation"/>
    <dimension name="Date" uniqueName="[Date]" caption="Date"/>
    <dimension name="Dim_Customers" uniqueName="[Dim_Customers]" caption="Dim_Customers"/>
    <dimension name="Dim_Salesperson" uniqueName="[Dim_Salesperson]" caption="Dim_Salesperson"/>
    <dimension name="fact_table" uniqueName="[fact_table]" caption="fact_table"/>
    <dimension name="fact_table  2" uniqueName="[fact_table  2]" caption="fact_table  2"/>
    <dimension measure="1" name="Measures" uniqueName="[Measures]" caption="Measures"/>
    <dimension name="monthly_store_targets" uniqueName="[monthly_store_targets]" caption="monthly_store_targets"/>
    <dimension name="Sales_Products" uniqueName="[Sales_Products]" caption="Sales_Products"/>
  </dimensions>
  <measureGroups count="8">
    <measureGroup name="Calculation" caption="Calculation"/>
    <measureGroup name="Date" caption="Date"/>
    <measureGroup name="Dim_Customers" caption="Dim_Customers"/>
    <measureGroup name="Dim_Salesperson" caption="Dim_Salesperson"/>
    <measureGroup name="fact_table" caption="fact_table"/>
    <measureGroup name="fact_table  2" caption="fact_table  2"/>
    <measureGroup name="monthly_store_targets" caption="monthly_store_targets"/>
    <measureGroup name="Sales_Products" caption="Sales_Products"/>
  </measureGroups>
  <maps count="15">
    <map measureGroup="0" dimension="0"/>
    <map measureGroup="1" dimension="1"/>
    <map measureGroup="2" dimension="2"/>
    <map measureGroup="3" dimension="3"/>
    <map measureGroup="4" dimension="1"/>
    <map measureGroup="4" dimension="2"/>
    <map measureGroup="4" dimension="3"/>
    <map measureGroup="4" dimension="4"/>
    <map measureGroup="4" dimension="5"/>
    <map measureGroup="4" dimension="8"/>
    <map measureGroup="5" dimension="5"/>
    <map measureGroup="6" dimension="1"/>
    <map measureGroup="6" dimension="3"/>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05.519698032411" backgroundQuery="1" createdVersion="8" refreshedVersion="8" minRefreshableVersion="3" recordCount="0" supportSubquery="1" supportAdvancedDrill="1" xr:uid="{EEA4B940-9805-4056-A6B2-AF0231B851DC}">
  <cacheSource type="external" connectionId="9"/>
  <cacheFields count="12">
    <cacheField name="[Measures].[Total Revenue]" caption="Total Revenue" numFmtId="0" hierarchy="36" level="32767"/>
    <cacheField name="[Measures].[COGS]" caption="COGS" numFmtId="0" hierarchy="37" level="32767"/>
    <cacheField name="[Measures].[Profit Margin]" caption="Profit Margin" numFmtId="0" hierarchy="38" level="32767"/>
    <cacheField name="[Measures].[Profit Margin %]" caption="Profit Margin %" numFmtId="0" hierarchy="39" level="32767"/>
    <cacheField name="[Measures].[#Transactions]" caption="#Transactions" numFmtId="0" hierarchy="40" level="32767"/>
    <cacheField name="[Measures].[Total Refund]" caption="Total Refund" numFmtId="0" hierarchy="41" level="32767"/>
    <cacheField name="[Measures].[Refund Rate]" caption="Refund Rate" numFmtId="0" hierarchy="42" level="32767"/>
    <cacheField name="[Measures].[#Products]" caption="#Products" numFmtId="0" hierarchy="43" level="32767"/>
    <cacheField name="[Measures].[Qty Returned]" caption="Qty Returned" numFmtId="0" hierarchy="44" level="32767"/>
    <cacheField name="[Measures].[Total Quantity]" caption="Total Quantity" numFmtId="0" hierarchy="45" level="32767"/>
    <cacheField name="[Measures].[Total target]" caption="Total target" numFmtId="0" hierarchy="46" level="32767"/>
    <cacheField name="[Sales_Products].[Category].[Category]" caption="Category" numFmtId="0" hierarchy="33" level="1">
      <sharedItems containsSemiMixedTypes="0" containsNonDate="0" containsString="0"/>
    </cacheField>
  </cacheFields>
  <cacheHierarchies count="65">
    <cacheHierarchy uniqueName="[Calculation].[Measure]" caption="Measure" attribute="1" defaultMemberUniqueName="[Calculation].[Measure].[All]" allUniqueName="[Calculation].[Measure].[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s Age]" caption="Customers Age" attribute="1" defaultMemberUniqueName="[Dim_Customers].[Customers Age].[All]" allUniqueName="[Dim_Customers].[Customers Age].[All]" dimensionUniqueName="[Dim_Customers]" displayFolder="" count="0" memberValueDatatype="20" unbalanced="0"/>
    <cacheHierarchy uniqueName="[Dim_Customers].[Age Group]" caption="Age Group" attribute="1" defaultMemberUniqueName="[Dim_Customers].[Age Group].[All]" allUniqueName="[Dim_Customers].[Age Group].[All]" dimensionUniqueName="[Dim_Customers]"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cacheHierarchy uniqueName="[Dim_Salesperson].[Date of Birth]" caption="Date of Birth" attribute="1" defaultMemberUniqueName="[Dim_Salesperson].[Date of Birth].[All]" allUniqueName="[Dim_Salesperson].[Date of Birth].[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fact_table  2].[Product ID]" caption="Product ID" attribute="1" defaultMemberUniqueName="[fact_table  2].[Product ID].[All]" allUniqueName="[fact_table  2].[Product ID].[All]" dimensionUniqueName="[fact_table  2]" displayFolder="" count="0" memberValueDatatype="20" unbalanced="0"/>
    <cacheHierarchy uniqueName="[fact_table  2].[Sold Product Name]" caption="Sold Product Name" attribute="1" defaultMemberUniqueName="[fact_table  2].[Sold Product Name].[All]" allUniqueName="[fact_table  2].[Sold Product Name].[All]" dimensionUniqueName="[fact_table  2]"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roducts].[Product ID]" caption="Product ID" attribute="1" defaultMemberUniqueName="[Sales_Products].[Product ID].[All]" allUniqueName="[Sales_Products].[Product ID].[All]" dimensionUniqueName="[Sales_Products]" displayFolder="" count="0" memberValueDatatype="20" unbalanced="0"/>
    <cacheHierarchy uniqueName="[Sales_Products].[Product Name]" caption="Product Name" attribute="1" defaultMemberUniqueName="[Sales_Products].[Product Name].[All]" allUniqueName="[Sales_Products].[Product Name].[All]" dimensionUniqueName="[Sales_Products]" displayFolder="" count="0" memberValueDatatype="130" unbalanced="0"/>
    <cacheHierarchy uniqueName="[Sales_Products].[Category]" caption="Category" attribute="1" defaultMemberUniqueName="[Sales_Products].[Category].[All]" allUniqueName="[Sales_Products].[Category].[All]" dimensionUniqueName="[Sales_Products]" displayFolder="" count="2" memberValueDatatype="130" unbalanced="0">
      <fieldsUsage count="2">
        <fieldUsage x="-1"/>
        <fieldUsage x="11"/>
      </fieldsUsage>
    </cacheHierarchy>
    <cacheHierarchy uniqueName="[Sales_Products].[Sales Price]" caption="Sales Price" attribute="1" defaultMemberUniqueName="[Sales_Products].[Sales Price].[All]" allUniqueName="[Sales_Products].[Sales Price].[All]" dimensionUniqueName="[Sales_Products]" displayFolder="" count="0" memberValueDatatype="5" unbalanced="0"/>
    <cacheHierarchy uniqueName="[Sales_Products].[Cost Price]" caption="Cost Price" attribute="1" defaultMemberUniqueName="[Sales_Products].[Cost Price].[All]" allUniqueName="[Sales_Products].[Cost Price].[All]" dimensionUniqueName="[Sales_Products]" displayFolder="" count="0" memberValueDatatype="5" unbalanced="0"/>
    <cacheHierarchy uniqueName="[Measures].[Total Revenue]" caption="Total Revenue" measure="1" displayFolder="" measureGroup="Calculation" count="0" oneField="1">
      <fieldsUsage count="1">
        <fieldUsage x="0"/>
      </fieldsUsage>
    </cacheHierarchy>
    <cacheHierarchy uniqueName="[Measures].[COGS]" caption="COGS" measure="1" displayFolder="" measureGroup="Calculation" count="0" oneField="1">
      <fieldsUsage count="1">
        <fieldUsage x="1"/>
      </fieldsUsage>
    </cacheHierarchy>
    <cacheHierarchy uniqueName="[Measures].[Profit Margin]" caption="Profit Margin" measure="1" displayFolder="" measureGroup="Calculation" count="0" oneField="1">
      <fieldsUsage count="1">
        <fieldUsage x="2"/>
      </fieldsUsage>
    </cacheHierarchy>
    <cacheHierarchy uniqueName="[Measures].[Profit Margin %]" caption="Profit Margin %" measure="1" displayFolder="" measureGroup="Calculation" count="0" oneField="1">
      <fieldsUsage count="1">
        <fieldUsage x="3"/>
      </fieldsUsage>
    </cacheHierarchy>
    <cacheHierarchy uniqueName="[Measures].[#Transactions]" caption="#Transactions" measure="1" displayFolder="" measureGroup="Calculation" count="0" oneField="1">
      <fieldsUsage count="1">
        <fieldUsage x="4"/>
      </fieldsUsage>
    </cacheHierarchy>
    <cacheHierarchy uniqueName="[Measures].[Total Refund]" caption="Total Refund" measure="1" displayFolder="" measureGroup="Calculation" count="0" oneField="1">
      <fieldsUsage count="1">
        <fieldUsage x="5"/>
      </fieldsUsage>
    </cacheHierarchy>
    <cacheHierarchy uniqueName="[Measures].[Refund Rate]" caption="Refund Rate" measure="1" displayFolder="" measureGroup="Calculation" count="0" oneField="1">
      <fieldsUsage count="1">
        <fieldUsage x="6"/>
      </fieldsUsage>
    </cacheHierarchy>
    <cacheHierarchy uniqueName="[Measures].[#Products]" caption="#Products" measure="1" displayFolder="" measureGroup="Calculation" count="0" oneField="1">
      <fieldsUsage count="1">
        <fieldUsage x="7"/>
      </fieldsUsage>
    </cacheHierarchy>
    <cacheHierarchy uniqueName="[Measures].[Qty Returned]" caption="Qty Returned" measure="1" displayFolder="" measureGroup="Calculation" count="0" oneField="1">
      <fieldsUsage count="1">
        <fieldUsage x="8"/>
      </fieldsUsage>
    </cacheHierarchy>
    <cacheHierarchy uniqueName="[Measures].[Total Quantity]" caption="Total Quantity" measure="1" displayFolder="" measureGroup="Calculation" count="0" oneField="1">
      <fieldsUsage count="1">
        <fieldUsage x="9"/>
      </fieldsUsage>
    </cacheHierarchy>
    <cacheHierarchy uniqueName="[Measures].[Total target]" caption="Total target" measure="1" displayFolder="" measureGroup="Calculation" count="0" oneField="1">
      <fieldsUsage count="1">
        <fieldUsage x="10"/>
      </fieldsUsage>
    </cacheHierarchy>
    <cacheHierarchy uniqueName="[Measures].[Total Customers]" caption="Total Customers" measure="1" displayFolder="" measureGroup="Calculation" count="0"/>
    <cacheHierarchy uniqueName="[Measures].[Total locations]" caption="Total locations" measure="1" displayFolder="" measureGroup="Calculation" count="0"/>
    <cacheHierarchy uniqueName="[Measures].[Product sold]" caption="Product sold" measure="1" displayFolder="" measureGroup="Calculation" count="0"/>
    <cacheHierarchy uniqueName="[Measures].[Return rate]" caption="Return rate" measure="1" displayFolder="" measureGroup="Calculation" count="0"/>
    <cacheHierarchy uniqueName="[Measures].[__XL_Count Dim_Customers]" caption="__XL_Count Dim_Customers" measure="1" displayFolder="" measureGroup="Dim_Customers"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Sales_Products]" caption="__XL_Count Sales_Products" measure="1" displayFolder="" measureGroup="Sales_Product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fact_table  2]" caption="__XL_Count fact_table  2" measure="1" displayFolder="" measureGroup="fact_table  2" count="0" hidden="1"/>
    <cacheHierarchy uniqueName="[Measures].[__No measures defined]" caption="__No measures defined" measure="1" displayFolder="" count="0" hidden="1"/>
    <cacheHierarchy uniqueName="[Measures].[Sum of Customers Age]" caption="Sum of Customers Age" measure="1" displayFolder="" measureGroup="Dim_Customers" count="0" hidden="1">
      <extLst>
        <ext xmlns:x15="http://schemas.microsoft.com/office/spreadsheetml/2010/11/main" uri="{B97F6D7D-B522-45F9-BDA1-12C45D357490}">
          <x15:cacheHierarchy aggregatedColumn="13"/>
        </ext>
      </extLst>
    </cacheHierarchy>
    <cacheHierarchy uniqueName="[Measures].[Average of Customers Age]" caption="Average of Customers Age" measure="1" displayFolder="" measureGroup="Dim_Customers" count="0" hidden="1">
      <extLst>
        <ext xmlns:x15="http://schemas.microsoft.com/office/spreadsheetml/2010/11/main" uri="{B97F6D7D-B522-45F9-BDA1-12C45D357490}">
          <x15:cacheHierarchy aggregatedColumn="13"/>
        </ext>
      </extLst>
    </cacheHierarchy>
    <cacheHierarchy uniqueName="[Measures].[Count of Measure]" caption="Count of Measure" measure="1" displayFolder="" measureGroup="Calculation" count="0" hidden="1">
      <extLst>
        <ext xmlns:x15="http://schemas.microsoft.com/office/spreadsheetml/2010/11/main" uri="{B97F6D7D-B522-45F9-BDA1-12C45D357490}">
          <x15:cacheHierarchy aggregatedColumn="0"/>
        </ext>
      </extLst>
    </cacheHierarchy>
    <cacheHierarchy uniqueName="[Measures].[Sum of Quantity Sold]" caption="Sum of Quantity Sold" measure="1" displayFolder="" measureGroup="fact_table" count="0" hidden="1">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hidden="1">
      <extLst>
        <ext xmlns:x15="http://schemas.microsoft.com/office/spreadsheetml/2010/11/main" uri="{B97F6D7D-B522-45F9-BDA1-12C45D357490}">
          <x15:cacheHierarchy aggregatedColumn="22"/>
        </ext>
      </extLst>
    </cacheHierarchy>
  </cacheHierarchies>
  <kpis count="0"/>
  <dimensions count="9">
    <dimension name="Calculation" uniqueName="[Calculation]" caption="Calculation"/>
    <dimension name="Date" uniqueName="[Date]" caption="Date"/>
    <dimension name="Dim_Customers" uniqueName="[Dim_Customers]" caption="Dim_Customers"/>
    <dimension name="Dim_Salesperson" uniqueName="[Dim_Salesperson]" caption="Dim_Salesperson"/>
    <dimension name="fact_table" uniqueName="[fact_table]" caption="fact_table"/>
    <dimension name="fact_table  2" uniqueName="[fact_table  2]" caption="fact_table  2"/>
    <dimension measure="1" name="Measures" uniqueName="[Measures]" caption="Measures"/>
    <dimension name="monthly_store_targets" uniqueName="[monthly_store_targets]" caption="monthly_store_targets"/>
    <dimension name="Sales_Products" uniqueName="[Sales_Products]" caption="Sales_Products"/>
  </dimensions>
  <measureGroups count="8">
    <measureGroup name="Calculation" caption="Calculation"/>
    <measureGroup name="Date" caption="Date"/>
    <measureGroup name="Dim_Customers" caption="Dim_Customers"/>
    <measureGroup name="Dim_Salesperson" caption="Dim_Salesperson"/>
    <measureGroup name="fact_table" caption="fact_table"/>
    <measureGroup name="fact_table  2" caption="fact_table  2"/>
    <measureGroup name="monthly_store_targets" caption="monthly_store_targets"/>
    <measureGroup name="Sales_Products" caption="Sales_Products"/>
  </measureGroups>
  <maps count="15">
    <map measureGroup="0" dimension="0"/>
    <map measureGroup="1" dimension="1"/>
    <map measureGroup="2" dimension="2"/>
    <map measureGroup="3" dimension="3"/>
    <map measureGroup="4" dimension="1"/>
    <map measureGroup="4" dimension="2"/>
    <map measureGroup="4" dimension="3"/>
    <map measureGroup="4" dimension="4"/>
    <map measureGroup="4" dimension="5"/>
    <map measureGroup="4" dimension="8"/>
    <map measureGroup="5" dimension="5"/>
    <map measureGroup="6" dimension="1"/>
    <map measureGroup="6" dimension="3"/>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05.519702777776" backgroundQuery="1" createdVersion="8" refreshedVersion="8" minRefreshableVersion="3" recordCount="0" supportSubquery="1" supportAdvancedDrill="1" xr:uid="{F65AFC7D-CD1C-43DF-B062-03FA2AE3C180}">
  <cacheSource type="external" connectionId="9"/>
  <cacheFields count="4">
    <cacheField name="[Measures].[Profit Margin]" caption="Profit Margin" numFmtId="0" hierarchy="38" level="32767"/>
    <cacheField name="[Date].[Month].[Month]" caption="Month" numFmtId="0" hierarchy="3" level="1">
      <sharedItems count="12">
        <s v="Jan"/>
        <s v="Feb"/>
        <s v="Mar"/>
        <s v="Apr"/>
        <s v="May"/>
        <s v="Jun"/>
        <s v="Jul"/>
        <s v="Aug"/>
        <s v="Sep"/>
        <s v="Oct"/>
        <s v="Nov"/>
        <s v="Dec"/>
      </sharedItems>
    </cacheField>
    <cacheField name="[Sales_Products].[Category].[Category]" caption="Category" numFmtId="0" hierarchy="33" level="1">
      <sharedItems containsSemiMixedTypes="0" containsNonDate="0" containsString="0"/>
    </cacheField>
    <cacheField name="Dummy0" numFmtId="0" hierarchy="65" level="32767">
      <extLst>
        <ext xmlns:x14="http://schemas.microsoft.com/office/spreadsheetml/2009/9/main" uri="{63CAB8AC-B538-458d-9737-405883B0398D}">
          <x14:cacheField ignore="1"/>
        </ext>
      </extLst>
    </cacheField>
  </cacheFields>
  <cacheHierarchies count="66">
    <cacheHierarchy uniqueName="[Calculation].[Measure]" caption="Measure" attribute="1" defaultMemberUniqueName="[Calculation].[Measure].[All]" allUniqueName="[Calculation].[Measure].[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1"/>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s Age]" caption="Customers Age" attribute="1" defaultMemberUniqueName="[Dim_Customers].[Customers Age].[All]" allUniqueName="[Dim_Customers].[Customers Age].[All]" dimensionUniqueName="[Dim_Customers]" displayFolder="" count="0" memberValueDatatype="20" unbalanced="0"/>
    <cacheHierarchy uniqueName="[Dim_Customers].[Age Group]" caption="Age Group" attribute="1" defaultMemberUniqueName="[Dim_Customers].[Age Group].[All]" allUniqueName="[Dim_Customers].[Age Group].[All]" dimensionUniqueName="[Dim_Customers]"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Date of Birth]" caption="Date of Birth" attribute="1" defaultMemberUniqueName="[Dim_Salesperson].[Date of Birth].[All]" allUniqueName="[Dim_Salesperson].[Date of Birth].[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fact_table  2].[Product ID]" caption="Product ID" attribute="1" defaultMemberUniqueName="[fact_table  2].[Product ID].[All]" allUniqueName="[fact_table  2].[Product ID].[All]" dimensionUniqueName="[fact_table  2]" displayFolder="" count="0" memberValueDatatype="20" unbalanced="0"/>
    <cacheHierarchy uniqueName="[fact_table  2].[Sold Product Name]" caption="Sold Product Name" attribute="1" defaultMemberUniqueName="[fact_table  2].[Sold Product Name].[All]" allUniqueName="[fact_table  2].[Sold Product Name].[All]" dimensionUniqueName="[fact_table  2]"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roducts].[Product ID]" caption="Product ID" attribute="1" defaultMemberUniqueName="[Sales_Products].[Product ID].[All]" allUniqueName="[Sales_Products].[Product ID].[All]" dimensionUniqueName="[Sales_Products]" displayFolder="" count="0" memberValueDatatype="20" unbalanced="0"/>
    <cacheHierarchy uniqueName="[Sales_Products].[Product Name]" caption="Product Name" attribute="1" defaultMemberUniqueName="[Sales_Products].[Product Name].[All]" allUniqueName="[Sales_Products].[Product Name].[All]" dimensionUniqueName="[Sales_Products]" displayFolder="" count="0" memberValueDatatype="130" unbalanced="0"/>
    <cacheHierarchy uniqueName="[Sales_Products].[Category]" caption="Category" attribute="1" defaultMemberUniqueName="[Sales_Products].[Category].[All]" allUniqueName="[Sales_Products].[Category].[All]" dimensionUniqueName="[Sales_Products]" displayFolder="" count="2" memberValueDatatype="130" unbalanced="0">
      <fieldsUsage count="2">
        <fieldUsage x="-1"/>
        <fieldUsage x="2"/>
      </fieldsUsage>
    </cacheHierarchy>
    <cacheHierarchy uniqueName="[Sales_Products].[Sales Price]" caption="Sales Price" attribute="1" defaultMemberUniqueName="[Sales_Products].[Sales Price].[All]" allUniqueName="[Sales_Products].[Sales Price].[All]" dimensionUniqueName="[Sales_Products]" displayFolder="" count="0" memberValueDatatype="5" unbalanced="0"/>
    <cacheHierarchy uniqueName="[Sales_Products].[Cost Price]" caption="Cost Price" attribute="1" defaultMemberUniqueName="[Sales_Products].[Cost Price].[All]" allUniqueName="[Sales_Products].[Cost Price].[All]" dimensionUniqueName="[Sales_Products]" displayFolder="" count="0" memberValueDatatype="5" unbalanced="0"/>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oneField="1">
      <fieldsUsage count="1">
        <fieldUsage x="0"/>
      </fieldsUsage>
    </cacheHierarchy>
    <cacheHierarchy uniqueName="[Measures].[Profit Margin %]" caption="Profit Margin %" measure="1" displayFolder="" measureGroup="Calculation" count="0"/>
    <cacheHierarchy uniqueName="[Measures].[#Transactions]" caption="#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Products]" caption="#Products" measure="1" displayFolder="" measureGroup="Calculation" count="0"/>
    <cacheHierarchy uniqueName="[Measures].[Qty Returned]" caption="Qty Returned" measure="1" displayFolder="" measureGroup="Calculation" count="0"/>
    <cacheHierarchy uniqueName="[Measures].[Total Quantity]" caption="Total Quantity" measure="1" displayFolder="" measureGroup="Calculation" count="0"/>
    <cacheHierarchy uniqueName="[Measures].[Total target]" caption="Total target" measure="1" displayFolder="" measureGroup="Calculation" count="0"/>
    <cacheHierarchy uniqueName="[Measures].[Total Customers]" caption="Total Customers" measure="1" displayFolder="" measureGroup="Calculation" count="0"/>
    <cacheHierarchy uniqueName="[Measures].[Total locations]" caption="Total locations" measure="1" displayFolder="" measureGroup="Calculation" count="0"/>
    <cacheHierarchy uniqueName="[Measures].[Product sold]" caption="Product sold" measure="1" displayFolder="" measureGroup="Calculation" count="0"/>
    <cacheHierarchy uniqueName="[Measures].[Return rate]" caption="Return rate" measure="1" displayFolder="" measureGroup="Calculation" count="0"/>
    <cacheHierarchy uniqueName="[Measures].[__XL_Count Dim_Customers]" caption="__XL_Count Dim_Customers" measure="1" displayFolder="" measureGroup="Dim_Customers"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Sales_Products]" caption="__XL_Count Sales_Products" measure="1" displayFolder="" measureGroup="Sales_Product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fact_table  2]" caption="__XL_Count fact_table  2" measure="1" displayFolder="" measureGroup="fact_table  2" count="0" hidden="1"/>
    <cacheHierarchy uniqueName="[Measures].[__No measures defined]" caption="__No measures defined" measure="1" displayFolder="" count="0" hidden="1"/>
    <cacheHierarchy uniqueName="[Measures].[Sum of Customers Age]" caption="Sum of Customers Age" measure="1" displayFolder="" measureGroup="Dim_Customers" count="0" hidden="1">
      <extLst>
        <ext xmlns:x15="http://schemas.microsoft.com/office/spreadsheetml/2010/11/main" uri="{B97F6D7D-B522-45F9-BDA1-12C45D357490}">
          <x15:cacheHierarchy aggregatedColumn="13"/>
        </ext>
      </extLst>
    </cacheHierarchy>
    <cacheHierarchy uniqueName="[Measures].[Average of Customers Age]" caption="Average of Customers Age" measure="1" displayFolder="" measureGroup="Dim_Customers" count="0" hidden="1">
      <extLst>
        <ext xmlns:x15="http://schemas.microsoft.com/office/spreadsheetml/2010/11/main" uri="{B97F6D7D-B522-45F9-BDA1-12C45D357490}">
          <x15:cacheHierarchy aggregatedColumn="13"/>
        </ext>
      </extLst>
    </cacheHierarchy>
    <cacheHierarchy uniqueName="[Measures].[Count of Measure]" caption="Count of Measure" measure="1" displayFolder="" measureGroup="Calculation" count="0" hidden="1">
      <extLst>
        <ext xmlns:x15="http://schemas.microsoft.com/office/spreadsheetml/2010/11/main" uri="{B97F6D7D-B522-45F9-BDA1-12C45D357490}">
          <x15:cacheHierarchy aggregatedColumn="0"/>
        </ext>
      </extLst>
    </cacheHierarchy>
    <cacheHierarchy uniqueName="[Measures].[Sum of Quantity Sold]" caption="Sum of Quantity Sold" measure="1" displayFolder="" measureGroup="fact_table" count="0" hidden="1">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hidden="1">
      <extLst>
        <ext xmlns:x15="http://schemas.microsoft.com/office/spreadsheetml/2010/11/main" uri="{B97F6D7D-B522-45F9-BDA1-12C45D357490}">
          <x15:cacheHierarchy aggregatedColumn="22"/>
        </ext>
      </extLst>
    </cacheHierarchy>
    <cacheHierarchy uniqueName="Dummy0" caption="Measure" measure="1" count="0">
      <extLst>
        <ext xmlns:x14="http://schemas.microsoft.com/office/spreadsheetml/2009/9/main" uri="{8CF416AD-EC4C-4aba-99F5-12A058AE0983}">
          <x14:cacheHierarchy ignore="1"/>
        </ext>
      </extLst>
    </cacheHierarchy>
  </cacheHierarchies>
  <kpis count="0"/>
  <dimensions count="9">
    <dimension name="Calculation" uniqueName="[Calculation]" caption="Calculation"/>
    <dimension name="Date" uniqueName="[Date]" caption="Date"/>
    <dimension name="Dim_Customers" uniqueName="[Dim_Customers]" caption="Dim_Customers"/>
    <dimension name="Dim_Salesperson" uniqueName="[Dim_Salesperson]" caption="Dim_Salesperson"/>
    <dimension name="fact_table" uniqueName="[fact_table]" caption="fact_table"/>
    <dimension name="fact_table  2" uniqueName="[fact_table  2]" caption="fact_table  2"/>
    <dimension measure="1" name="Measures" uniqueName="[Measures]" caption="Measures"/>
    <dimension name="monthly_store_targets" uniqueName="[monthly_store_targets]" caption="monthly_store_targets"/>
    <dimension name="Sales_Products" uniqueName="[Sales_Products]" caption="Sales_Products"/>
  </dimensions>
  <measureGroups count="8">
    <measureGroup name="Calculation" caption="Calculation"/>
    <measureGroup name="Date" caption="Date"/>
    <measureGroup name="Dim_Customers" caption="Dim_Customers"/>
    <measureGroup name="Dim_Salesperson" caption="Dim_Salesperson"/>
    <measureGroup name="fact_table" caption="fact_table"/>
    <measureGroup name="fact_table  2" caption="fact_table  2"/>
    <measureGroup name="monthly_store_targets" caption="monthly_store_targets"/>
    <measureGroup name="Sales_Products" caption="Sales_Products"/>
  </measureGroups>
  <maps count="15">
    <map measureGroup="0" dimension="0"/>
    <map measureGroup="1" dimension="1"/>
    <map measureGroup="2" dimension="2"/>
    <map measureGroup="3" dimension="3"/>
    <map measureGroup="4" dimension="1"/>
    <map measureGroup="4" dimension="2"/>
    <map measureGroup="4" dimension="3"/>
    <map measureGroup="4" dimension="4"/>
    <map measureGroup="4" dimension="5"/>
    <map measureGroup="4" dimension="8"/>
    <map measureGroup="5" dimension="5"/>
    <map measureGroup="6" dimension="1"/>
    <map measureGroup="6" dimension="3"/>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05.519706134262" backgroundQuery="1" createdVersion="8" refreshedVersion="8" minRefreshableVersion="3" recordCount="0" supportSubquery="1" supportAdvancedDrill="1" xr:uid="{8E63B4EE-3440-4739-B10C-406E7DB300F5}">
  <cacheSource type="external" connectionId="9"/>
  <cacheFields count="3">
    <cacheField name="[Measures].[Profit Margin]" caption="Profit Margin" numFmtId="0" hierarchy="38" level="32767"/>
    <cacheField name="[Dim_Customers].[Full Name].[Full Name]" caption="Full Name" numFmtId="0" hierarchy="10" level="1">
      <sharedItems count="5">
        <s v="John Brown"/>
        <s v="Judith Simmons"/>
        <s v="Kristine Barrett"/>
        <s v="Laura Gross"/>
        <s v="Paul Noble"/>
      </sharedItems>
    </cacheField>
    <cacheField name="[Sales_Products].[Category].[Category]" caption="Category" numFmtId="0" hierarchy="33" level="1">
      <sharedItems containsSemiMixedTypes="0" containsNonDate="0" containsString="0"/>
    </cacheField>
  </cacheFields>
  <cacheHierarchies count="65">
    <cacheHierarchy uniqueName="[Calculation].[Measure]" caption="Measure" attribute="1" defaultMemberUniqueName="[Calculation].[Measure].[All]" allUniqueName="[Calculation].[Measure].[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1"/>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s Age]" caption="Customers Age" attribute="1" defaultMemberUniqueName="[Dim_Customers].[Customers Age].[All]" allUniqueName="[Dim_Customers].[Customers Age].[All]" dimensionUniqueName="[Dim_Customers]" displayFolder="" count="0" memberValueDatatype="20" unbalanced="0"/>
    <cacheHierarchy uniqueName="[Dim_Customers].[Age Group]" caption="Age Group" attribute="1" defaultMemberUniqueName="[Dim_Customers].[Age Group].[All]" allUniqueName="[Dim_Customers].[Age Group].[All]" dimensionUniqueName="[Dim_Customers]"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Date of Birth]" caption="Date of Birth" attribute="1" defaultMemberUniqueName="[Dim_Salesperson].[Date of Birth].[All]" allUniqueName="[Dim_Salesperson].[Date of Birth].[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fact_table  2].[Product ID]" caption="Product ID" attribute="1" defaultMemberUniqueName="[fact_table  2].[Product ID].[All]" allUniqueName="[fact_table  2].[Product ID].[All]" dimensionUniqueName="[fact_table  2]" displayFolder="" count="0" memberValueDatatype="20" unbalanced="0"/>
    <cacheHierarchy uniqueName="[fact_table  2].[Sold Product Name]" caption="Sold Product Name" attribute="1" defaultMemberUniqueName="[fact_table  2].[Sold Product Name].[All]" allUniqueName="[fact_table  2].[Sold Product Name].[All]" dimensionUniqueName="[fact_table  2]"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roducts].[Product ID]" caption="Product ID" attribute="1" defaultMemberUniqueName="[Sales_Products].[Product ID].[All]" allUniqueName="[Sales_Products].[Product ID].[All]" dimensionUniqueName="[Sales_Products]" displayFolder="" count="0" memberValueDatatype="20" unbalanced="0"/>
    <cacheHierarchy uniqueName="[Sales_Products].[Product Name]" caption="Product Name" attribute="1" defaultMemberUniqueName="[Sales_Products].[Product Name].[All]" allUniqueName="[Sales_Products].[Product Name].[All]" dimensionUniqueName="[Sales_Products]" displayFolder="" count="0" memberValueDatatype="130" unbalanced="0"/>
    <cacheHierarchy uniqueName="[Sales_Products].[Category]" caption="Category" attribute="1" defaultMemberUniqueName="[Sales_Products].[Category].[All]" allUniqueName="[Sales_Products].[Category].[All]" dimensionUniqueName="[Sales_Products]" displayFolder="" count="2" memberValueDatatype="130" unbalanced="0">
      <fieldsUsage count="2">
        <fieldUsage x="-1"/>
        <fieldUsage x="2"/>
      </fieldsUsage>
    </cacheHierarchy>
    <cacheHierarchy uniqueName="[Sales_Products].[Sales Price]" caption="Sales Price" attribute="1" defaultMemberUniqueName="[Sales_Products].[Sales Price].[All]" allUniqueName="[Sales_Products].[Sales Price].[All]" dimensionUniqueName="[Sales_Products]" displayFolder="" count="0" memberValueDatatype="5" unbalanced="0"/>
    <cacheHierarchy uniqueName="[Sales_Products].[Cost Price]" caption="Cost Price" attribute="1" defaultMemberUniqueName="[Sales_Products].[Cost Price].[All]" allUniqueName="[Sales_Products].[Cost Price].[All]" dimensionUniqueName="[Sales_Products]" displayFolder="" count="0" memberValueDatatype="5" unbalanced="0"/>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oneField="1">
      <fieldsUsage count="1">
        <fieldUsage x="0"/>
      </fieldsUsage>
    </cacheHierarchy>
    <cacheHierarchy uniqueName="[Measures].[Profit Margin %]" caption="Profit Margin %" measure="1" displayFolder="" measureGroup="Calculation" count="0"/>
    <cacheHierarchy uniqueName="[Measures].[#Transactions]" caption="#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Products]" caption="#Products" measure="1" displayFolder="" measureGroup="Calculation" count="0"/>
    <cacheHierarchy uniqueName="[Measures].[Qty Returned]" caption="Qty Returned" measure="1" displayFolder="" measureGroup="Calculation" count="0"/>
    <cacheHierarchy uniqueName="[Measures].[Total Quantity]" caption="Total Quantity" measure="1" displayFolder="" measureGroup="Calculation" count="0"/>
    <cacheHierarchy uniqueName="[Measures].[Total target]" caption="Total target" measure="1" displayFolder="" measureGroup="Calculation" count="0"/>
    <cacheHierarchy uniqueName="[Measures].[Total Customers]" caption="Total Customers" measure="1" displayFolder="" measureGroup="Calculation" count="0"/>
    <cacheHierarchy uniqueName="[Measures].[Total locations]" caption="Total locations" measure="1" displayFolder="" measureGroup="Calculation" count="0"/>
    <cacheHierarchy uniqueName="[Measures].[Product sold]" caption="Product sold" measure="1" displayFolder="" measureGroup="Calculation" count="0"/>
    <cacheHierarchy uniqueName="[Measures].[Return rate]" caption="Return rate" measure="1" displayFolder="" measureGroup="Calculation" count="0"/>
    <cacheHierarchy uniqueName="[Measures].[__XL_Count Dim_Customers]" caption="__XL_Count Dim_Customers" measure="1" displayFolder="" measureGroup="Dim_Customers"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Sales_Products]" caption="__XL_Count Sales_Products" measure="1" displayFolder="" measureGroup="Sales_Product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fact_table  2]" caption="__XL_Count fact_table  2" measure="1" displayFolder="" measureGroup="fact_table  2" count="0" hidden="1"/>
    <cacheHierarchy uniqueName="[Measures].[__No measures defined]" caption="__No measures defined" measure="1" displayFolder="" count="0" hidden="1"/>
    <cacheHierarchy uniqueName="[Measures].[Sum of Customers Age]" caption="Sum of Customers Age" measure="1" displayFolder="" measureGroup="Dim_Customers" count="0" hidden="1">
      <extLst>
        <ext xmlns:x15="http://schemas.microsoft.com/office/spreadsheetml/2010/11/main" uri="{B97F6D7D-B522-45F9-BDA1-12C45D357490}">
          <x15:cacheHierarchy aggregatedColumn="13"/>
        </ext>
      </extLst>
    </cacheHierarchy>
    <cacheHierarchy uniqueName="[Measures].[Average of Customers Age]" caption="Average of Customers Age" measure="1" displayFolder="" measureGroup="Dim_Customers" count="0" hidden="1">
      <extLst>
        <ext xmlns:x15="http://schemas.microsoft.com/office/spreadsheetml/2010/11/main" uri="{B97F6D7D-B522-45F9-BDA1-12C45D357490}">
          <x15:cacheHierarchy aggregatedColumn="13"/>
        </ext>
      </extLst>
    </cacheHierarchy>
    <cacheHierarchy uniqueName="[Measures].[Count of Measure]" caption="Count of Measure" measure="1" displayFolder="" measureGroup="Calculation" count="0" hidden="1">
      <extLst>
        <ext xmlns:x15="http://schemas.microsoft.com/office/spreadsheetml/2010/11/main" uri="{B97F6D7D-B522-45F9-BDA1-12C45D357490}">
          <x15:cacheHierarchy aggregatedColumn="0"/>
        </ext>
      </extLst>
    </cacheHierarchy>
    <cacheHierarchy uniqueName="[Measures].[Sum of Quantity Sold]" caption="Sum of Quantity Sold" measure="1" displayFolder="" measureGroup="fact_table" count="0" hidden="1">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hidden="1">
      <extLst>
        <ext xmlns:x15="http://schemas.microsoft.com/office/spreadsheetml/2010/11/main" uri="{B97F6D7D-B522-45F9-BDA1-12C45D357490}">
          <x15:cacheHierarchy aggregatedColumn="22"/>
        </ext>
      </extLst>
    </cacheHierarchy>
  </cacheHierarchies>
  <kpis count="0"/>
  <dimensions count="9">
    <dimension name="Calculation" uniqueName="[Calculation]" caption="Calculation"/>
    <dimension name="Date" uniqueName="[Date]" caption="Date"/>
    <dimension name="Dim_Customers" uniqueName="[Dim_Customers]" caption="Dim_Customers"/>
    <dimension name="Dim_Salesperson" uniqueName="[Dim_Salesperson]" caption="Dim_Salesperson"/>
    <dimension name="fact_table" uniqueName="[fact_table]" caption="fact_table"/>
    <dimension name="fact_table  2" uniqueName="[fact_table  2]" caption="fact_table  2"/>
    <dimension measure="1" name="Measures" uniqueName="[Measures]" caption="Measures"/>
    <dimension name="monthly_store_targets" uniqueName="[monthly_store_targets]" caption="monthly_store_targets"/>
    <dimension name="Sales_Products" uniqueName="[Sales_Products]" caption="Sales_Products"/>
  </dimensions>
  <measureGroups count="8">
    <measureGroup name="Calculation" caption="Calculation"/>
    <measureGroup name="Date" caption="Date"/>
    <measureGroup name="Dim_Customers" caption="Dim_Customers"/>
    <measureGroup name="Dim_Salesperson" caption="Dim_Salesperson"/>
    <measureGroup name="fact_table" caption="fact_table"/>
    <measureGroup name="fact_table  2" caption="fact_table  2"/>
    <measureGroup name="monthly_store_targets" caption="monthly_store_targets"/>
    <measureGroup name="Sales_Products" caption="Sales_Products"/>
  </measureGroups>
  <maps count="15">
    <map measureGroup="0" dimension="0"/>
    <map measureGroup="1" dimension="1"/>
    <map measureGroup="2" dimension="2"/>
    <map measureGroup="3" dimension="3"/>
    <map measureGroup="4" dimension="1"/>
    <map measureGroup="4" dimension="2"/>
    <map measureGroup="4" dimension="3"/>
    <map measureGroup="4" dimension="4"/>
    <map measureGroup="4" dimension="5"/>
    <map measureGroup="4" dimension="8"/>
    <map measureGroup="5" dimension="5"/>
    <map measureGroup="6" dimension="1"/>
    <map measureGroup="6" dimension="3"/>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05.519708796295" backgroundQuery="1" createdVersion="8" refreshedVersion="8" minRefreshableVersion="3" recordCount="0" supportSubquery="1" supportAdvancedDrill="1" xr:uid="{61E72D54-E4C2-42DC-BD97-BF4AD2334BD6}">
  <cacheSource type="external" connectionId="9"/>
  <cacheFields count="4">
    <cacheField name="[Measures].[Product sold]" caption="Product sold" numFmtId="0" hierarchy="49" level="32767"/>
    <cacheField name="[Measures].[Return rate]" caption="Return rate" numFmtId="0" hierarchy="50" level="32767"/>
    <cacheField name="[Measures].[Refund Rate]" caption="Refund Rate" numFmtId="0" hierarchy="42" level="32767"/>
    <cacheField name="[Sales_Products].[Category].[Category]" caption="Category" numFmtId="0" hierarchy="33" level="1">
      <sharedItems containsSemiMixedTypes="0" containsNonDate="0" containsString="0"/>
    </cacheField>
  </cacheFields>
  <cacheHierarchies count="65">
    <cacheHierarchy uniqueName="[Calculation].[Measure]" caption="Measure" attribute="1" defaultMemberUniqueName="[Calculation].[Measure].[All]" allUniqueName="[Calculation].[Measure].[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s Age]" caption="Customers Age" attribute="1" defaultMemberUniqueName="[Dim_Customers].[Customers Age].[All]" allUniqueName="[Dim_Customers].[Customers Age].[All]" dimensionUniqueName="[Dim_Customers]" displayFolder="" count="0" memberValueDatatype="20" unbalanced="0"/>
    <cacheHierarchy uniqueName="[Dim_Customers].[Age Group]" caption="Age Group" attribute="1" defaultMemberUniqueName="[Dim_Customers].[Age Group].[All]" allUniqueName="[Dim_Customers].[Age Group].[All]" dimensionUniqueName="[Dim_Customers]"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Date of Birth]" caption="Date of Birth" attribute="1" defaultMemberUniqueName="[Dim_Salesperson].[Date of Birth].[All]" allUniqueName="[Dim_Salesperson].[Date of Birth].[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fact_table  2].[Product ID]" caption="Product ID" attribute="1" defaultMemberUniqueName="[fact_table  2].[Product ID].[All]" allUniqueName="[fact_table  2].[Product ID].[All]" dimensionUniqueName="[fact_table  2]" displayFolder="" count="0" memberValueDatatype="20" unbalanced="0"/>
    <cacheHierarchy uniqueName="[fact_table  2].[Sold Product Name]" caption="Sold Product Name" attribute="1" defaultMemberUniqueName="[fact_table  2].[Sold Product Name].[All]" allUniqueName="[fact_table  2].[Sold Product Name].[All]" dimensionUniqueName="[fact_table  2]"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roducts].[Product ID]" caption="Product ID" attribute="1" defaultMemberUniqueName="[Sales_Products].[Product ID].[All]" allUniqueName="[Sales_Products].[Product ID].[All]" dimensionUniqueName="[Sales_Products]" displayFolder="" count="0" memberValueDatatype="20" unbalanced="0"/>
    <cacheHierarchy uniqueName="[Sales_Products].[Product Name]" caption="Product Name" attribute="1" defaultMemberUniqueName="[Sales_Products].[Product Name].[All]" allUniqueName="[Sales_Products].[Product Name].[All]" dimensionUniqueName="[Sales_Products]" displayFolder="" count="0" memberValueDatatype="130" unbalanced="0"/>
    <cacheHierarchy uniqueName="[Sales_Products].[Category]" caption="Category" attribute="1" defaultMemberUniqueName="[Sales_Products].[Category].[All]" allUniqueName="[Sales_Products].[Category].[All]" dimensionUniqueName="[Sales_Products]" displayFolder="" count="2" memberValueDatatype="130" unbalanced="0">
      <fieldsUsage count="2">
        <fieldUsage x="-1"/>
        <fieldUsage x="3"/>
      </fieldsUsage>
    </cacheHierarchy>
    <cacheHierarchy uniqueName="[Sales_Products].[Sales Price]" caption="Sales Price" attribute="1" defaultMemberUniqueName="[Sales_Products].[Sales Price].[All]" allUniqueName="[Sales_Products].[Sales Price].[All]" dimensionUniqueName="[Sales_Products]" displayFolder="" count="0" memberValueDatatype="5" unbalanced="0"/>
    <cacheHierarchy uniqueName="[Sales_Products].[Cost Price]" caption="Cost Price" attribute="1" defaultMemberUniqueName="[Sales_Products].[Cost Price].[All]" allUniqueName="[Sales_Products].[Cost Price].[All]" dimensionUniqueName="[Sales_Products]" displayFolder="" count="0" memberValueDatatype="5" unbalanced="0"/>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cacheHierarchy uniqueName="[Measures].[Profit Margin %]" caption="Profit Margin %" measure="1" displayFolder="" measureGroup="Calculation" count="0"/>
    <cacheHierarchy uniqueName="[Measures].[#Transactions]" caption="#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oneField="1">
      <fieldsUsage count="1">
        <fieldUsage x="2"/>
      </fieldsUsage>
    </cacheHierarchy>
    <cacheHierarchy uniqueName="[Measures].[#Products]" caption="#Products" measure="1" displayFolder="" measureGroup="Calculation" count="0"/>
    <cacheHierarchy uniqueName="[Measures].[Qty Returned]" caption="Qty Returned" measure="1" displayFolder="" measureGroup="Calculation" count="0"/>
    <cacheHierarchy uniqueName="[Measures].[Total Quantity]" caption="Total Quantity" measure="1" displayFolder="" measureGroup="Calculation" count="0"/>
    <cacheHierarchy uniqueName="[Measures].[Total target]" caption="Total target" measure="1" displayFolder="" measureGroup="Calculation" count="0"/>
    <cacheHierarchy uniqueName="[Measures].[Total Customers]" caption="Total Customers" measure="1" displayFolder="" measureGroup="Calculation" count="0"/>
    <cacheHierarchy uniqueName="[Measures].[Total locations]" caption="Total locations" measure="1" displayFolder="" measureGroup="Calculation" count="0"/>
    <cacheHierarchy uniqueName="[Measures].[Product sold]" caption="Product sold" measure="1" displayFolder="" measureGroup="Calculation" count="0" oneField="1">
      <fieldsUsage count="1">
        <fieldUsage x="0"/>
      </fieldsUsage>
    </cacheHierarchy>
    <cacheHierarchy uniqueName="[Measures].[Return rate]" caption="Return rate" measure="1" displayFolder="" measureGroup="Calculation" count="0" oneField="1">
      <fieldsUsage count="1">
        <fieldUsage x="1"/>
      </fieldsUsage>
    </cacheHierarchy>
    <cacheHierarchy uniqueName="[Measures].[__XL_Count Dim_Customers]" caption="__XL_Count Dim_Customers" measure="1" displayFolder="" measureGroup="Dim_Customers"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Sales_Products]" caption="__XL_Count Sales_Products" measure="1" displayFolder="" measureGroup="Sales_Product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fact_table  2]" caption="__XL_Count fact_table  2" measure="1" displayFolder="" measureGroup="fact_table  2" count="0" hidden="1"/>
    <cacheHierarchy uniqueName="[Measures].[__No measures defined]" caption="__No measures defined" measure="1" displayFolder="" count="0" hidden="1"/>
    <cacheHierarchy uniqueName="[Measures].[Sum of Customers Age]" caption="Sum of Customers Age" measure="1" displayFolder="" measureGroup="Dim_Customers" count="0" hidden="1">
      <extLst>
        <ext xmlns:x15="http://schemas.microsoft.com/office/spreadsheetml/2010/11/main" uri="{B97F6D7D-B522-45F9-BDA1-12C45D357490}">
          <x15:cacheHierarchy aggregatedColumn="13"/>
        </ext>
      </extLst>
    </cacheHierarchy>
    <cacheHierarchy uniqueName="[Measures].[Average of Customers Age]" caption="Average of Customers Age" measure="1" displayFolder="" measureGroup="Dim_Customers" count="0" hidden="1">
      <extLst>
        <ext xmlns:x15="http://schemas.microsoft.com/office/spreadsheetml/2010/11/main" uri="{B97F6D7D-B522-45F9-BDA1-12C45D357490}">
          <x15:cacheHierarchy aggregatedColumn="13"/>
        </ext>
      </extLst>
    </cacheHierarchy>
    <cacheHierarchy uniqueName="[Measures].[Count of Measure]" caption="Count of Measure" measure="1" displayFolder="" measureGroup="Calculation" count="0" hidden="1">
      <extLst>
        <ext xmlns:x15="http://schemas.microsoft.com/office/spreadsheetml/2010/11/main" uri="{B97F6D7D-B522-45F9-BDA1-12C45D357490}">
          <x15:cacheHierarchy aggregatedColumn="0"/>
        </ext>
      </extLst>
    </cacheHierarchy>
    <cacheHierarchy uniqueName="[Measures].[Sum of Quantity Sold]" caption="Sum of Quantity Sold" measure="1" displayFolder="" measureGroup="fact_table" count="0" hidden="1">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hidden="1">
      <extLst>
        <ext xmlns:x15="http://schemas.microsoft.com/office/spreadsheetml/2010/11/main" uri="{B97F6D7D-B522-45F9-BDA1-12C45D357490}">
          <x15:cacheHierarchy aggregatedColumn="22"/>
        </ext>
      </extLst>
    </cacheHierarchy>
  </cacheHierarchies>
  <kpis count="0"/>
  <dimensions count="9">
    <dimension name="Calculation" uniqueName="[Calculation]" caption="Calculation"/>
    <dimension name="Date" uniqueName="[Date]" caption="Date"/>
    <dimension name="Dim_Customers" uniqueName="[Dim_Customers]" caption="Dim_Customers"/>
    <dimension name="Dim_Salesperson" uniqueName="[Dim_Salesperson]" caption="Dim_Salesperson"/>
    <dimension name="fact_table" uniqueName="[fact_table]" caption="fact_table"/>
    <dimension name="fact_table  2" uniqueName="[fact_table  2]" caption="fact_table  2"/>
    <dimension measure="1" name="Measures" uniqueName="[Measures]" caption="Measures"/>
    <dimension name="monthly_store_targets" uniqueName="[monthly_store_targets]" caption="monthly_store_targets"/>
    <dimension name="Sales_Products" uniqueName="[Sales_Products]" caption="Sales_Products"/>
  </dimensions>
  <measureGroups count="8">
    <measureGroup name="Calculation" caption="Calculation"/>
    <measureGroup name="Date" caption="Date"/>
    <measureGroup name="Dim_Customers" caption="Dim_Customers"/>
    <measureGroup name="Dim_Salesperson" caption="Dim_Salesperson"/>
    <measureGroup name="fact_table" caption="fact_table"/>
    <measureGroup name="fact_table  2" caption="fact_table  2"/>
    <measureGroup name="monthly_store_targets" caption="monthly_store_targets"/>
    <measureGroup name="Sales_Products" caption="Sales_Products"/>
  </measureGroups>
  <maps count="15">
    <map measureGroup="0" dimension="0"/>
    <map measureGroup="1" dimension="1"/>
    <map measureGroup="2" dimension="2"/>
    <map measureGroup="3" dimension="3"/>
    <map measureGroup="4" dimension="1"/>
    <map measureGroup="4" dimension="2"/>
    <map measureGroup="4" dimension="3"/>
    <map measureGroup="4" dimension="4"/>
    <map measureGroup="4" dimension="5"/>
    <map measureGroup="4" dimension="8"/>
    <map measureGroup="5" dimension="5"/>
    <map measureGroup="6" dimension="1"/>
    <map measureGroup="6" dimension="3"/>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05.519711111112" backgroundQuery="1" createdVersion="8" refreshedVersion="8" minRefreshableVersion="3" recordCount="0" supportSubquery="1" supportAdvancedDrill="1" xr:uid="{8F7A3172-B3B0-4FCF-BBC2-116387A5FF9E}">
  <cacheSource type="external" connectionId="9"/>
  <cacheFields count="4">
    <cacheField name="[Measures].[Profit Margin]" caption="Profit Margin" numFmtId="0" hierarchy="38" level="32767"/>
    <cacheField name="[Dim_Customers].[Full Name].[Full Name]" caption="Full Name" numFmtId="0" hierarchy="10" level="1">
      <sharedItems count="5">
        <s v="John Brown"/>
        <s v="Judith Simmons"/>
        <s v="Kristine Barrett"/>
        <s v="Laura Gross"/>
        <s v="Paul Noble"/>
      </sharedItems>
    </cacheField>
    <cacheField name="[Sales_Products].[Product Name].[Product Name]" caption="Product Name" numFmtId="0" hierarchy="32" level="1">
      <sharedItems count="5">
        <s v="Attorney Mist"/>
        <s v="Begin Brew"/>
        <s v="Common Splash"/>
        <s v="Eight Brew"/>
        <s v="Onto Dew"/>
      </sharedItems>
    </cacheField>
    <cacheField name="[Sales_Products].[Category].[Category]" caption="Category" numFmtId="0" hierarchy="33" level="1">
      <sharedItems containsSemiMixedTypes="0" containsNonDate="0" containsString="0"/>
    </cacheField>
  </cacheFields>
  <cacheHierarchies count="65">
    <cacheHierarchy uniqueName="[Calculation].[Measure]" caption="Measure" attribute="1" defaultMemberUniqueName="[Calculation].[Measure].[All]" allUniqueName="[Calculation].[Measure].[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1"/>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s Age]" caption="Customers Age" attribute="1" defaultMemberUniqueName="[Dim_Customers].[Customers Age].[All]" allUniqueName="[Dim_Customers].[Customers Age].[All]" dimensionUniqueName="[Dim_Customers]" displayFolder="" count="0" memberValueDatatype="20" unbalanced="0"/>
    <cacheHierarchy uniqueName="[Dim_Customers].[Age Group]" caption="Age Group" attribute="1" defaultMemberUniqueName="[Dim_Customers].[Age Group].[All]" allUniqueName="[Dim_Customers].[Age Group].[All]" dimensionUniqueName="[Dim_Customers]"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Date of Birth]" caption="Date of Birth" attribute="1" defaultMemberUniqueName="[Dim_Salesperson].[Date of Birth].[All]" allUniqueName="[Dim_Salesperson].[Date of Birth].[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fact_table  2].[Product ID]" caption="Product ID" attribute="1" defaultMemberUniqueName="[fact_table  2].[Product ID].[All]" allUniqueName="[fact_table  2].[Product ID].[All]" dimensionUniqueName="[fact_table  2]" displayFolder="" count="0" memberValueDatatype="20" unbalanced="0"/>
    <cacheHierarchy uniqueName="[fact_table  2].[Sold Product Name]" caption="Sold Product Name" attribute="1" defaultMemberUniqueName="[fact_table  2].[Sold Product Name].[All]" allUniqueName="[fact_table  2].[Sold Product Name].[All]" dimensionUniqueName="[fact_table  2]"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roducts].[Product ID]" caption="Product ID" attribute="1" defaultMemberUniqueName="[Sales_Products].[Product ID].[All]" allUniqueName="[Sales_Products].[Product ID].[All]" dimensionUniqueName="[Sales_Products]" displayFolder="" count="0" memberValueDatatype="20" unbalanced="0"/>
    <cacheHierarchy uniqueName="[Sales_Products].[Product Name]" caption="Product Name" attribute="1" defaultMemberUniqueName="[Sales_Products].[Product Name].[All]" allUniqueName="[Sales_Products].[Product Name].[All]" dimensionUniqueName="[Sales_Products]" displayFolder="" count="2" memberValueDatatype="130" unbalanced="0">
      <fieldsUsage count="2">
        <fieldUsage x="-1"/>
        <fieldUsage x="2"/>
      </fieldsUsage>
    </cacheHierarchy>
    <cacheHierarchy uniqueName="[Sales_Products].[Category]" caption="Category" attribute="1" defaultMemberUniqueName="[Sales_Products].[Category].[All]" allUniqueName="[Sales_Products].[Category].[All]" dimensionUniqueName="[Sales_Products]" displayFolder="" count="2" memberValueDatatype="130" unbalanced="0">
      <fieldsUsage count="2">
        <fieldUsage x="-1"/>
        <fieldUsage x="3"/>
      </fieldsUsage>
    </cacheHierarchy>
    <cacheHierarchy uniqueName="[Sales_Products].[Sales Price]" caption="Sales Price" attribute="1" defaultMemberUniqueName="[Sales_Products].[Sales Price].[All]" allUniqueName="[Sales_Products].[Sales Price].[All]" dimensionUniqueName="[Sales_Products]" displayFolder="" count="0" memberValueDatatype="5" unbalanced="0"/>
    <cacheHierarchy uniqueName="[Sales_Products].[Cost Price]" caption="Cost Price" attribute="1" defaultMemberUniqueName="[Sales_Products].[Cost Price].[All]" allUniqueName="[Sales_Products].[Cost Price].[All]" dimensionUniqueName="[Sales_Products]" displayFolder="" count="0" memberValueDatatype="5" unbalanced="0"/>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oneField="1">
      <fieldsUsage count="1">
        <fieldUsage x="0"/>
      </fieldsUsage>
    </cacheHierarchy>
    <cacheHierarchy uniqueName="[Measures].[Profit Margin %]" caption="Profit Margin %" measure="1" displayFolder="" measureGroup="Calculation" count="0"/>
    <cacheHierarchy uniqueName="[Measures].[#Transactions]" caption="#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Products]" caption="#Products" measure="1" displayFolder="" measureGroup="Calculation" count="0"/>
    <cacheHierarchy uniqueName="[Measures].[Qty Returned]" caption="Qty Returned" measure="1" displayFolder="" measureGroup="Calculation" count="0"/>
    <cacheHierarchy uniqueName="[Measures].[Total Quantity]" caption="Total Quantity" measure="1" displayFolder="" measureGroup="Calculation" count="0"/>
    <cacheHierarchy uniqueName="[Measures].[Total target]" caption="Total target" measure="1" displayFolder="" measureGroup="Calculation" count="0"/>
    <cacheHierarchy uniqueName="[Measures].[Total Customers]" caption="Total Customers" measure="1" displayFolder="" measureGroup="Calculation" count="0"/>
    <cacheHierarchy uniqueName="[Measures].[Total locations]" caption="Total locations" measure="1" displayFolder="" measureGroup="Calculation" count="0"/>
    <cacheHierarchy uniqueName="[Measures].[Product sold]" caption="Product sold" measure="1" displayFolder="" measureGroup="Calculation" count="0"/>
    <cacheHierarchy uniqueName="[Measures].[Return rate]" caption="Return rate" measure="1" displayFolder="" measureGroup="Calculation" count="0"/>
    <cacheHierarchy uniqueName="[Measures].[__XL_Count Dim_Customers]" caption="__XL_Count Dim_Customers" measure="1" displayFolder="" measureGroup="Dim_Customers"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Sales_Products]" caption="__XL_Count Sales_Products" measure="1" displayFolder="" measureGroup="Sales_Product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fact_table  2]" caption="__XL_Count fact_table  2" measure="1" displayFolder="" measureGroup="fact_table  2" count="0" hidden="1"/>
    <cacheHierarchy uniqueName="[Measures].[__No measures defined]" caption="__No measures defined" measure="1" displayFolder="" count="0" hidden="1"/>
    <cacheHierarchy uniqueName="[Measures].[Sum of Customers Age]" caption="Sum of Customers Age" measure="1" displayFolder="" measureGroup="Dim_Customers" count="0" hidden="1">
      <extLst>
        <ext xmlns:x15="http://schemas.microsoft.com/office/spreadsheetml/2010/11/main" uri="{B97F6D7D-B522-45F9-BDA1-12C45D357490}">
          <x15:cacheHierarchy aggregatedColumn="13"/>
        </ext>
      </extLst>
    </cacheHierarchy>
    <cacheHierarchy uniqueName="[Measures].[Average of Customers Age]" caption="Average of Customers Age" measure="1" displayFolder="" measureGroup="Dim_Customers" count="0" hidden="1">
      <extLst>
        <ext xmlns:x15="http://schemas.microsoft.com/office/spreadsheetml/2010/11/main" uri="{B97F6D7D-B522-45F9-BDA1-12C45D357490}">
          <x15:cacheHierarchy aggregatedColumn="13"/>
        </ext>
      </extLst>
    </cacheHierarchy>
    <cacheHierarchy uniqueName="[Measures].[Count of Measure]" caption="Count of Measure" measure="1" displayFolder="" measureGroup="Calculation" count="0" hidden="1">
      <extLst>
        <ext xmlns:x15="http://schemas.microsoft.com/office/spreadsheetml/2010/11/main" uri="{B97F6D7D-B522-45F9-BDA1-12C45D357490}">
          <x15:cacheHierarchy aggregatedColumn="0"/>
        </ext>
      </extLst>
    </cacheHierarchy>
    <cacheHierarchy uniqueName="[Measures].[Sum of Quantity Sold]" caption="Sum of Quantity Sold" measure="1" displayFolder="" measureGroup="fact_table" count="0" hidden="1">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hidden="1">
      <extLst>
        <ext xmlns:x15="http://schemas.microsoft.com/office/spreadsheetml/2010/11/main" uri="{B97F6D7D-B522-45F9-BDA1-12C45D357490}">
          <x15:cacheHierarchy aggregatedColumn="22"/>
        </ext>
      </extLst>
    </cacheHierarchy>
  </cacheHierarchies>
  <kpis count="0"/>
  <dimensions count="9">
    <dimension name="Calculation" uniqueName="[Calculation]" caption="Calculation"/>
    <dimension name="Date" uniqueName="[Date]" caption="Date"/>
    <dimension name="Dim_Customers" uniqueName="[Dim_Customers]" caption="Dim_Customers"/>
    <dimension name="Dim_Salesperson" uniqueName="[Dim_Salesperson]" caption="Dim_Salesperson"/>
    <dimension name="fact_table" uniqueName="[fact_table]" caption="fact_table"/>
    <dimension name="fact_table  2" uniqueName="[fact_table  2]" caption="fact_table  2"/>
    <dimension measure="1" name="Measures" uniqueName="[Measures]" caption="Measures"/>
    <dimension name="monthly_store_targets" uniqueName="[monthly_store_targets]" caption="monthly_store_targets"/>
    <dimension name="Sales_Products" uniqueName="[Sales_Products]" caption="Sales_Products"/>
  </dimensions>
  <measureGroups count="8">
    <measureGroup name="Calculation" caption="Calculation"/>
    <measureGroup name="Date" caption="Date"/>
    <measureGroup name="Dim_Customers" caption="Dim_Customers"/>
    <measureGroup name="Dim_Salesperson" caption="Dim_Salesperson"/>
    <measureGroup name="fact_table" caption="fact_table"/>
    <measureGroup name="fact_table  2" caption="fact_table  2"/>
    <measureGroup name="monthly_store_targets" caption="monthly_store_targets"/>
    <measureGroup name="Sales_Products" caption="Sales_Products"/>
  </measureGroups>
  <maps count="15">
    <map measureGroup="0" dimension="0"/>
    <map measureGroup="1" dimension="1"/>
    <map measureGroup="2" dimension="2"/>
    <map measureGroup="3" dimension="3"/>
    <map measureGroup="4" dimension="1"/>
    <map measureGroup="4" dimension="2"/>
    <map measureGroup="4" dimension="3"/>
    <map measureGroup="4" dimension="4"/>
    <map measureGroup="4" dimension="5"/>
    <map measureGroup="4" dimension="8"/>
    <map measureGroup="5" dimension="5"/>
    <map measureGroup="6" dimension="1"/>
    <map measureGroup="6" dimension="3"/>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05.519716898147" backgroundQuery="1" createdVersion="8" refreshedVersion="8" minRefreshableVersion="3" recordCount="0" supportSubquery="1" supportAdvancedDrill="1" xr:uid="{1C2A00F8-C219-4992-9B06-9A3179F4C210}">
  <cacheSource type="external" connectionId="9"/>
  <cacheFields count="4">
    <cacheField name="[Dim_Customers].[Full Name].[Full Name]" caption="Full Name" numFmtId="0" hierarchy="10" level="1">
      <sharedItems count="5">
        <s v="John Brown"/>
        <s v="Judith Simmons"/>
        <s v="Kristine Barrett"/>
        <s v="Laura Gross"/>
        <s v="Paul Noble"/>
      </sharedItems>
    </cacheField>
    <cacheField name="[Sales_Products].[Product Name].[Product Name]" caption="Product Name" numFmtId="0" hierarchy="32" level="1">
      <sharedItems count="5">
        <s v="Attorney Mist"/>
        <s v="Begin Brew"/>
        <s v="Common Splash"/>
        <s v="Eight Brew"/>
        <s v="Onto Dew"/>
      </sharedItems>
    </cacheField>
    <cacheField name="[Measures].[Total Quantity]" caption="Total Quantity" numFmtId="0" hierarchy="45" level="32767"/>
    <cacheField name="[Sales_Products].[Category].[Category]" caption="Category" numFmtId="0" hierarchy="33" level="1">
      <sharedItems containsSemiMixedTypes="0" containsNonDate="0" containsString="0"/>
    </cacheField>
  </cacheFields>
  <cacheHierarchies count="65">
    <cacheHierarchy uniqueName="[Calculation].[Measure]" caption="Measure" attribute="1" defaultMemberUniqueName="[Calculation].[Measure].[All]" allUniqueName="[Calculation].[Measure].[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s Age]" caption="Customers Age" attribute="1" defaultMemberUniqueName="[Dim_Customers].[Customers Age].[All]" allUniqueName="[Dim_Customers].[Customers Age].[All]" dimensionUniqueName="[Dim_Customers]" displayFolder="" count="0" memberValueDatatype="20" unbalanced="0"/>
    <cacheHierarchy uniqueName="[Dim_Customers].[Age Group]" caption="Age Group" attribute="1" defaultMemberUniqueName="[Dim_Customers].[Age Group].[All]" allUniqueName="[Dim_Customers].[Age Group].[All]" dimensionUniqueName="[Dim_Customers]"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Date of Birth]" caption="Date of Birth" attribute="1" defaultMemberUniqueName="[Dim_Salesperson].[Date of Birth].[All]" allUniqueName="[Dim_Salesperson].[Date of Birth].[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fact_table  2].[Product ID]" caption="Product ID" attribute="1" defaultMemberUniqueName="[fact_table  2].[Product ID].[All]" allUniqueName="[fact_table  2].[Product ID].[All]" dimensionUniqueName="[fact_table  2]" displayFolder="" count="0" memberValueDatatype="20" unbalanced="0"/>
    <cacheHierarchy uniqueName="[fact_table  2].[Sold Product Name]" caption="Sold Product Name" attribute="1" defaultMemberUniqueName="[fact_table  2].[Sold Product Name].[All]" allUniqueName="[fact_table  2].[Sold Product Name].[All]" dimensionUniqueName="[fact_table  2]"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roducts].[Product ID]" caption="Product ID" attribute="1" defaultMemberUniqueName="[Sales_Products].[Product ID].[All]" allUniqueName="[Sales_Products].[Product ID].[All]" dimensionUniqueName="[Sales_Products]" displayFolder="" count="0" memberValueDatatype="20" unbalanced="0"/>
    <cacheHierarchy uniqueName="[Sales_Products].[Product Name]" caption="Product Name" attribute="1" defaultMemberUniqueName="[Sales_Products].[Product Name].[All]" allUniqueName="[Sales_Products].[Product Name].[All]" dimensionUniqueName="[Sales_Products]" displayFolder="" count="2" memberValueDatatype="130" unbalanced="0">
      <fieldsUsage count="2">
        <fieldUsage x="-1"/>
        <fieldUsage x="1"/>
      </fieldsUsage>
    </cacheHierarchy>
    <cacheHierarchy uniqueName="[Sales_Products].[Category]" caption="Category" attribute="1" defaultMemberUniqueName="[Sales_Products].[Category].[All]" allUniqueName="[Sales_Products].[Category].[All]" dimensionUniqueName="[Sales_Products]" displayFolder="" count="2" memberValueDatatype="130" unbalanced="0">
      <fieldsUsage count="2">
        <fieldUsage x="-1"/>
        <fieldUsage x="3"/>
      </fieldsUsage>
    </cacheHierarchy>
    <cacheHierarchy uniqueName="[Sales_Products].[Sales Price]" caption="Sales Price" attribute="1" defaultMemberUniqueName="[Sales_Products].[Sales Price].[All]" allUniqueName="[Sales_Products].[Sales Price].[All]" dimensionUniqueName="[Sales_Products]" displayFolder="" count="0" memberValueDatatype="5" unbalanced="0"/>
    <cacheHierarchy uniqueName="[Sales_Products].[Cost Price]" caption="Cost Price" attribute="1" defaultMemberUniqueName="[Sales_Products].[Cost Price].[All]" allUniqueName="[Sales_Products].[Cost Price].[All]" dimensionUniqueName="[Sales_Products]" displayFolder="" count="0" memberValueDatatype="5" unbalanced="0"/>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cacheHierarchy uniqueName="[Measures].[Profit Margin %]" caption="Profit Margin %" measure="1" displayFolder="" measureGroup="Calculation" count="0"/>
    <cacheHierarchy uniqueName="[Measures].[#Transactions]" caption="#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Products]" caption="#Products" measure="1" displayFolder="" measureGroup="Calculation" count="0"/>
    <cacheHierarchy uniqueName="[Measures].[Qty Returned]" caption="Qty Returned" measure="1" displayFolder="" measureGroup="Calculation" count="0"/>
    <cacheHierarchy uniqueName="[Measures].[Total Quantity]" caption="Total Quantity" measure="1" displayFolder="" measureGroup="Calculation" count="0" oneField="1">
      <fieldsUsage count="1">
        <fieldUsage x="2"/>
      </fieldsUsage>
    </cacheHierarchy>
    <cacheHierarchy uniqueName="[Measures].[Total target]" caption="Total target" measure="1" displayFolder="" measureGroup="Calculation" count="0"/>
    <cacheHierarchy uniqueName="[Measures].[Total Customers]" caption="Total Customers" measure="1" displayFolder="" measureGroup="Calculation" count="0"/>
    <cacheHierarchy uniqueName="[Measures].[Total locations]" caption="Total locations" measure="1" displayFolder="" measureGroup="Calculation" count="0"/>
    <cacheHierarchy uniqueName="[Measures].[Product sold]" caption="Product sold" measure="1" displayFolder="" measureGroup="Calculation" count="0"/>
    <cacheHierarchy uniqueName="[Measures].[Return rate]" caption="Return rate" measure="1" displayFolder="" measureGroup="Calculation" count="0"/>
    <cacheHierarchy uniqueName="[Measures].[__XL_Count Dim_Customers]" caption="__XL_Count Dim_Customers" measure="1" displayFolder="" measureGroup="Dim_Customers"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Sales_Products]" caption="__XL_Count Sales_Products" measure="1" displayFolder="" measureGroup="Sales_Product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fact_table  2]" caption="__XL_Count fact_table  2" measure="1" displayFolder="" measureGroup="fact_table  2" count="0" hidden="1"/>
    <cacheHierarchy uniqueName="[Measures].[__No measures defined]" caption="__No measures defined" measure="1" displayFolder="" count="0" hidden="1"/>
    <cacheHierarchy uniqueName="[Measures].[Sum of Customers Age]" caption="Sum of Customers Age" measure="1" displayFolder="" measureGroup="Dim_Customers" count="0" hidden="1">
      <extLst>
        <ext xmlns:x15="http://schemas.microsoft.com/office/spreadsheetml/2010/11/main" uri="{B97F6D7D-B522-45F9-BDA1-12C45D357490}">
          <x15:cacheHierarchy aggregatedColumn="13"/>
        </ext>
      </extLst>
    </cacheHierarchy>
    <cacheHierarchy uniqueName="[Measures].[Average of Customers Age]" caption="Average of Customers Age" measure="1" displayFolder="" measureGroup="Dim_Customers" count="0" hidden="1">
      <extLst>
        <ext xmlns:x15="http://schemas.microsoft.com/office/spreadsheetml/2010/11/main" uri="{B97F6D7D-B522-45F9-BDA1-12C45D357490}">
          <x15:cacheHierarchy aggregatedColumn="13"/>
        </ext>
      </extLst>
    </cacheHierarchy>
    <cacheHierarchy uniqueName="[Measures].[Count of Measure]" caption="Count of Measure" measure="1" displayFolder="" measureGroup="Calculation" count="0" hidden="1">
      <extLst>
        <ext xmlns:x15="http://schemas.microsoft.com/office/spreadsheetml/2010/11/main" uri="{B97F6D7D-B522-45F9-BDA1-12C45D357490}">
          <x15:cacheHierarchy aggregatedColumn="0"/>
        </ext>
      </extLst>
    </cacheHierarchy>
    <cacheHierarchy uniqueName="[Measures].[Sum of Quantity Sold]" caption="Sum of Quantity Sold" measure="1" displayFolder="" measureGroup="fact_table" count="0" hidden="1">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hidden="1">
      <extLst>
        <ext xmlns:x15="http://schemas.microsoft.com/office/spreadsheetml/2010/11/main" uri="{B97F6D7D-B522-45F9-BDA1-12C45D357490}">
          <x15:cacheHierarchy aggregatedColumn="22"/>
        </ext>
      </extLst>
    </cacheHierarchy>
  </cacheHierarchies>
  <kpis count="0"/>
  <dimensions count="9">
    <dimension name="Calculation" uniqueName="[Calculation]" caption="Calculation"/>
    <dimension name="Date" uniqueName="[Date]" caption="Date"/>
    <dimension name="Dim_Customers" uniqueName="[Dim_Customers]" caption="Dim_Customers"/>
    <dimension name="Dim_Salesperson" uniqueName="[Dim_Salesperson]" caption="Dim_Salesperson"/>
    <dimension name="fact_table" uniqueName="[fact_table]" caption="fact_table"/>
    <dimension name="fact_table  2" uniqueName="[fact_table  2]" caption="fact_table  2"/>
    <dimension measure="1" name="Measures" uniqueName="[Measures]" caption="Measures"/>
    <dimension name="monthly_store_targets" uniqueName="[monthly_store_targets]" caption="monthly_store_targets"/>
    <dimension name="Sales_Products" uniqueName="[Sales_Products]" caption="Sales_Products"/>
  </dimensions>
  <measureGroups count="8">
    <measureGroup name="Calculation" caption="Calculation"/>
    <measureGroup name="Date" caption="Date"/>
    <measureGroup name="Dim_Customers" caption="Dim_Customers"/>
    <measureGroup name="Dim_Salesperson" caption="Dim_Salesperson"/>
    <measureGroup name="fact_table" caption="fact_table"/>
    <measureGroup name="fact_table  2" caption="fact_table  2"/>
    <measureGroup name="monthly_store_targets" caption="monthly_store_targets"/>
    <measureGroup name="Sales_Products" caption="Sales_Products"/>
  </measureGroups>
  <maps count="15">
    <map measureGroup="0" dimension="0"/>
    <map measureGroup="1" dimension="1"/>
    <map measureGroup="2" dimension="2"/>
    <map measureGroup="3" dimension="3"/>
    <map measureGroup="4" dimension="1"/>
    <map measureGroup="4" dimension="2"/>
    <map measureGroup="4" dimension="3"/>
    <map measureGroup="4" dimension="4"/>
    <map measureGroup="4" dimension="5"/>
    <map measureGroup="4" dimension="8"/>
    <map measureGroup="5" dimension="5"/>
    <map measureGroup="6" dimension="1"/>
    <map measureGroup="6" dimension="3"/>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05.519719097225" backgroundQuery="1" createdVersion="8" refreshedVersion="8" minRefreshableVersion="3" recordCount="0" supportSubquery="1" supportAdvancedDrill="1" xr:uid="{943826B6-470F-479A-9005-B598F4E5BC7E}">
  <cacheSource type="external" connectionId="9"/>
  <cacheFields count="3">
    <cacheField name="[Measures].[Profit Margin]" caption="Profit Margin" numFmtId="0" hierarchy="38" level="32767"/>
    <cacheField name="[Dim_Customers].[Full Name].[Full Name]" caption="Full Name" numFmtId="0" hierarchy="10" level="1">
      <sharedItems count="5">
        <s v="Bobby Abbott"/>
        <s v="Christine Hawkins"/>
        <s v="Jeffery Powell"/>
        <s v="Lisa West"/>
        <s v="Travis Ewing"/>
      </sharedItems>
    </cacheField>
    <cacheField name="[Sales_Products].[Category].[Category]" caption="Category" numFmtId="0" hierarchy="33" level="1">
      <sharedItems containsSemiMixedTypes="0" containsNonDate="0" containsString="0"/>
    </cacheField>
  </cacheFields>
  <cacheHierarchies count="65">
    <cacheHierarchy uniqueName="[Calculation].[Measure]" caption="Measure" attribute="1" defaultMemberUniqueName="[Calculation].[Measure].[All]" allUniqueName="[Calculation].[Measure].[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1"/>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s Age]" caption="Customers Age" attribute="1" defaultMemberUniqueName="[Dim_Customers].[Customers Age].[All]" allUniqueName="[Dim_Customers].[Customers Age].[All]" dimensionUniqueName="[Dim_Customers]" displayFolder="" count="0" memberValueDatatype="20" unbalanced="0"/>
    <cacheHierarchy uniqueName="[Dim_Customers].[Age Group]" caption="Age Group" attribute="1" defaultMemberUniqueName="[Dim_Customers].[Age Group].[All]" allUniqueName="[Dim_Customers].[Age Group].[All]" dimensionUniqueName="[Dim_Customers]"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Date of Birth]" caption="Date of Birth" attribute="1" defaultMemberUniqueName="[Dim_Salesperson].[Date of Birth].[All]" allUniqueName="[Dim_Salesperson].[Date of Birth].[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fact_table  2].[Product ID]" caption="Product ID" attribute="1" defaultMemberUniqueName="[fact_table  2].[Product ID].[All]" allUniqueName="[fact_table  2].[Product ID].[All]" dimensionUniqueName="[fact_table  2]" displayFolder="" count="0" memberValueDatatype="20" unbalanced="0"/>
    <cacheHierarchy uniqueName="[fact_table  2].[Sold Product Name]" caption="Sold Product Name" attribute="1" defaultMemberUniqueName="[fact_table  2].[Sold Product Name].[All]" allUniqueName="[fact_table  2].[Sold Product Name].[All]" dimensionUniqueName="[fact_table  2]"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roducts].[Product ID]" caption="Product ID" attribute="1" defaultMemberUniqueName="[Sales_Products].[Product ID].[All]" allUniqueName="[Sales_Products].[Product ID].[All]" dimensionUniqueName="[Sales_Products]" displayFolder="" count="0" memberValueDatatype="20" unbalanced="0"/>
    <cacheHierarchy uniqueName="[Sales_Products].[Product Name]" caption="Product Name" attribute="1" defaultMemberUniqueName="[Sales_Products].[Product Name].[All]" allUniqueName="[Sales_Products].[Product Name].[All]" dimensionUniqueName="[Sales_Products]" displayFolder="" count="0" memberValueDatatype="130" unbalanced="0"/>
    <cacheHierarchy uniqueName="[Sales_Products].[Category]" caption="Category" attribute="1" defaultMemberUniqueName="[Sales_Products].[Category].[All]" allUniqueName="[Sales_Products].[Category].[All]" dimensionUniqueName="[Sales_Products]" displayFolder="" count="2" memberValueDatatype="130" unbalanced="0">
      <fieldsUsage count="2">
        <fieldUsage x="-1"/>
        <fieldUsage x="2"/>
      </fieldsUsage>
    </cacheHierarchy>
    <cacheHierarchy uniqueName="[Sales_Products].[Sales Price]" caption="Sales Price" attribute="1" defaultMemberUniqueName="[Sales_Products].[Sales Price].[All]" allUniqueName="[Sales_Products].[Sales Price].[All]" dimensionUniqueName="[Sales_Products]" displayFolder="" count="0" memberValueDatatype="5" unbalanced="0"/>
    <cacheHierarchy uniqueName="[Sales_Products].[Cost Price]" caption="Cost Price" attribute="1" defaultMemberUniqueName="[Sales_Products].[Cost Price].[All]" allUniqueName="[Sales_Products].[Cost Price].[All]" dimensionUniqueName="[Sales_Products]" displayFolder="" count="0" memberValueDatatype="5" unbalanced="0"/>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oneField="1">
      <fieldsUsage count="1">
        <fieldUsage x="0"/>
      </fieldsUsage>
    </cacheHierarchy>
    <cacheHierarchy uniqueName="[Measures].[Profit Margin %]" caption="Profit Margin %" measure="1" displayFolder="" measureGroup="Calculation" count="0"/>
    <cacheHierarchy uniqueName="[Measures].[#Transactions]" caption="#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Products]" caption="#Products" measure="1" displayFolder="" measureGroup="Calculation" count="0"/>
    <cacheHierarchy uniqueName="[Measures].[Qty Returned]" caption="Qty Returned" measure="1" displayFolder="" measureGroup="Calculation" count="0"/>
    <cacheHierarchy uniqueName="[Measures].[Total Quantity]" caption="Total Quantity" measure="1" displayFolder="" measureGroup="Calculation" count="0"/>
    <cacheHierarchy uniqueName="[Measures].[Total target]" caption="Total target" measure="1" displayFolder="" measureGroup="Calculation" count="0"/>
    <cacheHierarchy uniqueName="[Measures].[Total Customers]" caption="Total Customers" measure="1" displayFolder="" measureGroup="Calculation" count="0"/>
    <cacheHierarchy uniqueName="[Measures].[Total locations]" caption="Total locations" measure="1" displayFolder="" measureGroup="Calculation" count="0"/>
    <cacheHierarchy uniqueName="[Measures].[Product sold]" caption="Product sold" measure="1" displayFolder="" measureGroup="Calculation" count="0"/>
    <cacheHierarchy uniqueName="[Measures].[Return rate]" caption="Return rate" measure="1" displayFolder="" measureGroup="Calculation" count="0"/>
    <cacheHierarchy uniqueName="[Measures].[__XL_Count Dim_Customers]" caption="__XL_Count Dim_Customers" measure="1" displayFolder="" measureGroup="Dim_Customers"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Sales_Products]" caption="__XL_Count Sales_Products" measure="1" displayFolder="" measureGroup="Sales_Product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fact_table  2]" caption="__XL_Count fact_table  2" measure="1" displayFolder="" measureGroup="fact_table  2" count="0" hidden="1"/>
    <cacheHierarchy uniqueName="[Measures].[__No measures defined]" caption="__No measures defined" measure="1" displayFolder="" count="0" hidden="1"/>
    <cacheHierarchy uniqueName="[Measures].[Sum of Customers Age]" caption="Sum of Customers Age" measure="1" displayFolder="" measureGroup="Dim_Customers" count="0" hidden="1">
      <extLst>
        <ext xmlns:x15="http://schemas.microsoft.com/office/spreadsheetml/2010/11/main" uri="{B97F6D7D-B522-45F9-BDA1-12C45D357490}">
          <x15:cacheHierarchy aggregatedColumn="13"/>
        </ext>
      </extLst>
    </cacheHierarchy>
    <cacheHierarchy uniqueName="[Measures].[Average of Customers Age]" caption="Average of Customers Age" measure="1" displayFolder="" measureGroup="Dim_Customers" count="0" hidden="1">
      <extLst>
        <ext xmlns:x15="http://schemas.microsoft.com/office/spreadsheetml/2010/11/main" uri="{B97F6D7D-B522-45F9-BDA1-12C45D357490}">
          <x15:cacheHierarchy aggregatedColumn="13"/>
        </ext>
      </extLst>
    </cacheHierarchy>
    <cacheHierarchy uniqueName="[Measures].[Count of Measure]" caption="Count of Measure" measure="1" displayFolder="" measureGroup="Calculation" count="0" hidden="1">
      <extLst>
        <ext xmlns:x15="http://schemas.microsoft.com/office/spreadsheetml/2010/11/main" uri="{B97F6D7D-B522-45F9-BDA1-12C45D357490}">
          <x15:cacheHierarchy aggregatedColumn="0"/>
        </ext>
      </extLst>
    </cacheHierarchy>
    <cacheHierarchy uniqueName="[Measures].[Sum of Quantity Sold]" caption="Sum of Quantity Sold" measure="1" displayFolder="" measureGroup="fact_table" count="0" hidden="1">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hidden="1">
      <extLst>
        <ext xmlns:x15="http://schemas.microsoft.com/office/spreadsheetml/2010/11/main" uri="{B97F6D7D-B522-45F9-BDA1-12C45D357490}">
          <x15:cacheHierarchy aggregatedColumn="22"/>
        </ext>
      </extLst>
    </cacheHierarchy>
  </cacheHierarchies>
  <kpis count="0"/>
  <dimensions count="9">
    <dimension name="Calculation" uniqueName="[Calculation]" caption="Calculation"/>
    <dimension name="Date" uniqueName="[Date]" caption="Date"/>
    <dimension name="Dim_Customers" uniqueName="[Dim_Customers]" caption="Dim_Customers"/>
    <dimension name="Dim_Salesperson" uniqueName="[Dim_Salesperson]" caption="Dim_Salesperson"/>
    <dimension name="fact_table" uniqueName="[fact_table]" caption="fact_table"/>
    <dimension name="fact_table  2" uniqueName="[fact_table  2]" caption="fact_table  2"/>
    <dimension measure="1" name="Measures" uniqueName="[Measures]" caption="Measures"/>
    <dimension name="monthly_store_targets" uniqueName="[monthly_store_targets]" caption="monthly_store_targets"/>
    <dimension name="Sales_Products" uniqueName="[Sales_Products]" caption="Sales_Products"/>
  </dimensions>
  <measureGroups count="8">
    <measureGroup name="Calculation" caption="Calculation"/>
    <measureGroup name="Date" caption="Date"/>
    <measureGroup name="Dim_Customers" caption="Dim_Customers"/>
    <measureGroup name="Dim_Salesperson" caption="Dim_Salesperson"/>
    <measureGroup name="fact_table" caption="fact_table"/>
    <measureGroup name="fact_table  2" caption="fact_table  2"/>
    <measureGroup name="monthly_store_targets" caption="monthly_store_targets"/>
    <measureGroup name="Sales_Products" caption="Sales_Products"/>
  </measureGroups>
  <maps count="15">
    <map measureGroup="0" dimension="0"/>
    <map measureGroup="1" dimension="1"/>
    <map measureGroup="2" dimension="2"/>
    <map measureGroup="3" dimension="3"/>
    <map measureGroup="4" dimension="1"/>
    <map measureGroup="4" dimension="2"/>
    <map measureGroup="4" dimension="3"/>
    <map measureGroup="4" dimension="4"/>
    <map measureGroup="4" dimension="5"/>
    <map measureGroup="4" dimension="8"/>
    <map measureGroup="5" dimension="5"/>
    <map measureGroup="6" dimension="1"/>
    <map measureGroup="6" dimension="3"/>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05.519721875004" backgroundQuery="1" createdVersion="8" refreshedVersion="8" minRefreshableVersion="3" recordCount="0" supportSubquery="1" supportAdvancedDrill="1" xr:uid="{EE420774-6519-40B8-948B-9540CDBF5BCC}">
  <cacheSource type="external" connectionId="9"/>
  <cacheFields count="4">
    <cacheField name="[Measures].[Profit Margin]" caption="Profit Margin" numFmtId="0" hierarchy="38" level="32767"/>
    <cacheField name="[Dim_Customers].[Full Name].[Full Name]" caption="Full Name" numFmtId="0" hierarchy="10" level="1">
      <sharedItems count="5">
        <s v="John Brown"/>
        <s v="Judith Simmons"/>
        <s v="Kristine Barrett"/>
        <s v="Laura Gross"/>
        <s v="Paul Noble"/>
      </sharedItems>
    </cacheField>
    <cacheField name="[Dim_Customers].[Location].[Location]" caption="Location" numFmtId="0" hierarchy="12" level="1">
      <sharedItems count="5">
        <s v="California"/>
        <s v="Michigan"/>
        <s v="Missouri"/>
        <s v="Virginia"/>
        <s v="Washington"/>
      </sharedItems>
    </cacheField>
    <cacheField name="[Sales_Products].[Category].[Category]" caption="Category" numFmtId="0" hierarchy="33" level="1">
      <sharedItems containsSemiMixedTypes="0" containsNonDate="0" containsString="0"/>
    </cacheField>
  </cacheFields>
  <cacheHierarchies count="65">
    <cacheHierarchy uniqueName="[Calculation].[Measure]" caption="Measure" attribute="1" defaultMemberUniqueName="[Calculation].[Measure].[All]" allUniqueName="[Calculation].[Measure].[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1"/>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2" memberValueDatatype="130" unbalanced="0">
      <fieldsUsage count="2">
        <fieldUsage x="-1"/>
        <fieldUsage x="2"/>
      </fieldsUsage>
    </cacheHierarchy>
    <cacheHierarchy uniqueName="[Dim_Customers].[Customers Age]" caption="Customers Age" attribute="1" defaultMemberUniqueName="[Dim_Customers].[Customers Age].[All]" allUniqueName="[Dim_Customers].[Customers Age].[All]" dimensionUniqueName="[Dim_Customers]" displayFolder="" count="0" memberValueDatatype="20" unbalanced="0"/>
    <cacheHierarchy uniqueName="[Dim_Customers].[Age Group]" caption="Age Group" attribute="1" defaultMemberUniqueName="[Dim_Customers].[Age Group].[All]" allUniqueName="[Dim_Customers].[Age Group].[All]" dimensionUniqueName="[Dim_Customers]"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Date of Birth]" caption="Date of Birth" attribute="1" defaultMemberUniqueName="[Dim_Salesperson].[Date of Birth].[All]" allUniqueName="[Dim_Salesperson].[Date of Birth].[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fact_table  2].[Product ID]" caption="Product ID" attribute="1" defaultMemberUniqueName="[fact_table  2].[Product ID].[All]" allUniqueName="[fact_table  2].[Product ID].[All]" dimensionUniqueName="[fact_table  2]" displayFolder="" count="0" memberValueDatatype="20" unbalanced="0"/>
    <cacheHierarchy uniqueName="[fact_table  2].[Sold Product Name]" caption="Sold Product Name" attribute="1" defaultMemberUniqueName="[fact_table  2].[Sold Product Name].[All]" allUniqueName="[fact_table  2].[Sold Product Name].[All]" dimensionUniqueName="[fact_table  2]"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roducts].[Product ID]" caption="Product ID" attribute="1" defaultMemberUniqueName="[Sales_Products].[Product ID].[All]" allUniqueName="[Sales_Products].[Product ID].[All]" dimensionUniqueName="[Sales_Products]" displayFolder="" count="0" memberValueDatatype="20" unbalanced="0"/>
    <cacheHierarchy uniqueName="[Sales_Products].[Product Name]" caption="Product Name" attribute="1" defaultMemberUniqueName="[Sales_Products].[Product Name].[All]" allUniqueName="[Sales_Products].[Product Name].[All]" dimensionUniqueName="[Sales_Products]" displayFolder="" count="0" memberValueDatatype="130" unbalanced="0"/>
    <cacheHierarchy uniqueName="[Sales_Products].[Category]" caption="Category" attribute="1" defaultMemberUniqueName="[Sales_Products].[Category].[All]" allUniqueName="[Sales_Products].[Category].[All]" dimensionUniqueName="[Sales_Products]" displayFolder="" count="2" memberValueDatatype="130" unbalanced="0">
      <fieldsUsage count="2">
        <fieldUsage x="-1"/>
        <fieldUsage x="3"/>
      </fieldsUsage>
    </cacheHierarchy>
    <cacheHierarchy uniqueName="[Sales_Products].[Sales Price]" caption="Sales Price" attribute="1" defaultMemberUniqueName="[Sales_Products].[Sales Price].[All]" allUniqueName="[Sales_Products].[Sales Price].[All]" dimensionUniqueName="[Sales_Products]" displayFolder="" count="0" memberValueDatatype="5" unbalanced="0"/>
    <cacheHierarchy uniqueName="[Sales_Products].[Cost Price]" caption="Cost Price" attribute="1" defaultMemberUniqueName="[Sales_Products].[Cost Price].[All]" allUniqueName="[Sales_Products].[Cost Price].[All]" dimensionUniqueName="[Sales_Products]" displayFolder="" count="0" memberValueDatatype="5" unbalanced="0"/>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oneField="1">
      <fieldsUsage count="1">
        <fieldUsage x="0"/>
      </fieldsUsage>
    </cacheHierarchy>
    <cacheHierarchy uniqueName="[Measures].[Profit Margin %]" caption="Profit Margin %" measure="1" displayFolder="" measureGroup="Calculation" count="0"/>
    <cacheHierarchy uniqueName="[Measures].[#Transactions]" caption="#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Products]" caption="#Products" measure="1" displayFolder="" measureGroup="Calculation" count="0"/>
    <cacheHierarchy uniqueName="[Measures].[Qty Returned]" caption="Qty Returned" measure="1" displayFolder="" measureGroup="Calculation" count="0"/>
    <cacheHierarchy uniqueName="[Measures].[Total Quantity]" caption="Total Quantity" measure="1" displayFolder="" measureGroup="Calculation" count="0"/>
    <cacheHierarchy uniqueName="[Measures].[Total target]" caption="Total target" measure="1" displayFolder="" measureGroup="Calculation" count="0"/>
    <cacheHierarchy uniqueName="[Measures].[Total Customers]" caption="Total Customers" measure="1" displayFolder="" measureGroup="Calculation" count="0"/>
    <cacheHierarchy uniqueName="[Measures].[Total locations]" caption="Total locations" measure="1" displayFolder="" measureGroup="Calculation" count="0"/>
    <cacheHierarchy uniqueName="[Measures].[Product sold]" caption="Product sold" measure="1" displayFolder="" measureGroup="Calculation" count="0"/>
    <cacheHierarchy uniqueName="[Measures].[Return rate]" caption="Return rate" measure="1" displayFolder="" measureGroup="Calculation" count="0"/>
    <cacheHierarchy uniqueName="[Measures].[__XL_Count Dim_Customers]" caption="__XL_Count Dim_Customers" measure="1" displayFolder="" measureGroup="Dim_Customers"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Sales_Products]" caption="__XL_Count Sales_Products" measure="1" displayFolder="" measureGroup="Sales_Product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fact_table  2]" caption="__XL_Count fact_table  2" measure="1" displayFolder="" measureGroup="fact_table  2" count="0" hidden="1"/>
    <cacheHierarchy uniqueName="[Measures].[__No measures defined]" caption="__No measures defined" measure="1" displayFolder="" count="0" hidden="1"/>
    <cacheHierarchy uniqueName="[Measures].[Sum of Customers Age]" caption="Sum of Customers Age" measure="1" displayFolder="" measureGroup="Dim_Customers" count="0" hidden="1">
      <extLst>
        <ext xmlns:x15="http://schemas.microsoft.com/office/spreadsheetml/2010/11/main" uri="{B97F6D7D-B522-45F9-BDA1-12C45D357490}">
          <x15:cacheHierarchy aggregatedColumn="13"/>
        </ext>
      </extLst>
    </cacheHierarchy>
    <cacheHierarchy uniqueName="[Measures].[Average of Customers Age]" caption="Average of Customers Age" measure="1" displayFolder="" measureGroup="Dim_Customers" count="0" hidden="1">
      <extLst>
        <ext xmlns:x15="http://schemas.microsoft.com/office/spreadsheetml/2010/11/main" uri="{B97F6D7D-B522-45F9-BDA1-12C45D357490}">
          <x15:cacheHierarchy aggregatedColumn="13"/>
        </ext>
      </extLst>
    </cacheHierarchy>
    <cacheHierarchy uniqueName="[Measures].[Count of Measure]" caption="Count of Measure" measure="1" displayFolder="" measureGroup="Calculation" count="0" hidden="1">
      <extLst>
        <ext xmlns:x15="http://schemas.microsoft.com/office/spreadsheetml/2010/11/main" uri="{B97F6D7D-B522-45F9-BDA1-12C45D357490}">
          <x15:cacheHierarchy aggregatedColumn="0"/>
        </ext>
      </extLst>
    </cacheHierarchy>
    <cacheHierarchy uniqueName="[Measures].[Sum of Quantity Sold]" caption="Sum of Quantity Sold" measure="1" displayFolder="" measureGroup="fact_table" count="0" hidden="1">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hidden="1">
      <extLst>
        <ext xmlns:x15="http://schemas.microsoft.com/office/spreadsheetml/2010/11/main" uri="{B97F6D7D-B522-45F9-BDA1-12C45D357490}">
          <x15:cacheHierarchy aggregatedColumn="22"/>
        </ext>
      </extLst>
    </cacheHierarchy>
  </cacheHierarchies>
  <kpis count="0"/>
  <dimensions count="9">
    <dimension name="Calculation" uniqueName="[Calculation]" caption="Calculation"/>
    <dimension name="Date" uniqueName="[Date]" caption="Date"/>
    <dimension name="Dim_Customers" uniqueName="[Dim_Customers]" caption="Dim_Customers"/>
    <dimension name="Dim_Salesperson" uniqueName="[Dim_Salesperson]" caption="Dim_Salesperson"/>
    <dimension name="fact_table" uniqueName="[fact_table]" caption="fact_table"/>
    <dimension name="fact_table  2" uniqueName="[fact_table  2]" caption="fact_table  2"/>
    <dimension measure="1" name="Measures" uniqueName="[Measures]" caption="Measures"/>
    <dimension name="monthly_store_targets" uniqueName="[monthly_store_targets]" caption="monthly_store_targets"/>
    <dimension name="Sales_Products" uniqueName="[Sales_Products]" caption="Sales_Products"/>
  </dimensions>
  <measureGroups count="8">
    <measureGroup name="Calculation" caption="Calculation"/>
    <measureGroup name="Date" caption="Date"/>
    <measureGroup name="Dim_Customers" caption="Dim_Customers"/>
    <measureGroup name="Dim_Salesperson" caption="Dim_Salesperson"/>
    <measureGroup name="fact_table" caption="fact_table"/>
    <measureGroup name="fact_table  2" caption="fact_table  2"/>
    <measureGroup name="monthly_store_targets" caption="monthly_store_targets"/>
    <measureGroup name="Sales_Products" caption="Sales_Products"/>
  </measureGroups>
  <maps count="15">
    <map measureGroup="0" dimension="0"/>
    <map measureGroup="1" dimension="1"/>
    <map measureGroup="2" dimension="2"/>
    <map measureGroup="3" dimension="3"/>
    <map measureGroup="4" dimension="1"/>
    <map measureGroup="4" dimension="2"/>
    <map measureGroup="4" dimension="3"/>
    <map measureGroup="4" dimension="4"/>
    <map measureGroup="4" dimension="5"/>
    <map measureGroup="4" dimension="8"/>
    <map measureGroup="5" dimension="5"/>
    <map measureGroup="6" dimension="1"/>
    <map measureGroup="6" dimension="3"/>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05.519724421298" backgroundQuery="1" createdVersion="8" refreshedVersion="8" minRefreshableVersion="3" recordCount="0" supportSubquery="1" supportAdvancedDrill="1" xr:uid="{E57DB4B5-E803-4A5A-B29B-F5AB64CDBF6F}">
  <cacheSource type="external" connectionId="9"/>
  <cacheFields count="4">
    <cacheField name="[Measures].[Profit Margin]" caption="Profit Margin" numFmtId="0" hierarchy="38" level="32767"/>
    <cacheField name="[Dim_Customers].[Full Name].[Full Name]" caption="Full Name" numFmtId="0" hierarchy="10" level="1">
      <sharedItems count="5">
        <s v="John Brown"/>
        <s v="Judith Simmons"/>
        <s v="Kristine Barrett"/>
        <s v="Laura Gross"/>
        <s v="Paul Noble"/>
      </sharedItems>
    </cacheField>
    <cacheField name="[Dim_Customers].[Location].[Location]" caption="Location" numFmtId="0" hierarchy="12" level="1">
      <sharedItems count="5">
        <s v="Florida"/>
        <s v="Indiana"/>
        <s v="Maryland"/>
        <s v="New York"/>
        <s v="Wisconsin"/>
      </sharedItems>
    </cacheField>
    <cacheField name="[Sales_Products].[Category].[Category]" caption="Category" numFmtId="0" hierarchy="33" level="1">
      <sharedItems containsSemiMixedTypes="0" containsNonDate="0" containsString="0"/>
    </cacheField>
  </cacheFields>
  <cacheHierarchies count="65">
    <cacheHierarchy uniqueName="[Calculation].[Measure]" caption="Measure" attribute="1" defaultMemberUniqueName="[Calculation].[Measure].[All]" allUniqueName="[Calculation].[Measure].[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1"/>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2" memberValueDatatype="130" unbalanced="0">
      <fieldsUsage count="2">
        <fieldUsage x="-1"/>
        <fieldUsage x="2"/>
      </fieldsUsage>
    </cacheHierarchy>
    <cacheHierarchy uniqueName="[Dim_Customers].[Customers Age]" caption="Customers Age" attribute="1" defaultMemberUniqueName="[Dim_Customers].[Customers Age].[All]" allUniqueName="[Dim_Customers].[Customers Age].[All]" dimensionUniqueName="[Dim_Customers]" displayFolder="" count="0" memberValueDatatype="20" unbalanced="0"/>
    <cacheHierarchy uniqueName="[Dim_Customers].[Age Group]" caption="Age Group" attribute="1" defaultMemberUniqueName="[Dim_Customers].[Age Group].[All]" allUniqueName="[Dim_Customers].[Age Group].[All]" dimensionUniqueName="[Dim_Customers]"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Date of Birth]" caption="Date of Birth" attribute="1" defaultMemberUniqueName="[Dim_Salesperson].[Date of Birth].[All]" allUniqueName="[Dim_Salesperson].[Date of Birth].[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fact_table  2].[Product ID]" caption="Product ID" attribute="1" defaultMemberUniqueName="[fact_table  2].[Product ID].[All]" allUniqueName="[fact_table  2].[Product ID].[All]" dimensionUniqueName="[fact_table  2]" displayFolder="" count="0" memberValueDatatype="20" unbalanced="0"/>
    <cacheHierarchy uniqueName="[fact_table  2].[Sold Product Name]" caption="Sold Product Name" attribute="1" defaultMemberUniqueName="[fact_table  2].[Sold Product Name].[All]" allUniqueName="[fact_table  2].[Sold Product Name].[All]" dimensionUniqueName="[fact_table  2]"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roducts].[Product ID]" caption="Product ID" attribute="1" defaultMemberUniqueName="[Sales_Products].[Product ID].[All]" allUniqueName="[Sales_Products].[Product ID].[All]" dimensionUniqueName="[Sales_Products]" displayFolder="" count="0" memberValueDatatype="20" unbalanced="0"/>
    <cacheHierarchy uniqueName="[Sales_Products].[Product Name]" caption="Product Name" attribute="1" defaultMemberUniqueName="[Sales_Products].[Product Name].[All]" allUniqueName="[Sales_Products].[Product Name].[All]" dimensionUniqueName="[Sales_Products]" displayFolder="" count="0" memberValueDatatype="130" unbalanced="0"/>
    <cacheHierarchy uniqueName="[Sales_Products].[Category]" caption="Category" attribute="1" defaultMemberUniqueName="[Sales_Products].[Category].[All]" allUniqueName="[Sales_Products].[Category].[All]" dimensionUniqueName="[Sales_Products]" displayFolder="" count="2" memberValueDatatype="130" unbalanced="0">
      <fieldsUsage count="2">
        <fieldUsage x="-1"/>
        <fieldUsage x="3"/>
      </fieldsUsage>
    </cacheHierarchy>
    <cacheHierarchy uniqueName="[Sales_Products].[Sales Price]" caption="Sales Price" attribute="1" defaultMemberUniqueName="[Sales_Products].[Sales Price].[All]" allUniqueName="[Sales_Products].[Sales Price].[All]" dimensionUniqueName="[Sales_Products]" displayFolder="" count="0" memberValueDatatype="5" unbalanced="0"/>
    <cacheHierarchy uniqueName="[Sales_Products].[Cost Price]" caption="Cost Price" attribute="1" defaultMemberUniqueName="[Sales_Products].[Cost Price].[All]" allUniqueName="[Sales_Products].[Cost Price].[All]" dimensionUniqueName="[Sales_Products]" displayFolder="" count="0" memberValueDatatype="5" unbalanced="0"/>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oneField="1">
      <fieldsUsage count="1">
        <fieldUsage x="0"/>
      </fieldsUsage>
    </cacheHierarchy>
    <cacheHierarchy uniqueName="[Measures].[Profit Margin %]" caption="Profit Margin %" measure="1" displayFolder="" measureGroup="Calculation" count="0"/>
    <cacheHierarchy uniqueName="[Measures].[#Transactions]" caption="#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Products]" caption="#Products" measure="1" displayFolder="" measureGroup="Calculation" count="0"/>
    <cacheHierarchy uniqueName="[Measures].[Qty Returned]" caption="Qty Returned" measure="1" displayFolder="" measureGroup="Calculation" count="0"/>
    <cacheHierarchy uniqueName="[Measures].[Total Quantity]" caption="Total Quantity" measure="1" displayFolder="" measureGroup="Calculation" count="0"/>
    <cacheHierarchy uniqueName="[Measures].[Total target]" caption="Total target" measure="1" displayFolder="" measureGroup="Calculation" count="0"/>
    <cacheHierarchy uniqueName="[Measures].[Total Customers]" caption="Total Customers" measure="1" displayFolder="" measureGroup="Calculation" count="0"/>
    <cacheHierarchy uniqueName="[Measures].[Total locations]" caption="Total locations" measure="1" displayFolder="" measureGroup="Calculation" count="0"/>
    <cacheHierarchy uniqueName="[Measures].[Product sold]" caption="Product sold" measure="1" displayFolder="" measureGroup="Calculation" count="0"/>
    <cacheHierarchy uniqueName="[Measures].[Return rate]" caption="Return rate" measure="1" displayFolder="" measureGroup="Calculation" count="0"/>
    <cacheHierarchy uniqueName="[Measures].[__XL_Count Dim_Customers]" caption="__XL_Count Dim_Customers" measure="1" displayFolder="" measureGroup="Dim_Customers"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Sales_Products]" caption="__XL_Count Sales_Products" measure="1" displayFolder="" measureGroup="Sales_Product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fact_table  2]" caption="__XL_Count fact_table  2" measure="1" displayFolder="" measureGroup="fact_table  2" count="0" hidden="1"/>
    <cacheHierarchy uniqueName="[Measures].[__No measures defined]" caption="__No measures defined" measure="1" displayFolder="" count="0" hidden="1"/>
    <cacheHierarchy uniqueName="[Measures].[Sum of Customers Age]" caption="Sum of Customers Age" measure="1" displayFolder="" measureGroup="Dim_Customers" count="0" hidden="1">
      <extLst>
        <ext xmlns:x15="http://schemas.microsoft.com/office/spreadsheetml/2010/11/main" uri="{B97F6D7D-B522-45F9-BDA1-12C45D357490}">
          <x15:cacheHierarchy aggregatedColumn="13"/>
        </ext>
      </extLst>
    </cacheHierarchy>
    <cacheHierarchy uniqueName="[Measures].[Average of Customers Age]" caption="Average of Customers Age" measure="1" displayFolder="" measureGroup="Dim_Customers" count="0" hidden="1">
      <extLst>
        <ext xmlns:x15="http://schemas.microsoft.com/office/spreadsheetml/2010/11/main" uri="{B97F6D7D-B522-45F9-BDA1-12C45D357490}">
          <x15:cacheHierarchy aggregatedColumn="13"/>
        </ext>
      </extLst>
    </cacheHierarchy>
    <cacheHierarchy uniqueName="[Measures].[Count of Measure]" caption="Count of Measure" measure="1" displayFolder="" measureGroup="Calculation" count="0" hidden="1">
      <extLst>
        <ext xmlns:x15="http://schemas.microsoft.com/office/spreadsheetml/2010/11/main" uri="{B97F6D7D-B522-45F9-BDA1-12C45D357490}">
          <x15:cacheHierarchy aggregatedColumn="0"/>
        </ext>
      </extLst>
    </cacheHierarchy>
    <cacheHierarchy uniqueName="[Measures].[Sum of Quantity Sold]" caption="Sum of Quantity Sold" measure="1" displayFolder="" measureGroup="fact_table" count="0" hidden="1">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hidden="1">
      <extLst>
        <ext xmlns:x15="http://schemas.microsoft.com/office/spreadsheetml/2010/11/main" uri="{B97F6D7D-B522-45F9-BDA1-12C45D357490}">
          <x15:cacheHierarchy aggregatedColumn="22"/>
        </ext>
      </extLst>
    </cacheHierarchy>
  </cacheHierarchies>
  <kpis count="0"/>
  <dimensions count="9">
    <dimension name="Calculation" uniqueName="[Calculation]" caption="Calculation"/>
    <dimension name="Date" uniqueName="[Date]" caption="Date"/>
    <dimension name="Dim_Customers" uniqueName="[Dim_Customers]" caption="Dim_Customers"/>
    <dimension name="Dim_Salesperson" uniqueName="[Dim_Salesperson]" caption="Dim_Salesperson"/>
    <dimension name="fact_table" uniqueName="[fact_table]" caption="fact_table"/>
    <dimension name="fact_table  2" uniqueName="[fact_table  2]" caption="fact_table  2"/>
    <dimension measure="1" name="Measures" uniqueName="[Measures]" caption="Measures"/>
    <dimension name="monthly_store_targets" uniqueName="[monthly_store_targets]" caption="monthly_store_targets"/>
    <dimension name="Sales_Products" uniqueName="[Sales_Products]" caption="Sales_Products"/>
  </dimensions>
  <measureGroups count="8">
    <measureGroup name="Calculation" caption="Calculation"/>
    <measureGroup name="Date" caption="Date"/>
    <measureGroup name="Dim_Customers" caption="Dim_Customers"/>
    <measureGroup name="Dim_Salesperson" caption="Dim_Salesperson"/>
    <measureGroup name="fact_table" caption="fact_table"/>
    <measureGroup name="fact_table  2" caption="fact_table  2"/>
    <measureGroup name="monthly_store_targets" caption="monthly_store_targets"/>
    <measureGroup name="Sales_Products" caption="Sales_Products"/>
  </measureGroups>
  <maps count="15">
    <map measureGroup="0" dimension="0"/>
    <map measureGroup="1" dimension="1"/>
    <map measureGroup="2" dimension="2"/>
    <map measureGroup="3" dimension="3"/>
    <map measureGroup="4" dimension="1"/>
    <map measureGroup="4" dimension="2"/>
    <map measureGroup="4" dimension="3"/>
    <map measureGroup="4" dimension="4"/>
    <map measureGroup="4" dimension="5"/>
    <map measureGroup="4" dimension="8"/>
    <map measureGroup="5" dimension="5"/>
    <map measureGroup="6" dimension="1"/>
    <map measureGroup="6" dimension="3"/>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05.519727199076" backgroundQuery="1" createdVersion="8" refreshedVersion="8" minRefreshableVersion="3" recordCount="0" supportSubquery="1" supportAdvancedDrill="1" xr:uid="{45FD9596-27F6-4E8F-863A-41AB4198C515}">
  <cacheSource type="external" connectionId="9"/>
  <cacheFields count="3">
    <cacheField name="[Measures].[Total Customers]" caption="Total Customers" numFmtId="0" hierarchy="47" level="32767"/>
    <cacheField name="[Measures].[Total locations]" caption="Total locations" numFmtId="0" hierarchy="48" level="32767"/>
    <cacheField name="[Sales_Products].[Category].[Category]" caption="Category" numFmtId="0" hierarchy="33" level="1">
      <sharedItems containsSemiMixedTypes="0" containsNonDate="0" containsString="0"/>
    </cacheField>
  </cacheFields>
  <cacheHierarchies count="65">
    <cacheHierarchy uniqueName="[Calculation].[Measure]" caption="Measure" attribute="1" defaultMemberUniqueName="[Calculation].[Measure].[All]" allUniqueName="[Calculation].[Measure].[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s Age]" caption="Customers Age" attribute="1" defaultMemberUniqueName="[Dim_Customers].[Customers Age].[All]" allUniqueName="[Dim_Customers].[Customers Age].[All]" dimensionUniqueName="[Dim_Customers]" displayFolder="" count="0" memberValueDatatype="20" unbalanced="0"/>
    <cacheHierarchy uniqueName="[Dim_Customers].[Age Group]" caption="Age Group" attribute="1" defaultMemberUniqueName="[Dim_Customers].[Age Group].[All]" allUniqueName="[Dim_Customers].[Age Group].[All]" dimensionUniqueName="[Dim_Customers]"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Date of Birth]" caption="Date of Birth" attribute="1" defaultMemberUniqueName="[Dim_Salesperson].[Date of Birth].[All]" allUniqueName="[Dim_Salesperson].[Date of Birth].[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fact_table  2].[Product ID]" caption="Product ID" attribute="1" defaultMemberUniqueName="[fact_table  2].[Product ID].[All]" allUniqueName="[fact_table  2].[Product ID].[All]" dimensionUniqueName="[fact_table  2]" displayFolder="" count="0" memberValueDatatype="20" unbalanced="0"/>
    <cacheHierarchy uniqueName="[fact_table  2].[Sold Product Name]" caption="Sold Product Name" attribute="1" defaultMemberUniqueName="[fact_table  2].[Sold Product Name].[All]" allUniqueName="[fact_table  2].[Sold Product Name].[All]" dimensionUniqueName="[fact_table  2]"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roducts].[Product ID]" caption="Product ID" attribute="1" defaultMemberUniqueName="[Sales_Products].[Product ID].[All]" allUniqueName="[Sales_Products].[Product ID].[All]" dimensionUniqueName="[Sales_Products]" displayFolder="" count="0" memberValueDatatype="20" unbalanced="0"/>
    <cacheHierarchy uniqueName="[Sales_Products].[Product Name]" caption="Product Name" attribute="1" defaultMemberUniqueName="[Sales_Products].[Product Name].[All]" allUniqueName="[Sales_Products].[Product Name].[All]" dimensionUniqueName="[Sales_Products]" displayFolder="" count="0" memberValueDatatype="130" unbalanced="0"/>
    <cacheHierarchy uniqueName="[Sales_Products].[Category]" caption="Category" attribute="1" defaultMemberUniqueName="[Sales_Products].[Category].[All]" allUniqueName="[Sales_Products].[Category].[All]" dimensionUniqueName="[Sales_Products]" displayFolder="" count="2" memberValueDatatype="130" unbalanced="0">
      <fieldsUsage count="2">
        <fieldUsage x="-1"/>
        <fieldUsage x="2"/>
      </fieldsUsage>
    </cacheHierarchy>
    <cacheHierarchy uniqueName="[Sales_Products].[Sales Price]" caption="Sales Price" attribute="1" defaultMemberUniqueName="[Sales_Products].[Sales Price].[All]" allUniqueName="[Sales_Products].[Sales Price].[All]" dimensionUniqueName="[Sales_Products]" displayFolder="" count="0" memberValueDatatype="5" unbalanced="0"/>
    <cacheHierarchy uniqueName="[Sales_Products].[Cost Price]" caption="Cost Price" attribute="1" defaultMemberUniqueName="[Sales_Products].[Cost Price].[All]" allUniqueName="[Sales_Products].[Cost Price].[All]" dimensionUniqueName="[Sales_Products]" displayFolder="" count="0" memberValueDatatype="5" unbalanced="0"/>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cacheHierarchy uniqueName="[Measures].[Profit Margin %]" caption="Profit Margin %" measure="1" displayFolder="" measureGroup="Calculation" count="0"/>
    <cacheHierarchy uniqueName="[Measures].[#Transactions]" caption="#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Products]" caption="#Products" measure="1" displayFolder="" measureGroup="Calculation" count="0"/>
    <cacheHierarchy uniqueName="[Measures].[Qty Returned]" caption="Qty Returned" measure="1" displayFolder="" measureGroup="Calculation" count="0"/>
    <cacheHierarchy uniqueName="[Measures].[Total Quantity]" caption="Total Quantity" measure="1" displayFolder="" measureGroup="Calculation" count="0"/>
    <cacheHierarchy uniqueName="[Measures].[Total target]" caption="Total target" measure="1" displayFolder="" measureGroup="Calculation" count="0"/>
    <cacheHierarchy uniqueName="[Measures].[Total Customers]" caption="Total Customers" measure="1" displayFolder="" measureGroup="Calculation" count="0" oneField="1">
      <fieldsUsage count="1">
        <fieldUsage x="0"/>
      </fieldsUsage>
    </cacheHierarchy>
    <cacheHierarchy uniqueName="[Measures].[Total locations]" caption="Total locations" measure="1" displayFolder="" measureGroup="Calculation" count="0" oneField="1">
      <fieldsUsage count="1">
        <fieldUsage x="1"/>
      </fieldsUsage>
    </cacheHierarchy>
    <cacheHierarchy uniqueName="[Measures].[Product sold]" caption="Product sold" measure="1" displayFolder="" measureGroup="Calculation" count="0"/>
    <cacheHierarchy uniqueName="[Measures].[Return rate]" caption="Return rate" measure="1" displayFolder="" measureGroup="Calculation" count="0"/>
    <cacheHierarchy uniqueName="[Measures].[__XL_Count Dim_Customers]" caption="__XL_Count Dim_Customers" measure="1" displayFolder="" measureGroup="Dim_Customers"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Sales_Products]" caption="__XL_Count Sales_Products" measure="1" displayFolder="" measureGroup="Sales_Product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fact_table  2]" caption="__XL_Count fact_table  2" measure="1" displayFolder="" measureGroup="fact_table  2" count="0" hidden="1"/>
    <cacheHierarchy uniqueName="[Measures].[__No measures defined]" caption="__No measures defined" measure="1" displayFolder="" count="0" hidden="1"/>
    <cacheHierarchy uniqueName="[Measures].[Sum of Customers Age]" caption="Sum of Customers Age" measure="1" displayFolder="" measureGroup="Dim_Customers" count="0" hidden="1">
      <extLst>
        <ext xmlns:x15="http://schemas.microsoft.com/office/spreadsheetml/2010/11/main" uri="{B97F6D7D-B522-45F9-BDA1-12C45D357490}">
          <x15:cacheHierarchy aggregatedColumn="13"/>
        </ext>
      </extLst>
    </cacheHierarchy>
    <cacheHierarchy uniqueName="[Measures].[Average of Customers Age]" caption="Average of Customers Age" measure="1" displayFolder="" measureGroup="Dim_Customers" count="0" hidden="1">
      <extLst>
        <ext xmlns:x15="http://schemas.microsoft.com/office/spreadsheetml/2010/11/main" uri="{B97F6D7D-B522-45F9-BDA1-12C45D357490}">
          <x15:cacheHierarchy aggregatedColumn="13"/>
        </ext>
      </extLst>
    </cacheHierarchy>
    <cacheHierarchy uniqueName="[Measures].[Count of Measure]" caption="Count of Measure" measure="1" displayFolder="" measureGroup="Calculation" count="0" hidden="1">
      <extLst>
        <ext xmlns:x15="http://schemas.microsoft.com/office/spreadsheetml/2010/11/main" uri="{B97F6D7D-B522-45F9-BDA1-12C45D357490}">
          <x15:cacheHierarchy aggregatedColumn="0"/>
        </ext>
      </extLst>
    </cacheHierarchy>
    <cacheHierarchy uniqueName="[Measures].[Sum of Quantity Sold]" caption="Sum of Quantity Sold" measure="1" displayFolder="" measureGroup="fact_table" count="0" hidden="1">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hidden="1">
      <extLst>
        <ext xmlns:x15="http://schemas.microsoft.com/office/spreadsheetml/2010/11/main" uri="{B97F6D7D-B522-45F9-BDA1-12C45D357490}">
          <x15:cacheHierarchy aggregatedColumn="22"/>
        </ext>
      </extLst>
    </cacheHierarchy>
  </cacheHierarchies>
  <kpis count="0"/>
  <dimensions count="9">
    <dimension name="Calculation" uniqueName="[Calculation]" caption="Calculation"/>
    <dimension name="Date" uniqueName="[Date]" caption="Date"/>
    <dimension name="Dim_Customers" uniqueName="[Dim_Customers]" caption="Dim_Customers"/>
    <dimension name="Dim_Salesperson" uniqueName="[Dim_Salesperson]" caption="Dim_Salesperson"/>
    <dimension name="fact_table" uniqueName="[fact_table]" caption="fact_table"/>
    <dimension name="fact_table  2" uniqueName="[fact_table  2]" caption="fact_table  2"/>
    <dimension measure="1" name="Measures" uniqueName="[Measures]" caption="Measures"/>
    <dimension name="monthly_store_targets" uniqueName="[monthly_store_targets]" caption="monthly_store_targets"/>
    <dimension name="Sales_Products" uniqueName="[Sales_Products]" caption="Sales_Products"/>
  </dimensions>
  <measureGroups count="8">
    <measureGroup name="Calculation" caption="Calculation"/>
    <measureGroup name="Date" caption="Date"/>
    <measureGroup name="Dim_Customers" caption="Dim_Customers"/>
    <measureGroup name="Dim_Salesperson" caption="Dim_Salesperson"/>
    <measureGroup name="fact_table" caption="fact_table"/>
    <measureGroup name="fact_table  2" caption="fact_table  2"/>
    <measureGroup name="monthly_store_targets" caption="monthly_store_targets"/>
    <measureGroup name="Sales_Products" caption="Sales_Products"/>
  </measureGroups>
  <maps count="15">
    <map measureGroup="0" dimension="0"/>
    <map measureGroup="1" dimension="1"/>
    <map measureGroup="2" dimension="2"/>
    <map measureGroup="3" dimension="3"/>
    <map measureGroup="4" dimension="1"/>
    <map measureGroup="4" dimension="2"/>
    <map measureGroup="4" dimension="3"/>
    <map measureGroup="4" dimension="4"/>
    <map measureGroup="4" dimension="5"/>
    <map measureGroup="4" dimension="8"/>
    <map measureGroup="5" dimension="5"/>
    <map measureGroup="6" dimension="1"/>
    <map measureGroup="6" dimension="3"/>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05.519729629632" backgroundQuery="1" createdVersion="8" refreshedVersion="8" minRefreshableVersion="3" recordCount="0" supportSubquery="1" supportAdvancedDrill="1" xr:uid="{0CC06206-D782-4D9F-A95F-DFA1B599F5CE}">
  <cacheSource type="external" connectionId="9"/>
  <cacheFields count="3">
    <cacheField name="[Dim_Customers].[Age Group].[Age Group]" caption="Age Group" numFmtId="0" hierarchy="14" level="1">
      <sharedItems count="5">
        <s v="0-20"/>
        <s v="21-30"/>
        <s v="31-40"/>
        <s v="41-50"/>
        <s v="plus 50"/>
      </sharedItems>
    </cacheField>
    <cacheField name="[Measures].[Profit Margin]" caption="Profit Margin" numFmtId="0" hierarchy="38" level="32767"/>
    <cacheField name="[Sales_Products].[Category].[Category]" caption="Category" numFmtId="0" hierarchy="33" level="1">
      <sharedItems containsSemiMixedTypes="0" containsNonDate="0" containsString="0"/>
    </cacheField>
  </cacheFields>
  <cacheHierarchies count="65">
    <cacheHierarchy uniqueName="[Calculation].[Measure]" caption="Measure" attribute="1" defaultMemberUniqueName="[Calculation].[Measure].[All]" allUniqueName="[Calculation].[Measure].[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s Age]" caption="Customers Age" attribute="1" defaultMemberUniqueName="[Dim_Customers].[Customers Age].[All]" allUniqueName="[Dim_Customers].[Customers Age].[All]" dimensionUniqueName="[Dim_Customers]" displayFolder="" count="0" memberValueDatatype="20" unbalanced="0"/>
    <cacheHierarchy uniqueName="[Dim_Customers].[Age Group]" caption="Age Group" attribute="1" defaultMemberUniqueName="[Dim_Customers].[Age Group].[All]" allUniqueName="[Dim_Customers].[Age Group].[All]" dimensionUniqueName="[Dim_Customers]" displayFolder="" count="2" memberValueDatatype="130" unbalanced="0">
      <fieldsUsage count="2">
        <fieldUsage x="-1"/>
        <fieldUsage x="0"/>
      </fieldsUsage>
    </cacheHierarchy>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Date of Birth]" caption="Date of Birth" attribute="1" defaultMemberUniqueName="[Dim_Salesperson].[Date of Birth].[All]" allUniqueName="[Dim_Salesperson].[Date of Birth].[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fact_table  2].[Product ID]" caption="Product ID" attribute="1" defaultMemberUniqueName="[fact_table  2].[Product ID].[All]" allUniqueName="[fact_table  2].[Product ID].[All]" dimensionUniqueName="[fact_table  2]" displayFolder="" count="0" memberValueDatatype="20" unbalanced="0"/>
    <cacheHierarchy uniqueName="[fact_table  2].[Sold Product Name]" caption="Sold Product Name" attribute="1" defaultMemberUniqueName="[fact_table  2].[Sold Product Name].[All]" allUniqueName="[fact_table  2].[Sold Product Name].[All]" dimensionUniqueName="[fact_table  2]"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roducts].[Product ID]" caption="Product ID" attribute="1" defaultMemberUniqueName="[Sales_Products].[Product ID].[All]" allUniqueName="[Sales_Products].[Product ID].[All]" dimensionUniqueName="[Sales_Products]" displayFolder="" count="0" memberValueDatatype="20" unbalanced="0"/>
    <cacheHierarchy uniqueName="[Sales_Products].[Product Name]" caption="Product Name" attribute="1" defaultMemberUniqueName="[Sales_Products].[Product Name].[All]" allUniqueName="[Sales_Products].[Product Name].[All]" dimensionUniqueName="[Sales_Products]" displayFolder="" count="0" memberValueDatatype="130" unbalanced="0"/>
    <cacheHierarchy uniqueName="[Sales_Products].[Category]" caption="Category" attribute="1" defaultMemberUniqueName="[Sales_Products].[Category].[All]" allUniqueName="[Sales_Products].[Category].[All]" dimensionUniqueName="[Sales_Products]" displayFolder="" count="2" memberValueDatatype="130" unbalanced="0">
      <fieldsUsage count="2">
        <fieldUsage x="-1"/>
        <fieldUsage x="2"/>
      </fieldsUsage>
    </cacheHierarchy>
    <cacheHierarchy uniqueName="[Sales_Products].[Sales Price]" caption="Sales Price" attribute="1" defaultMemberUniqueName="[Sales_Products].[Sales Price].[All]" allUniqueName="[Sales_Products].[Sales Price].[All]" dimensionUniqueName="[Sales_Products]" displayFolder="" count="0" memberValueDatatype="5" unbalanced="0"/>
    <cacheHierarchy uniqueName="[Sales_Products].[Cost Price]" caption="Cost Price" attribute="1" defaultMemberUniqueName="[Sales_Products].[Cost Price].[All]" allUniqueName="[Sales_Products].[Cost Price].[All]" dimensionUniqueName="[Sales_Products]" displayFolder="" count="0" memberValueDatatype="5" unbalanced="0"/>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oneField="1">
      <fieldsUsage count="1">
        <fieldUsage x="1"/>
      </fieldsUsage>
    </cacheHierarchy>
    <cacheHierarchy uniqueName="[Measures].[Profit Margin %]" caption="Profit Margin %" measure="1" displayFolder="" measureGroup="Calculation" count="0"/>
    <cacheHierarchy uniqueName="[Measures].[#Transactions]" caption="#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Products]" caption="#Products" measure="1" displayFolder="" measureGroup="Calculation" count="0"/>
    <cacheHierarchy uniqueName="[Measures].[Qty Returned]" caption="Qty Returned" measure="1" displayFolder="" measureGroup="Calculation" count="0"/>
    <cacheHierarchy uniqueName="[Measures].[Total Quantity]" caption="Total Quantity" measure="1" displayFolder="" measureGroup="Calculation" count="0"/>
    <cacheHierarchy uniqueName="[Measures].[Total target]" caption="Total target" measure="1" displayFolder="" measureGroup="Calculation" count="0"/>
    <cacheHierarchy uniqueName="[Measures].[Total Customers]" caption="Total Customers" measure="1" displayFolder="" measureGroup="Calculation" count="0"/>
    <cacheHierarchy uniqueName="[Measures].[Total locations]" caption="Total locations" measure="1" displayFolder="" measureGroup="Calculation" count="0"/>
    <cacheHierarchy uniqueName="[Measures].[Product sold]" caption="Product sold" measure="1" displayFolder="" measureGroup="Calculation" count="0"/>
    <cacheHierarchy uniqueName="[Measures].[Return rate]" caption="Return rate" measure="1" displayFolder="" measureGroup="Calculation" count="0"/>
    <cacheHierarchy uniqueName="[Measures].[__XL_Count Dim_Customers]" caption="__XL_Count Dim_Customers" measure="1" displayFolder="" measureGroup="Dim_Customers"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Sales_Products]" caption="__XL_Count Sales_Products" measure="1" displayFolder="" measureGroup="Sales_Product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fact_table  2]" caption="__XL_Count fact_table  2" measure="1" displayFolder="" measureGroup="fact_table  2" count="0" hidden="1"/>
    <cacheHierarchy uniqueName="[Measures].[__No measures defined]" caption="__No measures defined" measure="1" displayFolder="" count="0" hidden="1"/>
    <cacheHierarchy uniqueName="[Measures].[Sum of Customers Age]" caption="Sum of Customers Age" measure="1" displayFolder="" measureGroup="Dim_Customers" count="0" hidden="1">
      <extLst>
        <ext xmlns:x15="http://schemas.microsoft.com/office/spreadsheetml/2010/11/main" uri="{B97F6D7D-B522-45F9-BDA1-12C45D357490}">
          <x15:cacheHierarchy aggregatedColumn="13"/>
        </ext>
      </extLst>
    </cacheHierarchy>
    <cacheHierarchy uniqueName="[Measures].[Average of Customers Age]" caption="Average of Customers Age" measure="1" displayFolder="" measureGroup="Dim_Customers" count="0" hidden="1">
      <extLst>
        <ext xmlns:x15="http://schemas.microsoft.com/office/spreadsheetml/2010/11/main" uri="{B97F6D7D-B522-45F9-BDA1-12C45D357490}">
          <x15:cacheHierarchy aggregatedColumn="13"/>
        </ext>
      </extLst>
    </cacheHierarchy>
    <cacheHierarchy uniqueName="[Measures].[Count of Measure]" caption="Count of Measure" measure="1" displayFolder="" measureGroup="Calculation" count="0" hidden="1">
      <extLst>
        <ext xmlns:x15="http://schemas.microsoft.com/office/spreadsheetml/2010/11/main" uri="{B97F6D7D-B522-45F9-BDA1-12C45D357490}">
          <x15:cacheHierarchy aggregatedColumn="0"/>
        </ext>
      </extLst>
    </cacheHierarchy>
    <cacheHierarchy uniqueName="[Measures].[Sum of Quantity Sold]" caption="Sum of Quantity Sold" measure="1" displayFolder="" measureGroup="fact_table" count="0" hidden="1">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hidden="1">
      <extLst>
        <ext xmlns:x15="http://schemas.microsoft.com/office/spreadsheetml/2010/11/main" uri="{B97F6D7D-B522-45F9-BDA1-12C45D357490}">
          <x15:cacheHierarchy aggregatedColumn="22"/>
        </ext>
      </extLst>
    </cacheHierarchy>
  </cacheHierarchies>
  <kpis count="0"/>
  <dimensions count="9">
    <dimension name="Calculation" uniqueName="[Calculation]" caption="Calculation"/>
    <dimension name="Date" uniqueName="[Date]" caption="Date"/>
    <dimension name="Dim_Customers" uniqueName="[Dim_Customers]" caption="Dim_Customers"/>
    <dimension name="Dim_Salesperson" uniqueName="[Dim_Salesperson]" caption="Dim_Salesperson"/>
    <dimension name="fact_table" uniqueName="[fact_table]" caption="fact_table"/>
    <dimension name="fact_table  2" uniqueName="[fact_table  2]" caption="fact_table  2"/>
    <dimension measure="1" name="Measures" uniqueName="[Measures]" caption="Measures"/>
    <dimension name="monthly_store_targets" uniqueName="[monthly_store_targets]" caption="monthly_store_targets"/>
    <dimension name="Sales_Products" uniqueName="[Sales_Products]" caption="Sales_Products"/>
  </dimensions>
  <measureGroups count="8">
    <measureGroup name="Calculation" caption="Calculation"/>
    <measureGroup name="Date" caption="Date"/>
    <measureGroup name="Dim_Customers" caption="Dim_Customers"/>
    <measureGroup name="Dim_Salesperson" caption="Dim_Salesperson"/>
    <measureGroup name="fact_table" caption="fact_table"/>
    <measureGroup name="fact_table  2" caption="fact_table  2"/>
    <measureGroup name="monthly_store_targets" caption="monthly_store_targets"/>
    <measureGroup name="Sales_Products" caption="Sales_Products"/>
  </measureGroups>
  <maps count="15">
    <map measureGroup="0" dimension="0"/>
    <map measureGroup="1" dimension="1"/>
    <map measureGroup="2" dimension="2"/>
    <map measureGroup="3" dimension="3"/>
    <map measureGroup="4" dimension="1"/>
    <map measureGroup="4" dimension="2"/>
    <map measureGroup="4" dimension="3"/>
    <map measureGroup="4" dimension="4"/>
    <map measureGroup="4" dimension="5"/>
    <map measureGroup="4" dimension="8"/>
    <map measureGroup="5" dimension="5"/>
    <map measureGroup="6" dimension="1"/>
    <map measureGroup="6" dimension="3"/>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05.519731944441" backgroundQuery="1" createdVersion="8" refreshedVersion="8" minRefreshableVersion="3" recordCount="0" supportSubquery="1" supportAdvancedDrill="1" xr:uid="{6166DC72-F4C7-4233-8068-5DF6B85FCC7E}">
  <cacheSource type="external" connectionId="9"/>
  <cacheFields count="2">
    <cacheField name="[Measures].[Average of Customers Age]" caption="Average of Customers Age" numFmtId="0" hierarchy="61" level="32767"/>
    <cacheField name="[Sales_Products].[Category].[Category]" caption="Category" numFmtId="0" hierarchy="33" level="1">
      <sharedItems containsSemiMixedTypes="0" containsNonDate="0" containsString="0"/>
    </cacheField>
  </cacheFields>
  <cacheHierarchies count="65">
    <cacheHierarchy uniqueName="[Calculation].[Measure]" caption="Measure" attribute="1" defaultMemberUniqueName="[Calculation].[Measure].[All]" allUniqueName="[Calculation].[Measure].[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s Age]" caption="Customers Age" attribute="1" defaultMemberUniqueName="[Dim_Customers].[Customers Age].[All]" allUniqueName="[Dim_Customers].[Customers Age].[All]" dimensionUniqueName="[Dim_Customers]" displayFolder="" count="0" memberValueDatatype="20" unbalanced="0"/>
    <cacheHierarchy uniqueName="[Dim_Customers].[Age Group]" caption="Age Group" attribute="1" defaultMemberUniqueName="[Dim_Customers].[Age Group].[All]" allUniqueName="[Dim_Customers].[Age Group].[All]" dimensionUniqueName="[Dim_Customers]"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Date of Birth]" caption="Date of Birth" attribute="1" defaultMemberUniqueName="[Dim_Salesperson].[Date of Birth].[All]" allUniqueName="[Dim_Salesperson].[Date of Birth].[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fact_table  2].[Product ID]" caption="Product ID" attribute="1" defaultMemberUniqueName="[fact_table  2].[Product ID].[All]" allUniqueName="[fact_table  2].[Product ID].[All]" dimensionUniqueName="[fact_table  2]" displayFolder="" count="0" memberValueDatatype="20" unbalanced="0"/>
    <cacheHierarchy uniqueName="[fact_table  2].[Sold Product Name]" caption="Sold Product Name" attribute="1" defaultMemberUniqueName="[fact_table  2].[Sold Product Name].[All]" allUniqueName="[fact_table  2].[Sold Product Name].[All]" dimensionUniqueName="[fact_table  2]"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roducts].[Product ID]" caption="Product ID" attribute="1" defaultMemberUniqueName="[Sales_Products].[Product ID].[All]" allUniqueName="[Sales_Products].[Product ID].[All]" dimensionUniqueName="[Sales_Products]" displayFolder="" count="0" memberValueDatatype="20" unbalanced="0"/>
    <cacheHierarchy uniqueName="[Sales_Products].[Product Name]" caption="Product Name" attribute="1" defaultMemberUniqueName="[Sales_Products].[Product Name].[All]" allUniqueName="[Sales_Products].[Product Name].[All]" dimensionUniqueName="[Sales_Products]" displayFolder="" count="0" memberValueDatatype="130" unbalanced="0"/>
    <cacheHierarchy uniqueName="[Sales_Products].[Category]" caption="Category" attribute="1" defaultMemberUniqueName="[Sales_Products].[Category].[All]" allUniqueName="[Sales_Products].[Category].[All]" dimensionUniqueName="[Sales_Products]" displayFolder="" count="2" memberValueDatatype="130" unbalanced="0">
      <fieldsUsage count="2">
        <fieldUsage x="-1"/>
        <fieldUsage x="1"/>
      </fieldsUsage>
    </cacheHierarchy>
    <cacheHierarchy uniqueName="[Sales_Products].[Sales Price]" caption="Sales Price" attribute="1" defaultMemberUniqueName="[Sales_Products].[Sales Price].[All]" allUniqueName="[Sales_Products].[Sales Price].[All]" dimensionUniqueName="[Sales_Products]" displayFolder="" count="0" memberValueDatatype="5" unbalanced="0"/>
    <cacheHierarchy uniqueName="[Sales_Products].[Cost Price]" caption="Cost Price" attribute="1" defaultMemberUniqueName="[Sales_Products].[Cost Price].[All]" allUniqueName="[Sales_Products].[Cost Price].[All]" dimensionUniqueName="[Sales_Products]" displayFolder="" count="0" memberValueDatatype="5" unbalanced="0"/>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cacheHierarchy uniqueName="[Measures].[Profit Margin %]" caption="Profit Margin %" measure="1" displayFolder="" measureGroup="Calculation" count="0"/>
    <cacheHierarchy uniqueName="[Measures].[#Transactions]" caption="#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Products]" caption="#Products" measure="1" displayFolder="" measureGroup="Calculation" count="0"/>
    <cacheHierarchy uniqueName="[Measures].[Qty Returned]" caption="Qty Returned" measure="1" displayFolder="" measureGroup="Calculation" count="0"/>
    <cacheHierarchy uniqueName="[Measures].[Total Quantity]" caption="Total Quantity" measure="1" displayFolder="" measureGroup="Calculation" count="0"/>
    <cacheHierarchy uniqueName="[Measures].[Total target]" caption="Total target" measure="1" displayFolder="" measureGroup="Calculation" count="0"/>
    <cacheHierarchy uniqueName="[Measures].[Total Customers]" caption="Total Customers" measure="1" displayFolder="" measureGroup="Calculation" count="0"/>
    <cacheHierarchy uniqueName="[Measures].[Total locations]" caption="Total locations" measure="1" displayFolder="" measureGroup="Calculation" count="0"/>
    <cacheHierarchy uniqueName="[Measures].[Product sold]" caption="Product sold" measure="1" displayFolder="" measureGroup="Calculation" count="0"/>
    <cacheHierarchy uniqueName="[Measures].[Return rate]" caption="Return rate" measure="1" displayFolder="" measureGroup="Calculation" count="0"/>
    <cacheHierarchy uniqueName="[Measures].[__XL_Count Dim_Customers]" caption="__XL_Count Dim_Customers" measure="1" displayFolder="" measureGroup="Dim_Customers"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Sales_Products]" caption="__XL_Count Sales_Products" measure="1" displayFolder="" measureGroup="Sales_Product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fact_table  2]" caption="__XL_Count fact_table  2" measure="1" displayFolder="" measureGroup="fact_table  2" count="0" hidden="1"/>
    <cacheHierarchy uniqueName="[Measures].[__No measures defined]" caption="__No measures defined" measure="1" displayFolder="" count="0" hidden="1"/>
    <cacheHierarchy uniqueName="[Measures].[Sum of Customers Age]" caption="Sum of Customers Age" measure="1" displayFolder="" measureGroup="Dim_Customers" count="0" hidden="1">
      <extLst>
        <ext xmlns:x15="http://schemas.microsoft.com/office/spreadsheetml/2010/11/main" uri="{B97F6D7D-B522-45F9-BDA1-12C45D357490}">
          <x15:cacheHierarchy aggregatedColumn="13"/>
        </ext>
      </extLst>
    </cacheHierarchy>
    <cacheHierarchy uniqueName="[Measures].[Average of Customers Age]" caption="Average of Customers Age" measure="1" displayFolder="" measureGroup="Dim_Customers" count="0" oneField="1" hidden="1">
      <fieldsUsage count="1">
        <fieldUsage x="0"/>
      </fieldsUsage>
      <extLst>
        <ext xmlns:x15="http://schemas.microsoft.com/office/spreadsheetml/2010/11/main" uri="{B97F6D7D-B522-45F9-BDA1-12C45D357490}">
          <x15:cacheHierarchy aggregatedColumn="13"/>
        </ext>
      </extLst>
    </cacheHierarchy>
    <cacheHierarchy uniqueName="[Measures].[Count of Measure]" caption="Count of Measure" measure="1" displayFolder="" measureGroup="Calculation" count="0" hidden="1">
      <extLst>
        <ext xmlns:x15="http://schemas.microsoft.com/office/spreadsheetml/2010/11/main" uri="{B97F6D7D-B522-45F9-BDA1-12C45D357490}">
          <x15:cacheHierarchy aggregatedColumn="0"/>
        </ext>
      </extLst>
    </cacheHierarchy>
    <cacheHierarchy uniqueName="[Measures].[Sum of Quantity Sold]" caption="Sum of Quantity Sold" measure="1" displayFolder="" measureGroup="fact_table" count="0" hidden="1">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hidden="1">
      <extLst>
        <ext xmlns:x15="http://schemas.microsoft.com/office/spreadsheetml/2010/11/main" uri="{B97F6D7D-B522-45F9-BDA1-12C45D357490}">
          <x15:cacheHierarchy aggregatedColumn="22"/>
        </ext>
      </extLst>
    </cacheHierarchy>
  </cacheHierarchies>
  <kpis count="0"/>
  <dimensions count="9">
    <dimension name="Calculation" uniqueName="[Calculation]" caption="Calculation"/>
    <dimension name="Date" uniqueName="[Date]" caption="Date"/>
    <dimension name="Dim_Customers" uniqueName="[Dim_Customers]" caption="Dim_Customers"/>
    <dimension name="Dim_Salesperson" uniqueName="[Dim_Salesperson]" caption="Dim_Salesperson"/>
    <dimension name="fact_table" uniqueName="[fact_table]" caption="fact_table"/>
    <dimension name="fact_table  2" uniqueName="[fact_table  2]" caption="fact_table  2"/>
    <dimension measure="1" name="Measures" uniqueName="[Measures]" caption="Measures"/>
    <dimension name="monthly_store_targets" uniqueName="[monthly_store_targets]" caption="monthly_store_targets"/>
    <dimension name="Sales_Products" uniqueName="[Sales_Products]" caption="Sales_Products"/>
  </dimensions>
  <measureGroups count="8">
    <measureGroup name="Calculation" caption="Calculation"/>
    <measureGroup name="Date" caption="Date"/>
    <measureGroup name="Dim_Customers" caption="Dim_Customers"/>
    <measureGroup name="Dim_Salesperson" caption="Dim_Salesperson"/>
    <measureGroup name="fact_table" caption="fact_table"/>
    <measureGroup name="fact_table  2" caption="fact_table  2"/>
    <measureGroup name="monthly_store_targets" caption="monthly_store_targets"/>
    <measureGroup name="Sales_Products" caption="Sales_Products"/>
  </measureGroups>
  <maps count="15">
    <map measureGroup="0" dimension="0"/>
    <map measureGroup="1" dimension="1"/>
    <map measureGroup="2" dimension="2"/>
    <map measureGroup="3" dimension="3"/>
    <map measureGroup="4" dimension="1"/>
    <map measureGroup="4" dimension="2"/>
    <map measureGroup="4" dimension="3"/>
    <map measureGroup="4" dimension="4"/>
    <map measureGroup="4" dimension="5"/>
    <map measureGroup="4" dimension="8"/>
    <map measureGroup="5" dimension="5"/>
    <map measureGroup="6" dimension="1"/>
    <map measureGroup="6" dimension="3"/>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05.519734259258" backgroundQuery="1" createdVersion="8" refreshedVersion="8" minRefreshableVersion="3" recordCount="0" supportSubquery="1" supportAdvancedDrill="1" xr:uid="{74A88EF3-A7AF-4AFA-8B57-3A7B128FD180}">
  <cacheSource type="external" connectionId="9"/>
  <cacheFields count="3">
    <cacheField name="[Measures].[Profit Margin]" caption="Profit Margin" numFmtId="0" hierarchy="38" level="32767"/>
    <cacheField name="[Dim_Customers].[Gender].[Gender]" caption="Gender" numFmtId="0" hierarchy="11" level="1">
      <sharedItems count="2">
        <s v="Female"/>
        <s v="Male"/>
      </sharedItems>
    </cacheField>
    <cacheField name="[Sales_Products].[Category].[Category]" caption="Category" numFmtId="0" hierarchy="33" level="1">
      <sharedItems containsSemiMixedTypes="0" containsNonDate="0" containsString="0"/>
    </cacheField>
  </cacheFields>
  <cacheHierarchies count="65">
    <cacheHierarchy uniqueName="[Calculation].[Measure]" caption="Measure" attribute="1" defaultMemberUniqueName="[Calculation].[Measure].[All]" allUniqueName="[Calculation].[Measure].[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2" memberValueDatatype="130" unbalanced="0">
      <fieldsUsage count="2">
        <fieldUsage x="-1"/>
        <fieldUsage x="1"/>
      </fieldsUsage>
    </cacheHierarchy>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s Age]" caption="Customers Age" attribute="1" defaultMemberUniqueName="[Dim_Customers].[Customers Age].[All]" allUniqueName="[Dim_Customers].[Customers Age].[All]" dimensionUniqueName="[Dim_Customers]" displayFolder="" count="0" memberValueDatatype="20" unbalanced="0"/>
    <cacheHierarchy uniqueName="[Dim_Customers].[Age Group]" caption="Age Group" attribute="1" defaultMemberUniqueName="[Dim_Customers].[Age Group].[All]" allUniqueName="[Dim_Customers].[Age Group].[All]" dimensionUniqueName="[Dim_Customers]"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Date of Birth]" caption="Date of Birth" attribute="1" defaultMemberUniqueName="[Dim_Salesperson].[Date of Birth].[All]" allUniqueName="[Dim_Salesperson].[Date of Birth].[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fact_table  2].[Product ID]" caption="Product ID" attribute="1" defaultMemberUniqueName="[fact_table  2].[Product ID].[All]" allUniqueName="[fact_table  2].[Product ID].[All]" dimensionUniqueName="[fact_table  2]" displayFolder="" count="0" memberValueDatatype="20" unbalanced="0"/>
    <cacheHierarchy uniqueName="[fact_table  2].[Sold Product Name]" caption="Sold Product Name" attribute="1" defaultMemberUniqueName="[fact_table  2].[Sold Product Name].[All]" allUniqueName="[fact_table  2].[Sold Product Name].[All]" dimensionUniqueName="[fact_table  2]"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roducts].[Product ID]" caption="Product ID" attribute="1" defaultMemberUniqueName="[Sales_Products].[Product ID].[All]" allUniqueName="[Sales_Products].[Product ID].[All]" dimensionUniqueName="[Sales_Products]" displayFolder="" count="0" memberValueDatatype="20" unbalanced="0"/>
    <cacheHierarchy uniqueName="[Sales_Products].[Product Name]" caption="Product Name" attribute="1" defaultMemberUniqueName="[Sales_Products].[Product Name].[All]" allUniqueName="[Sales_Products].[Product Name].[All]" dimensionUniqueName="[Sales_Products]" displayFolder="" count="0" memberValueDatatype="130" unbalanced="0"/>
    <cacheHierarchy uniqueName="[Sales_Products].[Category]" caption="Category" attribute="1" defaultMemberUniqueName="[Sales_Products].[Category].[All]" allUniqueName="[Sales_Products].[Category].[All]" dimensionUniqueName="[Sales_Products]" displayFolder="" count="2" memberValueDatatype="130" unbalanced="0">
      <fieldsUsage count="2">
        <fieldUsage x="-1"/>
        <fieldUsage x="2"/>
      </fieldsUsage>
    </cacheHierarchy>
    <cacheHierarchy uniqueName="[Sales_Products].[Sales Price]" caption="Sales Price" attribute="1" defaultMemberUniqueName="[Sales_Products].[Sales Price].[All]" allUniqueName="[Sales_Products].[Sales Price].[All]" dimensionUniqueName="[Sales_Products]" displayFolder="" count="0" memberValueDatatype="5" unbalanced="0"/>
    <cacheHierarchy uniqueName="[Sales_Products].[Cost Price]" caption="Cost Price" attribute="1" defaultMemberUniqueName="[Sales_Products].[Cost Price].[All]" allUniqueName="[Sales_Products].[Cost Price].[All]" dimensionUniqueName="[Sales_Products]" displayFolder="" count="0" memberValueDatatype="5" unbalanced="0"/>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oneField="1">
      <fieldsUsage count="1">
        <fieldUsage x="0"/>
      </fieldsUsage>
    </cacheHierarchy>
    <cacheHierarchy uniqueName="[Measures].[Profit Margin %]" caption="Profit Margin %" measure="1" displayFolder="" measureGroup="Calculation" count="0"/>
    <cacheHierarchy uniqueName="[Measures].[#Transactions]" caption="#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Products]" caption="#Products" measure="1" displayFolder="" measureGroup="Calculation" count="0"/>
    <cacheHierarchy uniqueName="[Measures].[Qty Returned]" caption="Qty Returned" measure="1" displayFolder="" measureGroup="Calculation" count="0"/>
    <cacheHierarchy uniqueName="[Measures].[Total Quantity]" caption="Total Quantity" measure="1" displayFolder="" measureGroup="Calculation" count="0"/>
    <cacheHierarchy uniqueName="[Measures].[Total target]" caption="Total target" measure="1" displayFolder="" measureGroup="Calculation" count="0"/>
    <cacheHierarchy uniqueName="[Measures].[Total Customers]" caption="Total Customers" measure="1" displayFolder="" measureGroup="Calculation" count="0"/>
    <cacheHierarchy uniqueName="[Measures].[Total locations]" caption="Total locations" measure="1" displayFolder="" measureGroup="Calculation" count="0"/>
    <cacheHierarchy uniqueName="[Measures].[Product sold]" caption="Product sold" measure="1" displayFolder="" measureGroup="Calculation" count="0"/>
    <cacheHierarchy uniqueName="[Measures].[Return rate]" caption="Return rate" measure="1" displayFolder="" measureGroup="Calculation" count="0"/>
    <cacheHierarchy uniqueName="[Measures].[__XL_Count Dim_Customers]" caption="__XL_Count Dim_Customers" measure="1" displayFolder="" measureGroup="Dim_Customers"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Sales_Products]" caption="__XL_Count Sales_Products" measure="1" displayFolder="" measureGroup="Sales_Product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fact_table  2]" caption="__XL_Count fact_table  2" measure="1" displayFolder="" measureGroup="fact_table  2" count="0" hidden="1"/>
    <cacheHierarchy uniqueName="[Measures].[__No measures defined]" caption="__No measures defined" measure="1" displayFolder="" count="0" hidden="1"/>
    <cacheHierarchy uniqueName="[Measures].[Sum of Customers Age]" caption="Sum of Customers Age" measure="1" displayFolder="" measureGroup="Dim_Customers" count="0" hidden="1">
      <extLst>
        <ext xmlns:x15="http://schemas.microsoft.com/office/spreadsheetml/2010/11/main" uri="{B97F6D7D-B522-45F9-BDA1-12C45D357490}">
          <x15:cacheHierarchy aggregatedColumn="13"/>
        </ext>
      </extLst>
    </cacheHierarchy>
    <cacheHierarchy uniqueName="[Measures].[Average of Customers Age]" caption="Average of Customers Age" measure="1" displayFolder="" measureGroup="Dim_Customers" count="0" hidden="1">
      <extLst>
        <ext xmlns:x15="http://schemas.microsoft.com/office/spreadsheetml/2010/11/main" uri="{B97F6D7D-B522-45F9-BDA1-12C45D357490}">
          <x15:cacheHierarchy aggregatedColumn="13"/>
        </ext>
      </extLst>
    </cacheHierarchy>
    <cacheHierarchy uniqueName="[Measures].[Count of Measure]" caption="Count of Measure" measure="1" displayFolder="" measureGroup="Calculation" count="0" hidden="1">
      <extLst>
        <ext xmlns:x15="http://schemas.microsoft.com/office/spreadsheetml/2010/11/main" uri="{B97F6D7D-B522-45F9-BDA1-12C45D357490}">
          <x15:cacheHierarchy aggregatedColumn="0"/>
        </ext>
      </extLst>
    </cacheHierarchy>
    <cacheHierarchy uniqueName="[Measures].[Sum of Quantity Sold]" caption="Sum of Quantity Sold" measure="1" displayFolder="" measureGroup="fact_table" count="0" hidden="1">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hidden="1">
      <extLst>
        <ext xmlns:x15="http://schemas.microsoft.com/office/spreadsheetml/2010/11/main" uri="{B97F6D7D-B522-45F9-BDA1-12C45D357490}">
          <x15:cacheHierarchy aggregatedColumn="22"/>
        </ext>
      </extLst>
    </cacheHierarchy>
  </cacheHierarchies>
  <kpis count="0"/>
  <dimensions count="9">
    <dimension name="Calculation" uniqueName="[Calculation]" caption="Calculation"/>
    <dimension name="Date" uniqueName="[Date]" caption="Date"/>
    <dimension name="Dim_Customers" uniqueName="[Dim_Customers]" caption="Dim_Customers"/>
    <dimension name="Dim_Salesperson" uniqueName="[Dim_Salesperson]" caption="Dim_Salesperson"/>
    <dimension name="fact_table" uniqueName="[fact_table]" caption="fact_table"/>
    <dimension name="fact_table  2" uniqueName="[fact_table  2]" caption="fact_table  2"/>
    <dimension measure="1" name="Measures" uniqueName="[Measures]" caption="Measures"/>
    <dimension name="monthly_store_targets" uniqueName="[monthly_store_targets]" caption="monthly_store_targets"/>
    <dimension name="Sales_Products" uniqueName="[Sales_Products]" caption="Sales_Products"/>
  </dimensions>
  <measureGroups count="8">
    <measureGroup name="Calculation" caption="Calculation"/>
    <measureGroup name="Date" caption="Date"/>
    <measureGroup name="Dim_Customers" caption="Dim_Customers"/>
    <measureGroup name="Dim_Salesperson" caption="Dim_Salesperson"/>
    <measureGroup name="fact_table" caption="fact_table"/>
    <measureGroup name="fact_table  2" caption="fact_table  2"/>
    <measureGroup name="monthly_store_targets" caption="monthly_store_targets"/>
    <measureGroup name="Sales_Products" caption="Sales_Products"/>
  </measureGroups>
  <maps count="15">
    <map measureGroup="0" dimension="0"/>
    <map measureGroup="1" dimension="1"/>
    <map measureGroup="2" dimension="2"/>
    <map measureGroup="3" dimension="3"/>
    <map measureGroup="4" dimension="1"/>
    <map measureGroup="4" dimension="2"/>
    <map measureGroup="4" dimension="3"/>
    <map measureGroup="4" dimension="4"/>
    <map measureGroup="4" dimension="5"/>
    <map measureGroup="4" dimension="8"/>
    <map measureGroup="5" dimension="5"/>
    <map measureGroup="6" dimension="1"/>
    <map measureGroup="6" dimension="3"/>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05.519736805552" backgroundQuery="1" createdVersion="8" refreshedVersion="8" minRefreshableVersion="3" recordCount="0" supportSubquery="1" supportAdvancedDrill="1" xr:uid="{E3C09973-1574-4D9A-B0DA-944A4F315177}">
  <cacheSource type="external" connectionId="9"/>
  <cacheFields count="3">
    <cacheField name="[Measures].[Profit Margin]" caption="Profit Margin" numFmtId="0" hierarchy="38" level="32767"/>
    <cacheField name="[Date].[WeekDay].[WeekDay]" caption="WeekDay" numFmtId="0" hierarchy="5" level="1">
      <sharedItems count="7">
        <s v="Sun"/>
        <s v="Mon"/>
        <s v="Tue"/>
        <s v="Wed"/>
        <s v="Thu"/>
        <s v="Fri"/>
        <s v="Sat"/>
      </sharedItems>
    </cacheField>
    <cacheField name="[Sales_Products].[Category].[Category]" caption="Category" numFmtId="0" hierarchy="33" level="1">
      <sharedItems containsSemiMixedTypes="0" containsNonDate="0" containsString="0"/>
    </cacheField>
  </cacheFields>
  <cacheHierarchies count="65">
    <cacheHierarchy uniqueName="[Calculation].[Measure]" caption="Measure" attribute="1" defaultMemberUniqueName="[Calculation].[Measure].[All]" allUniqueName="[Calculation].[Measure].[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2" memberValueDatatype="130" unbalanced="0">
      <fieldsUsage count="2">
        <fieldUsage x="-1"/>
        <fieldUsage x="1"/>
      </fieldsUsage>
    </cacheHierarchy>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s Age]" caption="Customers Age" attribute="1" defaultMemberUniqueName="[Dim_Customers].[Customers Age].[All]" allUniqueName="[Dim_Customers].[Customers Age].[All]" dimensionUniqueName="[Dim_Customers]" displayFolder="" count="0" memberValueDatatype="20" unbalanced="0"/>
    <cacheHierarchy uniqueName="[Dim_Customers].[Age Group]" caption="Age Group" attribute="1" defaultMemberUniqueName="[Dim_Customers].[Age Group].[All]" allUniqueName="[Dim_Customers].[Age Group].[All]" dimensionUniqueName="[Dim_Customers]"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Date of Birth]" caption="Date of Birth" attribute="1" defaultMemberUniqueName="[Dim_Salesperson].[Date of Birth].[All]" allUniqueName="[Dim_Salesperson].[Date of Birth].[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fact_table  2].[Product ID]" caption="Product ID" attribute="1" defaultMemberUniqueName="[fact_table  2].[Product ID].[All]" allUniqueName="[fact_table  2].[Product ID].[All]" dimensionUniqueName="[fact_table  2]" displayFolder="" count="0" memberValueDatatype="20" unbalanced="0"/>
    <cacheHierarchy uniqueName="[fact_table  2].[Sold Product Name]" caption="Sold Product Name" attribute="1" defaultMemberUniqueName="[fact_table  2].[Sold Product Name].[All]" allUniqueName="[fact_table  2].[Sold Product Name].[All]" dimensionUniqueName="[fact_table  2]"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roducts].[Product ID]" caption="Product ID" attribute="1" defaultMemberUniqueName="[Sales_Products].[Product ID].[All]" allUniqueName="[Sales_Products].[Product ID].[All]" dimensionUniqueName="[Sales_Products]" displayFolder="" count="0" memberValueDatatype="20" unbalanced="0"/>
    <cacheHierarchy uniqueName="[Sales_Products].[Product Name]" caption="Product Name" attribute="1" defaultMemberUniqueName="[Sales_Products].[Product Name].[All]" allUniqueName="[Sales_Products].[Product Name].[All]" dimensionUniqueName="[Sales_Products]" displayFolder="" count="0" memberValueDatatype="130" unbalanced="0"/>
    <cacheHierarchy uniqueName="[Sales_Products].[Category]" caption="Category" attribute="1" defaultMemberUniqueName="[Sales_Products].[Category].[All]" allUniqueName="[Sales_Products].[Category].[All]" dimensionUniqueName="[Sales_Products]" displayFolder="" count="2" memberValueDatatype="130" unbalanced="0">
      <fieldsUsage count="2">
        <fieldUsage x="-1"/>
        <fieldUsage x="2"/>
      </fieldsUsage>
    </cacheHierarchy>
    <cacheHierarchy uniqueName="[Sales_Products].[Sales Price]" caption="Sales Price" attribute="1" defaultMemberUniqueName="[Sales_Products].[Sales Price].[All]" allUniqueName="[Sales_Products].[Sales Price].[All]" dimensionUniqueName="[Sales_Products]" displayFolder="" count="0" memberValueDatatype="5" unbalanced="0"/>
    <cacheHierarchy uniqueName="[Sales_Products].[Cost Price]" caption="Cost Price" attribute="1" defaultMemberUniqueName="[Sales_Products].[Cost Price].[All]" allUniqueName="[Sales_Products].[Cost Price].[All]" dimensionUniqueName="[Sales_Products]" displayFolder="" count="0" memberValueDatatype="5" unbalanced="0"/>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oneField="1">
      <fieldsUsage count="1">
        <fieldUsage x="0"/>
      </fieldsUsage>
    </cacheHierarchy>
    <cacheHierarchy uniqueName="[Measures].[Profit Margin %]" caption="Profit Margin %" measure="1" displayFolder="" measureGroup="Calculation" count="0"/>
    <cacheHierarchy uniqueName="[Measures].[#Transactions]" caption="#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Products]" caption="#Products" measure="1" displayFolder="" measureGroup="Calculation" count="0"/>
    <cacheHierarchy uniqueName="[Measures].[Qty Returned]" caption="Qty Returned" measure="1" displayFolder="" measureGroup="Calculation" count="0"/>
    <cacheHierarchy uniqueName="[Measures].[Total Quantity]" caption="Total Quantity" measure="1" displayFolder="" measureGroup="Calculation" count="0"/>
    <cacheHierarchy uniqueName="[Measures].[Total target]" caption="Total target" measure="1" displayFolder="" measureGroup="Calculation" count="0"/>
    <cacheHierarchy uniqueName="[Measures].[Total Customers]" caption="Total Customers" measure="1" displayFolder="" measureGroup="Calculation" count="0"/>
    <cacheHierarchy uniqueName="[Measures].[Total locations]" caption="Total locations" measure="1" displayFolder="" measureGroup="Calculation" count="0"/>
    <cacheHierarchy uniqueName="[Measures].[Product sold]" caption="Product sold" measure="1" displayFolder="" measureGroup="Calculation" count="0"/>
    <cacheHierarchy uniqueName="[Measures].[Return rate]" caption="Return rate" measure="1" displayFolder="" measureGroup="Calculation" count="0"/>
    <cacheHierarchy uniqueName="[Measures].[__XL_Count Dim_Customers]" caption="__XL_Count Dim_Customers" measure="1" displayFolder="" measureGroup="Dim_Customers"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Sales_Products]" caption="__XL_Count Sales_Products" measure="1" displayFolder="" measureGroup="Sales_Product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fact_table  2]" caption="__XL_Count fact_table  2" measure="1" displayFolder="" measureGroup="fact_table  2" count="0" hidden="1"/>
    <cacheHierarchy uniqueName="[Measures].[__No measures defined]" caption="__No measures defined" measure="1" displayFolder="" count="0" hidden="1"/>
    <cacheHierarchy uniqueName="[Measures].[Sum of Customers Age]" caption="Sum of Customers Age" measure="1" displayFolder="" measureGroup="Dim_Customers" count="0" hidden="1">
      <extLst>
        <ext xmlns:x15="http://schemas.microsoft.com/office/spreadsheetml/2010/11/main" uri="{B97F6D7D-B522-45F9-BDA1-12C45D357490}">
          <x15:cacheHierarchy aggregatedColumn="13"/>
        </ext>
      </extLst>
    </cacheHierarchy>
    <cacheHierarchy uniqueName="[Measures].[Average of Customers Age]" caption="Average of Customers Age" measure="1" displayFolder="" measureGroup="Dim_Customers" count="0" hidden="1">
      <extLst>
        <ext xmlns:x15="http://schemas.microsoft.com/office/spreadsheetml/2010/11/main" uri="{B97F6D7D-B522-45F9-BDA1-12C45D357490}">
          <x15:cacheHierarchy aggregatedColumn="13"/>
        </ext>
      </extLst>
    </cacheHierarchy>
    <cacheHierarchy uniqueName="[Measures].[Count of Measure]" caption="Count of Measure" measure="1" displayFolder="" measureGroup="Calculation" count="0" hidden="1">
      <extLst>
        <ext xmlns:x15="http://schemas.microsoft.com/office/spreadsheetml/2010/11/main" uri="{B97F6D7D-B522-45F9-BDA1-12C45D357490}">
          <x15:cacheHierarchy aggregatedColumn="0"/>
        </ext>
      </extLst>
    </cacheHierarchy>
    <cacheHierarchy uniqueName="[Measures].[Sum of Quantity Sold]" caption="Sum of Quantity Sold" measure="1" displayFolder="" measureGroup="fact_table" count="0" hidden="1">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hidden="1">
      <extLst>
        <ext xmlns:x15="http://schemas.microsoft.com/office/spreadsheetml/2010/11/main" uri="{B97F6D7D-B522-45F9-BDA1-12C45D357490}">
          <x15:cacheHierarchy aggregatedColumn="22"/>
        </ext>
      </extLst>
    </cacheHierarchy>
  </cacheHierarchies>
  <kpis count="0"/>
  <dimensions count="9">
    <dimension name="Calculation" uniqueName="[Calculation]" caption="Calculation"/>
    <dimension name="Date" uniqueName="[Date]" caption="Date"/>
    <dimension name="Dim_Customers" uniqueName="[Dim_Customers]" caption="Dim_Customers"/>
    <dimension name="Dim_Salesperson" uniqueName="[Dim_Salesperson]" caption="Dim_Salesperson"/>
    <dimension name="fact_table" uniqueName="[fact_table]" caption="fact_table"/>
    <dimension name="fact_table  2" uniqueName="[fact_table  2]" caption="fact_table  2"/>
    <dimension measure="1" name="Measures" uniqueName="[Measures]" caption="Measures"/>
    <dimension name="monthly_store_targets" uniqueName="[monthly_store_targets]" caption="monthly_store_targets"/>
    <dimension name="Sales_Products" uniqueName="[Sales_Products]" caption="Sales_Products"/>
  </dimensions>
  <measureGroups count="8">
    <measureGroup name="Calculation" caption="Calculation"/>
    <measureGroup name="Date" caption="Date"/>
    <measureGroup name="Dim_Customers" caption="Dim_Customers"/>
    <measureGroup name="Dim_Salesperson" caption="Dim_Salesperson"/>
    <measureGroup name="fact_table" caption="fact_table"/>
    <measureGroup name="fact_table  2" caption="fact_table  2"/>
    <measureGroup name="monthly_store_targets" caption="monthly_store_targets"/>
    <measureGroup name="Sales_Products" caption="Sales_Products"/>
  </measureGroups>
  <maps count="15">
    <map measureGroup="0" dimension="0"/>
    <map measureGroup="1" dimension="1"/>
    <map measureGroup="2" dimension="2"/>
    <map measureGroup="3" dimension="3"/>
    <map measureGroup="4" dimension="1"/>
    <map measureGroup="4" dimension="2"/>
    <map measureGroup="4" dimension="3"/>
    <map measureGroup="4" dimension="4"/>
    <map measureGroup="4" dimension="5"/>
    <map measureGroup="4" dimension="8"/>
    <map measureGroup="5" dimension="5"/>
    <map measureGroup="6" dimension="1"/>
    <map measureGroup="6" dimension="3"/>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05.519739467592" backgroundQuery="1" createdVersion="8" refreshedVersion="8" minRefreshableVersion="3" recordCount="0" supportSubquery="1" supportAdvancedDrill="1" xr:uid="{1B9FA992-C296-4CF1-9868-696C64F67FDD}">
  <cacheSource type="external" connectionId="9"/>
  <cacheFields count="10">
    <cacheField name="[fact_table  2].[Sold Product Name].[Sold Product Name]" caption="Sold Product Name" numFmtId="0" hierarchy="27" level="1">
      <sharedItems count="100">
        <s v="A Splash"/>
        <s v="Above Brew"/>
        <s v="Administration Fusion"/>
        <s v="Against Rush"/>
        <s v="Alone Splash"/>
        <s v="Animal Breeze"/>
        <s v="Any Brew"/>
        <s v="Assume Mist"/>
        <s v="Attorney Mist"/>
        <s v="Audience Fusion"/>
        <s v="Bar Drop"/>
        <s v="Begin Brew"/>
        <s v="Boy Splash"/>
        <s v="Build Brew"/>
        <s v="Center Mist"/>
        <s v="Century Dew"/>
        <s v="Choice Mist"/>
        <s v="Clearly Brew"/>
        <s v="Common Splash"/>
        <s v="Dark Brew"/>
        <s v="Debate Rush"/>
        <s v="Democrat Dew"/>
        <s v="Despite Rush"/>
        <s v="Develop Breeze"/>
        <s v="Different Dew"/>
        <s v="Discussion Fusion"/>
        <s v="Door Brew"/>
        <s v="Eight Brew"/>
        <s v="Few Dew"/>
        <s v="For Splash"/>
        <s v="Friend Splash"/>
        <s v="Ground Rush"/>
        <s v="Heavy Rush"/>
        <s v="Hold Brew"/>
        <s v="Hotel Splash"/>
        <s v="Husband Rush"/>
        <s v="Include Breeze"/>
        <s v="Indeed Splash"/>
        <s v="Into Mist"/>
        <s v="Its Dew"/>
        <s v="Itself Breeze"/>
        <s v="Large Fusion"/>
        <s v="Left Breeze"/>
        <s v="Leg Rush"/>
        <s v="Let Dew"/>
        <s v="Level Splash"/>
        <s v="Majority Rush"/>
        <s v="Management Drop"/>
        <s v="Method Mist"/>
        <s v="Might Mist"/>
        <s v="Mind Dew"/>
        <s v="Minute Rush"/>
        <s v="Name Rush"/>
        <s v="Nice Mist"/>
        <s v="Note Splash"/>
        <s v="Now Mist"/>
        <s v="Of Rush"/>
        <s v="Only Dew"/>
        <s v="Onto Dew"/>
        <s v="Over Splash"/>
        <s v="Own Drop"/>
        <s v="Pay Mist"/>
        <s v="Piece Dew"/>
        <s v="Pm Fusion"/>
        <s v="Point Splash"/>
        <s v="Poor Breeze"/>
        <s v="Property Mist"/>
        <s v="Protect Rush"/>
        <s v="Question Breeze"/>
        <s v="Race Rush"/>
        <s v="Recent Splash"/>
        <s v="Record Fusion"/>
        <s v="Relate Mist"/>
        <s v="Represent Drop"/>
        <s v="Result Splash"/>
        <s v="Return Mist"/>
        <s v="Reveal Rush"/>
        <s v="Sea Drop"/>
        <s v="Second Splash"/>
        <s v="Series Mist"/>
        <s v="Side Brew"/>
        <s v="Society Rush"/>
        <s v="Soldier Splash"/>
        <s v="Somebody Fusion"/>
        <s v="Sometimes Dew"/>
        <s v="Street Breeze"/>
        <s v="Threat Mist"/>
        <s v="Throughout Fusion"/>
        <s v="Too Splash"/>
        <s v="Training Mist"/>
        <s v="Tv Breeze"/>
        <s v="Two Breeze"/>
        <s v="Value Fusion"/>
        <s v="Wait Drop"/>
        <s v="Way Splash"/>
        <s v="West Rush"/>
        <s v="What Rush"/>
        <s v="Window Dew"/>
        <s v="Woman Dew"/>
        <s v="Would Rush"/>
      </sharedItems>
    </cacheField>
    <cacheField name="[Measures].[Total Quantity]" caption="Total Quantity" numFmtId="0" hierarchy="45" level="32767"/>
    <cacheField name="[Measures].[Qty Returned]" caption="Qty Returned" numFmtId="0" hierarchy="44" level="32767"/>
    <cacheField name="[Measures].[Refund Rate]" caption="Refund Rate" numFmtId="0" hierarchy="42" level="32767"/>
    <cacheField name="[Measures].[COGS]" caption="COGS" numFmtId="0" hierarchy="37" level="32767"/>
    <cacheField name="[Measures].[Total Revenue]" caption="Total Revenue" numFmtId="0" hierarchy="36" level="32767"/>
    <cacheField name="[Measures].[Total Refund]" caption="Total Refund" numFmtId="0" hierarchy="41" level="32767"/>
    <cacheField name="[Measures].[Profit Margin]" caption="Profit Margin" numFmtId="0" hierarchy="38" level="32767"/>
    <cacheField name="[Measures].[Profit Margin %]" caption="Profit Margin %" numFmtId="0" hierarchy="39" level="32767"/>
    <cacheField name="[Sales_Products].[Category].[Category]" caption="Category" numFmtId="0" hierarchy="33" level="1">
      <sharedItems containsSemiMixedTypes="0" containsNonDate="0" containsString="0"/>
    </cacheField>
  </cacheFields>
  <cacheHierarchies count="65">
    <cacheHierarchy uniqueName="[Calculation].[Measure]" caption="Measure" attribute="1" defaultMemberUniqueName="[Calculation].[Measure].[All]" allUniqueName="[Calculation].[Measure].[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s Age]" caption="Customers Age" attribute="1" defaultMemberUniqueName="[Dim_Customers].[Customers Age].[All]" allUniqueName="[Dim_Customers].[Customers Age].[All]" dimensionUniqueName="[Dim_Customers]" displayFolder="" count="0" memberValueDatatype="20" unbalanced="0"/>
    <cacheHierarchy uniqueName="[Dim_Customers].[Age Group]" caption="Age Group" attribute="1" defaultMemberUniqueName="[Dim_Customers].[Age Group].[All]" allUniqueName="[Dim_Customers].[Age Group].[All]" dimensionUniqueName="[Dim_Customers]"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Date of Birth]" caption="Date of Birth" attribute="1" defaultMemberUniqueName="[Dim_Salesperson].[Date of Birth].[All]" allUniqueName="[Dim_Salesperson].[Date of Birth].[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fact_table  2].[Product ID]" caption="Product ID" attribute="1" defaultMemberUniqueName="[fact_table  2].[Product ID].[All]" allUniqueName="[fact_table  2].[Product ID].[All]" dimensionUniqueName="[fact_table  2]" displayFolder="" count="0" memberValueDatatype="20" unbalanced="0"/>
    <cacheHierarchy uniqueName="[fact_table  2].[Sold Product Name]" caption="Sold Product Name" attribute="1" defaultMemberUniqueName="[fact_table  2].[Sold Product Name].[All]" allUniqueName="[fact_table  2].[Sold Product Name].[All]" dimensionUniqueName="[fact_table  2]" displayFolder="" count="2" memberValueDatatype="130" unbalanced="0">
      <fieldsUsage count="2">
        <fieldUsage x="-1"/>
        <fieldUsage x="0"/>
      </fieldsUsage>
    </cacheHierarchy>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roducts].[Product ID]" caption="Product ID" attribute="1" defaultMemberUniqueName="[Sales_Products].[Product ID].[All]" allUniqueName="[Sales_Products].[Product ID].[All]" dimensionUniqueName="[Sales_Products]" displayFolder="" count="0" memberValueDatatype="20" unbalanced="0"/>
    <cacheHierarchy uniqueName="[Sales_Products].[Product Name]" caption="Product Name" attribute="1" defaultMemberUniqueName="[Sales_Products].[Product Name].[All]" allUniqueName="[Sales_Products].[Product Name].[All]" dimensionUniqueName="[Sales_Products]" displayFolder="" count="0" memberValueDatatype="130" unbalanced="0"/>
    <cacheHierarchy uniqueName="[Sales_Products].[Category]" caption="Category" attribute="1" defaultMemberUniqueName="[Sales_Products].[Category].[All]" allUniqueName="[Sales_Products].[Category].[All]" dimensionUniqueName="[Sales_Products]" displayFolder="" count="2" memberValueDatatype="130" unbalanced="0">
      <fieldsUsage count="2">
        <fieldUsage x="-1"/>
        <fieldUsage x="9"/>
      </fieldsUsage>
    </cacheHierarchy>
    <cacheHierarchy uniqueName="[Sales_Products].[Sales Price]" caption="Sales Price" attribute="1" defaultMemberUniqueName="[Sales_Products].[Sales Price].[All]" allUniqueName="[Sales_Products].[Sales Price].[All]" dimensionUniqueName="[Sales_Products]" displayFolder="" count="0" memberValueDatatype="5" unbalanced="0"/>
    <cacheHierarchy uniqueName="[Sales_Products].[Cost Price]" caption="Cost Price" attribute="1" defaultMemberUniqueName="[Sales_Products].[Cost Price].[All]" allUniqueName="[Sales_Products].[Cost Price].[All]" dimensionUniqueName="[Sales_Products]" displayFolder="" count="0" memberValueDatatype="5" unbalanced="0"/>
    <cacheHierarchy uniqueName="[Measures].[Total Revenue]" caption="Total Revenue" measure="1" displayFolder="" measureGroup="Calculation" count="0" oneField="1">
      <fieldsUsage count="1">
        <fieldUsage x="5"/>
      </fieldsUsage>
    </cacheHierarchy>
    <cacheHierarchy uniqueName="[Measures].[COGS]" caption="COGS" measure="1" displayFolder="" measureGroup="Calculation" count="0" oneField="1">
      <fieldsUsage count="1">
        <fieldUsage x="4"/>
      </fieldsUsage>
    </cacheHierarchy>
    <cacheHierarchy uniqueName="[Measures].[Profit Margin]" caption="Profit Margin" measure="1" displayFolder="" measureGroup="Calculation" count="0" oneField="1">
      <fieldsUsage count="1">
        <fieldUsage x="7"/>
      </fieldsUsage>
    </cacheHierarchy>
    <cacheHierarchy uniqueName="[Measures].[Profit Margin %]" caption="Profit Margin %" measure="1" displayFolder="" measureGroup="Calculation" count="0" oneField="1">
      <fieldsUsage count="1">
        <fieldUsage x="8"/>
      </fieldsUsage>
    </cacheHierarchy>
    <cacheHierarchy uniqueName="[Measures].[#Transactions]" caption="#Transactions" measure="1" displayFolder="" measureGroup="Calculation" count="0"/>
    <cacheHierarchy uniqueName="[Measures].[Total Refund]" caption="Total Refund" measure="1" displayFolder="" measureGroup="Calculation" count="0" oneField="1">
      <fieldsUsage count="1">
        <fieldUsage x="6"/>
      </fieldsUsage>
    </cacheHierarchy>
    <cacheHierarchy uniqueName="[Measures].[Refund Rate]" caption="Refund Rate" measure="1" displayFolder="" measureGroup="Calculation" count="0" oneField="1">
      <fieldsUsage count="1">
        <fieldUsage x="3"/>
      </fieldsUsage>
    </cacheHierarchy>
    <cacheHierarchy uniqueName="[Measures].[#Products]" caption="#Products" measure="1" displayFolder="" measureGroup="Calculation" count="0"/>
    <cacheHierarchy uniqueName="[Measures].[Qty Returned]" caption="Qty Returned" measure="1" displayFolder="" measureGroup="Calculation" count="0" oneField="1">
      <fieldsUsage count="1">
        <fieldUsage x="2"/>
      </fieldsUsage>
    </cacheHierarchy>
    <cacheHierarchy uniqueName="[Measures].[Total Quantity]" caption="Total Quantity" measure="1" displayFolder="" measureGroup="Calculation" count="0" oneField="1">
      <fieldsUsage count="1">
        <fieldUsage x="1"/>
      </fieldsUsage>
    </cacheHierarchy>
    <cacheHierarchy uniqueName="[Measures].[Total target]" caption="Total target" measure="1" displayFolder="" measureGroup="Calculation" count="0"/>
    <cacheHierarchy uniqueName="[Measures].[Total Customers]" caption="Total Customers" measure="1" displayFolder="" measureGroup="Calculation" count="0"/>
    <cacheHierarchy uniqueName="[Measures].[Total locations]" caption="Total locations" measure="1" displayFolder="" measureGroup="Calculation" count="0"/>
    <cacheHierarchy uniqueName="[Measures].[Product sold]" caption="Product sold" measure="1" displayFolder="" measureGroup="Calculation" count="0"/>
    <cacheHierarchy uniqueName="[Measures].[Return rate]" caption="Return rate" measure="1" displayFolder="" measureGroup="Calculation" count="0"/>
    <cacheHierarchy uniqueName="[Measures].[__XL_Count Dim_Customers]" caption="__XL_Count Dim_Customers" measure="1" displayFolder="" measureGroup="Dim_Customers"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Sales_Products]" caption="__XL_Count Sales_Products" measure="1" displayFolder="" measureGroup="Sales_Product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fact_table  2]" caption="__XL_Count fact_table  2" measure="1" displayFolder="" measureGroup="fact_table  2" count="0" hidden="1"/>
    <cacheHierarchy uniqueName="[Measures].[__No measures defined]" caption="__No measures defined" measure="1" displayFolder="" count="0" hidden="1"/>
    <cacheHierarchy uniqueName="[Measures].[Sum of Customers Age]" caption="Sum of Customers Age" measure="1" displayFolder="" measureGroup="Dim_Customers" count="0" hidden="1">
      <extLst>
        <ext xmlns:x15="http://schemas.microsoft.com/office/spreadsheetml/2010/11/main" uri="{B97F6D7D-B522-45F9-BDA1-12C45D357490}">
          <x15:cacheHierarchy aggregatedColumn="13"/>
        </ext>
      </extLst>
    </cacheHierarchy>
    <cacheHierarchy uniqueName="[Measures].[Average of Customers Age]" caption="Average of Customers Age" measure="1" displayFolder="" measureGroup="Dim_Customers" count="0" hidden="1">
      <extLst>
        <ext xmlns:x15="http://schemas.microsoft.com/office/spreadsheetml/2010/11/main" uri="{B97F6D7D-B522-45F9-BDA1-12C45D357490}">
          <x15:cacheHierarchy aggregatedColumn="13"/>
        </ext>
      </extLst>
    </cacheHierarchy>
    <cacheHierarchy uniqueName="[Measures].[Count of Measure]" caption="Count of Measure" measure="1" displayFolder="" measureGroup="Calculation" count="0" hidden="1">
      <extLst>
        <ext xmlns:x15="http://schemas.microsoft.com/office/spreadsheetml/2010/11/main" uri="{B97F6D7D-B522-45F9-BDA1-12C45D357490}">
          <x15:cacheHierarchy aggregatedColumn="0"/>
        </ext>
      </extLst>
    </cacheHierarchy>
    <cacheHierarchy uniqueName="[Measures].[Sum of Quantity Sold]" caption="Sum of Quantity Sold" measure="1" displayFolder="" measureGroup="fact_table" count="0" hidden="1">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hidden="1">
      <extLst>
        <ext xmlns:x15="http://schemas.microsoft.com/office/spreadsheetml/2010/11/main" uri="{B97F6D7D-B522-45F9-BDA1-12C45D357490}">
          <x15:cacheHierarchy aggregatedColumn="22"/>
        </ext>
      </extLst>
    </cacheHierarchy>
  </cacheHierarchies>
  <kpis count="0"/>
  <dimensions count="9">
    <dimension name="Calculation" uniqueName="[Calculation]" caption="Calculation"/>
    <dimension name="Date" uniqueName="[Date]" caption="Date"/>
    <dimension name="Dim_Customers" uniqueName="[Dim_Customers]" caption="Dim_Customers"/>
    <dimension name="Dim_Salesperson" uniqueName="[Dim_Salesperson]" caption="Dim_Salesperson"/>
    <dimension name="fact_table" uniqueName="[fact_table]" caption="fact_table"/>
    <dimension name="fact_table  2" uniqueName="[fact_table  2]" caption="fact_table  2"/>
    <dimension measure="1" name="Measures" uniqueName="[Measures]" caption="Measures"/>
    <dimension name="monthly_store_targets" uniqueName="[monthly_store_targets]" caption="monthly_store_targets"/>
    <dimension name="Sales_Products" uniqueName="[Sales_Products]" caption="Sales_Products"/>
  </dimensions>
  <measureGroups count="8">
    <measureGroup name="Calculation" caption="Calculation"/>
    <measureGroup name="Date" caption="Date"/>
    <measureGroup name="Dim_Customers" caption="Dim_Customers"/>
    <measureGroup name="Dim_Salesperson" caption="Dim_Salesperson"/>
    <measureGroup name="fact_table" caption="fact_table"/>
    <measureGroup name="fact_table  2" caption="fact_table  2"/>
    <measureGroup name="monthly_store_targets" caption="monthly_store_targets"/>
    <measureGroup name="Sales_Products" caption="Sales_Products"/>
  </measureGroups>
  <maps count="15">
    <map measureGroup="0" dimension="0"/>
    <map measureGroup="1" dimension="1"/>
    <map measureGroup="2" dimension="2"/>
    <map measureGroup="3" dimension="3"/>
    <map measureGroup="4" dimension="1"/>
    <map measureGroup="4" dimension="2"/>
    <map measureGroup="4" dimension="3"/>
    <map measureGroup="4" dimension="4"/>
    <map measureGroup="4" dimension="5"/>
    <map measureGroup="4" dimension="8"/>
    <map measureGroup="5" dimension="5"/>
    <map measureGroup="6" dimension="1"/>
    <map measureGroup="6" dimension="3"/>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04.848653472225" backgroundQuery="1" createdVersion="3" refreshedVersion="8" minRefreshableVersion="3" recordCount="0" supportSubquery="1" supportAdvancedDrill="1" xr:uid="{1C9AAE1C-177A-4C4C-87ED-5D509BF9F4B6}">
  <cacheSource type="external" connectionId="9">
    <extLst>
      <ext xmlns:x14="http://schemas.microsoft.com/office/spreadsheetml/2009/9/main" uri="{F057638F-6D5F-4e77-A914-E7F072B9BCA8}">
        <x14:sourceConnection name="ThisWorkbookDataModel"/>
      </ext>
    </extLst>
  </cacheSource>
  <cacheFields count="0"/>
  <cacheHierarchies count="65">
    <cacheHierarchy uniqueName="[Calculation].[Measure]" caption="Measure" attribute="1" defaultMemberUniqueName="[Calculation].[Measure].[All]" allUniqueName="[Calculation].[Measure].[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s Age]" caption="Customers Age" attribute="1" defaultMemberUniqueName="[Dim_Customers].[Customers Age].[All]" allUniqueName="[Dim_Customers].[Customers Age].[All]" dimensionUniqueName="[Dim_Customers]" displayFolder="" count="0" memberValueDatatype="20" unbalanced="0"/>
    <cacheHierarchy uniqueName="[Dim_Customers].[Age Group]" caption="Age Group" attribute="1" defaultMemberUniqueName="[Dim_Customers].[Age Group].[All]" allUniqueName="[Dim_Customers].[Age Group].[All]" dimensionUniqueName="[Dim_Customers]"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Date of Birth]" caption="Date of Birth" attribute="1" defaultMemberUniqueName="[Dim_Salesperson].[Date of Birth].[All]" allUniqueName="[Dim_Salesperson].[Date of Birth].[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fact_table  2].[Product ID]" caption="Product ID" attribute="1" defaultMemberUniqueName="[fact_table  2].[Product ID].[All]" allUniqueName="[fact_table  2].[Product ID].[All]" dimensionUniqueName="[fact_table  2]" displayFolder="" count="0" memberValueDatatype="20" unbalanced="0"/>
    <cacheHierarchy uniqueName="[fact_table  2].[Sold Product Name]" caption="Sold Product Name" attribute="1" defaultMemberUniqueName="[fact_table  2].[Sold Product Name].[All]" allUniqueName="[fact_table  2].[Sold Product Name].[All]" dimensionUniqueName="[fact_table  2]"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roducts].[Product ID]" caption="Product ID" attribute="1" defaultMemberUniqueName="[Sales_Products].[Product ID].[All]" allUniqueName="[Sales_Products].[Product ID].[All]" dimensionUniqueName="[Sales_Products]" displayFolder="" count="0" memberValueDatatype="20" unbalanced="0"/>
    <cacheHierarchy uniqueName="[Sales_Products].[Product Name]" caption="Product Name" attribute="1" defaultMemberUniqueName="[Sales_Products].[Product Name].[All]" allUniqueName="[Sales_Products].[Product Name].[All]" dimensionUniqueName="[Sales_Products]" displayFolder="" count="0" memberValueDatatype="130" unbalanced="0"/>
    <cacheHierarchy uniqueName="[Sales_Products].[Category]" caption="Category" attribute="1" defaultMemberUniqueName="[Sales_Products].[Category].[All]" allUniqueName="[Sales_Products].[Category].[All]" dimensionUniqueName="[Sales_Products]" displayFolder="" count="2" memberValueDatatype="130" unbalanced="0"/>
    <cacheHierarchy uniqueName="[Sales_Products].[Sales Price]" caption="Sales Price" attribute="1" defaultMemberUniqueName="[Sales_Products].[Sales Price].[All]" allUniqueName="[Sales_Products].[Sales Price].[All]" dimensionUniqueName="[Sales_Products]" displayFolder="" count="0" memberValueDatatype="5" unbalanced="0"/>
    <cacheHierarchy uniqueName="[Sales_Products].[Cost Price]" caption="Cost Price" attribute="1" defaultMemberUniqueName="[Sales_Products].[Cost Price].[All]" allUniqueName="[Sales_Products].[Cost Price].[All]" dimensionUniqueName="[Sales_Products]" displayFolder="" count="0" memberValueDatatype="5" unbalanced="0"/>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cacheHierarchy uniqueName="[Measures].[Profit Margin %]" caption="Profit Margin %" measure="1" displayFolder="" measureGroup="Calculation" count="0"/>
    <cacheHierarchy uniqueName="[Measures].[#Transactions]" caption="#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Products]" caption="#Products" measure="1" displayFolder="" measureGroup="Calculation" count="0"/>
    <cacheHierarchy uniqueName="[Measures].[Qty Returned]" caption="Qty Returned" measure="1" displayFolder="" measureGroup="Calculation" count="0"/>
    <cacheHierarchy uniqueName="[Measures].[Total Quantity]" caption="Total Quantity" measure="1" displayFolder="" measureGroup="Calculation" count="0"/>
    <cacheHierarchy uniqueName="[Measures].[Total target]" caption="Total target" measure="1" displayFolder="" measureGroup="Calculation" count="0"/>
    <cacheHierarchy uniqueName="[Measures].[Total Customers]" caption="Total Customers" measure="1" displayFolder="" measureGroup="Calculation" count="0"/>
    <cacheHierarchy uniqueName="[Measures].[Total locations]" caption="Total locations" measure="1" displayFolder="" measureGroup="Calculation" count="0"/>
    <cacheHierarchy uniqueName="[Measures].[Product sold]" caption="Product sold" measure="1" displayFolder="" measureGroup="Calculation" count="0"/>
    <cacheHierarchy uniqueName="[Measures].[Return rate]" caption="Return rate" measure="1" displayFolder="" measureGroup="Calculation" count="0"/>
    <cacheHierarchy uniqueName="[Measures].[__XL_Count Dim_Customers]" caption="__XL_Count Dim_Customers" measure="1" displayFolder="" measureGroup="Dim_Customers"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Sales_Products]" caption="__XL_Count Sales_Products" measure="1" displayFolder="" measureGroup="Sales_Product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fact_table  2]" caption="__XL_Count fact_table  2" measure="1" displayFolder="" measureGroup="fact_table  2" count="0" hidden="1"/>
    <cacheHierarchy uniqueName="[Measures].[__No measures defined]" caption="__No measures defined" measure="1" displayFolder="" count="0" hidden="1"/>
    <cacheHierarchy uniqueName="[Measures].[Sum of Customers Age]" caption="Sum of Customers Age" measure="1" displayFolder="" measureGroup="Dim_Customers" count="0" hidden="1">
      <extLst>
        <ext xmlns:x15="http://schemas.microsoft.com/office/spreadsheetml/2010/11/main" uri="{B97F6D7D-B522-45F9-BDA1-12C45D357490}">
          <x15:cacheHierarchy aggregatedColumn="13"/>
        </ext>
      </extLst>
    </cacheHierarchy>
    <cacheHierarchy uniqueName="[Measures].[Average of Customers Age]" caption="Average of Customers Age" measure="1" displayFolder="" measureGroup="Dim_Customers" count="0" hidden="1">
      <extLst>
        <ext xmlns:x15="http://schemas.microsoft.com/office/spreadsheetml/2010/11/main" uri="{B97F6D7D-B522-45F9-BDA1-12C45D357490}">
          <x15:cacheHierarchy aggregatedColumn="13"/>
        </ext>
      </extLst>
    </cacheHierarchy>
    <cacheHierarchy uniqueName="[Measures].[Count of Measure]" caption="Count of Measure" measure="1" displayFolder="" measureGroup="Calculation" count="0" hidden="1">
      <extLst>
        <ext xmlns:x15="http://schemas.microsoft.com/office/spreadsheetml/2010/11/main" uri="{B97F6D7D-B522-45F9-BDA1-12C45D357490}">
          <x15:cacheHierarchy aggregatedColumn="0"/>
        </ext>
      </extLst>
    </cacheHierarchy>
    <cacheHierarchy uniqueName="[Measures].[Sum of Quantity Sold]" caption="Sum of Quantity Sold" measure="1" displayFolder="" measureGroup="fact_table" count="0" hidden="1">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hidden="1">
      <extLst>
        <ext xmlns:x15="http://schemas.microsoft.com/office/spreadsheetml/2010/11/main" uri="{B97F6D7D-B522-45F9-BDA1-12C45D357490}">
          <x15:cacheHierarchy aggregatedColumn="22"/>
        </ext>
      </extLst>
    </cacheHierarchy>
  </cacheHierarchies>
  <kpis count="0"/>
  <extLst>
    <ext xmlns:x14="http://schemas.microsoft.com/office/spreadsheetml/2009/9/main" uri="{725AE2AE-9491-48be-B2B4-4EB974FC3084}">
      <x14:pivotCacheDefinition slicerData="1" pivotCacheId="233015560"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04.848656365742" backgroundQuery="1" createdVersion="3" refreshedVersion="8" minRefreshableVersion="3" recordCount="0" supportSubquery="1" supportAdvancedDrill="1" xr:uid="{C3F0AE99-B368-45DD-BE82-4150134F59A8}">
  <cacheSource type="external" connectionId="9">
    <extLst>
      <ext xmlns:x14="http://schemas.microsoft.com/office/spreadsheetml/2009/9/main" uri="{F057638F-6D5F-4e77-A914-E7F072B9BCA8}">
        <x14:sourceConnection name="ThisWorkbookDataModel"/>
      </ext>
    </extLst>
  </cacheSource>
  <cacheFields count="0"/>
  <cacheHierarchies count="65">
    <cacheHierarchy uniqueName="[Calculation].[Measure]" caption="Measure" attribute="1" defaultMemberUniqueName="[Calculation].[Measure].[All]" allUniqueName="[Calculation].[Measure].[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s Age]" caption="Customers Age" attribute="1" defaultMemberUniqueName="[Dim_Customers].[Customers Age].[All]" allUniqueName="[Dim_Customers].[Customers Age].[All]" dimensionUniqueName="[Dim_Customers]" displayFolder="" count="0" memberValueDatatype="20" unbalanced="0"/>
    <cacheHierarchy uniqueName="[Dim_Customers].[Age Group]" caption="Age Group" attribute="1" defaultMemberUniqueName="[Dim_Customers].[Age Group].[All]" allUniqueName="[Dim_Customers].[Age Group].[All]" dimensionUniqueName="[Dim_Customers]"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cacheHierarchy uniqueName="[Dim_Salesperson].[Date of Birth]" caption="Date of Birth" attribute="1" defaultMemberUniqueName="[Dim_Salesperson].[Date of Birth].[All]" allUniqueName="[Dim_Salesperson].[Date of Birth].[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fact_table  2].[Product ID]" caption="Product ID" attribute="1" defaultMemberUniqueName="[fact_table  2].[Product ID].[All]" allUniqueName="[fact_table  2].[Product ID].[All]" dimensionUniqueName="[fact_table  2]" displayFolder="" count="0" memberValueDatatype="20" unbalanced="0"/>
    <cacheHierarchy uniqueName="[fact_table  2].[Sold Product Name]" caption="Sold Product Name" attribute="1" defaultMemberUniqueName="[fact_table  2].[Sold Product Name].[All]" allUniqueName="[fact_table  2].[Sold Product Name].[All]" dimensionUniqueName="[fact_table  2]"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roducts].[Product ID]" caption="Product ID" attribute="1" defaultMemberUniqueName="[Sales_Products].[Product ID].[All]" allUniqueName="[Sales_Products].[Product ID].[All]" dimensionUniqueName="[Sales_Products]" displayFolder="" count="0" memberValueDatatype="20" unbalanced="0"/>
    <cacheHierarchy uniqueName="[Sales_Products].[Product Name]" caption="Product Name" attribute="1" defaultMemberUniqueName="[Sales_Products].[Product Name].[All]" allUniqueName="[Sales_Products].[Product Name].[All]" dimensionUniqueName="[Sales_Products]" displayFolder="" count="0" memberValueDatatype="130" unbalanced="0"/>
    <cacheHierarchy uniqueName="[Sales_Products].[Category]" caption="Category" attribute="1" defaultMemberUniqueName="[Sales_Products].[Category].[All]" allUniqueName="[Sales_Products].[Category].[All]" dimensionUniqueName="[Sales_Products]" displayFolder="" count="0" memberValueDatatype="130" unbalanced="0"/>
    <cacheHierarchy uniqueName="[Sales_Products].[Sales Price]" caption="Sales Price" attribute="1" defaultMemberUniqueName="[Sales_Products].[Sales Price].[All]" allUniqueName="[Sales_Products].[Sales Price].[All]" dimensionUniqueName="[Sales_Products]" displayFolder="" count="0" memberValueDatatype="5" unbalanced="0"/>
    <cacheHierarchy uniqueName="[Sales_Products].[Cost Price]" caption="Cost Price" attribute="1" defaultMemberUniqueName="[Sales_Products].[Cost Price].[All]" allUniqueName="[Sales_Products].[Cost Price].[All]" dimensionUniqueName="[Sales_Products]" displayFolder="" count="0" memberValueDatatype="5" unbalanced="0"/>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cacheHierarchy uniqueName="[Measures].[Profit Margin %]" caption="Profit Margin %" measure="1" displayFolder="" measureGroup="Calculation" count="0"/>
    <cacheHierarchy uniqueName="[Measures].[#Transactions]" caption="#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Products]" caption="#Products" measure="1" displayFolder="" measureGroup="Calculation" count="0"/>
    <cacheHierarchy uniqueName="[Measures].[Qty Returned]" caption="Qty Returned" measure="1" displayFolder="" measureGroup="Calculation" count="0"/>
    <cacheHierarchy uniqueName="[Measures].[Total Quantity]" caption="Total Quantity" measure="1" displayFolder="" measureGroup="Calculation" count="0"/>
    <cacheHierarchy uniqueName="[Measures].[Total target]" caption="Total target" measure="1" displayFolder="" measureGroup="Calculation" count="0"/>
    <cacheHierarchy uniqueName="[Measures].[Total Customers]" caption="Total Customers" measure="1" displayFolder="" measureGroup="Calculation" count="0"/>
    <cacheHierarchy uniqueName="[Measures].[Total locations]" caption="Total locations" measure="1" displayFolder="" measureGroup="Calculation" count="0"/>
    <cacheHierarchy uniqueName="[Measures].[Product sold]" caption="Product sold" measure="1" displayFolder="" measureGroup="Calculation" count="0"/>
    <cacheHierarchy uniqueName="[Measures].[Return rate]" caption="Return rate" measure="1" displayFolder="" measureGroup="Calculation" count="0"/>
    <cacheHierarchy uniqueName="[Measures].[__XL_Count Dim_Customers]" caption="__XL_Count Dim_Customers" measure="1" displayFolder="" measureGroup="Dim_Customers"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Sales_Products]" caption="__XL_Count Sales_Products" measure="1" displayFolder="" measureGroup="Sales_Product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fact_table  2]" caption="__XL_Count fact_table  2" measure="1" displayFolder="" measureGroup="fact_table  2" count="0" hidden="1"/>
    <cacheHierarchy uniqueName="[Measures].[__No measures defined]" caption="__No measures defined" measure="1" displayFolder="" count="0" hidden="1"/>
    <cacheHierarchy uniqueName="[Measures].[Sum of Customers Age]" caption="Sum of Customers Age" measure="1" displayFolder="" measureGroup="Dim_Customers" count="0" hidden="1">
      <extLst>
        <ext xmlns:x15="http://schemas.microsoft.com/office/spreadsheetml/2010/11/main" uri="{B97F6D7D-B522-45F9-BDA1-12C45D357490}">
          <x15:cacheHierarchy aggregatedColumn="13"/>
        </ext>
      </extLst>
    </cacheHierarchy>
    <cacheHierarchy uniqueName="[Measures].[Average of Customers Age]" caption="Average of Customers Age" measure="1" displayFolder="" measureGroup="Dim_Customers" count="0" hidden="1">
      <extLst>
        <ext xmlns:x15="http://schemas.microsoft.com/office/spreadsheetml/2010/11/main" uri="{B97F6D7D-B522-45F9-BDA1-12C45D357490}">
          <x15:cacheHierarchy aggregatedColumn="13"/>
        </ext>
      </extLst>
    </cacheHierarchy>
    <cacheHierarchy uniqueName="[Measures].[Count of Measure]" caption="Count of Measure" measure="1" displayFolder="" measureGroup="Calculation" count="0" hidden="1">
      <extLst>
        <ext xmlns:x15="http://schemas.microsoft.com/office/spreadsheetml/2010/11/main" uri="{B97F6D7D-B522-45F9-BDA1-12C45D357490}">
          <x15:cacheHierarchy aggregatedColumn="0"/>
        </ext>
      </extLst>
    </cacheHierarchy>
    <cacheHierarchy uniqueName="[Measures].[Sum of Quantity Sold]" caption="Sum of Quantity Sold" measure="1" displayFolder="" measureGroup="fact_table" count="0" hidden="1">
      <extLst>
        <ext xmlns:x15="http://schemas.microsoft.com/office/spreadsheetml/2010/11/main" uri="{B97F6D7D-B522-45F9-BDA1-12C45D357490}">
          <x15:cacheHierarchy aggregatedColumn="22"/>
        </ext>
      </extLst>
    </cacheHierarchy>
    <cacheHierarchy uniqueName="[Measures].[Count of Quantity Sold]" caption="Count of Quantity Sold" measure="1" displayFolder="" measureGroup="fact_table" count="0" hidden="1">
      <extLst>
        <ext xmlns:x15="http://schemas.microsoft.com/office/spreadsheetml/2010/11/main" uri="{B97F6D7D-B522-45F9-BDA1-12C45D357490}">
          <x15:cacheHierarchy aggregatedColumn="22"/>
        </ext>
      </extLst>
    </cacheHierarchy>
  </cacheHierarchies>
  <kpis count="0"/>
  <extLst>
    <ext xmlns:x14="http://schemas.microsoft.com/office/spreadsheetml/2009/9/main" uri="{725AE2AE-9491-48be-B2B4-4EB974FC3084}">
      <x14:pivotCacheDefinition slicerData="1" pivotCacheId="297223984"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875173-2937-4012-B6FA-8C67CE81DC62}" name="PivotTable1" cacheId="1249" applyNumberFormats="0" applyBorderFormats="0" applyFontFormats="0" applyPatternFormats="0" applyAlignmentFormats="0" applyWidthHeightFormats="1" dataCaption="Values" tag="c430d18f-938d-4fff-ad33-79c9809201d7" updatedVersion="8" minRefreshableVersion="3" useAutoFormatting="1" itemPrintTitles="1" createdVersion="8" indent="0" outline="1" outlineData="1" multipleFieldFilters="0">
  <location ref="C8:M9" firstHeaderRow="0" firstDataRow="1" firstDataCol="0"/>
  <pivotFields count="12">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11">
    <i>
      <x/>
    </i>
    <i i="1">
      <x v="1"/>
    </i>
    <i i="2">
      <x v="2"/>
    </i>
    <i i="3">
      <x v="3"/>
    </i>
    <i i="4">
      <x v="4"/>
    </i>
    <i i="5">
      <x v="5"/>
    </i>
    <i i="6">
      <x v="6"/>
    </i>
    <i i="7">
      <x v="7"/>
    </i>
    <i i="8">
      <x v="8"/>
    </i>
    <i i="9">
      <x v="9"/>
    </i>
    <i i="10">
      <x v="10"/>
    </i>
  </colItems>
  <dataFields count="11">
    <dataField fld="0" subtotal="count" baseField="0" baseItem="0"/>
    <dataField fld="1" subtotal="count" baseField="0" baseItem="0"/>
    <dataField fld="2" subtotal="count" baseField="0" baseItem="0"/>
    <dataField fld="3" subtotal="count" baseField="0" baseItem="0"/>
    <dataField fld="4" subtotal="count" baseField="0" baseItem="0"/>
    <dataField fld="5" subtotal="count" baseField="0" baseItem="0"/>
    <dataField fld="6" subtotal="count" baseField="0" baseItem="0"/>
    <dataField fld="7" subtotal="count" baseField="0" baseItem="0"/>
    <dataField fld="8" subtotal="count" baseField="0" baseItem="0"/>
    <dataField fld="9" subtotal="count" baseField="0" baseItem="0"/>
    <dataField fld="10" subtotal="count" baseField="0" baseItem="0"/>
  </dataFields>
  <pivotHierarchies count="65">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
        <x15:activeTabTopLevelEntity name="[Date]"/>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B6ED454-7349-481E-BF01-7394BBA32BC9}" name="PivotTable2" cacheId="1240" applyNumberFormats="0" applyBorderFormats="0" applyFontFormats="0" applyPatternFormats="0" applyAlignmentFormats="0" applyWidthHeightFormats="1" dataCaption="Values" tag="8b21090e-a93d-463b-958b-9ff9c1eb6dd1" updatedVersion="8" minRefreshableVersion="3" useAutoFormatting="1" rowGrandTotals="0" colGrandTotals="0" itemPrintTitles="1" createdVersion="8" indent="0" compact="0" compactData="0" multipleFieldFilters="0" chartFormat="6">
  <location ref="T6:V16" firstHeaderRow="0" firstDataRow="1" firstDataCol="1"/>
  <pivotFields count="4">
    <pivotField dataField="1" compact="0" outline="0" subtotalTop="0" showAll="0" defaultSubtotal="0"/>
    <pivotField dataField="1" compact="0" outline="0" subtotalTop="0" showAll="0" defaultSubtotal="0"/>
    <pivotField axis="axisRow" compact="0" allDrilled="1" outline="0" subtotalTop="0" showAll="0"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1"/>
            </reference>
          </references>
        </pivotArea>
      </autoSortScope>
    </pivotField>
    <pivotField compact="0" allDrilled="1" outline="0" subtotalTop="0" showAll="0" dataSourceSort="1" defaultSubtotal="0" defaultAttributeDrillState="1"/>
  </pivotFields>
  <rowFields count="1">
    <field x="2"/>
  </rowFields>
  <rowItems count="10">
    <i>
      <x v="7"/>
    </i>
    <i>
      <x v="5"/>
    </i>
    <i>
      <x v="4"/>
    </i>
    <i>
      <x v="1"/>
    </i>
    <i>
      <x v="9"/>
    </i>
    <i>
      <x v="8"/>
    </i>
    <i>
      <x v="6"/>
    </i>
    <i>
      <x/>
    </i>
    <i>
      <x v="3"/>
    </i>
    <i>
      <x v="2"/>
    </i>
  </rowItems>
  <colFields count="1">
    <field x="-2"/>
  </colFields>
  <colItems count="2">
    <i>
      <x/>
    </i>
    <i i="1">
      <x v="1"/>
    </i>
  </colItems>
  <dataFields count="2">
    <dataField fld="0" subtotal="count" baseField="0" baseItem="0"/>
    <dataField fld="1" subtotal="count" baseField="0" baseItem="0"/>
  </dataFields>
  <formats count="1">
    <format dxfId="25">
      <pivotArea outline="0" fieldPosition="0">
        <references count="2">
          <reference field="4294967294" count="1" selected="0">
            <x v="0"/>
          </reference>
          <reference field="2" count="1" selected="0">
            <x v="0"/>
          </reference>
        </references>
      </pivotArea>
    </format>
  </formats>
  <chartFormats count="2">
    <chartFormat chart="4" format="2"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1"/>
          </reference>
        </references>
      </pivotArea>
    </chartFormat>
  </chartFormats>
  <pivotHierarchies count="65">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
        <x15:activeTabTopLevelEntity name="[Dim_Salesperson]"/>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800625A-15CE-4149-B323-D600BFC472FF}" name="PivotTable12" cacheId="66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D5:AF18" firstHeaderRow="0" firstDataRow="1" firstDataCol="1"/>
  <pivotFields count="4">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fld="1" subtotal="count" baseField="0" baseItem="0"/>
    <dataField fld="2" subtotal="count" baseField="0" baseItem="0"/>
  </dataField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DA0942C-7E65-42B3-AA24-F378D8624328}" name="PivotTable3" cacheId="66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T5:V13" firstHeaderRow="0" firstDataRow="1" firstDataCol="1"/>
  <pivotFields count="4">
    <pivotField axis="axisRow" allDrilled="1" subtotalTop="0" showAll="0" dataSourceSort="1"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8">
    <i>
      <x/>
    </i>
    <i>
      <x v="1"/>
    </i>
    <i>
      <x v="2"/>
    </i>
    <i>
      <x v="3"/>
    </i>
    <i>
      <x v="4"/>
    </i>
    <i>
      <x v="5"/>
    </i>
    <i>
      <x v="6"/>
    </i>
    <i t="grand">
      <x/>
    </i>
  </rowItems>
  <colFields count="1">
    <field x="-2"/>
  </colFields>
  <colItems count="2">
    <i>
      <x/>
    </i>
    <i i="1">
      <x v="1"/>
    </i>
  </colItems>
  <dataFields count="2">
    <dataField fld="1" subtotal="count" baseField="0" baseItem="0"/>
    <dataField name="Total Revenue2" fld="3" subtotal="count" showDataAs="percentDiff" baseField="0" baseItem="1048828" numFmtId="10">
      <extLst>
        <ext xmlns:x14="http://schemas.microsoft.com/office/spreadsheetml/2009/9/main" uri="{E15A36E0-9728-4e99-A89B-3F7291B0FE68}">
          <x14:dataField sourceField="1" uniqueName="[__Xl2].[Measures].[Total Revenue]"/>
        </ext>
      </extLst>
    </dataField>
  </dataField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374A344-FAAC-4F41-B067-C829ECCB9878}" name="PivotTable2" cacheId="66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K5:M7" firstHeaderRow="0" firstDataRow="1" firstDataCol="1"/>
  <pivotFields count="4">
    <pivotField axis="axisRow" compact="0" allDrilled="1" outline="0" showAll="0" dataSourceSort="1" defaultSubtotal="0" defaultAttributeDrillState="1">
      <items count="2">
        <item x="0"/>
        <item x="1"/>
      </items>
    </pivotField>
    <pivotField dataField="1" compact="0" outline="0" showAll="0" defaultSubtotal="0"/>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2">
    <i>
      <x/>
    </i>
    <i>
      <x v="1"/>
    </i>
  </rowItems>
  <colFields count="1">
    <field x="-2"/>
  </colFields>
  <colItems count="2">
    <i>
      <x/>
    </i>
    <i i="1">
      <x v="1"/>
    </i>
  </colItems>
  <dataFields count="2">
    <dataField fld="1" subtotal="count" baseField="0" baseItem="0" numFmtId="168"/>
    <dataField name="Total Revenue2" fld="3" subtotal="count" showDataAs="percentOfTotal" baseField="0" baseItem="0" numFmtId="10">
      <extLst>
        <ext xmlns:x14="http://schemas.microsoft.com/office/spreadsheetml/2009/9/main" uri="{E15A36E0-9728-4e99-A89B-3F7291B0FE68}">
          <x14:dataField sourceField="1" uniqueName="[__Xl2].[Measures].[Total Revenue]"/>
        </ext>
      </extLst>
    </dataField>
  </dataFields>
  <formats count="2">
    <format dxfId="20">
      <pivotArea outline="0" collapsedLevelsAreSubtotals="1" fieldPosition="0"/>
    </format>
    <format dxfId="19">
      <pivotArea outline="0" fieldPosition="0">
        <references count="1">
          <reference field="4294967294" count="1">
            <x v="1"/>
          </reference>
        </references>
      </pivotArea>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CE951C3-515B-46A5-ACFE-40F6A0810DD2}" name="PivotTable1" cacheId="652"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B5:D9" firstHeaderRow="0" firstDataRow="1" firstDataCol="1"/>
  <pivotFields count="4">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4">
    <i>
      <x/>
    </i>
    <i>
      <x v="1"/>
    </i>
    <i>
      <x v="2"/>
    </i>
    <i>
      <x v="3"/>
    </i>
  </rowItems>
  <colFields count="1">
    <field x="-2"/>
  </colFields>
  <colItems count="2">
    <i>
      <x/>
    </i>
    <i i="1">
      <x v="1"/>
    </i>
  </colItems>
  <dataFields count="2">
    <dataField fld="0" subtotal="count" baseField="0" baseItem="0"/>
    <dataField name="Total Revenue2" fld="3" subtotal="count" showDataAs="percentDiff" baseField="1" baseItem="1048828" numFmtId="10">
      <extLst>
        <ext xmlns:x14="http://schemas.microsoft.com/office/spreadsheetml/2009/9/main" uri="{E15A36E0-9728-4e99-A89B-3F7291B0FE68}">
          <x14:dataField sourceField="0" uniqueName="[__Xl2].[Measures].[Total Revenue]"/>
        </ext>
      </extLst>
    </dataField>
  </dataFields>
  <formats count="4">
    <format dxfId="24">
      <pivotArea outline="0" fieldPosition="0">
        <references count="2">
          <reference field="4294967294" count="1" selected="0">
            <x v="0"/>
          </reference>
          <reference field="1" count="1" selected="0">
            <x v="0"/>
          </reference>
        </references>
      </pivotArea>
    </format>
    <format dxfId="23">
      <pivotArea outline="0" fieldPosition="0">
        <references count="2">
          <reference field="4294967294" count="1" selected="0">
            <x v="0"/>
          </reference>
          <reference field="1" count="3" selected="0">
            <x v="1"/>
            <x v="2"/>
            <x v="3"/>
          </reference>
        </references>
      </pivotArea>
    </format>
    <format dxfId="22">
      <pivotArea outline="0" fieldPosition="0">
        <references count="2">
          <reference field="4294967294" count="1" selected="0">
            <x v="1"/>
          </reference>
          <reference field="1" count="1" selected="0">
            <x v="1"/>
          </reference>
        </references>
      </pivotArea>
    </format>
    <format dxfId="21">
      <pivotArea outline="0" fieldPosition="0">
        <references count="2">
          <reference field="4294967294" count="1" selected="0">
            <x v="1"/>
          </reference>
          <reference field="1" count="2" selected="0">
            <x v="2"/>
            <x v="3"/>
          </reference>
        </references>
      </pivotArea>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
        <x15:activeTabTopLevelEntity name="[Date]"/>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DB5F4F4-2CC8-4ABD-8EB2-4BBC47F62697}" name="PivotTable9" cacheId="1288" applyNumberFormats="0" applyBorderFormats="0" applyFontFormats="0" applyPatternFormats="0" applyAlignmentFormats="0" applyWidthHeightFormats="1" dataCaption="Values" tag="dabb5277-2cf6-4375-9895-35139cc1cea8" updatedVersion="8" minRefreshableVersion="3" useAutoFormatting="1" subtotalHiddenItems="1" rowGrandTotals="0" colGrandTotals="0" itemPrintTitles="1" createdVersion="8" indent="0" compact="0" compactData="0" multipleFieldFilters="0" chartFormat="6">
  <location ref="AP4:AQ11"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s>
  <rowFields count="1">
    <field x="1"/>
  </rowFields>
  <rowItems count="7">
    <i>
      <x/>
    </i>
    <i>
      <x v="1"/>
    </i>
    <i>
      <x v="2"/>
    </i>
    <i>
      <x v="3"/>
    </i>
    <i>
      <x v="4"/>
    </i>
    <i>
      <x v="5"/>
    </i>
    <i>
      <x v="6"/>
    </i>
  </rowItems>
  <colItems count="1">
    <i/>
  </colItems>
  <dataFields count="1">
    <dataField fld="0" subtotal="count" baseField="0" baseItem="0" numFmtId="174"/>
  </dataFields>
  <formats count="1">
    <format dxfId="12">
      <pivotArea outline="0" collapsedLevelsAreSubtotals="1" fieldPosition="0"/>
    </format>
  </formats>
  <chartFormats count="1">
    <chartFormat chart="5" format="2" series="1">
      <pivotArea type="data" outline="0" fieldPosition="0">
        <references count="1">
          <reference field="4294967294" count="1" selected="0">
            <x v="0"/>
          </reference>
        </references>
      </pivotArea>
    </chartFormat>
  </chartFormats>
  <pivotHierarchies count="65">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B516336-C243-4BD4-8054-4721DAF4B82D}" name="PivotTable4" cacheId="1273" applyNumberFormats="0" applyBorderFormats="0" applyFontFormats="0" applyPatternFormats="0" applyAlignmentFormats="0" applyWidthHeightFormats="1" dataCaption="Values" tag="eaefde7e-929a-40fc-bf32-8cf03c2123aa" updatedVersion="8" minRefreshableVersion="3" useAutoFormatting="1" rowGrandTotals="0" colGrandTotals="0" itemPrintTitles="1" createdVersion="8" indent="0" compact="0" compactData="0" multipleFieldFilters="0">
  <location ref="O11:P16" firstHeaderRow="1" firstDataRow="1" firstDataCol="1"/>
  <pivotFields count="4">
    <pivotField dataField="1" compact="0" outline="0" subtotalTop="0" showAll="0" defaultSubtotal="0"/>
    <pivotField compact="0" allDrilled="1" outline="0" subtotalTop="0" showAll="0" measureFilter="1" dataSourceSort="1" defaultSubtotal="0" defaultAttributeDrillState="1">
      <items count="5">
        <item x="0"/>
        <item x="1"/>
        <item x="2"/>
        <item x="3"/>
        <item x="4"/>
      </items>
    </pivotField>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5">
    <i>
      <x v="3"/>
    </i>
    <i>
      <x v="2"/>
    </i>
    <i>
      <x v="4"/>
    </i>
    <i>
      <x v="1"/>
    </i>
    <i>
      <x/>
    </i>
  </rowItems>
  <colItems count="1">
    <i/>
  </colItems>
  <dataFields count="1">
    <dataField fld="0" subtotal="count" baseField="0" baseItem="0"/>
  </dataFields>
  <pivotHierarchies count="65">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1" type="count" id="1" iMeasureHier="38">
      <autoFilter ref="A1">
        <filterColumn colId="0">
          <top10 val="5" filterVal="5"/>
        </filterColumn>
      </autoFilter>
    </filter>
    <filter fld="2" type="count" id="2" iMeasureHier="38">
      <autoFilter ref="A1">
        <filterColumn colId="0">
          <top10 top="0" val="5" filterVal="5"/>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
        <x15:activeTabTopLevelEntity name="[Dim_Custom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B2E720A-0CC9-4F33-AED9-D921B7E289E7}" name="PivotTable14" cacheId="1258" applyNumberFormats="0" applyBorderFormats="0" applyFontFormats="0" applyPatternFormats="0" applyAlignmentFormats="0" applyWidthHeightFormats="1" dataCaption="Values" tag="ab9c93b5-d59d-4aad-96c5-161b3b69eab7" updatedVersion="8" minRefreshableVersion="3" useAutoFormatting="1" subtotalHiddenItems="1" itemPrintTitles="1" createdVersion="8" indent="0" outline="1" outlineData="1" multipleFieldFilters="0">
  <location ref="BC6:BE7" firstHeaderRow="0" firstDataRow="1" firstDataCol="0"/>
  <pivotFields count="4">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pivotHierarchies count="65">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49F4E76-C0D2-4929-9B36-905AC5181021}" name="PivotTable8" cacheId="1285" applyNumberFormats="0" applyBorderFormats="0" applyFontFormats="0" applyPatternFormats="0" applyAlignmentFormats="0" applyWidthHeightFormats="1" dataCaption="Values" tag="6d205a9e-b781-46c1-8672-4a602ae9701c" updatedVersion="8" minRefreshableVersion="3" useAutoFormatting="1" subtotalHiddenItems="1" rowGrandTotals="0" colGrandTotals="0" itemPrintTitles="1" createdVersion="8" indent="0" compact="0" compactData="0" multipleFieldFilters="0">
  <location ref="AI4:AJ6"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1"/>
  </rowFields>
  <rowItems count="2">
    <i>
      <x/>
    </i>
    <i>
      <x v="1"/>
    </i>
  </rowItems>
  <colItems count="1">
    <i/>
  </colItems>
  <dataFields count="1">
    <dataField fld="0" subtotal="count" showDataAs="percentOfTotal" baseField="0" baseItem="0" numFmtId="10"/>
  </dataFields>
  <pivotHierarchies count="65">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DA1FD7A-65C7-4C88-B8B5-B240DB4B9187}" name="PivotTable6" cacheId="1279" applyNumberFormats="0" applyBorderFormats="0" applyFontFormats="0" applyPatternFormats="0" applyAlignmentFormats="0" applyWidthHeightFormats="1" dataCaption="Values" tag="c93ab0d0-59f2-42cf-b649-028f5256d26c" updatedVersion="8" minRefreshableVersion="3" useAutoFormatting="1" subtotalHiddenItems="1" rowGrandTotals="0" colGrandTotals="0" itemPrintTitles="1" createdVersion="8" indent="0" compact="0" compactData="0" multipleFieldFilters="0">
  <location ref="Y4:Z9" firstHeaderRow="1" firstDataRow="1" firstDataCol="1"/>
  <pivotFields count="3">
    <pivotField axis="axisRow" compact="0" allDrilled="1" outline="0" subtotalTop="0" showAll="0" dataSourceSort="1" defaultSubtotal="0" defaultAttributeDrillState="1">
      <items count="5">
        <item x="0"/>
        <item x="1"/>
        <item x="2"/>
        <item x="3"/>
        <item x="4"/>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i>
    <i>
      <x v="1"/>
    </i>
    <i>
      <x v="2"/>
    </i>
    <i>
      <x v="3"/>
    </i>
    <i>
      <x v="4"/>
    </i>
  </rowItems>
  <colItems count="1">
    <i/>
  </colItems>
  <dataFields count="1">
    <dataField fld="1" subtotal="count" baseField="0" baseItem="0"/>
  </dataFields>
  <pivotHierarchies count="65">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6AAADE4-5F68-449D-9001-062B7AD2CFBE}" name="Month profit" cacheId="1252" applyNumberFormats="0" applyBorderFormats="0" applyFontFormats="0" applyPatternFormats="0" applyAlignmentFormats="0" applyWidthHeightFormats="1" dataCaption="Values" tag="9b15f66a-6287-4a11-af1d-d975faf1c278" updatedVersion="8" minRefreshableVersion="3" useAutoFormatting="1" subtotalHiddenItems="1" rowGrandTotals="0" colGrandTotals="0" itemPrintTitles="1" createdVersion="8" indent="0" compact="0" compactData="0" multipleFieldFilters="0" chartFormat="10">
  <location ref="AV4:AX16" firstHeaderRow="0" firstDataRow="1" firstDataCol="1"/>
  <pivotFields count="4">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12">
    <i>
      <x/>
    </i>
    <i>
      <x v="1"/>
    </i>
    <i>
      <x v="2"/>
    </i>
    <i>
      <x v="3"/>
    </i>
    <i>
      <x v="4"/>
    </i>
    <i>
      <x v="5"/>
    </i>
    <i>
      <x v="6"/>
    </i>
    <i>
      <x v="7"/>
    </i>
    <i>
      <x v="8"/>
    </i>
    <i>
      <x v="9"/>
    </i>
    <i>
      <x v="10"/>
    </i>
    <i>
      <x v="11"/>
    </i>
  </rowItems>
  <colFields count="1">
    <field x="-2"/>
  </colFields>
  <colItems count="2">
    <i>
      <x/>
    </i>
    <i i="1">
      <x v="1"/>
    </i>
  </colItems>
  <dataFields count="2">
    <dataField fld="0" subtotal="count" baseField="0" baseItem="0" numFmtId="174"/>
    <dataField name="Profit Margin2" fld="3" subtotal="count" showDataAs="percentDiff" baseField="1" baseItem="1048828" numFmtId="175">
      <extLst>
        <ext xmlns:x14="http://schemas.microsoft.com/office/spreadsheetml/2009/9/main" uri="{E15A36E0-9728-4e99-A89B-3F7291B0FE68}">
          <x14:dataField sourceField="0" uniqueName="[__Xl2].[Measures].[Profit Margin]"/>
        </ext>
      </extLst>
    </dataField>
  </dataFields>
  <formats count="3">
    <format dxfId="15">
      <pivotArea outline="0" collapsedLevelsAreSubtotals="1" fieldPosition="0"/>
    </format>
    <format dxfId="14">
      <pivotArea outline="0" fieldPosition="0">
        <references count="1">
          <reference field="4294967294" count="1">
            <x v="1"/>
          </reference>
        </references>
      </pivotArea>
    </format>
    <format dxfId="13">
      <pivotArea outline="0" fieldPosition="0">
        <references count="1">
          <reference field="4294967294" count="1" selected="0">
            <x v="1"/>
          </reference>
        </references>
      </pivotArea>
    </format>
  </formats>
  <chartFormats count="2">
    <chartFormat chart="3"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E72BE1D9-83CF-4550-8D4F-54F15FC00C1B}" name="PivotTable3" cacheId="1270" applyNumberFormats="0" applyBorderFormats="0" applyFontFormats="0" applyPatternFormats="0" applyAlignmentFormats="0" applyWidthHeightFormats="1" dataCaption="Values" tag="5c40a86f-e644-4fb5-a742-8202a2680bf5" updatedVersion="8" minRefreshableVersion="3" useAutoFormatting="1" rowGrandTotals="0" colGrandTotals="0" itemPrintTitles="1" createdVersion="8" indent="0" compact="0" compactData="0" multipleFieldFilters="0">
  <location ref="K11:L16" firstHeaderRow="1" firstDataRow="1" firstDataCol="1"/>
  <pivotFields count="4">
    <pivotField dataField="1" compact="0" outline="0" subtotalTop="0" showAll="0" defaultSubtotal="0"/>
    <pivotField compact="0" allDrilled="1" outline="0" subtotalTop="0" showAll="0" measureFilter="1" dataSourceSort="1" defaultSubtotal="0" defaultAttributeDrillState="1">
      <items count="5">
        <item x="0"/>
        <item x="1"/>
        <item x="2"/>
        <item x="3"/>
        <item x="4"/>
      </items>
    </pivotField>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5">
    <i>
      <x v="2"/>
    </i>
    <i>
      <x v="3"/>
    </i>
    <i>
      <x v="1"/>
    </i>
    <i>
      <x/>
    </i>
    <i>
      <x v="4"/>
    </i>
  </rowItems>
  <colItems count="1">
    <i/>
  </colItems>
  <dataFields count="1">
    <dataField fld="0" subtotal="count" baseField="0" baseItem="0"/>
  </dataFields>
  <pivotHierarchies count="65">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1" type="count" id="1" iMeasureHier="38">
      <autoFilter ref="A1">
        <filterColumn colId="0">
          <top10 val="5" filterVal="5"/>
        </filterColumn>
      </autoFilter>
    </filter>
    <filter fld="2" type="count" id="2" iMeasureHier="38">
      <autoFilter ref="A1">
        <filterColumn colId="0">
          <top10 val="5" filterVal="5"/>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
        <x15:activeTabTopLevelEntity name="[Dim_Custom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4B7229A0-7666-469F-AB5F-91613BBF5A1A}" name="PivotTable1" cacheId="1255" applyNumberFormats="0" applyBorderFormats="0" applyFontFormats="0" applyPatternFormats="0" applyAlignmentFormats="0" applyWidthHeightFormats="1" dataCaption="Values" tag="86c145cf-a674-4039-8ba4-adcbfd9cd015" updatedVersion="8" minRefreshableVersion="3" useAutoFormatting="1" rowGrandTotals="0" colGrandTotals="0" itemPrintTitles="1" createdVersion="8" indent="0" compact="0" compactData="0" multipleFieldFilters="0">
  <location ref="C11:D16" firstHeaderRow="1" firstDataRow="1" firstDataCol="1"/>
  <pivotFields count="3">
    <pivotField dataField="1" compact="0" outline="0" subtotalTop="0" showAll="0" defaultSubtotal="0"/>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5">
    <i>
      <x v="2"/>
    </i>
    <i>
      <x v="1"/>
    </i>
    <i>
      <x v="3"/>
    </i>
    <i>
      <x v="4"/>
    </i>
    <i>
      <x/>
    </i>
  </rowItems>
  <colItems count="1">
    <i/>
  </colItems>
  <dataFields count="1">
    <dataField fld="0" subtotal="count" baseField="0" baseItem="0"/>
  </dataFields>
  <pivotHierarchies count="65">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1" iMeasureHier="38">
      <autoFilter ref="A1">
        <filterColumn colId="0">
          <top1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
        <x15:activeTabTopLevelEntity name="[Dim_Custom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CACE6B15-CAF7-49B1-BB0A-CFF4E82DD10B}" name="PivotTable16" cacheId="1264" applyNumberFormats="0" applyBorderFormats="0" applyFontFormats="0" applyPatternFormats="0" applyAlignmentFormats="0" applyWidthHeightFormats="1" dataCaption="Values" tag="2d3b3520-c90d-49de-bccb-331eedab8a7f" updatedVersion="8" minRefreshableVersion="3" useAutoFormatting="1" rowGrandTotals="0" colGrandTotals="0" itemPrintTitles="1" createdVersion="8" indent="0" compact="0" compactData="0" multipleFieldFilters="0">
  <location ref="BO7:BP12" firstHeaderRow="1" firstDataRow="1" firstDataCol="1"/>
  <pivotFields count="4">
    <pivotField compact="0" allDrilled="1" outline="0" subtotalTop="0" showAll="0" measureFilter="1" dataSourceSort="1" defaultSubtotal="0" defaultAttributeDrillState="1">
      <items count="5">
        <item x="0"/>
        <item x="1"/>
        <item x="2"/>
        <item x="3"/>
        <item x="4"/>
      </items>
    </pivotField>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1"/>
  </rowFields>
  <rowItems count="5">
    <i>
      <x v="1"/>
    </i>
    <i>
      <x v="3"/>
    </i>
    <i>
      <x/>
    </i>
    <i>
      <x v="4"/>
    </i>
    <i>
      <x v="2"/>
    </i>
  </rowItems>
  <colItems count="1">
    <i/>
  </colItems>
  <dataFields count="1">
    <dataField fld="2" subtotal="count" baseField="0" baseItem="0" numFmtId="172"/>
  </dataFields>
  <formats count="1">
    <format dxfId="16">
      <pivotArea outline="0" collapsedLevelsAreSubtotals="1" fieldPosition="0"/>
    </format>
  </formats>
  <pivotHierarchies count="65">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0" type="count" id="1" iMeasureHier="38">
      <autoFilter ref="A1">
        <filterColumn colId="0">
          <top10 val="5" filterVal="5"/>
        </filterColumn>
      </autoFilter>
    </filter>
    <filter fld="1" type="count" id="2" iMeasureHier="38">
      <autoFilter ref="A1">
        <filterColumn colId="0">
          <top10 val="5" filterVal="5"/>
        </filterColumn>
      </autoFilter>
    </filter>
  </filters>
  <rowHierarchiesUsage count="1">
    <rowHierarchyUsage hierarchyUsage="3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
        <x15:activeTabTopLevelEntity name="[Dim_Customers]"/>
        <x15:activeTabTopLevelEntity name="[Sales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6FA1D96A-3A51-4A18-98A1-C3ED17CE2541}" name="PivotTable2" cacheId="1267" applyNumberFormats="0" applyBorderFormats="0" applyFontFormats="0" applyPatternFormats="0" applyAlignmentFormats="0" applyWidthHeightFormats="1" dataCaption="Values" tag="59811e07-2204-4620-924b-63f47216bffc" updatedVersion="8" minRefreshableVersion="3" useAutoFormatting="1" subtotalHiddenItems="1" rowGrandTotals="0" colGrandTotals="0" itemPrintTitles="1" createdVersion="8" indent="0" compact="0" compactData="0" multipleFieldFilters="0">
  <location ref="G11:H16" firstHeaderRow="1" firstDataRow="1" firstDataCol="1"/>
  <pivotFields count="3">
    <pivotField dataField="1" compact="0" outline="0" subtotalTop="0" showAll="0" defaultSubtotal="0"/>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5">
    <i>
      <x v="4"/>
    </i>
    <i>
      <x v="3"/>
    </i>
    <i>
      <x/>
    </i>
    <i>
      <x v="1"/>
    </i>
    <i>
      <x v="2"/>
    </i>
  </rowItems>
  <colItems count="1">
    <i/>
  </colItems>
  <dataFields count="1">
    <dataField fld="0" subtotal="count" baseField="0" baseItem="0"/>
  </dataFields>
  <pivotHierarchies count="65">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2" iMeasureHier="38">
      <autoFilter ref="A1">
        <filterColumn colId="0">
          <top10 top="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
        <x15:activeTabTopLevelEntity name="[Dim_Custom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EACF73F7-9FD4-45A5-8B8A-B26445120C02}" name="PivotTable5" cacheId="1276" applyNumberFormats="0" applyBorderFormats="0" applyFontFormats="0" applyPatternFormats="0" applyAlignmentFormats="0" applyWidthHeightFormats="1" dataCaption="Values" tag="9ea344b1-d725-4f79-9ec2-3c95be911ceb" updatedVersion="8" minRefreshableVersion="3" useAutoFormatting="1" itemPrintTitles="1" createdVersion="8" indent="0" outline="1" outlineData="1" multipleFieldFilters="0">
  <location ref="R11:S12" firstHeaderRow="0" firstDataRow="1" firstDataCol="0"/>
  <pivotFields count="3">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2">
    <i>
      <x/>
    </i>
    <i i="1">
      <x v="1"/>
    </i>
  </colItems>
  <dataFields count="2">
    <dataField fld="0" subtotal="count" baseField="0" baseItem="0"/>
    <dataField fld="1" subtotal="count" baseField="0" baseItem="0"/>
  </dataFields>
  <pivotHierarchies count="65">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4C5EE2DB-A958-4F32-8E2E-0B8AD33FE201}" name="PivotTable15" cacheId="1261" applyNumberFormats="0" applyBorderFormats="0" applyFontFormats="0" applyPatternFormats="0" applyAlignmentFormats="0" applyWidthHeightFormats="1" dataCaption="Values" tag="a006ca6e-3fba-47be-8e1a-70d5512739fe" updatedVersion="8" minRefreshableVersion="3" useAutoFormatting="1" rowGrandTotals="0" colGrandTotals="0" itemPrintTitles="1" createdVersion="8" indent="0" compact="0" compactData="0" multipleFieldFilters="0">
  <location ref="BK7:BL12" firstHeaderRow="1" firstDataRow="1" firstDataCol="1"/>
  <pivotFields count="4">
    <pivotField dataField="1" compact="0" outline="0" subtotalTop="0" showAll="0" defaultSubtotal="0"/>
    <pivotField compact="0" allDrilled="1" outline="0" subtotalTop="0" showAll="0" measureFilter="1" dataSourceSort="1" defaultSubtotal="0" defaultAttributeDrillState="1">
      <items count="5">
        <item x="0"/>
        <item x="1"/>
        <item x="2"/>
        <item x="3"/>
        <item x="4"/>
      </items>
    </pivotField>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5">
    <i>
      <x v="1"/>
    </i>
    <i>
      <x v="2"/>
    </i>
    <i>
      <x v="4"/>
    </i>
    <i>
      <x v="3"/>
    </i>
    <i>
      <x/>
    </i>
  </rowItems>
  <colItems count="1">
    <i/>
  </colItems>
  <dataFields count="1">
    <dataField fld="0" subtotal="count" baseField="0" baseItem="0" numFmtId="171"/>
  </dataFields>
  <formats count="1">
    <format dxfId="17">
      <pivotArea outline="0" collapsedLevelsAreSubtotals="1" fieldPosition="0"/>
    </format>
  </formats>
  <pivotHierarchies count="65">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1" type="count" id="1" iMeasureHier="38">
      <autoFilter ref="A1">
        <filterColumn colId="0">
          <top10 val="5" filterVal="5"/>
        </filterColumn>
      </autoFilter>
    </filter>
    <filter fld="2" type="count" id="2" iMeasureHier="38">
      <autoFilter ref="A1">
        <filterColumn colId="0">
          <top10 val="5" filterVal="5"/>
        </filterColumn>
      </autoFilter>
    </filter>
  </filters>
  <rowHierarchiesUsage count="1">
    <rowHierarchyUsage hierarchyUsage="3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
        <x15:activeTabTopLevelEntity name="[Dim_Customers]"/>
        <x15:activeTabTopLevelEntity name="[Sales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3D706C10-10EC-4F1F-BDF7-C8BBED010289}" name="PivotTable7" cacheId="1282" applyNumberFormats="0" applyBorderFormats="0" applyFontFormats="0" applyPatternFormats="0" applyAlignmentFormats="0" applyWidthHeightFormats="1" dataCaption="Values" tag="a0fcb67e-0990-41cb-9fd2-b8a48b3869b1" updatedVersion="8" minRefreshableVersion="3" useAutoFormatting="1" itemPrintTitles="1" createdVersion="8" indent="0" outline="1" outlineData="1" multipleFieldFilters="0">
  <location ref="AB4:AB5"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of Customers Age" fld="0" subtotal="average" baseField="0" baseItem="749375320" numFmtId="3"/>
  </dataFields>
  <pivotHierarchies count="65">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Customers Age"/>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EDC8C997-5A23-48F5-A83B-CBBEDB038FB5}" name="PivotTable17" cacheId="1213" applyNumberFormats="0" applyBorderFormats="0" applyFontFormats="0" applyPatternFormats="0" applyAlignmentFormats="0" applyWidthHeightFormats="1" dataCaption="Values" tag="3ebeb569-e4c6-48e3-b4de-c2f081ac9779" updatedVersion="8" minRefreshableVersion="3" useAutoFormatting="1" rowGrandTotals="0" colGrandTotals="0" itemPrintTitles="1" createdVersion="8" indent="0" compact="0" compactData="0" multipleFieldFilters="0">
  <location ref="BV5:BW13" firstHeaderRow="1" firstDataRow="1" firstDataCol="1"/>
  <pivotFields count="5">
    <pivotField dataField="1" compact="0" outline="0" subtotalTop="0" showAll="0" defaultSubtotal="0"/>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compact="0" allDrilled="1" outline="0"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3"/>
  </rowFields>
  <rowItems count="8">
    <i>
      <x v="4"/>
    </i>
    <i>
      <x v="5"/>
    </i>
    <i>
      <x v="6"/>
    </i>
    <i>
      <x v="7"/>
    </i>
    <i>
      <x v="2"/>
    </i>
    <i>
      <x v="1"/>
    </i>
    <i>
      <x/>
    </i>
    <i>
      <x v="3"/>
    </i>
  </rowItems>
  <colItems count="1">
    <i/>
  </colItems>
  <dataFields count="1">
    <dataField fld="0" subtotal="count" baseField="0" baseItem="0" numFmtId="171"/>
  </dataFields>
  <formats count="1">
    <format dxfId="18">
      <pivotArea outline="0" collapsedLevelsAreSubtotals="1" fieldPosition="0"/>
    </format>
  </formats>
  <pivotHierarchies count="65">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1" type="count" id="1" iMeasureHier="38">
      <autoFilter ref="A1">
        <filterColumn colId="0">
          <top10 val="5" filterVal="5"/>
        </filterColumn>
      </autoFilter>
    </filter>
    <filter fld="2" type="count" id="2" iMeasureHier="38">
      <autoFilter ref="A1">
        <filterColumn colId="0">
          <top10 val="5" filterVal="5"/>
        </filterColumn>
      </autoFilter>
    </filter>
  </filters>
  <rowHierarchiesUsage count="1">
    <rowHierarchyUsage hierarchyUsage="3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
        <x15:activeTabTopLevelEntity name="[Dim_Customers]"/>
        <x15:activeTabTopLevelEntity name="[Sales_Product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AFF18C52-1CC1-4E2A-A233-9CCB483C360D}" name="PivotTable2" cacheId="1291" applyNumberFormats="0" applyBorderFormats="0" applyFontFormats="0" applyPatternFormats="0" applyAlignmentFormats="0" applyWidthHeightFormats="1" dataCaption="Values" tag="4df084e6-0b28-4fd7-b668-0c9124c9cdf8" updatedVersion="8" minRefreshableVersion="3" useAutoFormatting="1" subtotalHiddenItems="1" rowGrandTotals="0" colGrandTotals="0" itemPrintTitles="1" createdVersion="8" indent="0" compact="0" compactData="0" multipleFieldFilters="0">
  <location ref="D10:L110" firstHeaderRow="0" firstDataRow="1" firstDataCol="1"/>
  <pivotFields count="10">
    <pivotField name="Product Name" axis="axisRow" compact="0" allDrilled="1" outline="0" subtotalTop="0" showAll="0" dataSourceSort="1" defaultSubtotal="0" defaultAttributeDrillState="1">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0"/>
  </rowFields>
  <rowItems count="1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rowItems>
  <colFields count="1">
    <field x="-2"/>
  </colFields>
  <colItems count="8">
    <i>
      <x/>
    </i>
    <i i="1">
      <x v="1"/>
    </i>
    <i i="2">
      <x v="2"/>
    </i>
    <i i="3">
      <x v="3"/>
    </i>
    <i i="4">
      <x v="4"/>
    </i>
    <i i="5">
      <x v="5"/>
    </i>
    <i i="6">
      <x v="6"/>
    </i>
    <i i="7">
      <x v="7"/>
    </i>
  </colItems>
  <dataFields count="8">
    <dataField fld="1" subtotal="count" baseField="0" baseItem="0"/>
    <dataField fld="2" subtotal="count" baseField="0" baseItem="0"/>
    <dataField fld="3" subtotal="count" baseField="0" baseItem="0"/>
    <dataField fld="4" subtotal="count" baseField="0" baseItem="0"/>
    <dataField fld="5" subtotal="count" baseField="0" baseItem="0"/>
    <dataField fld="6" subtotal="count" baseField="0" baseItem="0"/>
    <dataField fld="7" subtotal="count" baseField="0" baseItem="0"/>
    <dataField fld="8" subtotal="count" baseField="0" baseItem="0"/>
  </dataFields>
  <pivotHierarchies count="65">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Count of Quantity Sold"/>
  </pivotHierarchies>
  <pivotTableStyleInfo name="PivotStyleLight14 2" showRowHeaders="1" showColHeaders="1" showRowStripes="0" showColStripes="0" showLastColumn="1"/>
  <rowHierarchiesUsage count="1">
    <rowHierarchyUsage hierarchyUsage="2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table  2]"/>
        <x15:activeTabTopLevelEntity name="[Calculation]"/>
        <x15:activeTabTopLevelEntity name="[fact_tabl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e_Name" xr10:uid="{87C6485D-7880-4B0E-A983-D0998719FA6A}" sourceName="[Dim_Salesperson].[Store Name]">
  <pivotTables>
    <pivotTable tabId="7" name="PivotTable1"/>
    <pivotTable tabId="2" name="PivotTable1"/>
    <pivotTable tabId="2" name="PivotTable2"/>
    <pivotTable tabId="7" name="PivotTable2"/>
    <pivotTable tabId="7" name="PivotTable3"/>
    <pivotTable tabId="7" name="PivotTable12"/>
  </pivotTables>
  <data>
    <olap pivotCacheId="297223984">
      <levels count="2">
        <level uniqueName="[Dim_Salesperson].[Store Name].[(All)]" sourceCaption="(All)" count="0"/>
        <level uniqueName="[Dim_Salesperson].[Store Name].[Store Name]" sourceCaption="Store Name" count="10">
          <ranges>
            <range startItem="0">
              <i n="[Dim_Salesperson].[Store Name].&amp;[Barron-Fleming]" c="Barron-Fleming"/>
              <i n="[Dim_Salesperson].[Store Name].&amp;[Berg-Trujillo]" c="Berg-Trujillo"/>
              <i n="[Dim_Salesperson].[Store Name].&amp;[Lee-Myers]" c="Lee-Myers"/>
              <i n="[Dim_Salesperson].[Store Name].&amp;[Lopez]" c="Lopez"/>
              <i n="[Dim_Salesperson].[Store Name].&amp;[Martinez]" c="Martinez"/>
              <i n="[Dim_Salesperson].[Store Name].&amp;[Miller]" c="Miller"/>
              <i n="[Dim_Salesperson].[Store Name].&amp;[Myers-Lopez]" c="Myers-Lopez"/>
              <i n="[Dim_Salesperson].[Store Name].&amp;[Novak PLC]" c="Novak PLC"/>
              <i n="[Dim_Salesperson].[Store Name].&amp;[Thomas]" c="Thomas"/>
              <i n="[Dim_Salesperson].[Store Name].&amp;[Valdez]" c="Valdez"/>
            </range>
          </ranges>
        </level>
      </levels>
      <selections count="1">
        <selection n="[Dim_Salesperson].[Store Nam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CAA8E0B3-DB91-4695-87A0-C55D2900B14A}" sourceName="[Date].[Month]">
  <pivotTables>
    <pivotTable tabId="9" name="PivotTable1"/>
    <pivotTable tabId="9" name="PivotTable14"/>
    <pivotTable tabId="9" name="PivotTable15"/>
    <pivotTable tabId="9" name="PivotTable16"/>
    <pivotTable tabId="9" name="PivotTable17"/>
    <pivotTable tabId="9" name="PivotTable2"/>
    <pivotTable tabId="9" name="PivotTable3"/>
    <pivotTable tabId="9" name="PivotTable4"/>
    <pivotTable tabId="9" name="PivotTable5"/>
    <pivotTable tabId="9" name="PivotTable6"/>
    <pivotTable tabId="9" name="PivotTable7"/>
    <pivotTable tabId="9" name="PivotTable8"/>
    <pivotTable tabId="9" name="PivotTable9"/>
    <pivotTable tabId="2" name="PivotTable2"/>
    <pivotTable tabId="2" name="PivotTable1"/>
    <pivotTable tabId="11" name="PivotTable2"/>
  </pivotTables>
  <data>
    <olap pivotCacheId="233015560">
      <levels count="2">
        <level uniqueName="[Date].[Month].[(All)]" sourceCaption="(All)" count="0"/>
        <level uniqueName="[Date].[Month].[Month]" sourceCaption="Month" count="12">
          <ranges>
            <range startItem="0">
              <i n="[Date].[Month].&amp;[Jan]" c="Jan"/>
              <i n="[Date].[Month].&amp;[Feb]" c="Feb"/>
              <i n="[Date].[Month].&amp;[Mar]" c="Mar"/>
              <i n="[Date].[Month].&amp;[Apr]" c="Apr"/>
              <i n="[Date].[Month].&amp;[May]" c="May"/>
              <i n="[Date].[Month].&amp;[Jun]" c="Jun"/>
              <i n="[Date].[Month].&amp;[Jul]" c="Jul"/>
              <i n="[Date].[Month].&amp;[Aug]" c="Aug"/>
              <i n="[Date].[Month].&amp;[Sep]" c="Sep"/>
              <i n="[Date].[Month].&amp;[Oct]" c="Oct"/>
              <i n="[Date].[Month].&amp;[Nov]" c="Nov"/>
              <i n="[Date].[Month].&amp;[Dec]" c="Dec"/>
            </range>
          </ranges>
        </level>
      </levels>
      <selections count="1">
        <selection n="[Date].[Month].[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05AD25BD-798B-4C21-98B9-2F7F6651C716}" sourceName="[Sales_Products].[Category]">
  <pivotTables>
    <pivotTable tabId="2" name="PivotTable1"/>
    <pivotTable tabId="9" name="Month profit"/>
    <pivotTable tabId="9" name="PivotTable1"/>
    <pivotTable tabId="9" name="PivotTable14"/>
    <pivotTable tabId="9" name="PivotTable15"/>
    <pivotTable tabId="9" name="PivotTable16"/>
    <pivotTable tabId="9" name="PivotTable2"/>
    <pivotTable tabId="9" name="PivotTable3"/>
    <pivotTable tabId="9" name="PivotTable4"/>
    <pivotTable tabId="9" name="PivotTable5"/>
    <pivotTable tabId="9" name="PivotTable6"/>
    <pivotTable tabId="9" name="PivotTable7"/>
    <pivotTable tabId="9" name="PivotTable8"/>
    <pivotTable tabId="9" name="PivotTable9"/>
    <pivotTable tabId="11" name="PivotTable2"/>
  </pivotTables>
  <data>
    <olap pivotCacheId="233015560">
      <levels count="2">
        <level uniqueName="[Sales_Products].[Category].[(All)]" sourceCaption="(All)" count="0"/>
        <level uniqueName="[Sales_Products].[Category].[Category]" sourceCaption="Category" count="8">
          <ranges>
            <range startItem="0">
              <i n="[Sales_Products].[Category].&amp;[Alcoholic Beverage]" c="Alcoholic Beverage"/>
              <i n="[Sales_Products].[Category].&amp;[Coffee]" c="Coffee"/>
              <i n="[Sales_Products].[Category].&amp;[Energy Drink]" c="Energy Drink"/>
              <i n="[Sales_Products].[Category].&amp;[Juice]" c="Juice"/>
              <i n="[Sales_Products].[Category].&amp;[Soft Drink]" c="Soft Drink"/>
              <i n="[Sales_Products].[Category].&amp;[Sports Drink]" c="Sports Drink"/>
              <i n="[Sales_Products].[Category].&amp;[Tea]" c="Tea"/>
              <i n="[Sales_Products].[Category].&amp;[Water]" c="Water"/>
            </range>
          </ranges>
        </level>
      </levels>
      <selections count="1">
        <selection n="[Sales_Products].[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ore Name" xr10:uid="{6D02EC19-133D-4E85-B59C-E3BE2C334CFE}" cache="Slicer_Store_Name" caption="Store Filter" level="1" style="SlicerStyleLight1 2 2" rowHeight="475488"/>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Filter" xr10:uid="{8BBD2A48-70A1-4577-863B-887EC42DB29A}" cache="Slicer_Month1" caption="Month Filter" columnCount="4" level="1" style="SlicerStyleLight1 2" rowHeight="54864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59C03034-A7D0-44EC-BA7C-1170386F53B4}" cache="Slicer_Month1" caption="Month" columnCount="2" level="1" style="SlicerStyleLight1 2 2" rowHeight="234950"/>
  <slicer name="Category" xr10:uid="{1B5CC209-3CC3-4736-A99E-F2BB89DB0351}" cache="Slicer_Category" caption="Category" level="1" style="SlicerStyleLight1 2 2" rowHeight="36576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A30E9D8-955E-49EC-8E41-A8C5BE1CE83D}" name="Table1" displayName="Table1" ref="S12:AA112" totalsRowShown="0" headerRowDxfId="11">
  <autoFilter ref="S12:AA112" xr:uid="{1A30E9D8-955E-49EC-8E41-A8C5BE1CE83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7CC06024-63E1-4F48-A947-B5771ADEA154}" name="Product Name" dataDxfId="10">
      <calculatedColumnFormula>D11</calculatedColumnFormula>
    </tableColumn>
    <tableColumn id="2" xr3:uid="{DE326786-D02E-45DD-826F-1F13EA803591}" name=" Quantity" dataDxfId="9">
      <calculatedColumnFormula>E11</calculatedColumnFormula>
    </tableColumn>
    <tableColumn id="3" xr3:uid="{22C579E1-BB61-410C-BFAC-EB229241B23C}" name="Qty Returned" dataDxfId="8">
      <calculatedColumnFormula>F11</calculatedColumnFormula>
    </tableColumn>
    <tableColumn id="4" xr3:uid="{453B930A-2133-4B13-9033-DAE67759633D}" name="Refund Rate" dataDxfId="7">
      <calculatedColumnFormula>G11</calculatedColumnFormula>
    </tableColumn>
    <tableColumn id="5" xr3:uid="{F649AE55-9F19-4D26-A6B3-91B504D7D238}" name="COGS" dataDxfId="6">
      <calculatedColumnFormula>H11</calculatedColumnFormula>
    </tableColumn>
    <tableColumn id="6" xr3:uid="{DC796AD6-8F09-4238-AF2D-78F02F0FEC80}" name="Total Revenue" dataDxfId="5">
      <calculatedColumnFormula>I11</calculatedColumnFormula>
    </tableColumn>
    <tableColumn id="7" xr3:uid="{338E8603-6BA8-46C2-98E5-4AFA680E6576}" name="Total Refund" dataDxfId="4">
      <calculatedColumnFormula>J11</calculatedColumnFormula>
    </tableColumn>
    <tableColumn id="8" xr3:uid="{E69CDF7A-4C16-49E7-81FF-D409A342A082}" name="Profit Margin" dataDxfId="3">
      <calculatedColumnFormula>K11</calculatedColumnFormula>
    </tableColumn>
    <tableColumn id="9" xr3:uid="{B1C3631E-0D55-4989-9555-E13A5FBE61C8}" name="Profit Margin %" dataDxfId="2">
      <calculatedColumnFormula>L11</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7.png"/></Relationships>
</file>

<file path=xl/webextensions/webextension1.xml><?xml version="1.0" encoding="utf-8"?>
<we:webextension xmlns:we="http://schemas.microsoft.com/office/webextensions/webextension/2010/11" id="{00000000-0008-0000-0500-000025000000}">
  <we:reference id="wa200004689" version="1.0.0.0" store="en-US" storeType="OMEX"/>
  <we:alternateReferences>
    <we:reference id="wa200004689" version="1.0.0.0" store="wa200004689" storeType="OMEX"/>
  </we:alternateReferences>
  <we:properties>
    <we:property name="SourceData" value="{&quot;pivotTable&quot;:&quot;PivotTable2&quot;,&quot;worksheetId&quot;:&quot;{095A1F58-4147-4C5B-814C-39B7336AA4B7}&quot;}"/>
    <we:property name="ZBILicenseSettings" value="{&quot;userInfo&quot;:{&quot;name&quot;:&quot;sayed abdelhamed&quot;,&quot;email&quot;:&quot;sayedabdelhamed29@outlook.com&quot;,&quot;userId&quot;:&quot;00000000-0000-0000-3bd8-6aa579acc2fe&quot;,&quot;organizationId&quot;:&quot;9188040d-6c67-4c5b-b112-36a304b66dad&quot;,&quot;isViewer&quot;:false}}"/>
    <we:property name="ZBITablesSettings" value="{&quot;proFeaturesEnabled&quot;:true,&quot;proFeaturesUnlocked&quot;:true,&quot;proFeaturesDisabledByUser&quot;:false,&quot;invert&quot;:false,&quot;suppressZeros&quot;:true,&quot;suppressNulls&quot;:true,&quot;suppressAbsoluteVariances&quot;:false,&quot;suppressEmptyColumns&quot;:false,&quot;showAsTable&quot;:false,&quot;showAdSlide&quot;:false,&quot;chartType&quot;:&quot;Actual / Absolute / Relative&quot;,&quot;groupsInColumns&quot;:false,&quot;showGridlines&quot;:true,&quot;showMajorGridlines&quot;:true,&quot;gridlineDensity&quot;:5,&quot;showGridlinesTable&quot;:true,&quot;gridlineDensityTable&quot;:1,&quot;fontSize&quot;:10,&quot;showTotals&quot;:0,&quot;showColumnTotals&quot;:false,&quot;columnTotalLabels&quot;:{},&quot;showRowGrandTotal&quot;:false,&quot;showColumnGrandTotal&quot;:false,&quot;freezeGrandTotal&quot;:true,&quot;grandTotalGap&quot;:false,&quot;rowGrandTotalLabel&quot;:&quot;Total&quot;,&quot;columnGrandTotalLabel&quot;:&quot;Total&quot;,&quot;absoluteChart&quot;:0,&quot;valueChart&quot;:1,&quot;valueChartIntegrated&quot;:false,&quot;onlyOneColumn&quot;:false,&quot;limitOutliers&quot;:false,&quot;minOutlierValue&quot;:null,&quot;maxOutlierValue&quot;:null,&quot;gapBetweenColumnsPercent&quot;:30,&quot;showPrefixes&quot;:true,&quot;columnSettings&quot;:{},&quot;categoryFormatSettings&quot;:{},&quot;columnTotalEmphasize&quot;:{},&quot;columnTotalEmphasizeTable&quot;:{},&quot;suppressLargeRelativeVariance&quot;:false,&quot;suppressLargeRelativeVarianceValue&quot;:100,&quot;valueHeader&quot;:null,&quot;referenceHeader&quot;:null,&quot;absoluteDifferenceHeader&quot;:null,&quot;relativeDifferenceHeader&quot;:null,&quot;secondReferenceHeader&quot;:null,&quot;secondAbsoluteDifferenceHeader&quot;:null,&quot;secondRelativeDifferenceHeader&quot;:null,&quot;thirdReferenceHeader&quot;:null,&quot;thirdAbsoluteDifferenceHeader&quot;:null,&quot;thirdRelativeDifferenceHeader&quot;:null,&quot;fourthReferenceHeader&quot;:null,&quot;fourthAbsoluteDifferenceHeader&quot;:null,&quot;fourthRelativeDifferenceHeader&quot;:null,&quot;fifthReferenceHeader&quot;:null,&quot;fifthAbsoluteDifferenceHeader&quot;:null,&quot;fifthRelativeDifferenceHeader&quot;:null,&quot;sixthReferenceHeader&quot;:null,&quot;sixthAbsoluteDifferenceHeader&quot;:null,&quot;sixthRelativeDifferenceHeader&quot;:null,&quot;seventhReferenceHeader&quot;:null,&quot;seventhAbsoluteDifferenceHeader&quot;:null,&quot;seventhRelativeDifferenceHeader&quot;:null,&quot;additionalMeasure1Header&quot;:null,&quot;additionalMeasure2Header&quot;:null,&quot;additionalMeasure3Header&quot;:null,&quot;additionalMeasure4Header&quot;:null,&quot;additionalMeasure5Header&quot;:null,&quot;additionalMeasure6Header&quot;:null,&quot;additionalMeasure7Header&quot;:null,&quot;additionalMeasure8Header&quot;:null,&quot;additionalMeasure9Header&quot;:null,&quot;additionalMeasure10Header&quot;:null,&quot;additionalMeasure11Header&quot;:null,&quot;additionalMeasure12Header&quot;:null,&quot;additionalMeasure13Header&quot;:null,&quot;additionalMeasure14Header&quot;:null,&quot;additionalMeasure15Header&quot;:null,&quot;additionalMeasure16Header&quot;:null,&quot;additionalMeasure17Header&quot;:null,&quot;additionalMeasure18Header&quot;:null,&quot;additionalMeasure19Header&quot;:null,&quot;additionalMeasure20Header&quot;:null,&quot;previousYear&quot;:&quot;Target&quot;,&quot;actual&quot;:&quot;Revenue&quot;,&quot;forecast&quot;:null,&quot;plan&quot;:null,&quot;plan2&quot;:null,&quot;plan3&quot;:null,&quot;forecast2&quot;:null,&quot;forecast3&quot;:null,&quot;actual-previousYear&quot;:&quot;Variance&quot;,&quot;actual-previousYear-percent&quot;:&quot;Variance%&quot;,&quot;previousYear-actual&quot;:null,&quot;previousYear-actual-percent&quot;:null,&quot;actual-forecast&quot;:null,&quot;actual-forecast-percent&quot;:null,&quot;forecast-actual&quot;:null,&quot;forecast-actual-percent&quot;:null,&quot;actual-plan&quot;:null,&quot;actual-plan-percent&quot;:null,&quot;plan-actual&quot;:null,&quot;plan-actual-percent&quot;:null,&quot;previousYear-forecast&quot;:null,&quot;previousYear-forecast-percent&quot;:null,&quot;forecast-previousYear&quot;:null,&quot;forecast-previousYear-percent&quot;:null,&quot;previousYear-plan&quot;:null,&quot;previousYear-plan-percent&quot;:null,&quot;plan-previousYear&quot;:null,&quot;plan-previousYear-percent&quot;:null,&quot;forecast-plan&quot;:null,&quot;forecast-plan-percent&quot;:null,&quot;plan-forecast&quot;:null,&quot;plan-forecast-percent&quot;:null,&quot;actual-plan2&quot;:null,&quot;actual-plan2-percent&quot;:null,&quot;actual-plan3&quot;:null,&quot;actual-plan3-percent&quot;:null,&quot;actual-forecast2&quot;:null,&quot;actual-forecast2-percent&quot;:null,&quot;actual-forecast3&quot;:null,&quot;actual-forecast3-percent&quot;:null,&quot;plan2-actual&quot;:null,&quot;plan2-actual-percent&quot;:null,&quot;plan3-actual&quot;:null,&quot;plan3-actual-percent&quot;:null,&quot;forecast2-actual&quot;:null,&quot;forecast2-actual-percent&quot;:null,&quot;forecast3-actual&quot;:null,&quot;forecast3-actual-percent&quot;:null,&quot;plan2-previousYear&quot;:null,&quot;plan2-previousYear-percent&quot;:null,&quot;plan3-previousYear&quot;:null,&quot;plan3-previousYear-percent&quot;:null,&quot;forecast2-previousYear&quot;:null,&quot;forecast2-previousYear-percent&quot;:null,&quot;forecast3-previousYear&quot;:null,&quot;forecast3-previousYear-percent&quot;:null,&quot;previousYear-plan2&quot;:null,&quot;previousYear-plan2-percent&quot;:null,&quot;previousYear-plan3&quot;:null,&quot;previousYear-plan3-percent&quot;:null,&quot;previousYear-forecast2&quot;:null,&quot;previousYear-forecast2-percent&quot;:null,&quot;previousYear-forecast3&quot;:null,&quot;previousYear-forecast3-percent&quot;:null,&quot;forecast-plan2&quot;:null,&quot;forecast-plan2-percent&quot;:null,&quot;forecast-plan3&quot;:null,&quot;forecast-plan3-percent&quot;:null,&quot;forecast2-plan&quot;:null,&quot;forecast2-plan-percent&quot;:null,&quot;forecast2-plan2&quot;:null,&quot;forecast2-plan2-percent&quot;:null,&quot;forecast2-plan3&quot;:null,&quot;forecast2-plan3-percent&quot;:null,&quot;forecast3-plan&quot;:null,&quot;forecast3-plan-percent&quot;:null,&quot;forecast3-plan2&quot;:null,&quot;forecast3-plan2-percent&quot;:null,&quot;forecast3-plan3&quot;:null,&quot;forecast3-plan3-percent&quot;:null,&quot;plan-forecast2&quot;:null,&quot;plan-forecast2-percent&quot;:null,&quot;plan-forecast3&quot;:null,&quot;plan-forecast3-percent&quot;:null,&quot;plan2-forecast&quot;:null,&quot;plan2-forecast-percent&quot;:null,&quot;plan2-forecast2&quot;:null,&quot;plan2-forecast2-percent&quot;:null,&quot;plan2-forecast3&quot;:null,&quot;plan2-forecast3-percent&quot;:null,&quot;plan3-forecast&quot;:null,&quot;plan3-forecast-percent&quot;:null,&quot;plan3-forecast2&quot;:null,&quot;plan3-forecast2-percent&quot;:null,&quot;plan3-forecast3&quot;:null,&quot;plan3-forecast3-percent&quot;:null,&quot;forecast-forecast2&quot;:null,&quot;forecast-forecast2-percent&quot;:null,&quot;forecast-forecast3&quot;:null,&quot;forecast-forecast3-percent&quot;:null,&quot;forecast2-forecast&quot;:null,&quot;forecast2-forecast-percent&quot;:null,&quot;forecast2-forecast3&quot;:null,&quot;forecast2-forecast3-percent&quot;:null,&quot;forecast3-forecast&quot;:null,&quot;forecast3-forecast-percent&quot;:null,&quot;forecast3-forecast2&quot;:null,&quot;forecast3-forecast2-percent&quot;:null,&quot;plan-plan2&quot;:null,&quot;plan-plan2-percent&quot;:null,&quot;plan-plan3&quot;:null,&quot;plan-plan3-percent&quot;:null,&quot;plan2-plan&quot;:null,&quot;plan2-plan-percent&quot;:null,&quot;plan2-plan3&quot;:null,&quot;plan2-plan3-percent&quot;:null,&quot;plan3-plan&quot;:null,&quot;plan3-plan-percent&quot;:null,&quot;plan3-plan2&quot;:null,&quot;plan3-plan2-percent&quot;:null,&quot;freezeHeaders&quot;:true,&quot;firstTimeShowingColumnAdder&quot;:true,&quot;showTitle&quot;:true,&quot;titleWrap&quot;:true,&quot;titleAlignment&quot;:&quot;left&quot;,&quot;titleFontSize&quot;:17,&quot;titleFontColor&quot;:&quot;#305D82&quot;,&quot;titleText&quot;:&quot;Total Revenue and Total target by Store Name&quot;,&quot;titleFontFamily&quot;:&quot;Calibri, helvetica, arial, sans-serif&quot;,&quot;titleFontWeight&quot;:&quot;normal&quot;,&quot;titleFontStyle&quot;:&quot;normal&quot;,&quot;freezeTitle&quot;:true,&quot;groupTitleAlignment&quot;:&quot;left&quot;,&quot;groupTitleFontSize&quot;:12,&quot;groupTitleFontColor&quot;:&quot;#000&quot;,&quot;groupTitleFontFamily&quot;:&quot;Calibri, helvetica, arial, sans-serif&quot;,&quot;groupTitleDisplayOptions&quot;:0,&quot;groupTitleWidth&quot;:50,&quot;showCategories&quot;:true,&quot;categoriesDisplayOptions&quot;:0,&quot;categoriesWidth&quot;:100,&quot;categoriesRowHeight&quot;:0,&quot;categoriesHeight&quot;:20,&quot;categoriesIndent&quot;:16,&quot;topNType&quot;:0,&quot;topNDataProperty&quot;:0,&quot;plottedDataProperties&quot;:[&quot;1&quot;,&quot;0&quot;,&quot;2&quot;,&quot;3&quot;],&quot;topNCategoriesToKeep&quot;:5,&quot;topNSettings&quot;:[],&quot;topNOtherLabel&quot;:&quot;Others&quot;,&quot;topNOtherShown&quot;:false,&quot;freezeCategories&quot;:true,&quot;showTopNForm&quot;:false,&quot;colorScheme&quot;:{&quot;positiveColor&quot;:&quot;#7aca00&quot;,&quot;negativeColor&quot;:&quot;#ff0000&quot;,&quot;neutralColor&quot;:&quot;#404040&quot;,&quot;markerColor&quot;:&quot;#000&quot;,&quot;lineColor&quot;:&quot;#404040&quot;,&quot;axisColor&quot;:&quot;#000&quot;,&quot;gridlineColor&quot;:&quot;#ccc&quot;,&quot;majorGridlineColor&quot;:&quot;#999&quot;,&quot;dotChartColor&quot;:&quot;#4080FF&quot;,&quot;useCustomScenarioColors&quot;:false,&quot;highlightColor&quot;:&quot;#0070C0&quot;},&quot;chartStyle&quot;:0,&quot;lightenOverlapped&quot;:true,&quot;varianceDisplayType&quot;:0,&quot;showDataLabels&quot;:true,&quot;labelFontColor&quot;:&quot;#000&quot;,&quot;displayUnits&quot;:&quot;Auto&quot;,&quot;showUnits&quot;:0,&quot;decimalPlaces&quot;:1,&quot;decimalPlacesPercentage&quot;:1,&quot;suppressSmallValues&quot;:true,&quot;labelFontSize&quot;:12,&quot;labelFontFamily&quot;:&quot;Calibri, helvetica, arial, sans-serif&quot;,&quot;integratedDifferenceLabel&quot;:1,&quot;labelPercentagePointUnit&quot;:&quot;pp&quot;,&quot;labelBackgroundTransparency&quot;:20,&quot;negativeValuesFormat&quot;:0,&quot;rightAlignNumbers&quot;:false,&quot;rightAlignParenthesisOffsetNormal&quot;:0,&quot;rightAlignParenthesisOffsetBold&quot;:0,&quot;showPercentageInLabel&quot;:false,&quot;sortColumnName&quot;:&quot;actual&quot;,&quot;chartSort&quot;:1,&quot;categorySort&quot;:1,&quot;sortReferenceChart&quot;:null,&quot;company&quot;:&quot;Free version&quot;,&quot;expiryDate&quot;:null,&quot;disabledInViewMode&quot;:false,&quot;licenseKey&quot;:&quot;&quot;,&quot;lastLicenseCheck&quot;:&quot;&quot;,&quot;resultCategories&quot;:[],&quot;skippedCategories&quot;:[],&quot;flatResultCategories&quot;:[],&quot;invertedCategories&quot;:[],&quot;userOverrideCategories&quot;:[],&quot;highlightedCategories&quot;:[],&quot;highlightedCategoriesCustomColors&quot;:[],&quot;hasAutoResults&quot;:false,&quot;hasAutoInverts&quot;:false,&quot;userChangedExpandCollapse&quot;:false,&quot;invertedGroups&quot;:[],&quot;groupNames&quot;:{},&quot;groupNamesString&quot;:&quot;&quot;,&quot;allowInteractions&quot;:true,&quot;allowChartChange&quot;:true,&quot;allowSliderChange&quot;:true,&quot;allowVarianceCalculationChange&quot;:true,&quot;allowSortChange&quot;:true,&quot;allowExpandCollapseChange&quot;:true,&quot;allowExpandCollapseRowsChange&quot;:true,&quot;allowExpandCollapseColumnsChange&quot;:true,&quot;allowColumnOrderChange&quot;:true,&quot;focusModeFontZoomPercentage&quot;:150,&quot;enableMeasureDrillThrough&quot;:false,&quot;allowInteractiveCommentBox&quot;:true,&quot;analyticsDataProperty&quot;:0,&quot;showAverageLine&quot;:false,&quot;averageLineStyle&quot;:&quot;8,4&quot;,&quot;averageLineTransparency&quot;:0,&quot;averageLabelShow&quot;:true,&quot;averageLabelHorizontalPosition&quot;:1,&quot;averageLabelVerticalPosition&quot;:1,&quot;averageLabelUnits&quot;:&quot;Auto&quot;,&quot;averageLabelDecimalPlaces&quot;:1,&quot;averageLabelTextOption&quot;:0,&quot;averageLabelText&quot;:&quot;Avg.&quot;,&quot;showConstantLine&quot;:false,&quot;constantLineStyle&quot;:&quot;&quot;,&quot;constantLineValue&quot;:0,&quot;constantLineTransparency&quot;:0,&quot;constantLabelShow&quot;:true,&quot;constantLabelHorizontalPosition&quot;:1,&quot;constantLabelVerticalPosition&quot;:1,&quot;constantLabelUnits&quot;:&quot;Auto&quot;,&quot;constantLabelDecimalPlaces&quot;:1,&quot;constantLabelTextOption&quot;:0,&quot;constantLabelText&quot;:&quot;Const.&quot;,&quot;showMedianLine&quot;:false,&quot;medianLineStyle&quot;:&quot;8,4&quot;,&quot;medianLineTransparency&quot;:0,&quot;medianLabelShow&quot;:true,&quot;medianLabelHorizontalPosition&quot;:1,&quot;medianLabelVerticalPosition&quot;:1,&quot;medianLabelUnits&quot;:&quot;Auto&quot;,&quot;medianLabelDecimalPlaces&quot;:1,&quot;medianLabelTextOption&quot;:0,&quot;medianLabelText&quot;:&quot;Med.&quot;,&quot;showPercentileLine&quot;:false,&quot;percentileLineStyle&quot;:&quot;2,4&quot;,&quot;percentileLinePercent&quot;:90,&quot;percentileLineTransparency&quot;:0,&quot;percentileLabelShow&quot;:true,&quot;percentileLabelHorizontalPosition&quot;:1,&quot;percentileLabelVerticalPosition&quot;:1,&quot;percentileLabelUnits&quot;:&quot;Auto&quot;,&quot;percentileLabelDecimalPlaces&quot;:1,&quot;percentileLabelTextOption&quot;:0,&quot;percentileLabelText&quot;:&quot;Perc.&quot;,&quot;formulaCalculation&quot;:{&quot;formulas&quot;:[],&quot;expressionMappings&quot;:{},&quot;expressionElements&quot;:{},&quot;identityDataPoints&quot;:{}},&quot;showCommentBox&quot;:false,&quot;commentBoxCustomTitleStyle&quot;:false,&quot;commentBoxTitle&quot;:3,&quot;commentBoxTitleFontColor&quot;:&quot;#000&quot;,&quot;commentBoxTitleFontFamily&quot;:&quot;Calibri, helvetica, arial, sans-serif&quot;,&quot;commentBoxTitleFontSize&quot;:18,&quot;commentBoxCustomTextStyle&quot;:false,&quot;commentBoxTextFontColor&quot;:&quot;#000&quot;,&quot;commentBoxTextFontFamily&quot;:&quot;Calibri, helvetica, arial, sans-serif&quot;,&quot;commentBoxTextFontSize&quot;:16,&quot;columnSettingsString&quot;:&quot;{\&quot;actual\&quot;:{\&quot;invert\&quot;:false,\&quot;scaleGroup\&quot;:1,\&quot;format\&quot;:0,\&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2,\&quot;hidden\&quot;:false,\&quot;hiddenFromGroups\&quot;:[]}},\&quot;previousYear\&quot;:{\&quot;invert\&quot;:false,\&quot;scaleGroup\&quot;:1,\&quot;format\&quot;:0,\&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1,\&quot;hidden\&quot;:false,\&quot;hiddenFromGroups\&quot;:[]}},\&quot;actual-previousYear\&quot;:{\&quot;invert\&quot;:false,\&quot;scaleGroup\&quot;:1,\&quot;format\&quot;:1,\&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actual-previousYear-percent\&quot;:{\&quot;invert\&quot;:false,\&quot;scaleGroup\&quot;:1,\&quot;format\&quot;:2,\&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quot;categoryFormatSettingsString&quot;:&quot;&quot;,&quot;invertedTotalCategories&quot;:[],&quot;collapsedCategories&quot;:[],&quot;calculationsString&quot;:&quot;&quot;,&quot;minChartWidth&quot;:140,&quot;measure1Role&quot;:&quot;Values&quot;,&quot;measure2Role&quot;:&quot;PreviousYear&quot;,&quot;measure3Role&quot;:&quot;Plan&quot;,&quot;measure4Role&quot;:&quot;Forecast&quot;,&quot;measure5Role&quot;:&quot;Comments&quot;,&quot;measureRoles&quot;:[&quot;Values&quot;,&quot;PreviousYear&quot;],&quot;enableFiltering&quot;:true,&quot;viewMode&quot;:1,&quot;commentBoxPlacement&quot;:0,&quot;commentBoxSize&quot;:&quot;0.66&quot;,&quot;commentBoxPadding&quot;:10,&quot;commentBoxListHorizontal&quot;:false,&quot;commentBoxItemsMargin&quot;:10,&quot;commentBoxBorderWidth&quot;:0,&quot;commentBoxBorderColor&quot;:&quot;#808080&quot;,&quot;commentBoxBorderRadius&quot;:0,&quot;commentBoxShadow&quot;:false,&quot;commentBoxBackgroundColor&quot;:&quot;#ffffff00&quot;,&quot;commentBoxVarianceIcon&quot;:2,&quot;commentBoxShowVariance&quot;:1,&quot;showCrossTables&quot;:false,&quot;commentMarkersDataProperties&quot;:{},&quot;usedMeasuresCount&quot;:2,&quot;valueScenario&quot;:0,&quot;secondValueScenario&quot;:0,&quot;thirdValueScenario&quot;:0,&quot;fourthValueScenario&quot;:0,&quot;fifthValueScenario&quot;:0,&quot;sixthValueScenario&quot;:0,&quot;seventhValueScenario&quot;:0,&quot;valuePosition&quot;:0,&quot;secondValuePosition&quot;:0,&quot;thirdValuePosition&quot;:0,&quot;fourthValuePosition&quot;:0,&quot;fifthValuePosition&quot;:0,&quot;sixthValuePosition&quot;:0,&quot;seventhValuePosition&quot;:0,&quot;referenceScenario&quot;:1,&quot;secondReferenceScenario&quot;:1,&quot;thirdReferenceScenario&quot;:1,&quot;fourthReferenceScenario&quot;:1,&quot;fifthReferenceScenario&quot;:1,&quot;sixthReferenceScenario&quot;:1,&quot;seventhReferenceScenario&quot;:1,&quot;referencePosition&quot;:null,&quot;secondReferencePosition&quot;:null,&quot;thirdReferencePosition&quot;:null,&quot;fourthReferencePosition&quot;:null,&quot;fifthReferencePosition&quot;:null,&quot;sixthReferencePosition&quot;:null,&quot;seventhReferencePosition&quot;:null,&quot;calculations&quot;:[],&quot;scenarioOptions&quot;:{&quot;value&quot;:{&quot;index&quot;:0,&quot;scenario&quot;:0,&quot;fieldName&quot;:&quot;Total Revenue&quot;,&quot;position&quot;:null},&quot;reference&quot;:{&quot;index&quot;:1,&quot;scenario&quot;:1,&quot;fieldName&quot;:&quot;Total target&quot;,&quot;position&quot;:null},&quot;secondReference&quot;:{&quot;index&quot;:null,&quot;scenario&quot;:null,&quot;fieldName&quot;:&quot;&quot;,&quot;position&quot;:null},&quot;thirdReference&quot;:{&quot;index&quot;:null,&quot;scenario&quot;:null,&quot;fieldName&quot;:&quot;&quot;,&quot;position&quot;:null},&quot;fourthReference&quot;:{&quot;index&quot;:null,&quot;scenario&quot;:null,&quot;fieldName&quot;:&quot;&quot;,&quot;position&quot;:null},&quot;fifthReference&quot;:{&quot;index&quot;:null,&quot;scenario&quot;:null,&quot;fieldName&quot;:&quot;&quot;,&quot;position&quot;:null},&quot;sixthReference&quot;:{&quot;index&quot;:null,&quot;scenario&quot;:null,&quot;fieldName&quot;:&quot;&quot;,&quot;position&quot;:null},&quot;seventhReference&quot;:{&quot;index&quot;:null,&quot;scenario&quot;:null,&quot;fieldName&quot;:&quot;&quot;,&quot;position&quot;:null},&quot;additionalMeasures&quot;:[],&quot;tooltips&quot;:[],&quot;comments&quot;:[]},&quot;dragStarted&quot;:false}"/>
  </we:properties>
  <we:bindings>
    <we:binding id="tablesPivotTableDataChangeEvent" type="matrix" appref="{26C780FA-24D8-4533-A672-12A6CD888491}"/>
  </we:bindings>
  <we:snapshot xmlns:r="http://schemas.openxmlformats.org/officeDocument/2006/relationships" r:embed="rId1"/>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5" Type="http://schemas.openxmlformats.org/officeDocument/2006/relationships/printerSettings" Target="../printerSettings/printerSettings3.bin"/><Relationship Id="rId4" Type="http://schemas.openxmlformats.org/officeDocument/2006/relationships/pivotTable" Target="../pivotTables/pivotTable6.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14.xml"/><Relationship Id="rId13" Type="http://schemas.openxmlformats.org/officeDocument/2006/relationships/pivotTable" Target="../pivotTables/pivotTable19.xml"/><Relationship Id="rId3" Type="http://schemas.openxmlformats.org/officeDocument/2006/relationships/pivotTable" Target="../pivotTables/pivotTable9.xml"/><Relationship Id="rId7" Type="http://schemas.openxmlformats.org/officeDocument/2006/relationships/pivotTable" Target="../pivotTables/pivotTable13.xml"/><Relationship Id="rId12" Type="http://schemas.openxmlformats.org/officeDocument/2006/relationships/pivotTable" Target="../pivotTables/pivotTable18.xml"/><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pivotTable" Target="../pivotTables/pivotTable12.xml"/><Relationship Id="rId11" Type="http://schemas.openxmlformats.org/officeDocument/2006/relationships/pivotTable" Target="../pivotTables/pivotTable17.xml"/><Relationship Id="rId5" Type="http://schemas.openxmlformats.org/officeDocument/2006/relationships/pivotTable" Target="../pivotTables/pivotTable11.xml"/><Relationship Id="rId10" Type="http://schemas.openxmlformats.org/officeDocument/2006/relationships/pivotTable" Target="../pivotTables/pivotTable16.xml"/><Relationship Id="rId4" Type="http://schemas.openxmlformats.org/officeDocument/2006/relationships/pivotTable" Target="../pivotTables/pivotTable10.xml"/><Relationship Id="rId9" Type="http://schemas.openxmlformats.org/officeDocument/2006/relationships/pivotTable" Target="../pivotTables/pivotTable15.xml"/><Relationship Id="rId14" Type="http://schemas.openxmlformats.org/officeDocument/2006/relationships/pivotTable" Target="../pivotTables/pivotTable20.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4.bin"/><Relationship Id="rId1" Type="http://schemas.openxmlformats.org/officeDocument/2006/relationships/pivotTable" Target="../pivotTables/pivotTable2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microsoft.com/office/2007/relationships/slicer" Target="../slicers/slicer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microsoft.com/office/2007/relationships/slicer" Target="../slicers/slicer2.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trlProp" Target="../ctrlProps/ctrlProp3.xml"/><Relationship Id="rId5" Type="http://schemas.openxmlformats.org/officeDocument/2006/relationships/ctrlProp" Target="../ctrlProps/ctrlProp2.xml"/><Relationship Id="rId10" Type="http://schemas.microsoft.com/office/2007/relationships/slicer" Target="../slicers/slicer3.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0473C-41DF-4C80-AA31-703764EDCC0A}">
  <sheetPr codeName="Sheet1"/>
  <dimension ref="B3:AI37"/>
  <sheetViews>
    <sheetView topLeftCell="E1" workbookViewId="0">
      <selection activeCell="Z12" sqref="Z12:AI21"/>
    </sheetView>
  </sheetViews>
  <sheetFormatPr defaultRowHeight="14.4" x14ac:dyDescent="0.3"/>
  <cols>
    <col min="7" max="16" width="2.109375" customWidth="1"/>
    <col min="26" max="35" width="2" customWidth="1"/>
  </cols>
  <sheetData>
    <row r="3" spans="2:35" x14ac:dyDescent="0.3">
      <c r="B3" t="s">
        <v>36</v>
      </c>
      <c r="C3">
        <f>GETPIVOTDATA("[__Xl2].[Measures].[Total Revenue]",'Analysis 2'!$K$5,"[Date].[WeekType]","[Date].[WeekType].&amp;[Weekday]")</f>
        <v>0.7149649995008911</v>
      </c>
      <c r="V3" t="s">
        <v>101</v>
      </c>
      <c r="W3" s="7">
        <f>'Analysis 3'!AJ13</f>
        <v>0.48527656041986861</v>
      </c>
    </row>
    <row r="4" spans="2:35" x14ac:dyDescent="0.3">
      <c r="B4" t="s">
        <v>37</v>
      </c>
      <c r="C4">
        <f>GETPIVOTDATA("[__Xl2].[Measures].[Total Revenue]",'Analysis 2'!$K$5,"[Date].[WeekType]","[Date].[WeekType].&amp;[Weekend]")</f>
        <v>0.2850350004991079</v>
      </c>
      <c r="V4" t="s">
        <v>102</v>
      </c>
      <c r="W4" s="7">
        <f>'Analysis 3'!AJ14</f>
        <v>0.51472343958010647</v>
      </c>
    </row>
    <row r="12" spans="2:35" ht="11.4" customHeight="1" x14ac:dyDescent="0.3">
      <c r="G12" s="19">
        <f t="shared" ref="G12:G19" si="0">G13+10</f>
        <v>91</v>
      </c>
      <c r="H12" s="20">
        <f t="shared" ref="H12:H19" si="1">H13+10</f>
        <v>92</v>
      </c>
      <c r="I12" s="20">
        <f t="shared" ref="I12:I19" si="2">I13+10</f>
        <v>93</v>
      </c>
      <c r="J12" s="20">
        <f t="shared" ref="J12:J19" si="3">J13+10</f>
        <v>94</v>
      </c>
      <c r="K12" s="20">
        <f t="shared" ref="K12:K19" si="4">K13+10</f>
        <v>95</v>
      </c>
      <c r="L12" s="20">
        <f t="shared" ref="L12:L19" si="5">L13+10</f>
        <v>96</v>
      </c>
      <c r="M12" s="20">
        <f t="shared" ref="M12:M19" si="6">M13+10</f>
        <v>97</v>
      </c>
      <c r="N12" s="20">
        <f t="shared" ref="N12:N19" si="7">N13+10</f>
        <v>98</v>
      </c>
      <c r="O12" s="20">
        <f t="shared" ref="O12:O19" si="8">O13+10</f>
        <v>99</v>
      </c>
      <c r="P12" s="21">
        <f t="shared" ref="P12:P19" si="9">P13+10</f>
        <v>100</v>
      </c>
      <c r="Z12" s="34">
        <f t="shared" ref="Z12:Z19" si="10">Z13+10</f>
        <v>91</v>
      </c>
      <c r="AA12" s="35">
        <f t="shared" ref="AA12:AA19" si="11">AA13+10</f>
        <v>92</v>
      </c>
      <c r="AB12" s="35">
        <f t="shared" ref="AB12:AB19" si="12">AB13+10</f>
        <v>93</v>
      </c>
      <c r="AC12" s="35">
        <f t="shared" ref="AC12:AC19" si="13">AC13+10</f>
        <v>94</v>
      </c>
      <c r="AD12" s="35">
        <f t="shared" ref="AD12:AD19" si="14">AD13+10</f>
        <v>95</v>
      </c>
      <c r="AE12" s="35">
        <f t="shared" ref="AE12:AE19" si="15">AE13+10</f>
        <v>96</v>
      </c>
      <c r="AF12" s="35">
        <f t="shared" ref="AF12:AF19" si="16">AF13+10</f>
        <v>97</v>
      </c>
      <c r="AG12" s="35">
        <f t="shared" ref="AG12:AG19" si="17">AG13+10</f>
        <v>98</v>
      </c>
      <c r="AH12" s="35">
        <f t="shared" ref="AH12:AH19" si="18">AH13+10</f>
        <v>99</v>
      </c>
      <c r="AI12" s="36">
        <f t="shared" ref="AI12:AI19" si="19">AI13+10</f>
        <v>100</v>
      </c>
    </row>
    <row r="13" spans="2:35" ht="11.4" customHeight="1" x14ac:dyDescent="0.3">
      <c r="G13" s="22">
        <f t="shared" si="0"/>
        <v>81</v>
      </c>
      <c r="H13" s="23">
        <f t="shared" si="1"/>
        <v>82</v>
      </c>
      <c r="I13" s="23">
        <f t="shared" si="2"/>
        <v>83</v>
      </c>
      <c r="J13" s="23">
        <f t="shared" si="3"/>
        <v>84</v>
      </c>
      <c r="K13" s="23">
        <f t="shared" si="4"/>
        <v>85</v>
      </c>
      <c r="L13" s="23">
        <f t="shared" si="5"/>
        <v>86</v>
      </c>
      <c r="M13" s="23">
        <f t="shared" si="6"/>
        <v>87</v>
      </c>
      <c r="N13" s="23">
        <f t="shared" si="7"/>
        <v>88</v>
      </c>
      <c r="O13" s="23">
        <f t="shared" si="8"/>
        <v>89</v>
      </c>
      <c r="P13" s="24">
        <f t="shared" si="9"/>
        <v>90</v>
      </c>
      <c r="Z13" s="37">
        <f t="shared" si="10"/>
        <v>81</v>
      </c>
      <c r="AA13" s="38">
        <f t="shared" si="11"/>
        <v>82</v>
      </c>
      <c r="AB13" s="38">
        <f t="shared" si="12"/>
        <v>83</v>
      </c>
      <c r="AC13" s="38">
        <f t="shared" si="13"/>
        <v>84</v>
      </c>
      <c r="AD13" s="38">
        <f t="shared" si="14"/>
        <v>85</v>
      </c>
      <c r="AE13" s="38">
        <f t="shared" si="15"/>
        <v>86</v>
      </c>
      <c r="AF13" s="38">
        <f t="shared" si="16"/>
        <v>87</v>
      </c>
      <c r="AG13" s="38">
        <f t="shared" si="17"/>
        <v>88</v>
      </c>
      <c r="AH13" s="38">
        <f t="shared" si="18"/>
        <v>89</v>
      </c>
      <c r="AI13" s="39">
        <f t="shared" si="19"/>
        <v>90</v>
      </c>
    </row>
    <row r="14" spans="2:35" ht="11.4" customHeight="1" x14ac:dyDescent="0.3">
      <c r="G14" s="22">
        <f t="shared" si="0"/>
        <v>71</v>
      </c>
      <c r="H14" s="23">
        <f t="shared" si="1"/>
        <v>72</v>
      </c>
      <c r="I14" s="23">
        <f t="shared" si="2"/>
        <v>73</v>
      </c>
      <c r="J14" s="23">
        <f t="shared" si="3"/>
        <v>74</v>
      </c>
      <c r="K14" s="23">
        <f t="shared" si="4"/>
        <v>75</v>
      </c>
      <c r="L14" s="23">
        <f t="shared" si="5"/>
        <v>76</v>
      </c>
      <c r="M14" s="23">
        <f t="shared" si="6"/>
        <v>77</v>
      </c>
      <c r="N14" s="23">
        <f t="shared" si="7"/>
        <v>78</v>
      </c>
      <c r="O14" s="23">
        <f t="shared" si="8"/>
        <v>79</v>
      </c>
      <c r="P14" s="24">
        <f t="shared" si="9"/>
        <v>80</v>
      </c>
      <c r="Z14" s="37">
        <f t="shared" si="10"/>
        <v>71</v>
      </c>
      <c r="AA14" s="38">
        <f t="shared" si="11"/>
        <v>72</v>
      </c>
      <c r="AB14" s="38">
        <f t="shared" si="12"/>
        <v>73</v>
      </c>
      <c r="AC14" s="38">
        <f t="shared" si="13"/>
        <v>74</v>
      </c>
      <c r="AD14" s="38">
        <f t="shared" si="14"/>
        <v>75</v>
      </c>
      <c r="AE14" s="38">
        <f t="shared" si="15"/>
        <v>76</v>
      </c>
      <c r="AF14" s="38">
        <f t="shared" si="16"/>
        <v>77</v>
      </c>
      <c r="AG14" s="38">
        <f t="shared" si="17"/>
        <v>78</v>
      </c>
      <c r="AH14" s="38">
        <f t="shared" si="18"/>
        <v>79</v>
      </c>
      <c r="AI14" s="39">
        <f t="shared" si="19"/>
        <v>80</v>
      </c>
    </row>
    <row r="15" spans="2:35" ht="11.4" customHeight="1" x14ac:dyDescent="0.3">
      <c r="G15" s="22">
        <f t="shared" si="0"/>
        <v>61</v>
      </c>
      <c r="H15" s="23">
        <f t="shared" si="1"/>
        <v>62</v>
      </c>
      <c r="I15" s="23">
        <f t="shared" si="2"/>
        <v>63</v>
      </c>
      <c r="J15" s="23">
        <f t="shared" si="3"/>
        <v>64</v>
      </c>
      <c r="K15" s="23">
        <f t="shared" si="4"/>
        <v>65</v>
      </c>
      <c r="L15" s="23">
        <f t="shared" si="5"/>
        <v>66</v>
      </c>
      <c r="M15" s="23">
        <f t="shared" si="6"/>
        <v>67</v>
      </c>
      <c r="N15" s="23">
        <f t="shared" si="7"/>
        <v>68</v>
      </c>
      <c r="O15" s="23">
        <f t="shared" si="8"/>
        <v>69</v>
      </c>
      <c r="P15" s="24">
        <f t="shared" si="9"/>
        <v>70</v>
      </c>
      <c r="Z15" s="37">
        <f t="shared" si="10"/>
        <v>61</v>
      </c>
      <c r="AA15" s="38">
        <f t="shared" si="11"/>
        <v>62</v>
      </c>
      <c r="AB15" s="38">
        <f t="shared" si="12"/>
        <v>63</v>
      </c>
      <c r="AC15" s="38">
        <f t="shared" si="13"/>
        <v>64</v>
      </c>
      <c r="AD15" s="38">
        <f t="shared" si="14"/>
        <v>65</v>
      </c>
      <c r="AE15" s="38">
        <f t="shared" si="15"/>
        <v>66</v>
      </c>
      <c r="AF15" s="38">
        <f t="shared" si="16"/>
        <v>67</v>
      </c>
      <c r="AG15" s="38">
        <f t="shared" si="17"/>
        <v>68</v>
      </c>
      <c r="AH15" s="38">
        <f t="shared" si="18"/>
        <v>69</v>
      </c>
      <c r="AI15" s="39">
        <f t="shared" si="19"/>
        <v>70</v>
      </c>
    </row>
    <row r="16" spans="2:35" ht="11.4" customHeight="1" x14ac:dyDescent="0.3">
      <c r="G16" s="22">
        <f t="shared" si="0"/>
        <v>51</v>
      </c>
      <c r="H16" s="23">
        <f t="shared" si="1"/>
        <v>52</v>
      </c>
      <c r="I16" s="23">
        <f t="shared" si="2"/>
        <v>53</v>
      </c>
      <c r="J16" s="23">
        <f t="shared" si="3"/>
        <v>54</v>
      </c>
      <c r="K16" s="23">
        <f t="shared" si="4"/>
        <v>55</v>
      </c>
      <c r="L16" s="23">
        <f t="shared" si="5"/>
        <v>56</v>
      </c>
      <c r="M16" s="23">
        <f t="shared" si="6"/>
        <v>57</v>
      </c>
      <c r="N16" s="23">
        <f t="shared" si="7"/>
        <v>58</v>
      </c>
      <c r="O16" s="23">
        <f t="shared" si="8"/>
        <v>59</v>
      </c>
      <c r="P16" s="24">
        <f t="shared" si="9"/>
        <v>60</v>
      </c>
      <c r="Z16" s="37">
        <f t="shared" si="10"/>
        <v>51</v>
      </c>
      <c r="AA16" s="38">
        <f t="shared" si="11"/>
        <v>52</v>
      </c>
      <c r="AB16" s="38">
        <f t="shared" si="12"/>
        <v>53</v>
      </c>
      <c r="AC16" s="38">
        <f t="shared" si="13"/>
        <v>54</v>
      </c>
      <c r="AD16" s="38">
        <f t="shared" si="14"/>
        <v>55</v>
      </c>
      <c r="AE16" s="38">
        <f t="shared" si="15"/>
        <v>56</v>
      </c>
      <c r="AF16" s="38">
        <f t="shared" si="16"/>
        <v>57</v>
      </c>
      <c r="AG16" s="38">
        <f t="shared" si="17"/>
        <v>58</v>
      </c>
      <c r="AH16" s="38">
        <f t="shared" si="18"/>
        <v>59</v>
      </c>
      <c r="AI16" s="39">
        <f t="shared" si="19"/>
        <v>60</v>
      </c>
    </row>
    <row r="17" spans="7:35" ht="11.4" customHeight="1" x14ac:dyDescent="0.3">
      <c r="G17" s="22">
        <f t="shared" si="0"/>
        <v>41</v>
      </c>
      <c r="H17" s="23">
        <f t="shared" si="1"/>
        <v>42</v>
      </c>
      <c r="I17" s="23">
        <f t="shared" si="2"/>
        <v>43</v>
      </c>
      <c r="J17" s="23">
        <f t="shared" si="3"/>
        <v>44</v>
      </c>
      <c r="K17" s="23">
        <f t="shared" si="4"/>
        <v>45</v>
      </c>
      <c r="L17" s="23">
        <f t="shared" si="5"/>
        <v>46</v>
      </c>
      <c r="M17" s="23">
        <f t="shared" si="6"/>
        <v>47</v>
      </c>
      <c r="N17" s="23">
        <f t="shared" si="7"/>
        <v>48</v>
      </c>
      <c r="O17" s="23">
        <f t="shared" si="8"/>
        <v>49</v>
      </c>
      <c r="P17" s="24">
        <f t="shared" si="9"/>
        <v>50</v>
      </c>
      <c r="Z17" s="37">
        <f t="shared" si="10"/>
        <v>41</v>
      </c>
      <c r="AA17" s="38">
        <f t="shared" si="11"/>
        <v>42</v>
      </c>
      <c r="AB17" s="38">
        <f t="shared" si="12"/>
        <v>43</v>
      </c>
      <c r="AC17" s="38">
        <f t="shared" si="13"/>
        <v>44</v>
      </c>
      <c r="AD17" s="38">
        <f t="shared" si="14"/>
        <v>45</v>
      </c>
      <c r="AE17" s="38">
        <f t="shared" si="15"/>
        <v>46</v>
      </c>
      <c r="AF17" s="38">
        <f t="shared" si="16"/>
        <v>47</v>
      </c>
      <c r="AG17" s="38">
        <f t="shared" si="17"/>
        <v>48</v>
      </c>
      <c r="AH17" s="38">
        <f t="shared" si="18"/>
        <v>49</v>
      </c>
      <c r="AI17" s="39">
        <f t="shared" si="19"/>
        <v>50</v>
      </c>
    </row>
    <row r="18" spans="7:35" ht="11.4" customHeight="1" x14ac:dyDescent="0.3">
      <c r="G18" s="22">
        <f t="shared" si="0"/>
        <v>31</v>
      </c>
      <c r="H18" s="23">
        <f t="shared" si="1"/>
        <v>32</v>
      </c>
      <c r="I18" s="23">
        <f t="shared" si="2"/>
        <v>33</v>
      </c>
      <c r="J18" s="23">
        <f t="shared" si="3"/>
        <v>34</v>
      </c>
      <c r="K18" s="23">
        <f t="shared" si="4"/>
        <v>35</v>
      </c>
      <c r="L18" s="23">
        <f t="shared" si="5"/>
        <v>36</v>
      </c>
      <c r="M18" s="23">
        <f t="shared" si="6"/>
        <v>37</v>
      </c>
      <c r="N18" s="23">
        <f t="shared" si="7"/>
        <v>38</v>
      </c>
      <c r="O18" s="23">
        <f t="shared" si="8"/>
        <v>39</v>
      </c>
      <c r="P18" s="24">
        <f t="shared" si="9"/>
        <v>40</v>
      </c>
      <c r="Z18" s="37">
        <f t="shared" si="10"/>
        <v>31</v>
      </c>
      <c r="AA18" s="38">
        <f t="shared" si="11"/>
        <v>32</v>
      </c>
      <c r="AB18" s="38">
        <f t="shared" si="12"/>
        <v>33</v>
      </c>
      <c r="AC18" s="38">
        <f t="shared" si="13"/>
        <v>34</v>
      </c>
      <c r="AD18" s="38">
        <f t="shared" si="14"/>
        <v>35</v>
      </c>
      <c r="AE18" s="38">
        <f t="shared" si="15"/>
        <v>36</v>
      </c>
      <c r="AF18" s="38">
        <f t="shared" si="16"/>
        <v>37</v>
      </c>
      <c r="AG18" s="38">
        <f t="shared" si="17"/>
        <v>38</v>
      </c>
      <c r="AH18" s="38">
        <f t="shared" si="18"/>
        <v>39</v>
      </c>
      <c r="AI18" s="39">
        <f t="shared" si="19"/>
        <v>40</v>
      </c>
    </row>
    <row r="19" spans="7:35" ht="11.4" customHeight="1" x14ac:dyDescent="0.3">
      <c r="G19" s="22">
        <f t="shared" si="0"/>
        <v>21</v>
      </c>
      <c r="H19" s="23">
        <f t="shared" si="1"/>
        <v>22</v>
      </c>
      <c r="I19" s="23">
        <f t="shared" si="2"/>
        <v>23</v>
      </c>
      <c r="J19" s="23">
        <f t="shared" si="3"/>
        <v>24</v>
      </c>
      <c r="K19" s="23">
        <f t="shared" si="4"/>
        <v>25</v>
      </c>
      <c r="L19" s="23">
        <f t="shared" si="5"/>
        <v>26</v>
      </c>
      <c r="M19" s="23">
        <f t="shared" si="6"/>
        <v>27</v>
      </c>
      <c r="N19" s="23">
        <f t="shared" si="7"/>
        <v>28</v>
      </c>
      <c r="O19" s="23">
        <f t="shared" si="8"/>
        <v>29</v>
      </c>
      <c r="P19" s="24">
        <f t="shared" si="9"/>
        <v>30</v>
      </c>
      <c r="Z19" s="37">
        <f t="shared" si="10"/>
        <v>21</v>
      </c>
      <c r="AA19" s="38">
        <f t="shared" si="11"/>
        <v>22</v>
      </c>
      <c r="AB19" s="38">
        <f t="shared" si="12"/>
        <v>23</v>
      </c>
      <c r="AC19" s="38">
        <f t="shared" si="13"/>
        <v>24</v>
      </c>
      <c r="AD19" s="38">
        <f t="shared" si="14"/>
        <v>25</v>
      </c>
      <c r="AE19" s="38">
        <f t="shared" si="15"/>
        <v>26</v>
      </c>
      <c r="AF19" s="38">
        <f t="shared" si="16"/>
        <v>27</v>
      </c>
      <c r="AG19" s="38">
        <f t="shared" si="17"/>
        <v>28</v>
      </c>
      <c r="AH19" s="38">
        <f t="shared" si="18"/>
        <v>29</v>
      </c>
      <c r="AI19" s="39">
        <f t="shared" si="19"/>
        <v>30</v>
      </c>
    </row>
    <row r="20" spans="7:35" ht="11.4" customHeight="1" x14ac:dyDescent="0.3">
      <c r="G20" s="22">
        <f>G21+10</f>
        <v>11</v>
      </c>
      <c r="H20" s="23">
        <f t="shared" ref="H20:P20" si="20">H21+10</f>
        <v>12</v>
      </c>
      <c r="I20" s="23">
        <f t="shared" si="20"/>
        <v>13</v>
      </c>
      <c r="J20" s="23">
        <f t="shared" si="20"/>
        <v>14</v>
      </c>
      <c r="K20" s="23">
        <f t="shared" si="20"/>
        <v>15</v>
      </c>
      <c r="L20" s="23">
        <f t="shared" si="20"/>
        <v>16</v>
      </c>
      <c r="M20" s="23">
        <f t="shared" si="20"/>
        <v>17</v>
      </c>
      <c r="N20" s="23">
        <f t="shared" si="20"/>
        <v>18</v>
      </c>
      <c r="O20" s="23">
        <f t="shared" si="20"/>
        <v>19</v>
      </c>
      <c r="P20" s="24">
        <f t="shared" si="20"/>
        <v>20</v>
      </c>
      <c r="Z20" s="37">
        <f>Z21+10</f>
        <v>11</v>
      </c>
      <c r="AA20" s="38">
        <f t="shared" ref="AA20:AI20" si="21">AA21+10</f>
        <v>12</v>
      </c>
      <c r="AB20" s="38">
        <f t="shared" si="21"/>
        <v>13</v>
      </c>
      <c r="AC20" s="38">
        <f t="shared" si="21"/>
        <v>14</v>
      </c>
      <c r="AD20" s="38">
        <f t="shared" si="21"/>
        <v>15</v>
      </c>
      <c r="AE20" s="38">
        <f t="shared" si="21"/>
        <v>16</v>
      </c>
      <c r="AF20" s="38">
        <f t="shared" si="21"/>
        <v>17</v>
      </c>
      <c r="AG20" s="38">
        <f t="shared" si="21"/>
        <v>18</v>
      </c>
      <c r="AH20" s="38">
        <f t="shared" si="21"/>
        <v>19</v>
      </c>
      <c r="AI20" s="39">
        <f t="shared" si="21"/>
        <v>20</v>
      </c>
    </row>
    <row r="21" spans="7:35" ht="11.4" customHeight="1" x14ac:dyDescent="0.3">
      <c r="G21" s="25">
        <v>1</v>
      </c>
      <c r="H21" s="26">
        <f>G21+1</f>
        <v>2</v>
      </c>
      <c r="I21" s="26">
        <f t="shared" ref="I21:P21" si="22">H21+1</f>
        <v>3</v>
      </c>
      <c r="J21" s="26">
        <f t="shared" si="22"/>
        <v>4</v>
      </c>
      <c r="K21" s="26">
        <f t="shared" si="22"/>
        <v>5</v>
      </c>
      <c r="L21" s="26">
        <f t="shared" si="22"/>
        <v>6</v>
      </c>
      <c r="M21" s="26">
        <f t="shared" si="22"/>
        <v>7</v>
      </c>
      <c r="N21" s="26">
        <f t="shared" si="22"/>
        <v>8</v>
      </c>
      <c r="O21" s="26">
        <f>N21+1</f>
        <v>9</v>
      </c>
      <c r="P21" s="27">
        <f t="shared" si="22"/>
        <v>10</v>
      </c>
      <c r="Z21" s="40">
        <v>1</v>
      </c>
      <c r="AA21" s="41">
        <f>Z21+1</f>
        <v>2</v>
      </c>
      <c r="AB21" s="41">
        <f t="shared" ref="AB21:AI21" si="23">AA21+1</f>
        <v>3</v>
      </c>
      <c r="AC21" s="41">
        <f t="shared" si="23"/>
        <v>4</v>
      </c>
      <c r="AD21" s="41">
        <f t="shared" si="23"/>
        <v>5</v>
      </c>
      <c r="AE21" s="41">
        <f t="shared" si="23"/>
        <v>6</v>
      </c>
      <c r="AF21" s="41">
        <f t="shared" si="23"/>
        <v>7</v>
      </c>
      <c r="AG21" s="41">
        <f t="shared" si="23"/>
        <v>8</v>
      </c>
      <c r="AH21" s="41">
        <f t="shared" si="23"/>
        <v>9</v>
      </c>
      <c r="AI21" s="42">
        <f t="shared" si="23"/>
        <v>10</v>
      </c>
    </row>
    <row r="28" spans="7:35" ht="11.4" customHeight="1" x14ac:dyDescent="0.3">
      <c r="G28" s="19">
        <f t="shared" ref="G28:G35" si="24">G29+10</f>
        <v>91</v>
      </c>
      <c r="H28" s="20">
        <f t="shared" ref="H28:H36" si="25">H29+10</f>
        <v>92</v>
      </c>
      <c r="I28" s="20">
        <f t="shared" ref="I28:I36" si="26">I29+10</f>
        <v>93</v>
      </c>
      <c r="J28" s="20">
        <f t="shared" ref="J28:J36" si="27">J29+10</f>
        <v>94</v>
      </c>
      <c r="K28" s="20">
        <f t="shared" ref="K28:K36" si="28">K29+10</f>
        <v>95</v>
      </c>
      <c r="L28" s="20">
        <f t="shared" ref="L28:L36" si="29">L29+10</f>
        <v>96</v>
      </c>
      <c r="M28" s="20">
        <f t="shared" ref="M28:M36" si="30">M29+10</f>
        <v>97</v>
      </c>
      <c r="N28" s="20">
        <f t="shared" ref="N28:N36" si="31">N29+10</f>
        <v>98</v>
      </c>
      <c r="O28" s="20">
        <f t="shared" ref="O28:O36" si="32">O29+10</f>
        <v>99</v>
      </c>
      <c r="P28" s="21">
        <f t="shared" ref="P28:P36" si="33">P29+10</f>
        <v>100</v>
      </c>
    </row>
    <row r="29" spans="7:35" ht="11.4" customHeight="1" x14ac:dyDescent="0.3">
      <c r="G29" s="22">
        <f t="shared" si="24"/>
        <v>81</v>
      </c>
      <c r="H29" s="23">
        <f t="shared" si="25"/>
        <v>82</v>
      </c>
      <c r="I29" s="23">
        <f t="shared" si="26"/>
        <v>83</v>
      </c>
      <c r="J29" s="23">
        <f t="shared" si="27"/>
        <v>84</v>
      </c>
      <c r="K29" s="23">
        <f t="shared" si="28"/>
        <v>85</v>
      </c>
      <c r="L29" s="23">
        <f t="shared" si="29"/>
        <v>86</v>
      </c>
      <c r="M29" s="23">
        <f t="shared" si="30"/>
        <v>87</v>
      </c>
      <c r="N29" s="23">
        <f t="shared" si="31"/>
        <v>88</v>
      </c>
      <c r="O29" s="23">
        <f t="shared" si="32"/>
        <v>89</v>
      </c>
      <c r="P29" s="24">
        <f t="shared" si="33"/>
        <v>90</v>
      </c>
    </row>
    <row r="30" spans="7:35" ht="11.4" customHeight="1" x14ac:dyDescent="0.3">
      <c r="G30" s="22">
        <f t="shared" si="24"/>
        <v>71</v>
      </c>
      <c r="H30" s="23">
        <f t="shared" si="25"/>
        <v>72</v>
      </c>
      <c r="I30" s="23">
        <f t="shared" si="26"/>
        <v>73</v>
      </c>
      <c r="J30" s="23">
        <f t="shared" si="27"/>
        <v>74</v>
      </c>
      <c r="K30" s="23">
        <f t="shared" si="28"/>
        <v>75</v>
      </c>
      <c r="L30" s="23">
        <f t="shared" si="29"/>
        <v>76</v>
      </c>
      <c r="M30" s="23">
        <f t="shared" si="30"/>
        <v>77</v>
      </c>
      <c r="N30" s="23">
        <f t="shared" si="31"/>
        <v>78</v>
      </c>
      <c r="O30" s="23">
        <f t="shared" si="32"/>
        <v>79</v>
      </c>
      <c r="P30" s="24">
        <f t="shared" si="33"/>
        <v>80</v>
      </c>
    </row>
    <row r="31" spans="7:35" ht="11.4" customHeight="1" x14ac:dyDescent="0.3">
      <c r="G31" s="22">
        <f t="shared" si="24"/>
        <v>61</v>
      </c>
      <c r="H31" s="23">
        <f t="shared" si="25"/>
        <v>62</v>
      </c>
      <c r="I31" s="23">
        <f t="shared" si="26"/>
        <v>63</v>
      </c>
      <c r="J31" s="23">
        <f t="shared" si="27"/>
        <v>64</v>
      </c>
      <c r="K31" s="23">
        <f t="shared" si="28"/>
        <v>65</v>
      </c>
      <c r="L31" s="23">
        <f t="shared" si="29"/>
        <v>66</v>
      </c>
      <c r="M31" s="23">
        <f t="shared" si="30"/>
        <v>67</v>
      </c>
      <c r="N31" s="23">
        <f t="shared" si="31"/>
        <v>68</v>
      </c>
      <c r="O31" s="23">
        <f t="shared" si="32"/>
        <v>69</v>
      </c>
      <c r="P31" s="24">
        <f t="shared" si="33"/>
        <v>70</v>
      </c>
    </row>
    <row r="32" spans="7:35" ht="11.4" customHeight="1" x14ac:dyDescent="0.3">
      <c r="G32" s="22">
        <f t="shared" si="24"/>
        <v>51</v>
      </c>
      <c r="H32" s="23">
        <f t="shared" si="25"/>
        <v>52</v>
      </c>
      <c r="I32" s="23">
        <f t="shared" si="26"/>
        <v>53</v>
      </c>
      <c r="J32" s="23">
        <f t="shared" si="27"/>
        <v>54</v>
      </c>
      <c r="K32" s="23">
        <f t="shared" si="28"/>
        <v>55</v>
      </c>
      <c r="L32" s="23">
        <f t="shared" si="29"/>
        <v>56</v>
      </c>
      <c r="M32" s="23">
        <f t="shared" si="30"/>
        <v>57</v>
      </c>
      <c r="N32" s="23">
        <f t="shared" si="31"/>
        <v>58</v>
      </c>
      <c r="O32" s="23">
        <f t="shared" si="32"/>
        <v>59</v>
      </c>
      <c r="P32" s="24">
        <f t="shared" si="33"/>
        <v>60</v>
      </c>
    </row>
    <row r="33" spans="7:16" ht="11.4" customHeight="1" x14ac:dyDescent="0.3">
      <c r="G33" s="22">
        <f t="shared" si="24"/>
        <v>41</v>
      </c>
      <c r="H33" s="23">
        <f t="shared" si="25"/>
        <v>42</v>
      </c>
      <c r="I33" s="23">
        <f t="shared" si="26"/>
        <v>43</v>
      </c>
      <c r="J33" s="23">
        <f t="shared" si="27"/>
        <v>44</v>
      </c>
      <c r="K33" s="23">
        <f t="shared" si="28"/>
        <v>45</v>
      </c>
      <c r="L33" s="23">
        <f t="shared" si="29"/>
        <v>46</v>
      </c>
      <c r="M33" s="23">
        <f t="shared" si="30"/>
        <v>47</v>
      </c>
      <c r="N33" s="23">
        <f t="shared" si="31"/>
        <v>48</v>
      </c>
      <c r="O33" s="23">
        <f t="shared" si="32"/>
        <v>49</v>
      </c>
      <c r="P33" s="24">
        <f t="shared" si="33"/>
        <v>50</v>
      </c>
    </row>
    <row r="34" spans="7:16" ht="11.4" customHeight="1" x14ac:dyDescent="0.3">
      <c r="G34" s="22">
        <f t="shared" si="24"/>
        <v>31</v>
      </c>
      <c r="H34" s="23">
        <f t="shared" si="25"/>
        <v>32</v>
      </c>
      <c r="I34" s="23">
        <f t="shared" si="26"/>
        <v>33</v>
      </c>
      <c r="J34" s="23">
        <f t="shared" si="27"/>
        <v>34</v>
      </c>
      <c r="K34" s="23">
        <f t="shared" si="28"/>
        <v>35</v>
      </c>
      <c r="L34" s="23">
        <f t="shared" si="29"/>
        <v>36</v>
      </c>
      <c r="M34" s="23">
        <f t="shared" si="30"/>
        <v>37</v>
      </c>
      <c r="N34" s="23">
        <f t="shared" si="31"/>
        <v>38</v>
      </c>
      <c r="O34" s="23">
        <f t="shared" si="32"/>
        <v>39</v>
      </c>
      <c r="P34" s="24">
        <f t="shared" si="33"/>
        <v>40</v>
      </c>
    </row>
    <row r="35" spans="7:16" ht="11.4" customHeight="1" x14ac:dyDescent="0.3">
      <c r="G35" s="22">
        <f t="shared" si="24"/>
        <v>21</v>
      </c>
      <c r="H35" s="23">
        <f t="shared" si="25"/>
        <v>22</v>
      </c>
      <c r="I35" s="23">
        <f t="shared" si="26"/>
        <v>23</v>
      </c>
      <c r="J35" s="23">
        <f t="shared" si="27"/>
        <v>24</v>
      </c>
      <c r="K35" s="23">
        <f t="shared" si="28"/>
        <v>25</v>
      </c>
      <c r="L35" s="23">
        <f t="shared" si="29"/>
        <v>26</v>
      </c>
      <c r="M35" s="23">
        <f t="shared" si="30"/>
        <v>27</v>
      </c>
      <c r="N35" s="23">
        <f t="shared" si="31"/>
        <v>28</v>
      </c>
      <c r="O35" s="23">
        <f t="shared" si="32"/>
        <v>29</v>
      </c>
      <c r="P35" s="24">
        <f t="shared" si="33"/>
        <v>30</v>
      </c>
    </row>
    <row r="36" spans="7:16" ht="11.4" customHeight="1" x14ac:dyDescent="0.3">
      <c r="G36" s="22">
        <f>G37+10</f>
        <v>11</v>
      </c>
      <c r="H36" s="23">
        <f t="shared" si="25"/>
        <v>12</v>
      </c>
      <c r="I36" s="23">
        <f t="shared" si="26"/>
        <v>13</v>
      </c>
      <c r="J36" s="23">
        <f t="shared" si="27"/>
        <v>14</v>
      </c>
      <c r="K36" s="23">
        <f t="shared" si="28"/>
        <v>15</v>
      </c>
      <c r="L36" s="23">
        <f t="shared" si="29"/>
        <v>16</v>
      </c>
      <c r="M36" s="23">
        <f t="shared" si="30"/>
        <v>17</v>
      </c>
      <c r="N36" s="23">
        <f t="shared" si="31"/>
        <v>18</v>
      </c>
      <c r="O36" s="23">
        <f t="shared" si="32"/>
        <v>19</v>
      </c>
      <c r="P36" s="24">
        <f t="shared" si="33"/>
        <v>20</v>
      </c>
    </row>
    <row r="37" spans="7:16" ht="11.4" customHeight="1" x14ac:dyDescent="0.3">
      <c r="G37" s="25">
        <v>1</v>
      </c>
      <c r="H37" s="26">
        <f>G37+1</f>
        <v>2</v>
      </c>
      <c r="I37" s="26">
        <f t="shared" ref="I37:N37" si="34">H37+1</f>
        <v>3</v>
      </c>
      <c r="J37" s="26">
        <f t="shared" si="34"/>
        <v>4</v>
      </c>
      <c r="K37" s="26">
        <f t="shared" si="34"/>
        <v>5</v>
      </c>
      <c r="L37" s="26">
        <f t="shared" si="34"/>
        <v>6</v>
      </c>
      <c r="M37" s="26">
        <f t="shared" si="34"/>
        <v>7</v>
      </c>
      <c r="N37" s="26">
        <f t="shared" si="34"/>
        <v>8</v>
      </c>
      <c r="O37" s="26">
        <f>N37+1</f>
        <v>9</v>
      </c>
      <c r="P37" s="27">
        <f t="shared" ref="P37" si="35">O37+1</f>
        <v>10</v>
      </c>
    </row>
  </sheetData>
  <conditionalFormatting sqref="G12:P21">
    <cfRule type="cellIs" dxfId="33" priority="6" operator="greaterThanOrEqual">
      <formula>$C$4*100</formula>
    </cfRule>
    <cfRule type="cellIs" dxfId="32" priority="7" operator="lessThanOrEqual">
      <formula>$C$4*100</formula>
    </cfRule>
  </conditionalFormatting>
  <conditionalFormatting sqref="G28:P37">
    <cfRule type="cellIs" dxfId="31" priority="3" operator="greaterThanOrEqual">
      <formula>$C$3*100</formula>
    </cfRule>
    <cfRule type="cellIs" dxfId="30" priority="5" operator="lessThanOrEqual">
      <formula>$C$3*100</formula>
    </cfRule>
  </conditionalFormatting>
  <conditionalFormatting sqref="Z12:AI21">
    <cfRule type="cellIs" dxfId="29" priority="1" operator="lessThanOrEqual">
      <formula>$W$4*100</formula>
    </cfRule>
    <cfRule type="cellIs" dxfId="28" priority="2" operator="greaterThan">
      <formula>$W$4*100</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A1F58-4147-4C5B-814C-39B7336AA4B7}">
  <sheetPr codeName="Sheet2"/>
  <dimension ref="C6:V28"/>
  <sheetViews>
    <sheetView showGridLines="0" workbookViewId="0">
      <selection activeCell="T6" sqref="T6:V16"/>
    </sheetView>
  </sheetViews>
  <sheetFormatPr defaultRowHeight="14.4" x14ac:dyDescent="0.3"/>
  <cols>
    <col min="1" max="1" width="13.5546875" bestFit="1" customWidth="1"/>
    <col min="2" max="2" width="12.109375" bestFit="1" customWidth="1"/>
    <col min="3" max="3" width="13.109375" bestFit="1" customWidth="1"/>
    <col min="4" max="4" width="9.88671875" bestFit="1" customWidth="1"/>
    <col min="5" max="5" width="12.109375" bestFit="1" customWidth="1"/>
    <col min="6" max="6" width="14.109375" bestFit="1" customWidth="1"/>
    <col min="7" max="7" width="12.5546875" bestFit="1" customWidth="1"/>
    <col min="8" max="8" width="11.77734375" bestFit="1" customWidth="1"/>
    <col min="9" max="9" width="11.33203125" bestFit="1" customWidth="1"/>
    <col min="10" max="10" width="9.44140625" bestFit="1" customWidth="1"/>
    <col min="11" max="11" width="12.21875" bestFit="1" customWidth="1"/>
    <col min="12" max="12" width="13.109375" bestFit="1" customWidth="1"/>
    <col min="13" max="13" width="10.6640625" bestFit="1" customWidth="1"/>
    <col min="17" max="17" width="8.88671875" style="11"/>
    <col min="20" max="20" width="13.5546875" bestFit="1" customWidth="1"/>
    <col min="21" max="21" width="13.109375" bestFit="1" customWidth="1"/>
    <col min="22" max="22" width="10.6640625" bestFit="1" customWidth="1"/>
  </cols>
  <sheetData>
    <row r="6" spans="3:22" x14ac:dyDescent="0.3">
      <c r="T6" s="12" t="s">
        <v>22</v>
      </c>
      <c r="U6" t="s">
        <v>0</v>
      </c>
      <c r="V6" t="s">
        <v>10</v>
      </c>
    </row>
    <row r="7" spans="3:22" x14ac:dyDescent="0.3">
      <c r="T7" t="s">
        <v>19</v>
      </c>
      <c r="U7" s="2">
        <v>536180.92999999993</v>
      </c>
      <c r="V7" s="2">
        <v>711271</v>
      </c>
    </row>
    <row r="8" spans="3:22" x14ac:dyDescent="0.3">
      <c r="C8" t="s">
        <v>0</v>
      </c>
      <c r="D8" t="s">
        <v>1</v>
      </c>
      <c r="E8" t="s">
        <v>2</v>
      </c>
      <c r="F8" t="s">
        <v>3</v>
      </c>
      <c r="G8" t="s">
        <v>4</v>
      </c>
      <c r="H8" t="s">
        <v>5</v>
      </c>
      <c r="I8" t="s">
        <v>6</v>
      </c>
      <c r="J8" t="s">
        <v>7</v>
      </c>
      <c r="K8" t="s">
        <v>8</v>
      </c>
      <c r="L8" t="s">
        <v>9</v>
      </c>
      <c r="M8" t="s">
        <v>10</v>
      </c>
      <c r="T8" t="s">
        <v>17</v>
      </c>
      <c r="U8" s="2">
        <v>547475.30000000005</v>
      </c>
      <c r="V8" s="2">
        <v>646080</v>
      </c>
    </row>
    <row r="9" spans="3:22" x14ac:dyDescent="0.3">
      <c r="C9" s="2">
        <v>5446809.4700000202</v>
      </c>
      <c r="D9" s="2">
        <v>3149297.4099999927</v>
      </c>
      <c r="E9" s="2">
        <v>2297512.0600000275</v>
      </c>
      <c r="F9" s="3">
        <v>0.42180878047126164</v>
      </c>
      <c r="G9" s="4">
        <v>20000</v>
      </c>
      <c r="H9" s="2">
        <v>438297.51000000123</v>
      </c>
      <c r="I9" s="3">
        <v>8.0468669303389667E-2</v>
      </c>
      <c r="J9" s="4">
        <v>100</v>
      </c>
      <c r="K9" s="4">
        <v>48662</v>
      </c>
      <c r="L9" s="4">
        <v>606148</v>
      </c>
      <c r="M9" s="2">
        <v>5254990</v>
      </c>
      <c r="T9" t="s">
        <v>16</v>
      </c>
      <c r="U9" s="2">
        <v>536475.9</v>
      </c>
      <c r="V9" s="2">
        <v>601307</v>
      </c>
    </row>
    <row r="10" spans="3:22" x14ac:dyDescent="0.3">
      <c r="T10" t="s">
        <v>13</v>
      </c>
      <c r="U10" s="2">
        <v>526187</v>
      </c>
      <c r="V10" s="2">
        <v>600510</v>
      </c>
    </row>
    <row r="11" spans="3:22" x14ac:dyDescent="0.3">
      <c r="T11" t="s">
        <v>21</v>
      </c>
      <c r="U11" s="2">
        <v>558181.42000000004</v>
      </c>
      <c r="V11" s="2">
        <v>504552</v>
      </c>
    </row>
    <row r="12" spans="3:22" x14ac:dyDescent="0.3">
      <c r="T12" t="s">
        <v>20</v>
      </c>
      <c r="U12" s="2">
        <v>537047.05999999982</v>
      </c>
      <c r="V12" s="2">
        <v>485684</v>
      </c>
    </row>
    <row r="13" spans="3:22" x14ac:dyDescent="0.3">
      <c r="T13" t="s">
        <v>18</v>
      </c>
      <c r="U13" s="2">
        <v>565168.15000000014</v>
      </c>
      <c r="V13" s="2">
        <v>445958</v>
      </c>
    </row>
    <row r="14" spans="3:22" x14ac:dyDescent="0.3">
      <c r="T14" t="s">
        <v>12</v>
      </c>
      <c r="U14" s="5">
        <v>546574.63</v>
      </c>
      <c r="V14" s="2">
        <v>422011</v>
      </c>
    </row>
    <row r="15" spans="3:22" x14ac:dyDescent="0.3">
      <c r="T15" t="s">
        <v>15</v>
      </c>
      <c r="U15" s="2">
        <v>545095.25999999989</v>
      </c>
      <c r="V15" s="2">
        <v>419431</v>
      </c>
    </row>
    <row r="16" spans="3:22" x14ac:dyDescent="0.3">
      <c r="C16" t="str">
        <f>C8</f>
        <v>Total Revenue</v>
      </c>
      <c r="D16" t="str">
        <f t="shared" ref="D16:M17" si="0">D8</f>
        <v>COGS</v>
      </c>
      <c r="E16" t="str">
        <f t="shared" si="0"/>
        <v>Profit Margin</v>
      </c>
      <c r="F16" t="str">
        <f t="shared" si="0"/>
        <v>Profit Margin %</v>
      </c>
      <c r="G16" t="str">
        <f t="shared" si="0"/>
        <v>#Transactions</v>
      </c>
      <c r="H16" t="str">
        <f t="shared" si="0"/>
        <v>Total Refund</v>
      </c>
      <c r="I16" t="str">
        <f t="shared" si="0"/>
        <v>Refund Rate</v>
      </c>
      <c r="J16" t="str">
        <f t="shared" si="0"/>
        <v>#Products</v>
      </c>
      <c r="K16" t="str">
        <f t="shared" si="0"/>
        <v>Qty Returned</v>
      </c>
      <c r="L16" t="str">
        <f t="shared" si="0"/>
        <v>Total Quantity</v>
      </c>
      <c r="M16" t="str">
        <f t="shared" si="0"/>
        <v>Total target</v>
      </c>
      <c r="T16" t="s">
        <v>14</v>
      </c>
      <c r="U16" s="2">
        <v>548423.81999999995</v>
      </c>
      <c r="V16" s="2">
        <v>418186</v>
      </c>
    </row>
    <row r="17" spans="3:13" x14ac:dyDescent="0.3">
      <c r="C17" s="6">
        <f>C9</f>
        <v>5446809.4700000202</v>
      </c>
      <c r="D17" s="6">
        <f t="shared" si="0"/>
        <v>3149297.4099999927</v>
      </c>
      <c r="E17" s="6">
        <f t="shared" si="0"/>
        <v>2297512.0600000275</v>
      </c>
      <c r="F17" s="3">
        <f t="shared" si="0"/>
        <v>0.42180878047126164</v>
      </c>
      <c r="G17" s="4">
        <f t="shared" si="0"/>
        <v>20000</v>
      </c>
      <c r="H17" s="6">
        <f t="shared" si="0"/>
        <v>438297.51000000123</v>
      </c>
      <c r="I17" s="3">
        <f t="shared" si="0"/>
        <v>8.0468669303389667E-2</v>
      </c>
      <c r="J17" s="4">
        <f t="shared" si="0"/>
        <v>100</v>
      </c>
      <c r="K17" s="4">
        <f t="shared" si="0"/>
        <v>48662</v>
      </c>
      <c r="L17" s="4">
        <f t="shared" si="0"/>
        <v>606148</v>
      </c>
      <c r="M17" s="6">
        <f t="shared" si="0"/>
        <v>5254990</v>
      </c>
    </row>
    <row r="25" spans="3:13" x14ac:dyDescent="0.3">
      <c r="F25" s="10"/>
    </row>
    <row r="26" spans="3:13" x14ac:dyDescent="0.3">
      <c r="C26" s="13" t="str">
        <f>IF((C17-M17)/M17&lt;0,"▼ "&amp;TEXT((C17-M17)/M17,"+0.0%;-0.0%"),"▲ "&amp;TEXT((C17-M17)/M17,"+0.0%;-0.0%"))</f>
        <v>▲ +3.7%</v>
      </c>
      <c r="E26">
        <f>(C17-M17)/M17</f>
        <v>3.6502347292767488E-2</v>
      </c>
      <c r="F26" s="9"/>
    </row>
    <row r="28" spans="3:13" x14ac:dyDescent="0.3">
      <c r="E28" s="8"/>
    </row>
  </sheetData>
  <conditionalFormatting sqref="C26">
    <cfRule type="expression" dxfId="27" priority="1">
      <formula>$E$26&gt;0</formula>
    </cfRule>
    <cfRule type="expression" dxfId="26" priority="2">
      <formula>$E$26&lt;0</formula>
    </cfRule>
  </conditionalFormatting>
  <pageMargins left="0.7" right="0.7" top="0.75" bottom="0.75" header="0.3" footer="0.3"/>
  <pageSetup orientation="portrait" r:id="rId3"/>
  <extLst>
    <ext xmlns:x15="http://schemas.microsoft.com/office/spreadsheetml/2010/11/main" uri="{F7C9EE02-42E1-4005-9D12-6889AFFD525C}">
      <x15:webExtensions xmlns:xm="http://schemas.microsoft.com/office/excel/2006/main">
        <x15:webExtension appRef="{26C780FA-24D8-4533-A672-12A6CD888491}">
          <xm:f>'Analysis 1'!$T$6:$V$16</xm:f>
        </x15:webExtension>
      </x15:webExtens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C293D-DB47-4F7A-9CBD-C8F678C98CCC}">
  <sheetPr codeName="Sheet3"/>
  <dimension ref="B5:AR26"/>
  <sheetViews>
    <sheetView topLeftCell="Y1" workbookViewId="0">
      <selection activeCell="AP5" sqref="AP5:AQ17"/>
    </sheetView>
  </sheetViews>
  <sheetFormatPr defaultRowHeight="14.4" x14ac:dyDescent="0.3"/>
  <cols>
    <col min="2" max="2" width="9.6640625" bestFit="1" customWidth="1"/>
    <col min="3" max="3" width="13.109375" bestFit="1" customWidth="1"/>
    <col min="4" max="4" width="14.109375" bestFit="1" customWidth="1"/>
    <col min="8" max="8" width="8.88671875" style="17"/>
    <col min="11" max="11" width="12.109375" bestFit="1" customWidth="1"/>
    <col min="12" max="12" width="13.109375" bestFit="1" customWidth="1"/>
    <col min="13" max="13" width="14.109375" bestFit="1" customWidth="1"/>
    <col min="17" max="17" width="8.88671875" style="17"/>
    <col min="20" max="20" width="12.5546875" bestFit="1" customWidth="1"/>
    <col min="21" max="21" width="13.109375" bestFit="1" customWidth="1"/>
    <col min="22" max="22" width="14.109375" bestFit="1" customWidth="1"/>
    <col min="27" max="27" width="8.88671875" style="17"/>
    <col min="30" max="30" width="12.5546875" bestFit="1" customWidth="1"/>
    <col min="31" max="31" width="13.109375" bestFit="1" customWidth="1"/>
    <col min="32" max="32" width="10.6640625" bestFit="1" customWidth="1"/>
    <col min="35" max="35" width="10.21875" bestFit="1" customWidth="1"/>
    <col min="36" max="36" width="12.6640625" bestFit="1" customWidth="1"/>
    <col min="37" max="37" width="10.5546875" bestFit="1" customWidth="1"/>
    <col min="42" max="42" width="10.21875" bestFit="1" customWidth="1"/>
    <col min="43" max="43" width="12.6640625" bestFit="1" customWidth="1"/>
    <col min="44" max="44" width="10.5546875" bestFit="1" customWidth="1"/>
  </cols>
  <sheetData>
    <row r="5" spans="2:44" x14ac:dyDescent="0.3">
      <c r="B5" s="12" t="s">
        <v>27</v>
      </c>
      <c r="C5" t="s">
        <v>0</v>
      </c>
      <c r="D5" t="s">
        <v>30</v>
      </c>
      <c r="K5" s="12" t="s">
        <v>35</v>
      </c>
      <c r="L5" t="s">
        <v>0</v>
      </c>
      <c r="M5" t="s">
        <v>30</v>
      </c>
      <c r="T5" s="12" t="s">
        <v>31</v>
      </c>
      <c r="U5" t="s">
        <v>0</v>
      </c>
      <c r="V5" t="s">
        <v>30</v>
      </c>
      <c r="AD5" s="12" t="s">
        <v>31</v>
      </c>
      <c r="AE5" t="s">
        <v>0</v>
      </c>
      <c r="AF5" t="s">
        <v>10</v>
      </c>
      <c r="AI5" t="str">
        <f>AD5</f>
        <v>Row Labels</v>
      </c>
      <c r="AJ5" t="str">
        <f t="shared" ref="AJ5:AK5" si="0">AE5</f>
        <v>Total Revenue</v>
      </c>
      <c r="AK5" t="str">
        <f t="shared" si="0"/>
        <v>Total target</v>
      </c>
      <c r="AL5" t="s">
        <v>29</v>
      </c>
      <c r="AP5" t="str">
        <f>AD5</f>
        <v>Row Labels</v>
      </c>
      <c r="AQ5" t="s">
        <v>58</v>
      </c>
    </row>
    <row r="6" spans="2:44" x14ac:dyDescent="0.3">
      <c r="B6" t="s">
        <v>23</v>
      </c>
      <c r="C6" s="14">
        <v>1336248.3099999984</v>
      </c>
      <c r="D6" s="7"/>
      <c r="E6" s="6"/>
      <c r="K6" t="s">
        <v>32</v>
      </c>
      <c r="L6" s="14">
        <v>3894278.1300000134</v>
      </c>
      <c r="M6" s="7">
        <v>0.7149649995008911</v>
      </c>
      <c r="T6" s="18" t="s">
        <v>38</v>
      </c>
      <c r="U6" s="2">
        <v>765868.27999999898</v>
      </c>
      <c r="V6" s="7"/>
      <c r="AD6" s="18" t="s">
        <v>46</v>
      </c>
      <c r="AE6" s="2">
        <v>444162.52</v>
      </c>
      <c r="AF6" s="2">
        <v>439042</v>
      </c>
      <c r="AI6" t="str">
        <f t="shared" ref="AI6:AI17" si="1">AD6</f>
        <v>Jan</v>
      </c>
      <c r="AJ6" s="29">
        <f t="shared" ref="AJ6:AJ17" si="2">AE6</f>
        <v>444162.52</v>
      </c>
      <c r="AK6" s="29">
        <f t="shared" ref="AK6:AK17" si="3">AF6</f>
        <v>439042</v>
      </c>
      <c r="AL6" s="29" t="str" cm="1">
        <f t="array" ref="AL6">IFERROR(_xlfn.IFS(AJ6=$AJ$21,AJ6,AJ6=$AJ$22,AJ6),"")</f>
        <v/>
      </c>
      <c r="AP6" t="str">
        <f t="shared" ref="AP6:AP17" si="4">AD6</f>
        <v>Jan</v>
      </c>
      <c r="AQ6" s="30">
        <f>(AJ6-AK6)/AK6</f>
        <v>1.1662938853230486E-2</v>
      </c>
      <c r="AR6" s="29"/>
    </row>
    <row r="7" spans="2:44" x14ac:dyDescent="0.3">
      <c r="B7" t="s">
        <v>24</v>
      </c>
      <c r="C7" s="14">
        <v>1384874.5400000024</v>
      </c>
      <c r="D7" s="15">
        <v>3.6390115247370451E-2</v>
      </c>
      <c r="E7" s="6"/>
      <c r="K7" t="s">
        <v>33</v>
      </c>
      <c r="L7" s="14">
        <v>1552531.3400000015</v>
      </c>
      <c r="M7" s="7">
        <v>0.2850350004991079</v>
      </c>
      <c r="T7" s="18" t="s">
        <v>39</v>
      </c>
      <c r="U7" s="2">
        <v>789470.8800000028</v>
      </c>
      <c r="V7" s="7">
        <v>3.0818093158269787E-2</v>
      </c>
      <c r="AD7" s="18" t="s">
        <v>47</v>
      </c>
      <c r="AE7" s="2">
        <v>423741.52000000037</v>
      </c>
      <c r="AF7" s="2">
        <v>431279</v>
      </c>
      <c r="AI7" t="str">
        <f t="shared" si="1"/>
        <v>Feb</v>
      </c>
      <c r="AJ7" s="29">
        <f t="shared" si="2"/>
        <v>423741.52000000037</v>
      </c>
      <c r="AK7" s="29">
        <f t="shared" si="3"/>
        <v>431279</v>
      </c>
      <c r="AL7" s="29" t="str" cm="1">
        <f t="array" ref="AL7">IFERROR(_xlfn.IFS(AJ7=$AJ$21,AJ7,AJ7=$AJ$22,AJ7),"")</f>
        <v/>
      </c>
      <c r="AP7" t="str">
        <f t="shared" si="4"/>
        <v>Feb</v>
      </c>
      <c r="AQ7" s="30">
        <f t="shared" ref="AQ7:AQ17" si="5">(AJ7-AK7)/AK7</f>
        <v>-1.7477039225187483E-2</v>
      </c>
      <c r="AR7" s="29"/>
    </row>
    <row r="8" spans="2:44" x14ac:dyDescent="0.3">
      <c r="B8" t="s">
        <v>25</v>
      </c>
      <c r="C8" s="14">
        <v>1362939.5400000014</v>
      </c>
      <c r="D8" s="15">
        <v>-1.5838979897775357E-2</v>
      </c>
      <c r="E8" s="6"/>
      <c r="T8" s="18" t="s">
        <v>40</v>
      </c>
      <c r="U8" s="2">
        <v>772166.82999999914</v>
      </c>
      <c r="V8" s="7">
        <v>-2.1918541187996184E-2</v>
      </c>
      <c r="AD8" s="18" t="s">
        <v>48</v>
      </c>
      <c r="AE8" s="2">
        <v>468344.26999999955</v>
      </c>
      <c r="AF8" s="2">
        <v>445591</v>
      </c>
      <c r="AI8" t="str">
        <f t="shared" si="1"/>
        <v>Mar</v>
      </c>
      <c r="AJ8" s="29">
        <f t="shared" si="2"/>
        <v>468344.26999999955</v>
      </c>
      <c r="AK8" s="29">
        <f t="shared" si="3"/>
        <v>445591</v>
      </c>
      <c r="AL8" s="29" t="str" cm="1">
        <f t="array" ref="AL8">IFERROR(_xlfn.IFS(AJ8=$AJ$21,AJ8,AJ8=$AJ$22,AJ8),"")</f>
        <v/>
      </c>
      <c r="AP8" t="str">
        <f t="shared" si="4"/>
        <v>Mar</v>
      </c>
      <c r="AQ8" s="30">
        <f t="shared" si="5"/>
        <v>5.1063127397096335E-2</v>
      </c>
      <c r="AR8" s="29"/>
    </row>
    <row r="9" spans="2:44" x14ac:dyDescent="0.3">
      <c r="B9" t="s">
        <v>26</v>
      </c>
      <c r="C9" s="14">
        <v>1362747.0800000008</v>
      </c>
      <c r="D9" s="15">
        <v>-1.4120949194904202E-4</v>
      </c>
      <c r="E9" s="6"/>
      <c r="T9" s="18" t="s">
        <v>41</v>
      </c>
      <c r="U9" s="2">
        <v>774303.62999999756</v>
      </c>
      <c r="V9" s="7">
        <v>2.7672776361015393E-3</v>
      </c>
      <c r="AD9" s="18" t="s">
        <v>49</v>
      </c>
      <c r="AE9" s="2">
        <v>448652.76000000007</v>
      </c>
      <c r="AF9" s="2">
        <v>453071</v>
      </c>
      <c r="AI9" t="str">
        <f t="shared" si="1"/>
        <v>Apr</v>
      </c>
      <c r="AJ9" s="29">
        <f t="shared" si="2"/>
        <v>448652.76000000007</v>
      </c>
      <c r="AK9" s="29">
        <f t="shared" si="3"/>
        <v>453071</v>
      </c>
      <c r="AL9" s="29" t="str" cm="1">
        <f t="array" ref="AL9">IFERROR(_xlfn.IFS(AJ9=$AJ$21,AJ9,AJ9=$AJ$22,AJ9),"")</f>
        <v/>
      </c>
      <c r="AP9" t="str">
        <f t="shared" si="4"/>
        <v>Apr</v>
      </c>
      <c r="AQ9" s="30">
        <f t="shared" si="5"/>
        <v>-9.7517607615581932E-3</v>
      </c>
      <c r="AR9" s="29"/>
    </row>
    <row r="10" spans="2:44" x14ac:dyDescent="0.3">
      <c r="T10" s="18" t="s">
        <v>42</v>
      </c>
      <c r="U10" s="2">
        <v>795985.00999999966</v>
      </c>
      <c r="V10" s="7">
        <v>2.8001134387039057E-2</v>
      </c>
      <c r="AD10" s="18" t="s">
        <v>50</v>
      </c>
      <c r="AE10" s="2">
        <v>480720.64000000001</v>
      </c>
      <c r="AF10" s="2">
        <v>444167</v>
      </c>
      <c r="AI10" t="str">
        <f t="shared" si="1"/>
        <v>May</v>
      </c>
      <c r="AJ10" s="29">
        <f t="shared" si="2"/>
        <v>480720.64000000001</v>
      </c>
      <c r="AK10" s="29">
        <f t="shared" si="3"/>
        <v>444167</v>
      </c>
      <c r="AL10" s="29" cm="1">
        <f t="array" ref="AL10">IFERROR(_xlfn.IFS(AJ10=$AJ$21,AJ10,AJ10=$AJ$22,AJ10),"")</f>
        <v>480720.64000000001</v>
      </c>
      <c r="AP10" t="str">
        <f t="shared" si="4"/>
        <v>May</v>
      </c>
      <c r="AQ10" s="30">
        <f t="shared" si="5"/>
        <v>8.2297063942165932E-2</v>
      </c>
      <c r="AR10" s="29"/>
    </row>
    <row r="11" spans="2:44" x14ac:dyDescent="0.3">
      <c r="T11" s="18" t="s">
        <v>43</v>
      </c>
      <c r="U11" s="2">
        <v>762351.78000000084</v>
      </c>
      <c r="V11" s="7">
        <v>-4.225359721284052E-2</v>
      </c>
      <c r="AD11" s="18" t="s">
        <v>51</v>
      </c>
      <c r="AE11" s="2">
        <v>455501.1399999999</v>
      </c>
      <c r="AF11" s="2">
        <v>421979</v>
      </c>
      <c r="AI11" t="str">
        <f t="shared" si="1"/>
        <v>Jun</v>
      </c>
      <c r="AJ11" s="29">
        <f t="shared" si="2"/>
        <v>455501.1399999999</v>
      </c>
      <c r="AK11" s="29">
        <f t="shared" si="3"/>
        <v>421979</v>
      </c>
      <c r="AL11" s="29" t="str" cm="1">
        <f t="array" ref="AL11">IFERROR(_xlfn.IFS(AJ11=$AJ$21,AJ11,AJ11=$AJ$22,AJ11),"")</f>
        <v/>
      </c>
      <c r="AP11" t="str">
        <f t="shared" si="4"/>
        <v>Jun</v>
      </c>
      <c r="AQ11" s="30">
        <f t="shared" si="5"/>
        <v>7.9440303901378739E-2</v>
      </c>
      <c r="AR11" s="29"/>
    </row>
    <row r="12" spans="2:44" x14ac:dyDescent="0.3">
      <c r="T12" s="18" t="s">
        <v>44</v>
      </c>
      <c r="U12" s="2">
        <v>786663.06000000041</v>
      </c>
      <c r="V12" s="7">
        <v>3.1889844869253843E-2</v>
      </c>
      <c r="AD12" s="18" t="s">
        <v>52</v>
      </c>
      <c r="AE12" s="2">
        <v>433725.86000000045</v>
      </c>
      <c r="AF12" s="2">
        <v>456718</v>
      </c>
      <c r="AI12" t="str">
        <f t="shared" si="1"/>
        <v>Jul</v>
      </c>
      <c r="AJ12" s="29">
        <f t="shared" si="2"/>
        <v>433725.86000000045</v>
      </c>
      <c r="AK12" s="29">
        <f t="shared" si="3"/>
        <v>456718</v>
      </c>
      <c r="AL12" s="29" t="str" cm="1">
        <f t="array" ref="AL12">IFERROR(_xlfn.IFS(AJ12=$AJ$21,AJ12,AJ12=$AJ$22,AJ12),"")</f>
        <v/>
      </c>
      <c r="AP12" t="str">
        <f t="shared" si="4"/>
        <v>Jul</v>
      </c>
      <c r="AQ12" s="30">
        <f t="shared" si="5"/>
        <v>-5.0342092932618265E-2</v>
      </c>
      <c r="AR12" s="29"/>
    </row>
    <row r="13" spans="2:44" x14ac:dyDescent="0.3">
      <c r="K13" t="str">
        <f>K5</f>
        <v>WeekType</v>
      </c>
      <c r="L13" t="str">
        <f t="shared" ref="L13:M13" si="6">L5</f>
        <v>Total Revenue</v>
      </c>
      <c r="M13" t="str">
        <f t="shared" si="6"/>
        <v>Total Revenue2</v>
      </c>
      <c r="T13" s="18" t="s">
        <v>34</v>
      </c>
      <c r="U13" s="2">
        <v>5446809.4700000202</v>
      </c>
      <c r="V13" s="7"/>
      <c r="AD13" s="18" t="s">
        <v>53</v>
      </c>
      <c r="AE13" s="2">
        <v>485766.24999999977</v>
      </c>
      <c r="AF13" s="2">
        <v>431727</v>
      </c>
      <c r="AI13" t="str">
        <f t="shared" si="1"/>
        <v>Aug</v>
      </c>
      <c r="AJ13" s="29">
        <f t="shared" si="2"/>
        <v>485766.24999999977</v>
      </c>
      <c r="AK13" s="29">
        <f t="shared" si="3"/>
        <v>431727</v>
      </c>
      <c r="AL13" s="29" cm="1">
        <f t="array" ref="AL13">IFERROR(_xlfn.IFS(AJ13=$AJ$21,AJ13,AJ13=$AJ$22,AJ13),"")</f>
        <v>485766.24999999977</v>
      </c>
      <c r="AP13" t="str">
        <f t="shared" si="4"/>
        <v>Aug</v>
      </c>
      <c r="AQ13" s="30">
        <f t="shared" si="5"/>
        <v>0.12516995694038077</v>
      </c>
      <c r="AR13" s="29"/>
    </row>
    <row r="14" spans="2:44" x14ac:dyDescent="0.3">
      <c r="K14" t="str">
        <f t="shared" ref="K14:M14" si="7">K6</f>
        <v>Weekday</v>
      </c>
      <c r="L14" s="6">
        <f t="shared" si="7"/>
        <v>3894278.1300000134</v>
      </c>
      <c r="M14" s="7">
        <f t="shared" si="7"/>
        <v>0.7149649995008911</v>
      </c>
      <c r="AD14" s="18" t="s">
        <v>54</v>
      </c>
      <c r="AE14" s="2">
        <v>443447.43000000028</v>
      </c>
      <c r="AF14" s="2">
        <v>446912</v>
      </c>
      <c r="AI14" t="str">
        <f t="shared" si="1"/>
        <v>Sep</v>
      </c>
      <c r="AJ14" s="29">
        <f t="shared" si="2"/>
        <v>443447.43000000028</v>
      </c>
      <c r="AK14" s="29">
        <f t="shared" si="3"/>
        <v>446912</v>
      </c>
      <c r="AL14" s="29" t="str" cm="1">
        <f t="array" ref="AL14">IFERROR(_xlfn.IFS(AJ14=$AJ$21,AJ14,AJ14=$AJ$22,AJ14),"")</f>
        <v/>
      </c>
      <c r="AP14" t="str">
        <f t="shared" si="4"/>
        <v>Sep</v>
      </c>
      <c r="AQ14" s="30">
        <f t="shared" si="5"/>
        <v>-7.7522420521259575E-3</v>
      </c>
      <c r="AR14" s="29"/>
    </row>
    <row r="15" spans="2:44" x14ac:dyDescent="0.3">
      <c r="K15" t="str">
        <f t="shared" ref="K15:M15" si="8">K7</f>
        <v>Weekend</v>
      </c>
      <c r="L15" s="6">
        <f>L7</f>
        <v>1552531.3400000015</v>
      </c>
      <c r="M15" s="7">
        <f t="shared" si="8"/>
        <v>0.2850350004991079</v>
      </c>
      <c r="AD15" s="18" t="s">
        <v>55</v>
      </c>
      <c r="AE15" s="2">
        <v>458984.37999999971</v>
      </c>
      <c r="AF15" s="2">
        <v>414360</v>
      </c>
      <c r="AI15" t="str">
        <f t="shared" si="1"/>
        <v>Oct</v>
      </c>
      <c r="AJ15" s="29">
        <f t="shared" si="2"/>
        <v>458984.37999999971</v>
      </c>
      <c r="AK15" s="29">
        <f t="shared" si="3"/>
        <v>414360</v>
      </c>
      <c r="AL15" s="29" t="str" cm="1">
        <f t="array" ref="AL15">IFERROR(_xlfn.IFS(AJ15=$AJ$21,AJ15,AJ15=$AJ$22,AJ15),"")</f>
        <v/>
      </c>
      <c r="AP15" t="str">
        <f t="shared" si="4"/>
        <v>Oct</v>
      </c>
      <c r="AQ15" s="30">
        <f t="shared" si="5"/>
        <v>0.10769470991408368</v>
      </c>
      <c r="AR15" s="29"/>
    </row>
    <row r="16" spans="2:44" x14ac:dyDescent="0.3">
      <c r="AD16" s="18" t="s">
        <v>56</v>
      </c>
      <c r="AE16" s="2">
        <v>462537.40999999963</v>
      </c>
      <c r="AF16" s="2">
        <v>413371</v>
      </c>
      <c r="AI16" t="str">
        <f t="shared" si="1"/>
        <v>Nov</v>
      </c>
      <c r="AJ16" s="29">
        <f t="shared" si="2"/>
        <v>462537.40999999963</v>
      </c>
      <c r="AK16" s="29">
        <f t="shared" si="3"/>
        <v>413371</v>
      </c>
      <c r="AL16" s="29" t="str" cm="1">
        <f t="array" ref="AL16">IFERROR(_xlfn.IFS(AJ16=$AJ$21,AJ16,AJ16=$AJ$22,AJ16),"")</f>
        <v/>
      </c>
      <c r="AP16" t="str">
        <f t="shared" si="4"/>
        <v>Nov</v>
      </c>
      <c r="AQ16" s="30">
        <f t="shared" si="5"/>
        <v>0.1189401530344403</v>
      </c>
      <c r="AR16" s="29"/>
    </row>
    <row r="17" spans="2:44" x14ac:dyDescent="0.3">
      <c r="B17" t="str">
        <f>B5</f>
        <v>Quarter</v>
      </c>
      <c r="C17" t="str">
        <f>C5</f>
        <v>Total Revenue</v>
      </c>
      <c r="D17" t="s">
        <v>28</v>
      </c>
      <c r="E17" t="s">
        <v>29</v>
      </c>
      <c r="AD17" s="18" t="s">
        <v>57</v>
      </c>
      <c r="AE17" s="2">
        <v>441225.28999999992</v>
      </c>
      <c r="AF17" s="2">
        <v>456773</v>
      </c>
      <c r="AI17" t="str">
        <f t="shared" si="1"/>
        <v>Dec</v>
      </c>
      <c r="AJ17" s="29">
        <f t="shared" si="2"/>
        <v>441225.28999999992</v>
      </c>
      <c r="AK17" s="29">
        <f t="shared" si="3"/>
        <v>456773</v>
      </c>
      <c r="AL17" s="29" t="str" cm="1">
        <f t="array" ref="AL17">IFERROR(_xlfn.IFS(AJ17=$AJ$21,AJ17,AJ17=$AJ$22,AJ17),"")</f>
        <v/>
      </c>
      <c r="AP17" t="str">
        <f t="shared" si="4"/>
        <v>Dec</v>
      </c>
      <c r="AQ17" s="30">
        <f t="shared" si="5"/>
        <v>-3.4038154619471989E-2</v>
      </c>
      <c r="AR17" s="29"/>
    </row>
    <row r="18" spans="2:44" x14ac:dyDescent="0.3">
      <c r="B18" t="str">
        <f t="shared" ref="B18:C18" si="9">B6</f>
        <v>Qtr-1</v>
      </c>
      <c r="C18" s="14">
        <f t="shared" si="9"/>
        <v>1336248.3099999984</v>
      </c>
      <c r="D18" s="16">
        <f>AVERAGE($C$18:$C$21)</f>
        <v>1361702.3675000006</v>
      </c>
      <c r="E18" s="14" t="str">
        <f>IF(C18&gt;D18,C18,"")</f>
        <v/>
      </c>
      <c r="AD18" s="18" t="s">
        <v>34</v>
      </c>
      <c r="AE18" s="2">
        <v>5446809.4700000202</v>
      </c>
      <c r="AF18" s="2">
        <v>5254990</v>
      </c>
    </row>
    <row r="19" spans="2:44" x14ac:dyDescent="0.3">
      <c r="B19" t="str">
        <f t="shared" ref="B19:C19" si="10">B7</f>
        <v>Qtr-2</v>
      </c>
      <c r="C19" s="14">
        <f t="shared" si="10"/>
        <v>1384874.5400000024</v>
      </c>
      <c r="D19" s="16">
        <f t="shared" ref="D19:D21" si="11">AVERAGE($C$18:$C$21)</f>
        <v>1361702.3675000006</v>
      </c>
      <c r="E19" s="14">
        <f t="shared" ref="E19:E21" si="12">IF(C19&gt;D19,C19,"")</f>
        <v>1384874.5400000024</v>
      </c>
      <c r="T19" t="str">
        <f>T5</f>
        <v>Row Labels</v>
      </c>
      <c r="U19" t="str">
        <f>U5</f>
        <v>Total Revenue</v>
      </c>
      <c r="V19" t="s">
        <v>45</v>
      </c>
      <c r="W19" t="s">
        <v>29</v>
      </c>
    </row>
    <row r="20" spans="2:44" x14ac:dyDescent="0.3">
      <c r="B20" t="str">
        <f t="shared" ref="B20:C20" si="13">B8</f>
        <v>Qtr-3</v>
      </c>
      <c r="C20" s="14">
        <f t="shared" si="13"/>
        <v>1362939.5400000014</v>
      </c>
      <c r="D20" s="16">
        <f t="shared" si="11"/>
        <v>1361702.3675000006</v>
      </c>
      <c r="E20" s="14">
        <f t="shared" si="12"/>
        <v>1362939.5400000014</v>
      </c>
      <c r="T20" t="str">
        <f t="shared" ref="T20:U20" si="14">T6</f>
        <v>Sun</v>
      </c>
      <c r="U20" s="28">
        <f t="shared" si="14"/>
        <v>765868.27999999898</v>
      </c>
      <c r="V20" s="16">
        <f>AVERAGE($U$20:$U$26)</f>
        <v>778115.63857142848</v>
      </c>
      <c r="W20" t="str">
        <f>IF(U20&gt;V20,U20,"")</f>
        <v/>
      </c>
    </row>
    <row r="21" spans="2:44" x14ac:dyDescent="0.3">
      <c r="B21" t="str">
        <f t="shared" ref="B21:C21" si="15">B9</f>
        <v>Qtr-4</v>
      </c>
      <c r="C21" s="14">
        <f t="shared" si="15"/>
        <v>1362747.0800000008</v>
      </c>
      <c r="D21" s="16">
        <f t="shared" si="11"/>
        <v>1361702.3675000006</v>
      </c>
      <c r="E21" s="14">
        <f t="shared" si="12"/>
        <v>1362747.0800000008</v>
      </c>
      <c r="T21" t="str">
        <f t="shared" ref="T21:U21" si="16">T7</f>
        <v>Mon</v>
      </c>
      <c r="U21" s="28">
        <f t="shared" si="16"/>
        <v>789470.8800000028</v>
      </c>
      <c r="V21" s="16">
        <f t="shared" ref="V21:V26" si="17">AVERAGE($U$20:$U$26)</f>
        <v>778115.63857142848</v>
      </c>
      <c r="W21">
        <f t="shared" ref="W21:W26" si="18">IF(U21&gt;V21,U21,"")</f>
        <v>789470.8800000028</v>
      </c>
      <c r="AI21">
        <v>1</v>
      </c>
      <c r="AJ21">
        <f>LARGE($AJ$6:$AJ$17,AI21)</f>
        <v>485766.24999999977</v>
      </c>
    </row>
    <row r="22" spans="2:44" x14ac:dyDescent="0.3">
      <c r="T22" t="str">
        <f t="shared" ref="T22:U22" si="19">T8</f>
        <v>Tue</v>
      </c>
      <c r="U22" s="28">
        <f t="shared" si="19"/>
        <v>772166.82999999914</v>
      </c>
      <c r="V22" s="16">
        <f t="shared" si="17"/>
        <v>778115.63857142848</v>
      </c>
      <c r="W22" t="str">
        <f t="shared" si="18"/>
        <v/>
      </c>
      <c r="AI22">
        <v>2</v>
      </c>
      <c r="AJ22">
        <f>LARGE($AJ$6:$AJ$17,AI22)</f>
        <v>480720.64000000001</v>
      </c>
    </row>
    <row r="23" spans="2:44" x14ac:dyDescent="0.3">
      <c r="T23" t="str">
        <f t="shared" ref="T23:U23" si="20">T9</f>
        <v>Wed</v>
      </c>
      <c r="U23" s="28">
        <f t="shared" si="20"/>
        <v>774303.62999999756</v>
      </c>
      <c r="V23" s="16">
        <f t="shared" si="17"/>
        <v>778115.63857142848</v>
      </c>
      <c r="W23" t="str">
        <f t="shared" si="18"/>
        <v/>
      </c>
    </row>
    <row r="24" spans="2:44" x14ac:dyDescent="0.3">
      <c r="T24" t="str">
        <f t="shared" ref="T24:U24" si="21">T10</f>
        <v>Thu</v>
      </c>
      <c r="U24" s="28">
        <f t="shared" si="21"/>
        <v>795985.00999999966</v>
      </c>
      <c r="V24" s="16">
        <f t="shared" si="17"/>
        <v>778115.63857142848</v>
      </c>
      <c r="W24">
        <f t="shared" si="18"/>
        <v>795985.00999999966</v>
      </c>
    </row>
    <row r="25" spans="2:44" x14ac:dyDescent="0.3">
      <c r="T25" t="str">
        <f t="shared" ref="T25:U25" si="22">T11</f>
        <v>Fri</v>
      </c>
      <c r="U25" s="28">
        <f t="shared" si="22"/>
        <v>762351.78000000084</v>
      </c>
      <c r="V25" s="16">
        <f t="shared" si="17"/>
        <v>778115.63857142848</v>
      </c>
      <c r="W25" t="str">
        <f t="shared" si="18"/>
        <v/>
      </c>
    </row>
    <row r="26" spans="2:44" x14ac:dyDescent="0.3">
      <c r="T26" t="str">
        <f t="shared" ref="T26:U26" si="23">T12</f>
        <v>Sat</v>
      </c>
      <c r="U26" s="28">
        <f t="shared" si="23"/>
        <v>786663.06000000041</v>
      </c>
      <c r="V26" s="16">
        <f t="shared" si="17"/>
        <v>778115.63857142848</v>
      </c>
      <c r="W26">
        <f t="shared" si="18"/>
        <v>786663.06000000041</v>
      </c>
    </row>
  </sheetData>
  <pageMargins left="0.7" right="0.7" top="0.75" bottom="0.75" header="0.3" footer="0.3"/>
  <pageSetup orientation="portrait"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E16F7-5E15-48A4-BC38-F12CFBB2A2F6}">
  <sheetPr codeName="Sheet4"/>
  <dimension ref="C3:BX33"/>
  <sheetViews>
    <sheetView topLeftCell="BK1" workbookViewId="0">
      <selection activeCell="BV5" sqref="BV5:BW13"/>
    </sheetView>
  </sheetViews>
  <sheetFormatPr defaultRowHeight="14.4" x14ac:dyDescent="0.3"/>
  <cols>
    <col min="3" max="3" width="13.6640625" bestFit="1" customWidth="1"/>
    <col min="4" max="4" width="12.109375" bestFit="1" customWidth="1"/>
    <col min="7" max="7" width="15.44140625" bestFit="1" customWidth="1"/>
    <col min="8" max="9" width="12.109375" bestFit="1" customWidth="1"/>
    <col min="11" max="11" width="10.6640625" bestFit="1" customWidth="1"/>
    <col min="12" max="12" width="12.109375" bestFit="1" customWidth="1"/>
    <col min="15" max="15" width="10.44140625" bestFit="1" customWidth="1"/>
    <col min="16" max="17" width="12.109375" bestFit="1" customWidth="1"/>
    <col min="18" max="18" width="14.6640625" bestFit="1" customWidth="1"/>
    <col min="19" max="19" width="13.33203125" bestFit="1" customWidth="1"/>
    <col min="22" max="22" width="8.88671875" style="11"/>
    <col min="25" max="26" width="12.109375" bestFit="1" customWidth="1"/>
    <col min="28" max="28" width="23.44140625" bestFit="1" customWidth="1"/>
    <col min="32" max="32" width="8.88671875" style="11"/>
    <col min="35" max="35" width="9.33203125" bestFit="1" customWidth="1"/>
    <col min="36" max="36" width="12.109375" bestFit="1" customWidth="1"/>
    <col min="39" max="39" width="8.88671875" style="11"/>
    <col min="42" max="42" width="11.21875" bestFit="1" customWidth="1"/>
    <col min="43" max="43" width="12.109375" bestFit="1" customWidth="1"/>
    <col min="45" max="45" width="8.88671875" style="11"/>
    <col min="48" max="48" width="9" bestFit="1" customWidth="1"/>
    <col min="49" max="49" width="12.109375" bestFit="1" customWidth="1"/>
    <col min="50" max="50" width="13.21875" bestFit="1" customWidth="1"/>
    <col min="53" max="53" width="8.88671875" style="11"/>
    <col min="55" max="55" width="11.5546875" bestFit="1" customWidth="1"/>
    <col min="56" max="56" width="10.44140625" bestFit="1" customWidth="1"/>
    <col min="57" max="57" width="11.33203125" bestFit="1" customWidth="1"/>
    <col min="60" max="60" width="1.33203125" style="44" customWidth="1"/>
    <col min="63" max="63" width="15.44140625" bestFit="1" customWidth="1"/>
    <col min="64" max="65" width="12.109375" bestFit="1" customWidth="1"/>
    <col min="67" max="67" width="15.44140625" bestFit="1" customWidth="1"/>
    <col min="68" max="68" width="13.109375" bestFit="1" customWidth="1"/>
    <col min="71" max="71" width="1.33203125" style="44" customWidth="1"/>
    <col min="74" max="74" width="16.5546875" bestFit="1" customWidth="1"/>
    <col min="75" max="75" width="12.109375" bestFit="1" customWidth="1"/>
  </cols>
  <sheetData>
    <row r="3" spans="3:75" x14ac:dyDescent="0.3">
      <c r="BL3" s="44" t="s">
        <v>59</v>
      </c>
      <c r="BM3" s="44">
        <v>2</v>
      </c>
    </row>
    <row r="4" spans="3:75" x14ac:dyDescent="0.3">
      <c r="G4" s="31" t="s">
        <v>59</v>
      </c>
      <c r="H4" s="32">
        <v>1</v>
      </c>
      <c r="K4" t="s">
        <v>61</v>
      </c>
      <c r="Y4" s="12" t="s">
        <v>95</v>
      </c>
      <c r="Z4" t="s">
        <v>2</v>
      </c>
      <c r="AB4" t="s">
        <v>97</v>
      </c>
      <c r="AI4" s="12" t="s">
        <v>98</v>
      </c>
      <c r="AJ4" t="s">
        <v>2</v>
      </c>
      <c r="AP4" s="12" t="s">
        <v>103</v>
      </c>
      <c r="AQ4" t="s">
        <v>2</v>
      </c>
      <c r="AV4" s="12" t="s">
        <v>104</v>
      </c>
      <c r="AW4" t="s">
        <v>2</v>
      </c>
      <c r="AX4" t="s">
        <v>105</v>
      </c>
    </row>
    <row r="5" spans="3:75" x14ac:dyDescent="0.3">
      <c r="G5" s="31" t="s">
        <v>60</v>
      </c>
      <c r="H5" s="32">
        <v>2</v>
      </c>
      <c r="K5" t="s">
        <v>63</v>
      </c>
      <c r="Y5" t="s">
        <v>90</v>
      </c>
      <c r="Z5" s="2">
        <v>57388</v>
      </c>
      <c r="AB5" s="4">
        <v>46.548333333333332</v>
      </c>
      <c r="AI5" t="s">
        <v>99</v>
      </c>
      <c r="AJ5" s="7">
        <v>0.48527656041986861</v>
      </c>
      <c r="AP5" t="s">
        <v>38</v>
      </c>
      <c r="AQ5" s="33">
        <v>313403.34999999951</v>
      </c>
      <c r="AV5" t="s">
        <v>46</v>
      </c>
      <c r="AW5" s="33">
        <v>177715.37999999989</v>
      </c>
      <c r="AX5" s="43"/>
      <c r="BV5" s="12" t="s">
        <v>114</v>
      </c>
      <c r="BW5" t="s">
        <v>2</v>
      </c>
    </row>
    <row r="6" spans="3:75" x14ac:dyDescent="0.3">
      <c r="Y6" t="s">
        <v>91</v>
      </c>
      <c r="Z6" s="2">
        <v>367524.49</v>
      </c>
      <c r="AI6" t="s">
        <v>100</v>
      </c>
      <c r="AJ6" s="7">
        <v>0.51472343958010647</v>
      </c>
      <c r="AP6" t="s">
        <v>39</v>
      </c>
      <c r="AQ6" s="33">
        <v>342889.85000000324</v>
      </c>
      <c r="AV6" t="s">
        <v>47</v>
      </c>
      <c r="AW6" s="33">
        <v>177756.56999999966</v>
      </c>
      <c r="AX6" s="43">
        <v>2.3177510016167156E-4</v>
      </c>
      <c r="BC6" t="s">
        <v>106</v>
      </c>
      <c r="BD6" t="s">
        <v>107</v>
      </c>
      <c r="BE6" t="s">
        <v>6</v>
      </c>
      <c r="BV6" t="s">
        <v>119</v>
      </c>
      <c r="BW6" s="28">
        <v>718216.26999999932</v>
      </c>
    </row>
    <row r="7" spans="3:75" x14ac:dyDescent="0.3">
      <c r="Y7" t="s">
        <v>92</v>
      </c>
      <c r="Z7" s="2">
        <v>439190.27999999805</v>
      </c>
      <c r="AP7" t="s">
        <v>40</v>
      </c>
      <c r="AQ7" s="33">
        <v>324340.81999999884</v>
      </c>
      <c r="AV7" t="s">
        <v>48</v>
      </c>
      <c r="AW7" s="33">
        <v>204515.86999999953</v>
      </c>
      <c r="AX7" s="43">
        <v>0.15053902086431981</v>
      </c>
      <c r="BC7" s="73">
        <v>100</v>
      </c>
      <c r="BD7" s="3">
        <v>8.0280723519668459E-2</v>
      </c>
      <c r="BE7" s="3">
        <v>8.0468669303389667E-2</v>
      </c>
      <c r="BK7" s="12" t="s">
        <v>108</v>
      </c>
      <c r="BL7" t="s">
        <v>2</v>
      </c>
      <c r="BO7" s="12" t="s">
        <v>108</v>
      </c>
      <c r="BP7" t="s">
        <v>9</v>
      </c>
      <c r="BV7" t="s">
        <v>120</v>
      </c>
      <c r="BW7" s="28">
        <v>417457.830000002</v>
      </c>
    </row>
    <row r="8" spans="3:75" x14ac:dyDescent="0.3">
      <c r="Y8" t="s">
        <v>93</v>
      </c>
      <c r="Z8" s="2">
        <v>489964.00000000023</v>
      </c>
      <c r="AP8" t="s">
        <v>41</v>
      </c>
      <c r="AQ8" s="33">
        <v>324189.0599999979</v>
      </c>
      <c r="AV8" t="s">
        <v>49</v>
      </c>
      <c r="AW8" s="33">
        <v>192977.04000000018</v>
      </c>
      <c r="AX8" s="43">
        <v>-5.6420218147371026E-2</v>
      </c>
      <c r="BK8" t="s">
        <v>110</v>
      </c>
      <c r="BL8" s="28">
        <v>95024.850000000035</v>
      </c>
      <c r="BO8" t="s">
        <v>110</v>
      </c>
      <c r="BP8" s="29">
        <v>6861</v>
      </c>
      <c r="BV8" t="s">
        <v>121</v>
      </c>
      <c r="BW8" s="28">
        <v>367414.25000000041</v>
      </c>
    </row>
    <row r="9" spans="3:75" x14ac:dyDescent="0.3">
      <c r="Y9" t="s">
        <v>94</v>
      </c>
      <c r="Z9" s="2">
        <v>943445.28999999142</v>
      </c>
      <c r="AP9" t="s">
        <v>42</v>
      </c>
      <c r="AQ9" s="33">
        <v>340665.27999999869</v>
      </c>
      <c r="AV9" t="s">
        <v>50</v>
      </c>
      <c r="AW9" s="33">
        <v>205642.8500000005</v>
      </c>
      <c r="AX9" s="43">
        <v>6.563376658694893E-2</v>
      </c>
      <c r="BK9" t="s">
        <v>113</v>
      </c>
      <c r="BL9" s="28">
        <v>84506.489999999932</v>
      </c>
      <c r="BO9" t="s">
        <v>111</v>
      </c>
      <c r="BP9" s="29">
        <v>6671</v>
      </c>
      <c r="BV9" t="s">
        <v>122</v>
      </c>
      <c r="BW9" s="28">
        <v>339210.4900000029</v>
      </c>
    </row>
    <row r="10" spans="3:75" x14ac:dyDescent="0.3">
      <c r="AP10" t="s">
        <v>43</v>
      </c>
      <c r="AQ10" s="33">
        <v>319564.96000000124</v>
      </c>
      <c r="AV10" t="s">
        <v>51</v>
      </c>
      <c r="AW10" s="33">
        <v>195489.95000000036</v>
      </c>
      <c r="AX10" s="43">
        <v>-4.9371519603040488E-2</v>
      </c>
      <c r="BK10" t="s">
        <v>112</v>
      </c>
      <c r="BL10" s="28">
        <v>83284.599999999977</v>
      </c>
      <c r="BO10" t="s">
        <v>109</v>
      </c>
      <c r="BP10" s="29">
        <v>6545</v>
      </c>
      <c r="BV10" t="s">
        <v>117</v>
      </c>
      <c r="BW10" s="28">
        <v>174072.76000000047</v>
      </c>
    </row>
    <row r="11" spans="3:75" x14ac:dyDescent="0.3">
      <c r="C11" s="12" t="s">
        <v>74</v>
      </c>
      <c r="D11" t="s">
        <v>2</v>
      </c>
      <c r="G11" s="12" t="s">
        <v>74</v>
      </c>
      <c r="H11" t="s">
        <v>2</v>
      </c>
      <c r="K11" s="12" t="s">
        <v>63</v>
      </c>
      <c r="L11" t="s">
        <v>2</v>
      </c>
      <c r="O11" s="12" t="s">
        <v>63</v>
      </c>
      <c r="P11" t="s">
        <v>2</v>
      </c>
      <c r="R11" t="s">
        <v>88</v>
      </c>
      <c r="S11" t="s">
        <v>89</v>
      </c>
      <c r="AP11" t="s">
        <v>44</v>
      </c>
      <c r="AQ11" s="33">
        <v>332458.74000000069</v>
      </c>
      <c r="AV11" t="s">
        <v>52</v>
      </c>
      <c r="AW11" s="33">
        <v>182737.19000000047</v>
      </c>
      <c r="AX11" s="43">
        <v>-6.523486245712308E-2</v>
      </c>
      <c r="BC11" t="str">
        <f>BC6</f>
        <v>Product sold</v>
      </c>
      <c r="BD11" t="str">
        <f t="shared" ref="BD11:BE12" si="0">BD6</f>
        <v>Return rate</v>
      </c>
      <c r="BE11" t="str">
        <f t="shared" si="0"/>
        <v>Refund Rate</v>
      </c>
      <c r="BK11" t="s">
        <v>111</v>
      </c>
      <c r="BL11" s="28">
        <v>82987.239999999991</v>
      </c>
      <c r="BO11" t="s">
        <v>112</v>
      </c>
      <c r="BP11" s="29">
        <v>6262</v>
      </c>
      <c r="BV11" t="s">
        <v>116</v>
      </c>
      <c r="BW11" s="28">
        <v>142236.05999999959</v>
      </c>
    </row>
    <row r="12" spans="3:75" x14ac:dyDescent="0.3">
      <c r="C12" t="s">
        <v>69</v>
      </c>
      <c r="D12" s="2">
        <v>6966.5800000000008</v>
      </c>
      <c r="G12" t="s">
        <v>73</v>
      </c>
      <c r="H12" s="2">
        <v>130.20000000000073</v>
      </c>
      <c r="K12" t="s">
        <v>80</v>
      </c>
      <c r="L12" s="2">
        <v>128176.22000000032</v>
      </c>
      <c r="O12" t="s">
        <v>81</v>
      </c>
      <c r="P12" s="2">
        <v>86589.619999999952</v>
      </c>
      <c r="R12" s="4">
        <v>600</v>
      </c>
      <c r="S12" s="4">
        <v>20</v>
      </c>
      <c r="AI12" t="str">
        <f>AI4</f>
        <v>Gender</v>
      </c>
      <c r="AJ12" t="str">
        <f>AJ4</f>
        <v>Profit Margin</v>
      </c>
      <c r="AV12" t="s">
        <v>53</v>
      </c>
      <c r="AW12" s="33">
        <v>208599.36000000022</v>
      </c>
      <c r="AX12" s="43">
        <v>0.14152658251995495</v>
      </c>
      <c r="BC12">
        <f>BC7</f>
        <v>100</v>
      </c>
      <c r="BD12" s="3">
        <f t="shared" si="0"/>
        <v>8.0280723519668459E-2</v>
      </c>
      <c r="BE12" s="3">
        <f t="shared" si="0"/>
        <v>8.0468669303389667E-2</v>
      </c>
      <c r="BK12" t="s">
        <v>109</v>
      </c>
      <c r="BL12" s="28">
        <v>78081.849999999962</v>
      </c>
      <c r="BO12" t="s">
        <v>113</v>
      </c>
      <c r="BP12" s="29">
        <v>6137</v>
      </c>
      <c r="BV12" t="s">
        <v>115</v>
      </c>
      <c r="BW12" s="28">
        <v>86449.160000000265</v>
      </c>
    </row>
    <row r="13" spans="3:75" x14ac:dyDescent="0.3">
      <c r="C13" t="s">
        <v>68</v>
      </c>
      <c r="D13" s="2">
        <v>7191.9699999999975</v>
      </c>
      <c r="G13" t="s">
        <v>71</v>
      </c>
      <c r="H13" s="2">
        <v>912.82000000000062</v>
      </c>
      <c r="K13" t="s">
        <v>82</v>
      </c>
      <c r="L13" s="2">
        <v>131335.97000000015</v>
      </c>
      <c r="O13" t="s">
        <v>78</v>
      </c>
      <c r="P13" s="2">
        <v>91811.079999999856</v>
      </c>
      <c r="Y13" t="str">
        <f>Y4</f>
        <v>Age Group</v>
      </c>
      <c r="Z13" t="str">
        <f>Z4</f>
        <v>Profit Margin</v>
      </c>
      <c r="AI13" t="str">
        <f t="shared" ref="AI13:AJ13" si="1">AI5</f>
        <v>Female</v>
      </c>
      <c r="AJ13" s="7">
        <f t="shared" si="1"/>
        <v>0.48527656041986861</v>
      </c>
      <c r="AV13" t="s">
        <v>54</v>
      </c>
      <c r="AW13" s="33">
        <v>190084.82000000018</v>
      </c>
      <c r="AX13" s="43">
        <v>-8.8756456395647707E-2</v>
      </c>
      <c r="BV13" t="s">
        <v>118</v>
      </c>
      <c r="BW13" s="28">
        <v>52455.239999999583</v>
      </c>
    </row>
    <row r="14" spans="3:75" x14ac:dyDescent="0.3">
      <c r="C14" t="s">
        <v>70</v>
      </c>
      <c r="D14" s="2">
        <v>7236.9200000000019</v>
      </c>
      <c r="G14" t="s">
        <v>64</v>
      </c>
      <c r="H14" s="2">
        <v>992.27999999999975</v>
      </c>
      <c r="K14" t="s">
        <v>79</v>
      </c>
      <c r="L14" s="2">
        <v>132061.01999999973</v>
      </c>
      <c r="O14" t="s">
        <v>84</v>
      </c>
      <c r="P14" s="2">
        <v>96221.15</v>
      </c>
      <c r="Y14" t="str">
        <f t="shared" ref="Y14:Z14" si="2">Y5</f>
        <v>0-20</v>
      </c>
      <c r="Z14" s="33">
        <f t="shared" si="2"/>
        <v>57388</v>
      </c>
      <c r="AI14" t="str">
        <f t="shared" ref="AI14:AJ14" si="3">AI6</f>
        <v>Male</v>
      </c>
      <c r="AJ14" s="7">
        <f t="shared" si="3"/>
        <v>0.51472343958010647</v>
      </c>
      <c r="AV14" t="s">
        <v>55</v>
      </c>
      <c r="AW14" s="33">
        <v>190384.21999999968</v>
      </c>
      <c r="AX14" s="43">
        <v>1.5750863219877269E-3</v>
      </c>
    </row>
    <row r="15" spans="3:75" x14ac:dyDescent="0.3">
      <c r="C15" t="s">
        <v>72</v>
      </c>
      <c r="D15" s="2">
        <v>7569.0199999999959</v>
      </c>
      <c r="G15" t="s">
        <v>65</v>
      </c>
      <c r="H15" s="2">
        <v>1362.7800000000007</v>
      </c>
      <c r="K15" t="s">
        <v>75</v>
      </c>
      <c r="L15" s="2">
        <v>132555.79000000024</v>
      </c>
      <c r="O15" t="s">
        <v>77</v>
      </c>
      <c r="P15" s="2">
        <v>101212.63000000015</v>
      </c>
      <c r="Y15" t="str">
        <f t="shared" ref="Y15:Z15" si="4">Y6</f>
        <v>21-30</v>
      </c>
      <c r="Z15" s="33">
        <f t="shared" si="4"/>
        <v>367524.49</v>
      </c>
      <c r="AV15" t="s">
        <v>56</v>
      </c>
      <c r="AW15" s="33">
        <v>192253.24999999942</v>
      </c>
      <c r="AX15" s="43">
        <v>9.8171476606608472E-3</v>
      </c>
    </row>
    <row r="16" spans="3:75" x14ac:dyDescent="0.3">
      <c r="C16" t="s">
        <v>67</v>
      </c>
      <c r="D16" s="2">
        <v>8477.4799999999977</v>
      </c>
      <c r="G16" t="s">
        <v>66</v>
      </c>
      <c r="H16" s="2">
        <v>1387.2399999999998</v>
      </c>
      <c r="K16" t="s">
        <v>83</v>
      </c>
      <c r="L16" s="2">
        <v>134907.56</v>
      </c>
      <c r="O16" t="s">
        <v>76</v>
      </c>
      <c r="P16" s="2">
        <v>104453.84999999986</v>
      </c>
      <c r="Y16" t="str">
        <f t="shared" ref="Y16:Z16" si="5">Y7</f>
        <v>31-40</v>
      </c>
      <c r="Z16" s="33">
        <f t="shared" si="5"/>
        <v>439190.27999999805</v>
      </c>
      <c r="AV16" t="s">
        <v>57</v>
      </c>
      <c r="AW16" s="33">
        <v>179355.55999999988</v>
      </c>
      <c r="AX16" s="43">
        <v>-6.7086980324127549E-2</v>
      </c>
      <c r="BK16" t="s">
        <v>86</v>
      </c>
      <c r="BO16" t="s">
        <v>87</v>
      </c>
    </row>
    <row r="17" spans="3:76" x14ac:dyDescent="0.3">
      <c r="Y17" t="str">
        <f t="shared" ref="Y17:Z17" si="6">Y8</f>
        <v>41-50</v>
      </c>
      <c r="Z17" s="33">
        <f t="shared" si="6"/>
        <v>489964.00000000023</v>
      </c>
    </row>
    <row r="18" spans="3:76" x14ac:dyDescent="0.3">
      <c r="Y18" t="str">
        <f t="shared" ref="Y18:Z18" si="7">Y9</f>
        <v>plus 50</v>
      </c>
      <c r="Z18" s="33">
        <f t="shared" si="7"/>
        <v>943445.28999999142</v>
      </c>
      <c r="BV18" t="str">
        <f>BV5</f>
        <v>Category</v>
      </c>
      <c r="BW18" t="str">
        <f>BW5</f>
        <v>Profit Margin</v>
      </c>
      <c r="BX18">
        <v>1</v>
      </c>
    </row>
    <row r="19" spans="3:76" x14ac:dyDescent="0.3">
      <c r="BK19" t="str">
        <f>IF($BM$3=1,BK7,BO7)</f>
        <v>Product Name</v>
      </c>
      <c r="BL19" t="str">
        <f>IF($BM$3=1,BL7,BP7)</f>
        <v>Total Quantity</v>
      </c>
      <c r="BO19" t="str">
        <f>_xlfn.TEXTJOIN("",,IF($BM$3=1,"Top-5 Profitable Product","Top-5 Quntitable Product"))</f>
        <v>Top-5 Quntitable Product</v>
      </c>
      <c r="BV19" t="str">
        <f t="shared" ref="BV19" si="8">BV6</f>
        <v>Soft Drink</v>
      </c>
      <c r="BW19" s="45">
        <f>BW6</f>
        <v>718216.26999999932</v>
      </c>
      <c r="BX19">
        <v>1000000</v>
      </c>
    </row>
    <row r="20" spans="3:76" x14ac:dyDescent="0.3">
      <c r="C20" t="s">
        <v>85</v>
      </c>
      <c r="G20" t="s">
        <v>62</v>
      </c>
      <c r="K20" t="s">
        <v>86</v>
      </c>
      <c r="O20" t="s">
        <v>87</v>
      </c>
      <c r="BK20" t="str">
        <f t="shared" ref="BK20:BL20" si="9">IF($BM$3=1,BK8,BO8)</f>
        <v>Begin Brew</v>
      </c>
      <c r="BL20">
        <f t="shared" si="9"/>
        <v>6861</v>
      </c>
      <c r="BV20" t="str">
        <f t="shared" ref="BV20:BW20" si="10">BV7</f>
        <v>Sports Drink</v>
      </c>
      <c r="BW20" s="45">
        <f t="shared" si="10"/>
        <v>417457.830000002</v>
      </c>
      <c r="BX20">
        <v>1000000</v>
      </c>
    </row>
    <row r="21" spans="3:76" x14ac:dyDescent="0.3">
      <c r="AV21" t="str">
        <f>AV4</f>
        <v>Month</v>
      </c>
      <c r="AW21" t="str">
        <f>AW4</f>
        <v>Profit Margin</v>
      </c>
      <c r="AX21" t="str">
        <f>AW21</f>
        <v>Profit Margin</v>
      </c>
      <c r="BK21" t="str">
        <f t="shared" ref="BK21:BL21" si="11">IF($BM$3=1,BK9,BO9)</f>
        <v>Eight Brew</v>
      </c>
      <c r="BL21">
        <f t="shared" si="11"/>
        <v>6671</v>
      </c>
      <c r="BV21" t="str">
        <f t="shared" ref="BV21:BW21" si="12">BV8</f>
        <v>Tea</v>
      </c>
      <c r="BW21" s="45">
        <f t="shared" si="12"/>
        <v>367414.25000000041</v>
      </c>
      <c r="BX21">
        <v>1000000</v>
      </c>
    </row>
    <row r="22" spans="3:76" x14ac:dyDescent="0.3">
      <c r="C22" t="str">
        <f>IF($H$4=1,C11,G11)</f>
        <v>Full Name</v>
      </c>
      <c r="D22" t="str">
        <f>IF($H$4=1,D11,H11)</f>
        <v>Profit Margin</v>
      </c>
      <c r="G22" t="str">
        <f>IF($H$4=1,K11,O11)</f>
        <v>Location</v>
      </c>
      <c r="H22" t="str">
        <f>IF($H$4=1,L11,P11)</f>
        <v>Profit Margin</v>
      </c>
      <c r="K22" t="str">
        <f>IF($H$5=1,C22,G22)</f>
        <v>Location</v>
      </c>
      <c r="L22" t="str">
        <f>IF($H$5=1,D22,H22)</f>
        <v>Profit Margin</v>
      </c>
      <c r="O22" t="str">
        <f>_xlfn.TEXTJOIN("",,IF($H$4=1,"5-Top Profitable","5-Less Profitable"),IF($H$5=1," Customers"," Location"))</f>
        <v>5-Top Profitable Location</v>
      </c>
      <c r="Y22" t="s">
        <v>96</v>
      </c>
      <c r="AV22" t="str">
        <f t="shared" ref="AV22:AW22" si="13">AV5</f>
        <v>Jan</v>
      </c>
      <c r="AW22">
        <f t="shared" si="13"/>
        <v>177715.37999999989</v>
      </c>
      <c r="AX22">
        <f t="shared" ref="AX22:AX33" si="14">AW22</f>
        <v>177715.37999999989</v>
      </c>
      <c r="BK22" t="str">
        <f t="shared" ref="BK22:BL22" si="15">IF($BM$3=1,BK10,BO10)</f>
        <v>Attorney Mist</v>
      </c>
      <c r="BL22">
        <f t="shared" si="15"/>
        <v>6545</v>
      </c>
      <c r="BV22" t="str">
        <f t="shared" ref="BV22:BW22" si="16">BV9</f>
        <v>Water</v>
      </c>
      <c r="BW22" s="45">
        <f t="shared" si="16"/>
        <v>339210.4900000029</v>
      </c>
      <c r="BX22">
        <v>1000000</v>
      </c>
    </row>
    <row r="23" spans="3:76" x14ac:dyDescent="0.3">
      <c r="C23" t="str">
        <f t="shared" ref="C23:D27" si="17">IF($H$4=1,C12,G12)</f>
        <v>Kristine Barrett</v>
      </c>
      <c r="D23" s="28">
        <f t="shared" si="17"/>
        <v>6966.5800000000008</v>
      </c>
      <c r="G23" t="str">
        <f t="shared" ref="G23:H23" si="18">IF($H$4=1,K12,O12)</f>
        <v>Missouri</v>
      </c>
      <c r="H23" s="28">
        <f t="shared" si="18"/>
        <v>128176.22000000032</v>
      </c>
      <c r="K23" t="str">
        <f t="shared" ref="K23:K27" si="19">IF($H$5=1,C23,G23)</f>
        <v>Missouri</v>
      </c>
      <c r="L23" s="28">
        <f t="shared" ref="L23:L27" si="20">IF($H$5=1,D23,H23)</f>
        <v>128176.22000000032</v>
      </c>
      <c r="Y23" s="4">
        <f>GETPIVOTDATA("[Measures].[Average of Customers Age]",$AB$4)</f>
        <v>46.548333333333332</v>
      </c>
      <c r="AV23" t="str">
        <f t="shared" ref="AV23:AW23" si="21">AV6</f>
        <v>Feb</v>
      </c>
      <c r="AW23">
        <f t="shared" si="21"/>
        <v>177756.56999999966</v>
      </c>
      <c r="AX23">
        <f t="shared" si="14"/>
        <v>177756.56999999966</v>
      </c>
      <c r="BK23" t="str">
        <f t="shared" ref="BK23:BL23" si="22">IF($BM$3=1,BK11,BO11)</f>
        <v>Onto Dew</v>
      </c>
      <c r="BL23">
        <f t="shared" si="22"/>
        <v>6262</v>
      </c>
      <c r="BV23" t="str">
        <f t="shared" ref="BV23:BW23" si="23">BV10</f>
        <v>Energy Drink</v>
      </c>
      <c r="BW23" s="45">
        <f t="shared" si="23"/>
        <v>174072.76000000047</v>
      </c>
      <c r="BX23">
        <v>1000000</v>
      </c>
    </row>
    <row r="24" spans="3:76" x14ac:dyDescent="0.3">
      <c r="C24" t="str">
        <f t="shared" si="17"/>
        <v>Judith Simmons</v>
      </c>
      <c r="D24" s="28">
        <f t="shared" si="17"/>
        <v>7191.9699999999975</v>
      </c>
      <c r="G24" t="str">
        <f t="shared" ref="G24:H24" si="24">IF($H$4=1,K13,O13)</f>
        <v>Virginia</v>
      </c>
      <c r="H24" s="28">
        <f t="shared" si="24"/>
        <v>131335.97000000015</v>
      </c>
      <c r="K24" t="str">
        <f t="shared" si="19"/>
        <v>Virginia</v>
      </c>
      <c r="L24" s="28">
        <f t="shared" si="20"/>
        <v>131335.97000000015</v>
      </c>
      <c r="O24" t="str">
        <f>_xlfn.TEXTJOIN("",,IF($H$5=1,"Customers Overtime","Total Locations"))</f>
        <v>Total Locations</v>
      </c>
      <c r="AV24" t="str">
        <f t="shared" ref="AV24:AW24" si="25">AV7</f>
        <v>Mar</v>
      </c>
      <c r="AW24">
        <f t="shared" si="25"/>
        <v>204515.86999999953</v>
      </c>
      <c r="AX24">
        <f t="shared" si="14"/>
        <v>204515.86999999953</v>
      </c>
      <c r="BK24" t="str">
        <f t="shared" ref="BK24:BL24" si="26">IF($BM$3=1,BK12,BO12)</f>
        <v>Common Splash</v>
      </c>
      <c r="BL24">
        <f t="shared" si="26"/>
        <v>6137</v>
      </c>
      <c r="BV24" t="str">
        <f t="shared" ref="BV24:BW24" si="27">BV11</f>
        <v>Coffee</v>
      </c>
      <c r="BW24" s="45">
        <f t="shared" si="27"/>
        <v>142236.05999999959</v>
      </c>
      <c r="BX24">
        <v>1000000</v>
      </c>
    </row>
    <row r="25" spans="3:76" x14ac:dyDescent="0.3">
      <c r="C25" t="str">
        <f t="shared" si="17"/>
        <v>Laura Gross</v>
      </c>
      <c r="D25" s="28">
        <f t="shared" si="17"/>
        <v>7236.9200000000019</v>
      </c>
      <c r="G25" t="str">
        <f t="shared" ref="G25:H25" si="28">IF($H$4=1,K14,O14)</f>
        <v>Michigan</v>
      </c>
      <c r="H25" s="28">
        <f t="shared" si="28"/>
        <v>132061.01999999973</v>
      </c>
      <c r="K25" t="str">
        <f t="shared" si="19"/>
        <v>Michigan</v>
      </c>
      <c r="L25" s="28">
        <f t="shared" si="20"/>
        <v>132061.01999999973</v>
      </c>
      <c r="AV25" t="str">
        <f t="shared" ref="AV25:AW25" si="29">AV8</f>
        <v>Apr</v>
      </c>
      <c r="AW25">
        <f t="shared" si="29"/>
        <v>192977.04000000018</v>
      </c>
      <c r="AX25">
        <f t="shared" si="14"/>
        <v>192977.04000000018</v>
      </c>
      <c r="BV25" t="str">
        <f t="shared" ref="BV25:BW25" si="30">BV12</f>
        <v>Alcoholic Beverage</v>
      </c>
      <c r="BW25" s="45">
        <f t="shared" si="30"/>
        <v>86449.160000000265</v>
      </c>
      <c r="BX25">
        <v>1000000</v>
      </c>
    </row>
    <row r="26" spans="3:76" x14ac:dyDescent="0.3">
      <c r="C26" t="str">
        <f t="shared" si="17"/>
        <v>Paul Noble</v>
      </c>
      <c r="D26" s="28">
        <f t="shared" si="17"/>
        <v>7569.0199999999959</v>
      </c>
      <c r="G26" t="str">
        <f t="shared" ref="G26:H26" si="31">IF($H$4=1,K15,O15)</f>
        <v>California</v>
      </c>
      <c r="H26" s="28">
        <f t="shared" si="31"/>
        <v>132555.79000000024</v>
      </c>
      <c r="K26" t="str">
        <f t="shared" si="19"/>
        <v>California</v>
      </c>
      <c r="L26" s="28">
        <f t="shared" si="20"/>
        <v>132555.79000000024</v>
      </c>
      <c r="O26" t="str">
        <f>_xlfn.TEXTJOIN("",,IF($H$5=1,GETPIVOTDATA("[Measures].[Total Customers]",$R$11),GETPIVOTDATA("[Measures].[Total locations]",$R$11)))</f>
        <v>20</v>
      </c>
      <c r="AV26" t="str">
        <f t="shared" ref="AV26:AW26" si="32">AV9</f>
        <v>May</v>
      </c>
      <c r="AW26">
        <f t="shared" si="32"/>
        <v>205642.8500000005</v>
      </c>
      <c r="AX26">
        <f t="shared" si="14"/>
        <v>205642.8500000005</v>
      </c>
      <c r="BV26" t="str">
        <f t="shared" ref="BV26:BW26" si="33">BV13</f>
        <v>Juice</v>
      </c>
      <c r="BW26" s="45">
        <f t="shared" si="33"/>
        <v>52455.239999999583</v>
      </c>
      <c r="BX26">
        <v>1000000</v>
      </c>
    </row>
    <row r="27" spans="3:76" x14ac:dyDescent="0.3">
      <c r="C27" t="str">
        <f t="shared" si="17"/>
        <v>John Brown</v>
      </c>
      <c r="D27" s="28">
        <f t="shared" si="17"/>
        <v>8477.4799999999977</v>
      </c>
      <c r="G27" t="str">
        <f t="shared" ref="G27:H27" si="34">IF($H$4=1,K16,O16)</f>
        <v>Washington</v>
      </c>
      <c r="H27" s="28">
        <f t="shared" si="34"/>
        <v>134907.56</v>
      </c>
      <c r="K27" t="str">
        <f t="shared" si="19"/>
        <v>Washington</v>
      </c>
      <c r="L27" s="28">
        <f t="shared" si="20"/>
        <v>134907.56</v>
      </c>
      <c r="AV27" t="str">
        <f t="shared" ref="AV27:AW27" si="35">AV10</f>
        <v>Jun</v>
      </c>
      <c r="AW27">
        <f t="shared" si="35"/>
        <v>195489.95000000036</v>
      </c>
      <c r="AX27">
        <f t="shared" si="14"/>
        <v>195489.95000000036</v>
      </c>
    </row>
    <row r="28" spans="3:76" x14ac:dyDescent="0.3">
      <c r="AV28" t="str">
        <f t="shared" ref="AV28:AW28" si="36">AV11</f>
        <v>Jul</v>
      </c>
      <c r="AW28">
        <f t="shared" si="36"/>
        <v>182737.19000000047</v>
      </c>
      <c r="AX28">
        <f t="shared" si="14"/>
        <v>182737.19000000047</v>
      </c>
    </row>
    <row r="29" spans="3:76" x14ac:dyDescent="0.3">
      <c r="AV29" t="str">
        <f t="shared" ref="AV29:AW29" si="37">AV12</f>
        <v>Aug</v>
      </c>
      <c r="AW29">
        <f t="shared" si="37"/>
        <v>208599.36000000022</v>
      </c>
      <c r="AX29">
        <f t="shared" si="14"/>
        <v>208599.36000000022</v>
      </c>
    </row>
    <row r="30" spans="3:76" x14ac:dyDescent="0.3">
      <c r="AV30" t="str">
        <f t="shared" ref="AV30:AW30" si="38">AV13</f>
        <v>Sep</v>
      </c>
      <c r="AW30">
        <f t="shared" si="38"/>
        <v>190084.82000000018</v>
      </c>
      <c r="AX30">
        <f t="shared" si="14"/>
        <v>190084.82000000018</v>
      </c>
    </row>
    <row r="31" spans="3:76" x14ac:dyDescent="0.3">
      <c r="AV31" t="str">
        <f t="shared" ref="AV31:AW31" si="39">AV14</f>
        <v>Oct</v>
      </c>
      <c r="AW31">
        <f t="shared" si="39"/>
        <v>190384.21999999968</v>
      </c>
      <c r="AX31">
        <f t="shared" si="14"/>
        <v>190384.21999999968</v>
      </c>
    </row>
    <row r="32" spans="3:76" x14ac:dyDescent="0.3">
      <c r="AV32" t="str">
        <f t="shared" ref="AV32:AW32" si="40">AV15</f>
        <v>Nov</v>
      </c>
      <c r="AW32">
        <f t="shared" si="40"/>
        <v>192253.24999999942</v>
      </c>
      <c r="AX32">
        <f t="shared" si="14"/>
        <v>192253.24999999942</v>
      </c>
    </row>
    <row r="33" spans="48:50" x14ac:dyDescent="0.3">
      <c r="AV33" t="str">
        <f t="shared" ref="AV33:AW33" si="41">AV16</f>
        <v>Dec</v>
      </c>
      <c r="AW33">
        <f t="shared" si="41"/>
        <v>179355.55999999988</v>
      </c>
      <c r="AX33">
        <f t="shared" si="14"/>
        <v>179355.55999999988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A00E45-9E4B-409D-9B37-58047A40DD5D}">
  <dimension ref="D9:AB113"/>
  <sheetViews>
    <sheetView topLeftCell="Q1" workbookViewId="0">
      <selection activeCell="S12" sqref="S12:AA36"/>
    </sheetView>
  </sheetViews>
  <sheetFormatPr defaultRowHeight="14.4" x14ac:dyDescent="0.3"/>
  <cols>
    <col min="4" max="4" width="19.5546875" bestFit="1" customWidth="1"/>
    <col min="5" max="5" width="12.6640625" bestFit="1" customWidth="1"/>
    <col min="6" max="6" width="11.77734375" bestFit="1" customWidth="1"/>
    <col min="7" max="7" width="11" bestFit="1" customWidth="1"/>
    <col min="8" max="8" width="7.44140625" bestFit="1" customWidth="1"/>
    <col min="9" max="9" width="12.6640625" bestFit="1" customWidth="1"/>
    <col min="10" max="10" width="11.44140625" bestFit="1" customWidth="1"/>
    <col min="11" max="11" width="11.6640625" bestFit="1" customWidth="1"/>
    <col min="12" max="12" width="13.6640625" bestFit="1" customWidth="1"/>
    <col min="19" max="27" width="18.33203125" customWidth="1"/>
  </cols>
  <sheetData>
    <row r="9" spans="4:28" ht="6.6" customHeight="1" x14ac:dyDescent="0.3"/>
    <row r="10" spans="4:28" ht="18.600000000000001" customHeight="1" x14ac:dyDescent="0.3">
      <c r="D10" s="12" t="s">
        <v>108</v>
      </c>
      <c r="E10" t="s">
        <v>9</v>
      </c>
      <c r="F10" t="s">
        <v>8</v>
      </c>
      <c r="G10" t="s">
        <v>6</v>
      </c>
      <c r="H10" t="s">
        <v>1</v>
      </c>
      <c r="I10" t="s">
        <v>0</v>
      </c>
      <c r="J10" t="s">
        <v>5</v>
      </c>
      <c r="K10" t="s">
        <v>2</v>
      </c>
      <c r="L10" t="s">
        <v>3</v>
      </c>
    </row>
    <row r="11" spans="4:28" x14ac:dyDescent="0.3">
      <c r="D11" t="s">
        <v>123</v>
      </c>
      <c r="E11" s="4">
        <v>5352</v>
      </c>
      <c r="F11" s="4">
        <v>416</v>
      </c>
      <c r="G11" s="3">
        <v>7.7727952167413947E-2</v>
      </c>
      <c r="H11" s="2">
        <v>27669.84</v>
      </c>
      <c r="I11" s="2">
        <v>60156.480000000032</v>
      </c>
      <c r="J11" s="2">
        <v>4675.8399999999965</v>
      </c>
      <c r="K11" s="2">
        <v>32486.640000000032</v>
      </c>
      <c r="L11" s="3">
        <v>0.54003558718861233</v>
      </c>
    </row>
    <row r="12" spans="4:28" ht="19.2" customHeight="1" x14ac:dyDescent="0.3">
      <c r="D12" t="s">
        <v>124</v>
      </c>
      <c r="E12" s="4">
        <v>6080</v>
      </c>
      <c r="F12" s="4">
        <v>480</v>
      </c>
      <c r="G12" s="3">
        <v>7.8947368421052447E-2</v>
      </c>
      <c r="H12" s="2">
        <v>29062.400000000009</v>
      </c>
      <c r="I12" s="2">
        <v>75027.199999999983</v>
      </c>
      <c r="J12" s="2">
        <v>5923.1999999999844</v>
      </c>
      <c r="K12" s="2">
        <v>45964.799999999974</v>
      </c>
      <c r="L12" s="3">
        <v>0.61264181523500794</v>
      </c>
      <c r="S12" s="46" t="s">
        <v>108</v>
      </c>
      <c r="T12" s="47" t="s">
        <v>218</v>
      </c>
      <c r="U12" s="47" t="s">
        <v>8</v>
      </c>
      <c r="V12" s="47" t="s">
        <v>6</v>
      </c>
      <c r="W12" s="47" t="s">
        <v>1</v>
      </c>
      <c r="X12" s="47" t="s">
        <v>0</v>
      </c>
      <c r="Y12" s="47" t="s">
        <v>5</v>
      </c>
      <c r="Z12" s="47" t="s">
        <v>2</v>
      </c>
      <c r="AA12" s="47" t="s">
        <v>3</v>
      </c>
    </row>
    <row r="13" spans="4:28" ht="15.6" x14ac:dyDescent="0.3">
      <c r="D13" t="s">
        <v>125</v>
      </c>
      <c r="E13" s="4">
        <v>6209</v>
      </c>
      <c r="F13" s="4">
        <v>506</v>
      </c>
      <c r="G13" s="3">
        <v>8.1494604606216922E-2</v>
      </c>
      <c r="H13" s="2">
        <v>25767.35000000002</v>
      </c>
      <c r="I13" s="2">
        <v>74011.280000000028</v>
      </c>
      <c r="J13" s="2">
        <v>6031.5200000000123</v>
      </c>
      <c r="K13" s="2">
        <v>48243.930000000008</v>
      </c>
      <c r="L13" s="3">
        <v>0.65184563758389247</v>
      </c>
      <c r="R13" s="52"/>
      <c r="S13" s="53" t="str">
        <f t="shared" ref="S13:S76" si="0">D11</f>
        <v>A Splash</v>
      </c>
      <c r="T13" s="57">
        <f t="shared" ref="T13:T76" si="1">E11</f>
        <v>5352</v>
      </c>
      <c r="U13" s="58">
        <f t="shared" ref="U13:U76" si="2">F11</f>
        <v>416</v>
      </c>
      <c r="V13" s="63">
        <f t="shared" ref="V13:V76" si="3">G11</f>
        <v>7.7727952167413947E-2</v>
      </c>
      <c r="W13" s="59">
        <f t="shared" ref="W13:W76" si="4">H11</f>
        <v>27669.84</v>
      </c>
      <c r="X13" s="59">
        <f t="shared" ref="X13:X76" si="5">I11</f>
        <v>60156.480000000032</v>
      </c>
      <c r="Y13" s="59">
        <f t="shared" ref="Y13:Y76" si="6">J11</f>
        <v>4675.8399999999965</v>
      </c>
      <c r="Z13" s="59">
        <f t="shared" ref="Z13:Z76" si="7">K11</f>
        <v>32486.640000000032</v>
      </c>
      <c r="AA13" s="63">
        <f t="shared" ref="AA13:AA76" si="8">L11</f>
        <v>0.54003558718861233</v>
      </c>
      <c r="AB13" s="48"/>
    </row>
    <row r="14" spans="4:28" ht="15.6" x14ac:dyDescent="0.3">
      <c r="D14" t="s">
        <v>126</v>
      </c>
      <c r="E14" s="4">
        <v>5529</v>
      </c>
      <c r="F14" s="4">
        <v>433</v>
      </c>
      <c r="G14" s="3">
        <v>7.8314342557424282E-2</v>
      </c>
      <c r="H14" s="2">
        <v>12163.8</v>
      </c>
      <c r="I14" s="2">
        <v>64081.109999999993</v>
      </c>
      <c r="J14" s="2">
        <v>5018.4699999999866</v>
      </c>
      <c r="K14" s="2">
        <v>51917.31</v>
      </c>
      <c r="L14" s="3">
        <v>0.81018119068162209</v>
      </c>
      <c r="R14" s="54"/>
      <c r="S14" s="55" t="str">
        <f t="shared" si="0"/>
        <v>Above Brew</v>
      </c>
      <c r="T14" s="60">
        <f t="shared" si="1"/>
        <v>6080</v>
      </c>
      <c r="U14" s="61">
        <f t="shared" si="2"/>
        <v>480</v>
      </c>
      <c r="V14" s="64">
        <f t="shared" si="3"/>
        <v>7.8947368421052447E-2</v>
      </c>
      <c r="W14" s="62">
        <f t="shared" si="4"/>
        <v>29062.400000000009</v>
      </c>
      <c r="X14" s="62">
        <f t="shared" si="5"/>
        <v>75027.199999999983</v>
      </c>
      <c r="Y14" s="62">
        <f t="shared" si="6"/>
        <v>5923.1999999999844</v>
      </c>
      <c r="Z14" s="62">
        <f t="shared" si="7"/>
        <v>45964.799999999974</v>
      </c>
      <c r="AA14" s="64">
        <f t="shared" si="8"/>
        <v>0.61264181523500794</v>
      </c>
      <c r="AB14" s="49"/>
    </row>
    <row r="15" spans="4:28" ht="15.6" x14ac:dyDescent="0.3">
      <c r="D15" t="s">
        <v>127</v>
      </c>
      <c r="E15" s="4">
        <v>6931</v>
      </c>
      <c r="F15" s="4">
        <v>580</v>
      </c>
      <c r="G15" s="3">
        <v>8.3682008368201138E-2</v>
      </c>
      <c r="H15" s="2">
        <v>63210.720000000001</v>
      </c>
      <c r="I15" s="2">
        <v>67300.00999999998</v>
      </c>
      <c r="J15" s="2">
        <v>5631.8000000000184</v>
      </c>
      <c r="K15" s="2">
        <v>4089.289999999979</v>
      </c>
      <c r="L15" s="3">
        <v>6.0762100926879212E-2</v>
      </c>
      <c r="R15" s="54"/>
      <c r="S15" s="55" t="str">
        <f t="shared" si="0"/>
        <v>Administration Fusion</v>
      </c>
      <c r="T15" s="60">
        <f t="shared" si="1"/>
        <v>6209</v>
      </c>
      <c r="U15" s="61">
        <f t="shared" si="2"/>
        <v>506</v>
      </c>
      <c r="V15" s="64">
        <f t="shared" si="3"/>
        <v>8.1494604606216922E-2</v>
      </c>
      <c r="W15" s="62">
        <f t="shared" si="4"/>
        <v>25767.35000000002</v>
      </c>
      <c r="X15" s="62">
        <f t="shared" si="5"/>
        <v>74011.280000000028</v>
      </c>
      <c r="Y15" s="62">
        <f t="shared" si="6"/>
        <v>6031.5200000000123</v>
      </c>
      <c r="Z15" s="62">
        <f t="shared" si="7"/>
        <v>48243.930000000008</v>
      </c>
      <c r="AA15" s="64">
        <f t="shared" si="8"/>
        <v>0.65184563758389247</v>
      </c>
      <c r="AB15" s="49"/>
    </row>
    <row r="16" spans="4:28" ht="15.6" x14ac:dyDescent="0.3">
      <c r="D16" t="s">
        <v>128</v>
      </c>
      <c r="E16" s="4">
        <v>6349</v>
      </c>
      <c r="F16" s="4">
        <v>526</v>
      </c>
      <c r="G16" s="3">
        <v>8.2847692550007762E-2</v>
      </c>
      <c r="H16" s="2">
        <v>32697.35000000002</v>
      </c>
      <c r="I16" s="2">
        <v>51553.879999999968</v>
      </c>
      <c r="J16" s="2">
        <v>4271.1199999999917</v>
      </c>
      <c r="K16" s="2">
        <v>18856.529999999948</v>
      </c>
      <c r="L16" s="3">
        <v>0.36576354679802875</v>
      </c>
      <c r="R16" s="54"/>
      <c r="S16" s="55" t="str">
        <f t="shared" si="0"/>
        <v>Against Rush</v>
      </c>
      <c r="T16" s="60">
        <f t="shared" si="1"/>
        <v>5529</v>
      </c>
      <c r="U16" s="61">
        <f t="shared" si="2"/>
        <v>433</v>
      </c>
      <c r="V16" s="64">
        <f t="shared" si="3"/>
        <v>7.8314342557424282E-2</v>
      </c>
      <c r="W16" s="62">
        <f t="shared" si="4"/>
        <v>12163.8</v>
      </c>
      <c r="X16" s="62">
        <f t="shared" si="5"/>
        <v>64081.109999999993</v>
      </c>
      <c r="Y16" s="62">
        <f t="shared" si="6"/>
        <v>5018.4699999999866</v>
      </c>
      <c r="Z16" s="62">
        <f t="shared" si="7"/>
        <v>51917.31</v>
      </c>
      <c r="AA16" s="64">
        <f t="shared" si="8"/>
        <v>0.81018119068162209</v>
      </c>
      <c r="AB16" s="49"/>
    </row>
    <row r="17" spans="4:28" ht="15.6" x14ac:dyDescent="0.3">
      <c r="D17" t="s">
        <v>129</v>
      </c>
      <c r="E17" s="4">
        <v>5840</v>
      </c>
      <c r="F17" s="4">
        <v>503</v>
      </c>
      <c r="G17" s="3">
        <v>8.6130136986301564E-2</v>
      </c>
      <c r="H17" s="2">
        <v>29667.200000000001</v>
      </c>
      <c r="I17" s="2">
        <v>82986.399999999994</v>
      </c>
      <c r="J17" s="2">
        <v>7147.6300000000156</v>
      </c>
      <c r="K17" s="2">
        <v>53319.199999999997</v>
      </c>
      <c r="L17" s="3">
        <v>0.64250527797325829</v>
      </c>
      <c r="R17" s="54"/>
      <c r="S17" s="55" t="str">
        <f t="shared" si="0"/>
        <v>Alone Splash</v>
      </c>
      <c r="T17" s="60">
        <f t="shared" si="1"/>
        <v>6931</v>
      </c>
      <c r="U17" s="61">
        <f t="shared" si="2"/>
        <v>580</v>
      </c>
      <c r="V17" s="64">
        <f t="shared" si="3"/>
        <v>8.3682008368201138E-2</v>
      </c>
      <c r="W17" s="62">
        <f t="shared" si="4"/>
        <v>63210.720000000001</v>
      </c>
      <c r="X17" s="62">
        <f t="shared" si="5"/>
        <v>67300.00999999998</v>
      </c>
      <c r="Y17" s="62">
        <f t="shared" si="6"/>
        <v>5631.8000000000184</v>
      </c>
      <c r="Z17" s="62">
        <f t="shared" si="7"/>
        <v>4089.289999999979</v>
      </c>
      <c r="AA17" s="64">
        <f t="shared" si="8"/>
        <v>6.0762100926879212E-2</v>
      </c>
      <c r="AB17" s="49"/>
    </row>
    <row r="18" spans="4:28" ht="15.6" x14ac:dyDescent="0.3">
      <c r="D18" t="s">
        <v>130</v>
      </c>
      <c r="E18" s="4">
        <v>5522</v>
      </c>
      <c r="F18" s="4">
        <v>460</v>
      </c>
      <c r="G18" s="3">
        <v>8.3303151032234748E-2</v>
      </c>
      <c r="H18" s="2">
        <v>51962.020000000019</v>
      </c>
      <c r="I18" s="2">
        <v>63834.319999999949</v>
      </c>
      <c r="J18" s="2">
        <v>5317.5999999999985</v>
      </c>
      <c r="K18" s="2">
        <v>11872.29999999993</v>
      </c>
      <c r="L18" s="3">
        <v>0.18598615916954922</v>
      </c>
      <c r="R18" s="54"/>
      <c r="S18" s="55" t="str">
        <f t="shared" si="0"/>
        <v>Animal Breeze</v>
      </c>
      <c r="T18" s="60">
        <f t="shared" si="1"/>
        <v>6349</v>
      </c>
      <c r="U18" s="61">
        <f t="shared" si="2"/>
        <v>526</v>
      </c>
      <c r="V18" s="64">
        <f t="shared" si="3"/>
        <v>8.2847692550007762E-2</v>
      </c>
      <c r="W18" s="62">
        <f t="shared" si="4"/>
        <v>32697.35000000002</v>
      </c>
      <c r="X18" s="62">
        <f t="shared" si="5"/>
        <v>51553.879999999968</v>
      </c>
      <c r="Y18" s="62">
        <f t="shared" si="6"/>
        <v>4271.1199999999917</v>
      </c>
      <c r="Z18" s="62">
        <f t="shared" si="7"/>
        <v>18856.529999999948</v>
      </c>
      <c r="AA18" s="64">
        <f t="shared" si="8"/>
        <v>0.36576354679802875</v>
      </c>
      <c r="AB18" s="49"/>
    </row>
    <row r="19" spans="4:28" ht="15.6" x14ac:dyDescent="0.3">
      <c r="D19" t="s">
        <v>109</v>
      </c>
      <c r="E19" s="4">
        <v>6545</v>
      </c>
      <c r="F19" s="4">
        <v>488</v>
      </c>
      <c r="G19" s="3">
        <v>7.4560733384262973E-2</v>
      </c>
      <c r="H19" s="2">
        <v>11126.5</v>
      </c>
      <c r="I19" s="2">
        <v>89208.349999999962</v>
      </c>
      <c r="J19" s="2">
        <v>6651.4400000000123</v>
      </c>
      <c r="K19" s="2">
        <v>78081.849999999962</v>
      </c>
      <c r="L19" s="3">
        <v>0.87527512839325017</v>
      </c>
      <c r="R19" s="54"/>
      <c r="S19" s="55" t="str">
        <f t="shared" si="0"/>
        <v>Any Brew</v>
      </c>
      <c r="T19" s="60">
        <f t="shared" si="1"/>
        <v>5840</v>
      </c>
      <c r="U19" s="61">
        <f t="shared" si="2"/>
        <v>503</v>
      </c>
      <c r="V19" s="64">
        <f t="shared" si="3"/>
        <v>8.6130136986301564E-2</v>
      </c>
      <c r="W19" s="62">
        <f t="shared" si="4"/>
        <v>29667.200000000001</v>
      </c>
      <c r="X19" s="62">
        <f t="shared" si="5"/>
        <v>82986.399999999994</v>
      </c>
      <c r="Y19" s="62">
        <f t="shared" si="6"/>
        <v>7147.6300000000156</v>
      </c>
      <c r="Z19" s="62">
        <f t="shared" si="7"/>
        <v>53319.199999999997</v>
      </c>
      <c r="AA19" s="64">
        <f t="shared" si="8"/>
        <v>0.64250527797325829</v>
      </c>
      <c r="AB19" s="49"/>
    </row>
    <row r="20" spans="4:28" ht="15.6" x14ac:dyDescent="0.3">
      <c r="D20" t="s">
        <v>131</v>
      </c>
      <c r="E20" s="4">
        <v>5379</v>
      </c>
      <c r="F20" s="4">
        <v>472</v>
      </c>
      <c r="G20" s="3">
        <v>8.7748652165829846E-2</v>
      </c>
      <c r="H20" s="2">
        <v>35393.819999999992</v>
      </c>
      <c r="I20" s="2">
        <v>37760.580000000016</v>
      </c>
      <c r="J20" s="2">
        <v>3313.4399999999928</v>
      </c>
      <c r="K20" s="2">
        <v>2366.7600000000239</v>
      </c>
      <c r="L20" s="3">
        <v>6.2678062678063279E-2</v>
      </c>
      <c r="R20" s="54"/>
      <c r="S20" s="55" t="str">
        <f t="shared" si="0"/>
        <v>Assume Mist</v>
      </c>
      <c r="T20" s="60">
        <f t="shared" si="1"/>
        <v>5522</v>
      </c>
      <c r="U20" s="61">
        <f t="shared" si="2"/>
        <v>460</v>
      </c>
      <c r="V20" s="64">
        <f t="shared" si="3"/>
        <v>8.3303151032234748E-2</v>
      </c>
      <c r="W20" s="62">
        <f t="shared" si="4"/>
        <v>51962.020000000019</v>
      </c>
      <c r="X20" s="62">
        <f t="shared" si="5"/>
        <v>63834.319999999949</v>
      </c>
      <c r="Y20" s="62">
        <f t="shared" si="6"/>
        <v>5317.5999999999985</v>
      </c>
      <c r="Z20" s="62">
        <f t="shared" si="7"/>
        <v>11872.29999999993</v>
      </c>
      <c r="AA20" s="64">
        <f t="shared" si="8"/>
        <v>0.18598615916954922</v>
      </c>
      <c r="AB20" s="49"/>
    </row>
    <row r="21" spans="4:28" ht="15.6" x14ac:dyDescent="0.3">
      <c r="D21" t="s">
        <v>132</v>
      </c>
      <c r="E21" s="4">
        <v>5339</v>
      </c>
      <c r="F21" s="4">
        <v>426</v>
      </c>
      <c r="G21" s="3">
        <v>7.979022288818137E-2</v>
      </c>
      <c r="H21" s="2">
        <v>29578.05999999999</v>
      </c>
      <c r="I21" s="2">
        <v>19540.740000000013</v>
      </c>
      <c r="J21" s="2">
        <v>1559.1600000000021</v>
      </c>
      <c r="K21" s="2">
        <v>-10037.319999999978</v>
      </c>
      <c r="L21" s="3">
        <v>-0.51366120218579092</v>
      </c>
      <c r="R21" s="54"/>
      <c r="S21" s="55" t="str">
        <f t="shared" si="0"/>
        <v>Attorney Mist</v>
      </c>
      <c r="T21" s="60">
        <f t="shared" si="1"/>
        <v>6545</v>
      </c>
      <c r="U21" s="61">
        <f t="shared" si="2"/>
        <v>488</v>
      </c>
      <c r="V21" s="64">
        <f t="shared" si="3"/>
        <v>7.4560733384262973E-2</v>
      </c>
      <c r="W21" s="62">
        <f t="shared" si="4"/>
        <v>11126.5</v>
      </c>
      <c r="X21" s="62">
        <f t="shared" si="5"/>
        <v>89208.349999999962</v>
      </c>
      <c r="Y21" s="62">
        <f t="shared" si="6"/>
        <v>6651.4400000000123</v>
      </c>
      <c r="Z21" s="62">
        <f t="shared" si="7"/>
        <v>78081.849999999962</v>
      </c>
      <c r="AA21" s="64">
        <f t="shared" si="8"/>
        <v>0.87527512839325017</v>
      </c>
      <c r="AB21" s="49"/>
    </row>
    <row r="22" spans="4:28" ht="15.6" x14ac:dyDescent="0.3">
      <c r="D22" t="s">
        <v>110</v>
      </c>
      <c r="E22" s="4">
        <v>6861</v>
      </c>
      <c r="F22" s="4">
        <v>571</v>
      </c>
      <c r="G22" s="3">
        <v>8.3224019822183387E-2</v>
      </c>
      <c r="H22" s="2">
        <v>13173.120000000003</v>
      </c>
      <c r="I22" s="2">
        <v>108197.97000000004</v>
      </c>
      <c r="J22" s="2">
        <v>9004.6700000000073</v>
      </c>
      <c r="K22" s="2">
        <v>95024.850000000035</v>
      </c>
      <c r="L22" s="3">
        <v>0.87824984147114771</v>
      </c>
      <c r="R22" s="54"/>
      <c r="S22" s="55" t="str">
        <f t="shared" si="0"/>
        <v>Audience Fusion</v>
      </c>
      <c r="T22" s="60">
        <f t="shared" si="1"/>
        <v>5379</v>
      </c>
      <c r="U22" s="61">
        <f t="shared" si="2"/>
        <v>472</v>
      </c>
      <c r="V22" s="64">
        <f t="shared" si="3"/>
        <v>8.7748652165829846E-2</v>
      </c>
      <c r="W22" s="62">
        <f t="shared" si="4"/>
        <v>35393.819999999992</v>
      </c>
      <c r="X22" s="62">
        <f t="shared" si="5"/>
        <v>37760.580000000016</v>
      </c>
      <c r="Y22" s="62">
        <f t="shared" si="6"/>
        <v>3313.4399999999928</v>
      </c>
      <c r="Z22" s="62">
        <f t="shared" si="7"/>
        <v>2366.7600000000239</v>
      </c>
      <c r="AA22" s="64">
        <f t="shared" si="8"/>
        <v>6.2678062678063279E-2</v>
      </c>
      <c r="AB22" s="49"/>
    </row>
    <row r="23" spans="4:28" ht="15.6" x14ac:dyDescent="0.3">
      <c r="D23" t="s">
        <v>133</v>
      </c>
      <c r="E23" s="4">
        <v>6621</v>
      </c>
      <c r="F23" s="4">
        <v>508</v>
      </c>
      <c r="G23" s="3">
        <v>7.6725570155565706E-2</v>
      </c>
      <c r="H23" s="2">
        <v>34694.039999999994</v>
      </c>
      <c r="I23" s="2">
        <v>72897.209999999977</v>
      </c>
      <c r="J23" s="2">
        <v>5593.0800000000045</v>
      </c>
      <c r="K23" s="2">
        <v>38203.169999999984</v>
      </c>
      <c r="L23" s="3">
        <v>0.52406902815622158</v>
      </c>
      <c r="R23" s="54"/>
      <c r="S23" s="55" t="str">
        <f t="shared" si="0"/>
        <v>Bar Drop</v>
      </c>
      <c r="T23" s="60">
        <f t="shared" si="1"/>
        <v>5339</v>
      </c>
      <c r="U23" s="61">
        <f t="shared" si="2"/>
        <v>426</v>
      </c>
      <c r="V23" s="64">
        <f t="shared" si="3"/>
        <v>7.979022288818137E-2</v>
      </c>
      <c r="W23" s="62">
        <f t="shared" si="4"/>
        <v>29578.05999999999</v>
      </c>
      <c r="X23" s="62">
        <f t="shared" si="5"/>
        <v>19540.740000000013</v>
      </c>
      <c r="Y23" s="62">
        <f t="shared" si="6"/>
        <v>1559.1600000000021</v>
      </c>
      <c r="Z23" s="62">
        <f t="shared" si="7"/>
        <v>-10037.319999999978</v>
      </c>
      <c r="AA23" s="64">
        <f t="shared" si="8"/>
        <v>-0.51366120218579092</v>
      </c>
      <c r="AB23" s="49"/>
    </row>
    <row r="24" spans="4:28" ht="15.6" x14ac:dyDescent="0.3">
      <c r="D24" t="s">
        <v>134</v>
      </c>
      <c r="E24" s="4">
        <v>6475</v>
      </c>
      <c r="F24" s="4">
        <v>541</v>
      </c>
      <c r="G24" s="3">
        <v>8.3552123552123492E-2</v>
      </c>
      <c r="H24" s="2">
        <v>19619.250000000007</v>
      </c>
      <c r="I24" s="2">
        <v>73232.250000000029</v>
      </c>
      <c r="J24" s="2">
        <v>6118.7099999999982</v>
      </c>
      <c r="K24" s="2">
        <v>53613.000000000022</v>
      </c>
      <c r="L24" s="3">
        <v>0.73209549071618041</v>
      </c>
      <c r="R24" s="54"/>
      <c r="S24" s="55" t="str">
        <f t="shared" si="0"/>
        <v>Begin Brew</v>
      </c>
      <c r="T24" s="60">
        <f t="shared" si="1"/>
        <v>6861</v>
      </c>
      <c r="U24" s="61">
        <f t="shared" si="2"/>
        <v>571</v>
      </c>
      <c r="V24" s="64">
        <f t="shared" si="3"/>
        <v>8.3224019822183387E-2</v>
      </c>
      <c r="W24" s="62">
        <f t="shared" si="4"/>
        <v>13173.120000000003</v>
      </c>
      <c r="X24" s="62">
        <f t="shared" si="5"/>
        <v>108197.97000000004</v>
      </c>
      <c r="Y24" s="62">
        <f t="shared" si="6"/>
        <v>9004.6700000000073</v>
      </c>
      <c r="Z24" s="62">
        <f t="shared" si="7"/>
        <v>95024.850000000035</v>
      </c>
      <c r="AA24" s="64">
        <f t="shared" si="8"/>
        <v>0.87824984147114771</v>
      </c>
      <c r="AB24" s="49"/>
    </row>
    <row r="25" spans="4:28" ht="15.6" x14ac:dyDescent="0.3">
      <c r="D25" t="s">
        <v>135</v>
      </c>
      <c r="E25" s="4">
        <v>6776</v>
      </c>
      <c r="F25" s="4">
        <v>510</v>
      </c>
      <c r="G25" s="3">
        <v>7.5265643447461908E-2</v>
      </c>
      <c r="H25" s="2">
        <v>67624.479999999996</v>
      </c>
      <c r="I25" s="2">
        <v>38555.439999999995</v>
      </c>
      <c r="J25" s="2">
        <v>2901.9000000000106</v>
      </c>
      <c r="K25" s="2">
        <v>-29069.040000000001</v>
      </c>
      <c r="L25" s="3">
        <v>-0.75395430579964862</v>
      </c>
      <c r="R25" s="54"/>
      <c r="S25" s="55" t="str">
        <f t="shared" si="0"/>
        <v>Boy Splash</v>
      </c>
      <c r="T25" s="60">
        <f t="shared" si="1"/>
        <v>6621</v>
      </c>
      <c r="U25" s="61">
        <f t="shared" si="2"/>
        <v>508</v>
      </c>
      <c r="V25" s="64">
        <f t="shared" si="3"/>
        <v>7.6725570155565706E-2</v>
      </c>
      <c r="W25" s="62">
        <f t="shared" si="4"/>
        <v>34694.039999999994</v>
      </c>
      <c r="X25" s="62">
        <f t="shared" si="5"/>
        <v>72897.209999999977</v>
      </c>
      <c r="Y25" s="62">
        <f t="shared" si="6"/>
        <v>5593.0800000000045</v>
      </c>
      <c r="Z25" s="62">
        <f t="shared" si="7"/>
        <v>38203.169999999984</v>
      </c>
      <c r="AA25" s="64">
        <f t="shared" si="8"/>
        <v>0.52406902815622158</v>
      </c>
      <c r="AB25" s="49"/>
    </row>
    <row r="26" spans="4:28" ht="15.6" x14ac:dyDescent="0.3">
      <c r="D26" t="s">
        <v>136</v>
      </c>
      <c r="E26" s="4">
        <v>5586</v>
      </c>
      <c r="F26" s="4">
        <v>404</v>
      </c>
      <c r="G26" s="3">
        <v>7.2323666308628604E-2</v>
      </c>
      <c r="H26" s="2">
        <v>33683.58</v>
      </c>
      <c r="I26" s="2">
        <v>78427.439999999973</v>
      </c>
      <c r="J26" s="2">
        <v>5672.1599999999889</v>
      </c>
      <c r="K26" s="2">
        <v>44743.859999999971</v>
      </c>
      <c r="L26" s="3">
        <v>0.57051282051282037</v>
      </c>
      <c r="R26" s="54"/>
      <c r="S26" s="55" t="str">
        <f t="shared" si="0"/>
        <v>Build Brew</v>
      </c>
      <c r="T26" s="60">
        <f t="shared" si="1"/>
        <v>6475</v>
      </c>
      <c r="U26" s="61">
        <f t="shared" si="2"/>
        <v>541</v>
      </c>
      <c r="V26" s="64">
        <f t="shared" si="3"/>
        <v>8.3552123552123492E-2</v>
      </c>
      <c r="W26" s="62">
        <f t="shared" si="4"/>
        <v>19619.250000000007</v>
      </c>
      <c r="X26" s="62">
        <f t="shared" si="5"/>
        <v>73232.250000000029</v>
      </c>
      <c r="Y26" s="62">
        <f t="shared" si="6"/>
        <v>6118.7099999999982</v>
      </c>
      <c r="Z26" s="62">
        <f t="shared" si="7"/>
        <v>53613.000000000022</v>
      </c>
      <c r="AA26" s="64">
        <f t="shared" si="8"/>
        <v>0.73209549071618041</v>
      </c>
      <c r="AB26" s="49"/>
    </row>
    <row r="27" spans="4:28" ht="15.6" x14ac:dyDescent="0.3">
      <c r="D27" t="s">
        <v>137</v>
      </c>
      <c r="E27" s="4">
        <v>6568</v>
      </c>
      <c r="F27" s="4">
        <v>527</v>
      </c>
      <c r="G27" s="3">
        <v>8.0237515225334885E-2</v>
      </c>
      <c r="H27" s="2">
        <v>31066.640000000007</v>
      </c>
      <c r="I27" s="2">
        <v>21740.079999999994</v>
      </c>
      <c r="J27" s="2">
        <v>1744.3699999999978</v>
      </c>
      <c r="K27" s="2">
        <v>-9326.5600000000122</v>
      </c>
      <c r="L27" s="3">
        <v>-0.4290030211480369</v>
      </c>
      <c r="R27" s="54"/>
      <c r="S27" s="55" t="str">
        <f t="shared" si="0"/>
        <v>Center Mist</v>
      </c>
      <c r="T27" s="60">
        <f t="shared" si="1"/>
        <v>6776</v>
      </c>
      <c r="U27" s="61">
        <f t="shared" si="2"/>
        <v>510</v>
      </c>
      <c r="V27" s="64">
        <f t="shared" si="3"/>
        <v>7.5265643447461908E-2</v>
      </c>
      <c r="W27" s="62">
        <f t="shared" si="4"/>
        <v>67624.479999999996</v>
      </c>
      <c r="X27" s="62">
        <f t="shared" si="5"/>
        <v>38555.439999999995</v>
      </c>
      <c r="Y27" s="62">
        <f t="shared" si="6"/>
        <v>2901.9000000000106</v>
      </c>
      <c r="Z27" s="62">
        <f t="shared" si="7"/>
        <v>-29069.040000000001</v>
      </c>
      <c r="AA27" s="64">
        <f t="shared" si="8"/>
        <v>-0.75395430579964862</v>
      </c>
      <c r="AB27" s="49"/>
    </row>
    <row r="28" spans="4:28" ht="15.6" x14ac:dyDescent="0.3">
      <c r="D28" t="s">
        <v>138</v>
      </c>
      <c r="E28" s="4">
        <v>5220</v>
      </c>
      <c r="F28" s="4">
        <v>409</v>
      </c>
      <c r="G28" s="3">
        <v>7.8352490421455756E-2</v>
      </c>
      <c r="H28" s="2">
        <v>27457.199999999986</v>
      </c>
      <c r="I28" s="2">
        <v>24899.399999999991</v>
      </c>
      <c r="J28" s="2">
        <v>1950.9299999999948</v>
      </c>
      <c r="K28" s="2">
        <v>-2557.7999999999956</v>
      </c>
      <c r="L28" s="3">
        <v>-0.10272536687631013</v>
      </c>
      <c r="R28" s="54"/>
      <c r="S28" s="55" t="str">
        <f t="shared" si="0"/>
        <v>Century Dew</v>
      </c>
      <c r="T28" s="60">
        <f t="shared" si="1"/>
        <v>5586</v>
      </c>
      <c r="U28" s="61">
        <f t="shared" si="2"/>
        <v>404</v>
      </c>
      <c r="V28" s="64">
        <f t="shared" si="3"/>
        <v>7.2323666308628604E-2</v>
      </c>
      <c r="W28" s="62">
        <f t="shared" si="4"/>
        <v>33683.58</v>
      </c>
      <c r="X28" s="62">
        <f t="shared" si="5"/>
        <v>78427.439999999973</v>
      </c>
      <c r="Y28" s="62">
        <f t="shared" si="6"/>
        <v>5672.1599999999889</v>
      </c>
      <c r="Z28" s="62">
        <f t="shared" si="7"/>
        <v>44743.859999999971</v>
      </c>
      <c r="AA28" s="64">
        <f t="shared" si="8"/>
        <v>0.57051282051282037</v>
      </c>
      <c r="AB28" s="49"/>
    </row>
    <row r="29" spans="4:28" ht="15.6" x14ac:dyDescent="0.3">
      <c r="D29" t="s">
        <v>113</v>
      </c>
      <c r="E29" s="4">
        <v>6137</v>
      </c>
      <c r="F29" s="4">
        <v>512</v>
      </c>
      <c r="G29" s="3">
        <v>8.3428385204497107E-2</v>
      </c>
      <c r="H29" s="2">
        <v>6505.2199999999993</v>
      </c>
      <c r="I29" s="2">
        <v>91011.709999999934</v>
      </c>
      <c r="J29" s="2">
        <v>7592.9599999999764</v>
      </c>
      <c r="K29" s="2">
        <v>84506.489999999932</v>
      </c>
      <c r="L29" s="3">
        <v>0.92852326365475379</v>
      </c>
      <c r="R29" s="54"/>
      <c r="S29" s="55" t="str">
        <f t="shared" si="0"/>
        <v>Choice Mist</v>
      </c>
      <c r="T29" s="60">
        <f t="shared" si="1"/>
        <v>6568</v>
      </c>
      <c r="U29" s="61">
        <f t="shared" si="2"/>
        <v>527</v>
      </c>
      <c r="V29" s="64">
        <f t="shared" si="3"/>
        <v>8.0237515225334885E-2</v>
      </c>
      <c r="W29" s="62">
        <f t="shared" si="4"/>
        <v>31066.640000000007</v>
      </c>
      <c r="X29" s="62">
        <f t="shared" si="5"/>
        <v>21740.079999999994</v>
      </c>
      <c r="Y29" s="62">
        <f t="shared" si="6"/>
        <v>1744.3699999999978</v>
      </c>
      <c r="Z29" s="62">
        <f t="shared" si="7"/>
        <v>-9326.5600000000122</v>
      </c>
      <c r="AA29" s="64">
        <f t="shared" si="8"/>
        <v>-0.4290030211480369</v>
      </c>
      <c r="AB29" s="49"/>
    </row>
    <row r="30" spans="4:28" ht="15.6" x14ac:dyDescent="0.3">
      <c r="D30" t="s">
        <v>139</v>
      </c>
      <c r="E30" s="4">
        <v>6157</v>
      </c>
      <c r="F30" s="4">
        <v>462</v>
      </c>
      <c r="G30" s="3">
        <v>7.503654377131723E-2</v>
      </c>
      <c r="H30" s="2">
        <v>58922.490000000005</v>
      </c>
      <c r="I30" s="2">
        <v>64710.070000000014</v>
      </c>
      <c r="J30" s="2">
        <v>4855.6200000000026</v>
      </c>
      <c r="K30" s="2">
        <v>5787.580000000009</v>
      </c>
      <c r="L30" s="3">
        <v>8.9438629876308393E-2</v>
      </c>
      <c r="R30" s="54"/>
      <c r="S30" s="55" t="str">
        <f t="shared" si="0"/>
        <v>Clearly Brew</v>
      </c>
      <c r="T30" s="60">
        <f t="shared" si="1"/>
        <v>5220</v>
      </c>
      <c r="U30" s="61">
        <f t="shared" si="2"/>
        <v>409</v>
      </c>
      <c r="V30" s="64">
        <f t="shared" si="3"/>
        <v>7.8352490421455756E-2</v>
      </c>
      <c r="W30" s="62">
        <f t="shared" si="4"/>
        <v>27457.199999999986</v>
      </c>
      <c r="X30" s="62">
        <f t="shared" si="5"/>
        <v>24899.399999999991</v>
      </c>
      <c r="Y30" s="62">
        <f t="shared" si="6"/>
        <v>1950.9299999999948</v>
      </c>
      <c r="Z30" s="62">
        <f t="shared" si="7"/>
        <v>-2557.7999999999956</v>
      </c>
      <c r="AA30" s="64">
        <f t="shared" si="8"/>
        <v>-0.10272536687631013</v>
      </c>
      <c r="AB30" s="49"/>
    </row>
    <row r="31" spans="4:28" ht="15.6" x14ac:dyDescent="0.3">
      <c r="D31" t="s">
        <v>140</v>
      </c>
      <c r="E31" s="4">
        <v>6815</v>
      </c>
      <c r="F31" s="4">
        <v>480</v>
      </c>
      <c r="G31" s="3">
        <v>7.0432868672047164E-2</v>
      </c>
      <c r="H31" s="2">
        <v>66582.550000000032</v>
      </c>
      <c r="I31" s="2">
        <v>52543.650000000023</v>
      </c>
      <c r="J31" s="2">
        <v>3700.8000000000125</v>
      </c>
      <c r="K31" s="2">
        <v>-14038.900000000009</v>
      </c>
      <c r="L31" s="3">
        <v>-0.26718547341115439</v>
      </c>
      <c r="R31" s="54"/>
      <c r="S31" s="55" t="str">
        <f t="shared" si="0"/>
        <v>Common Splash</v>
      </c>
      <c r="T31" s="60">
        <f t="shared" si="1"/>
        <v>6137</v>
      </c>
      <c r="U31" s="61">
        <f t="shared" si="2"/>
        <v>512</v>
      </c>
      <c r="V31" s="64">
        <f t="shared" si="3"/>
        <v>8.3428385204497107E-2</v>
      </c>
      <c r="W31" s="62">
        <f t="shared" si="4"/>
        <v>6505.2199999999993</v>
      </c>
      <c r="X31" s="62">
        <f t="shared" si="5"/>
        <v>91011.709999999934</v>
      </c>
      <c r="Y31" s="62">
        <f t="shared" si="6"/>
        <v>7592.9599999999764</v>
      </c>
      <c r="Z31" s="62">
        <f t="shared" si="7"/>
        <v>84506.489999999932</v>
      </c>
      <c r="AA31" s="64">
        <f t="shared" si="8"/>
        <v>0.92852326365475379</v>
      </c>
      <c r="AB31" s="49"/>
    </row>
    <row r="32" spans="4:28" ht="15.6" x14ac:dyDescent="0.3">
      <c r="D32" t="s">
        <v>141</v>
      </c>
      <c r="E32" s="4">
        <v>6526</v>
      </c>
      <c r="F32" s="4">
        <v>564</v>
      </c>
      <c r="G32" s="3">
        <v>8.6423536622739536E-2</v>
      </c>
      <c r="H32" s="2">
        <v>52012.220000000008</v>
      </c>
      <c r="I32" s="2">
        <v>70741.84</v>
      </c>
      <c r="J32" s="2">
        <v>6113.7599999999802</v>
      </c>
      <c r="K32" s="2">
        <v>18729.619999999988</v>
      </c>
      <c r="L32" s="3">
        <v>0.26476014760147587</v>
      </c>
      <c r="R32" s="54"/>
      <c r="S32" s="55" t="str">
        <f t="shared" si="0"/>
        <v>Dark Brew</v>
      </c>
      <c r="T32" s="60">
        <f t="shared" si="1"/>
        <v>6157</v>
      </c>
      <c r="U32" s="61">
        <f t="shared" si="2"/>
        <v>462</v>
      </c>
      <c r="V32" s="64">
        <f t="shared" si="3"/>
        <v>7.503654377131723E-2</v>
      </c>
      <c r="W32" s="62">
        <f t="shared" si="4"/>
        <v>58922.490000000005</v>
      </c>
      <c r="X32" s="62">
        <f t="shared" si="5"/>
        <v>64710.070000000014</v>
      </c>
      <c r="Y32" s="62">
        <f t="shared" si="6"/>
        <v>4855.6200000000026</v>
      </c>
      <c r="Z32" s="62">
        <f t="shared" si="7"/>
        <v>5787.580000000009</v>
      </c>
      <c r="AA32" s="64">
        <f t="shared" si="8"/>
        <v>8.9438629876308393E-2</v>
      </c>
      <c r="AB32" s="49"/>
    </row>
    <row r="33" spans="4:28" ht="15.6" x14ac:dyDescent="0.3">
      <c r="D33" t="s">
        <v>142</v>
      </c>
      <c r="E33" s="4">
        <v>5503</v>
      </c>
      <c r="F33" s="4">
        <v>434</v>
      </c>
      <c r="G33" s="3">
        <v>7.886607305106326E-2</v>
      </c>
      <c r="H33" s="2">
        <v>17939.780000000002</v>
      </c>
      <c r="I33" s="2">
        <v>49306.880000000012</v>
      </c>
      <c r="J33" s="2">
        <v>3888.6400000000108</v>
      </c>
      <c r="K33" s="2">
        <v>31367.100000000009</v>
      </c>
      <c r="L33" s="3">
        <v>0.6361607142857143</v>
      </c>
      <c r="R33" s="54"/>
      <c r="S33" s="55" t="str">
        <f t="shared" si="0"/>
        <v>Debate Rush</v>
      </c>
      <c r="T33" s="60">
        <f t="shared" si="1"/>
        <v>6815</v>
      </c>
      <c r="U33" s="61">
        <f t="shared" si="2"/>
        <v>480</v>
      </c>
      <c r="V33" s="64">
        <f t="shared" si="3"/>
        <v>7.0432868672047164E-2</v>
      </c>
      <c r="W33" s="62">
        <f t="shared" si="4"/>
        <v>66582.550000000032</v>
      </c>
      <c r="X33" s="62">
        <f t="shared" si="5"/>
        <v>52543.650000000023</v>
      </c>
      <c r="Y33" s="62">
        <f t="shared" si="6"/>
        <v>3700.8000000000125</v>
      </c>
      <c r="Z33" s="62">
        <f t="shared" si="7"/>
        <v>-14038.900000000009</v>
      </c>
      <c r="AA33" s="64">
        <f t="shared" si="8"/>
        <v>-0.26718547341115439</v>
      </c>
      <c r="AB33" s="49"/>
    </row>
    <row r="34" spans="4:28" ht="15.6" x14ac:dyDescent="0.3">
      <c r="D34" t="s">
        <v>143</v>
      </c>
      <c r="E34" s="4">
        <v>5908</v>
      </c>
      <c r="F34" s="4">
        <v>479</v>
      </c>
      <c r="G34" s="3">
        <v>8.1076506431956796E-2</v>
      </c>
      <c r="H34" s="2">
        <v>7385</v>
      </c>
      <c r="I34" s="2">
        <v>20618.920000000009</v>
      </c>
      <c r="J34" s="2">
        <v>1671.7100000000034</v>
      </c>
      <c r="K34" s="2">
        <v>13233.920000000009</v>
      </c>
      <c r="L34" s="3">
        <v>0.64183381088825231</v>
      </c>
      <c r="R34" s="54"/>
      <c r="S34" s="55" t="str">
        <f t="shared" si="0"/>
        <v>Democrat Dew</v>
      </c>
      <c r="T34" s="60">
        <f t="shared" si="1"/>
        <v>6526</v>
      </c>
      <c r="U34" s="61">
        <f t="shared" si="2"/>
        <v>564</v>
      </c>
      <c r="V34" s="64">
        <f t="shared" si="3"/>
        <v>8.6423536622739536E-2</v>
      </c>
      <c r="W34" s="62">
        <f t="shared" si="4"/>
        <v>52012.220000000008</v>
      </c>
      <c r="X34" s="62">
        <f t="shared" si="5"/>
        <v>70741.84</v>
      </c>
      <c r="Y34" s="62">
        <f t="shared" si="6"/>
        <v>6113.7599999999802</v>
      </c>
      <c r="Z34" s="62">
        <f t="shared" si="7"/>
        <v>18729.619999999988</v>
      </c>
      <c r="AA34" s="64">
        <f t="shared" si="8"/>
        <v>0.26476014760147587</v>
      </c>
      <c r="AB34" s="49"/>
    </row>
    <row r="35" spans="4:28" ht="15.6" x14ac:dyDescent="0.3">
      <c r="D35" t="s">
        <v>144</v>
      </c>
      <c r="E35" s="4">
        <v>5775</v>
      </c>
      <c r="F35" s="4">
        <v>489</v>
      </c>
      <c r="G35" s="3">
        <v>8.4675324675324501E-2</v>
      </c>
      <c r="H35" s="2">
        <v>42850.499999999993</v>
      </c>
      <c r="I35" s="2">
        <v>77154.000000000015</v>
      </c>
      <c r="J35" s="2">
        <v>6533.0399999999881</v>
      </c>
      <c r="K35" s="2">
        <v>34303.500000000022</v>
      </c>
      <c r="L35" s="3">
        <v>0.44461077844311397</v>
      </c>
      <c r="R35" s="54"/>
      <c r="S35" s="55" t="str">
        <f t="shared" si="0"/>
        <v>Despite Rush</v>
      </c>
      <c r="T35" s="60">
        <f t="shared" si="1"/>
        <v>5503</v>
      </c>
      <c r="U35" s="61">
        <f t="shared" si="2"/>
        <v>434</v>
      </c>
      <c r="V35" s="64">
        <f t="shared" si="3"/>
        <v>7.886607305106326E-2</v>
      </c>
      <c r="W35" s="62">
        <f t="shared" si="4"/>
        <v>17939.780000000002</v>
      </c>
      <c r="X35" s="62">
        <f t="shared" si="5"/>
        <v>49306.880000000012</v>
      </c>
      <c r="Y35" s="62">
        <f t="shared" si="6"/>
        <v>3888.6400000000108</v>
      </c>
      <c r="Z35" s="62">
        <f t="shared" si="7"/>
        <v>31367.100000000009</v>
      </c>
      <c r="AA35" s="64">
        <f t="shared" si="8"/>
        <v>0.6361607142857143</v>
      </c>
      <c r="AB35" s="49"/>
    </row>
    <row r="36" spans="4:28" ht="15.6" x14ac:dyDescent="0.3">
      <c r="D36" t="s">
        <v>145</v>
      </c>
      <c r="E36" s="4">
        <v>5822</v>
      </c>
      <c r="F36" s="4">
        <v>485</v>
      </c>
      <c r="G36" s="3">
        <v>8.3304706286499691E-2</v>
      </c>
      <c r="H36" s="2">
        <v>33884.040000000015</v>
      </c>
      <c r="I36" s="2">
        <v>65264.620000000017</v>
      </c>
      <c r="J36" s="2">
        <v>5436.8500000000149</v>
      </c>
      <c r="K36" s="2">
        <v>31380.58</v>
      </c>
      <c r="L36" s="3">
        <v>0.48082069580731479</v>
      </c>
      <c r="R36" s="54"/>
      <c r="S36" s="55" t="str">
        <f t="shared" si="0"/>
        <v>Develop Breeze</v>
      </c>
      <c r="T36" s="60">
        <f t="shared" si="1"/>
        <v>5908</v>
      </c>
      <c r="U36" s="61">
        <f t="shared" si="2"/>
        <v>479</v>
      </c>
      <c r="V36" s="64">
        <f t="shared" si="3"/>
        <v>8.1076506431956796E-2</v>
      </c>
      <c r="W36" s="62">
        <f t="shared" si="4"/>
        <v>7385</v>
      </c>
      <c r="X36" s="62">
        <f t="shared" si="5"/>
        <v>20618.920000000009</v>
      </c>
      <c r="Y36" s="62">
        <f t="shared" si="6"/>
        <v>1671.7100000000034</v>
      </c>
      <c r="Z36" s="62">
        <f t="shared" si="7"/>
        <v>13233.920000000009</v>
      </c>
      <c r="AA36" s="64">
        <f t="shared" si="8"/>
        <v>0.64183381088825231</v>
      </c>
      <c r="AB36" s="49"/>
    </row>
    <row r="37" spans="4:28" ht="15.6" x14ac:dyDescent="0.3">
      <c r="D37" t="s">
        <v>146</v>
      </c>
      <c r="E37" s="4">
        <v>5728</v>
      </c>
      <c r="F37" s="4">
        <v>472</v>
      </c>
      <c r="G37" s="3">
        <v>8.2402234636871741E-2</v>
      </c>
      <c r="H37" s="2">
        <v>17642.240000000002</v>
      </c>
      <c r="I37" s="2">
        <v>15694.719999999996</v>
      </c>
      <c r="J37" s="2">
        <v>1293.2800000000034</v>
      </c>
      <c r="K37" s="2">
        <v>-1947.5200000000059</v>
      </c>
      <c r="L37" s="3">
        <v>-0.12408759124087632</v>
      </c>
      <c r="R37" s="54"/>
      <c r="S37" s="55" t="str">
        <f t="shared" si="0"/>
        <v>Different Dew</v>
      </c>
      <c r="T37" s="60">
        <f t="shared" si="1"/>
        <v>5775</v>
      </c>
      <c r="U37" s="61">
        <f t="shared" si="2"/>
        <v>489</v>
      </c>
      <c r="V37" s="64">
        <f t="shared" si="3"/>
        <v>8.4675324675324501E-2</v>
      </c>
      <c r="W37" s="62">
        <f t="shared" si="4"/>
        <v>42850.499999999993</v>
      </c>
      <c r="X37" s="62">
        <f t="shared" si="5"/>
        <v>77154.000000000015</v>
      </c>
      <c r="Y37" s="62">
        <f t="shared" si="6"/>
        <v>6533.0399999999881</v>
      </c>
      <c r="Z37" s="62">
        <f t="shared" si="7"/>
        <v>34303.500000000022</v>
      </c>
      <c r="AA37" s="64">
        <f t="shared" si="8"/>
        <v>0.44461077844311397</v>
      </c>
      <c r="AB37" s="49"/>
    </row>
    <row r="38" spans="4:28" ht="15.6" x14ac:dyDescent="0.3">
      <c r="D38" t="s">
        <v>111</v>
      </c>
      <c r="E38" s="4">
        <v>6671</v>
      </c>
      <c r="F38" s="4">
        <v>523</v>
      </c>
      <c r="G38" s="3">
        <v>7.8399040623594651E-2</v>
      </c>
      <c r="H38" s="2">
        <v>13875.680000000004</v>
      </c>
      <c r="I38" s="2">
        <v>96862.92</v>
      </c>
      <c r="J38" s="2">
        <v>7593.9599999999991</v>
      </c>
      <c r="K38" s="2">
        <v>82987.239999999991</v>
      </c>
      <c r="L38" s="3">
        <v>0.85674931129476573</v>
      </c>
      <c r="R38" s="54"/>
      <c r="S38" s="55" t="str">
        <f t="shared" si="0"/>
        <v>Discussion Fusion</v>
      </c>
      <c r="T38" s="60">
        <f t="shared" si="1"/>
        <v>5822</v>
      </c>
      <c r="U38" s="61">
        <f t="shared" si="2"/>
        <v>485</v>
      </c>
      <c r="V38" s="64">
        <f t="shared" si="3"/>
        <v>8.3304706286499691E-2</v>
      </c>
      <c r="W38" s="62">
        <f t="shared" si="4"/>
        <v>33884.040000000015</v>
      </c>
      <c r="X38" s="62">
        <f t="shared" si="5"/>
        <v>65264.620000000017</v>
      </c>
      <c r="Y38" s="62">
        <f t="shared" si="6"/>
        <v>5436.8500000000149</v>
      </c>
      <c r="Z38" s="62">
        <f t="shared" si="7"/>
        <v>31380.58</v>
      </c>
      <c r="AA38" s="64">
        <f t="shared" si="8"/>
        <v>0.48082069580731479</v>
      </c>
      <c r="AB38" s="49"/>
    </row>
    <row r="39" spans="4:28" ht="15.6" x14ac:dyDescent="0.3">
      <c r="D39" t="s">
        <v>147</v>
      </c>
      <c r="E39" s="4">
        <v>6230</v>
      </c>
      <c r="F39" s="4">
        <v>525</v>
      </c>
      <c r="G39" s="3">
        <v>8.4269662921348382E-2</v>
      </c>
      <c r="H39" s="2">
        <v>20932.80000000001</v>
      </c>
      <c r="I39" s="2">
        <v>60431.000000000007</v>
      </c>
      <c r="J39" s="2">
        <v>5092.5000000000045</v>
      </c>
      <c r="K39" s="2">
        <v>39498.199999999997</v>
      </c>
      <c r="L39" s="3">
        <v>0.65360824742268031</v>
      </c>
      <c r="R39" s="54"/>
      <c r="S39" s="55" t="str">
        <f t="shared" si="0"/>
        <v>Door Brew</v>
      </c>
      <c r="T39" s="60">
        <f t="shared" si="1"/>
        <v>5728</v>
      </c>
      <c r="U39" s="61">
        <f t="shared" si="2"/>
        <v>472</v>
      </c>
      <c r="V39" s="64">
        <f t="shared" si="3"/>
        <v>8.2402234636871741E-2</v>
      </c>
      <c r="W39" s="62">
        <f t="shared" si="4"/>
        <v>17642.240000000002</v>
      </c>
      <c r="X39" s="62">
        <f t="shared" si="5"/>
        <v>15694.719999999996</v>
      </c>
      <c r="Y39" s="62">
        <f t="shared" si="6"/>
        <v>1293.2800000000034</v>
      </c>
      <c r="Z39" s="62">
        <f t="shared" si="7"/>
        <v>-1947.5200000000059</v>
      </c>
      <c r="AA39" s="64">
        <f t="shared" si="8"/>
        <v>-0.12408759124087632</v>
      </c>
      <c r="AB39" s="49"/>
    </row>
    <row r="40" spans="4:28" ht="15.6" x14ac:dyDescent="0.3">
      <c r="D40" t="s">
        <v>148</v>
      </c>
      <c r="E40" s="4">
        <v>5817</v>
      </c>
      <c r="F40" s="4">
        <v>478</v>
      </c>
      <c r="G40" s="3">
        <v>8.2172941378717682E-2</v>
      </c>
      <c r="H40" s="2">
        <v>15124.199999999999</v>
      </c>
      <c r="I40" s="2">
        <v>65324.90999999996</v>
      </c>
      <c r="J40" s="2">
        <v>5367.9400000000051</v>
      </c>
      <c r="K40" s="2">
        <v>50200.709999999963</v>
      </c>
      <c r="L40" s="3">
        <v>0.76847729296527145</v>
      </c>
      <c r="R40" s="54"/>
      <c r="S40" s="55" t="str">
        <f t="shared" si="0"/>
        <v>Eight Brew</v>
      </c>
      <c r="T40" s="60">
        <f t="shared" si="1"/>
        <v>6671</v>
      </c>
      <c r="U40" s="61">
        <f t="shared" si="2"/>
        <v>523</v>
      </c>
      <c r="V40" s="64">
        <f t="shared" si="3"/>
        <v>7.8399040623594651E-2</v>
      </c>
      <c r="W40" s="62">
        <f t="shared" si="4"/>
        <v>13875.680000000004</v>
      </c>
      <c r="X40" s="62">
        <f t="shared" si="5"/>
        <v>96862.92</v>
      </c>
      <c r="Y40" s="62">
        <f t="shared" si="6"/>
        <v>7593.9599999999991</v>
      </c>
      <c r="Z40" s="62">
        <f t="shared" si="7"/>
        <v>82987.239999999991</v>
      </c>
      <c r="AA40" s="64">
        <f t="shared" si="8"/>
        <v>0.85674931129476573</v>
      </c>
      <c r="AB40" s="49"/>
    </row>
    <row r="41" spans="4:28" ht="15.6" x14ac:dyDescent="0.3">
      <c r="D41" t="s">
        <v>149</v>
      </c>
      <c r="E41" s="4">
        <v>6202</v>
      </c>
      <c r="F41" s="4">
        <v>494</v>
      </c>
      <c r="G41" s="3">
        <v>7.9651725249919342E-2</v>
      </c>
      <c r="H41" s="2">
        <v>24994.059999999994</v>
      </c>
      <c r="I41" s="2">
        <v>68159.979999999981</v>
      </c>
      <c r="J41" s="2">
        <v>5429.0599999999959</v>
      </c>
      <c r="K41" s="2">
        <v>43165.919999999984</v>
      </c>
      <c r="L41" s="3">
        <v>0.63330300272975426</v>
      </c>
      <c r="R41" s="54"/>
      <c r="S41" s="55" t="str">
        <f t="shared" si="0"/>
        <v>Few Dew</v>
      </c>
      <c r="T41" s="60">
        <f t="shared" si="1"/>
        <v>6230</v>
      </c>
      <c r="U41" s="61">
        <f t="shared" si="2"/>
        <v>525</v>
      </c>
      <c r="V41" s="64">
        <f t="shared" si="3"/>
        <v>8.4269662921348382E-2</v>
      </c>
      <c r="W41" s="62">
        <f t="shared" si="4"/>
        <v>20932.80000000001</v>
      </c>
      <c r="X41" s="62">
        <f t="shared" si="5"/>
        <v>60431.000000000007</v>
      </c>
      <c r="Y41" s="62">
        <f t="shared" si="6"/>
        <v>5092.5000000000045</v>
      </c>
      <c r="Z41" s="62">
        <f t="shared" si="7"/>
        <v>39498.199999999997</v>
      </c>
      <c r="AA41" s="64">
        <f t="shared" si="8"/>
        <v>0.65360824742268031</v>
      </c>
      <c r="AB41" s="49"/>
    </row>
    <row r="42" spans="4:28" ht="15.6" x14ac:dyDescent="0.3">
      <c r="D42" t="s">
        <v>150</v>
      </c>
      <c r="E42" s="4">
        <v>5252</v>
      </c>
      <c r="F42" s="4">
        <v>448</v>
      </c>
      <c r="G42" s="3">
        <v>8.530083777608527E-2</v>
      </c>
      <c r="H42" s="2">
        <v>13760.240000000009</v>
      </c>
      <c r="I42" s="2">
        <v>27362.919999999995</v>
      </c>
      <c r="J42" s="2">
        <v>2334.0799999999986</v>
      </c>
      <c r="K42" s="2">
        <v>13602.679999999986</v>
      </c>
      <c r="L42" s="3">
        <v>0.49712092130518193</v>
      </c>
      <c r="R42" s="54"/>
      <c r="S42" s="55" t="str">
        <f t="shared" si="0"/>
        <v>For Splash</v>
      </c>
      <c r="T42" s="60">
        <f t="shared" si="1"/>
        <v>5817</v>
      </c>
      <c r="U42" s="61">
        <f t="shared" si="2"/>
        <v>478</v>
      </c>
      <c r="V42" s="64">
        <f t="shared" si="3"/>
        <v>8.2172941378717682E-2</v>
      </c>
      <c r="W42" s="62">
        <f t="shared" si="4"/>
        <v>15124.199999999999</v>
      </c>
      <c r="X42" s="62">
        <f t="shared" si="5"/>
        <v>65324.90999999996</v>
      </c>
      <c r="Y42" s="62">
        <f t="shared" si="6"/>
        <v>5367.9400000000051</v>
      </c>
      <c r="Z42" s="62">
        <f t="shared" si="7"/>
        <v>50200.709999999963</v>
      </c>
      <c r="AA42" s="64">
        <f t="shared" si="8"/>
        <v>0.76847729296527145</v>
      </c>
      <c r="AB42" s="49"/>
    </row>
    <row r="43" spans="4:28" ht="15.6" x14ac:dyDescent="0.3">
      <c r="D43" t="s">
        <v>151</v>
      </c>
      <c r="E43" s="4">
        <v>6681</v>
      </c>
      <c r="F43" s="4">
        <v>481</v>
      </c>
      <c r="G43" s="3">
        <v>7.1995210297859574E-2</v>
      </c>
      <c r="H43" s="2">
        <v>55986.780000000028</v>
      </c>
      <c r="I43" s="2">
        <v>57991.07999999998</v>
      </c>
      <c r="J43" s="2">
        <v>4175.0799999999972</v>
      </c>
      <c r="K43" s="2">
        <v>2004.299999999952</v>
      </c>
      <c r="L43" s="3">
        <v>3.4562211981566004E-2</v>
      </c>
      <c r="R43" s="54"/>
      <c r="S43" s="55" t="str">
        <f t="shared" si="0"/>
        <v>Friend Splash</v>
      </c>
      <c r="T43" s="60">
        <f t="shared" si="1"/>
        <v>6202</v>
      </c>
      <c r="U43" s="61">
        <f t="shared" si="2"/>
        <v>494</v>
      </c>
      <c r="V43" s="64">
        <f t="shared" si="3"/>
        <v>7.9651725249919342E-2</v>
      </c>
      <c r="W43" s="62">
        <f t="shared" si="4"/>
        <v>24994.059999999994</v>
      </c>
      <c r="X43" s="62">
        <f t="shared" si="5"/>
        <v>68159.979999999981</v>
      </c>
      <c r="Y43" s="62">
        <f t="shared" si="6"/>
        <v>5429.0599999999959</v>
      </c>
      <c r="Z43" s="62">
        <f t="shared" si="7"/>
        <v>43165.919999999984</v>
      </c>
      <c r="AA43" s="64">
        <f t="shared" si="8"/>
        <v>0.63330300272975426</v>
      </c>
      <c r="AB43" s="49"/>
    </row>
    <row r="44" spans="4:28" ht="15.6" x14ac:dyDescent="0.3">
      <c r="D44" t="s">
        <v>152</v>
      </c>
      <c r="E44" s="4">
        <v>5107</v>
      </c>
      <c r="F44" s="4">
        <v>404</v>
      </c>
      <c r="G44" s="3">
        <v>7.9107107891129833E-2</v>
      </c>
      <c r="H44" s="2">
        <v>21960.100000000002</v>
      </c>
      <c r="I44" s="2">
        <v>34982.950000000012</v>
      </c>
      <c r="J44" s="2">
        <v>2767.4000000000015</v>
      </c>
      <c r="K44" s="2">
        <v>13022.850000000009</v>
      </c>
      <c r="L44" s="3">
        <v>0.37226277372262789</v>
      </c>
      <c r="R44" s="54"/>
      <c r="S44" s="55" t="str">
        <f t="shared" si="0"/>
        <v>Ground Rush</v>
      </c>
      <c r="T44" s="60">
        <f t="shared" si="1"/>
        <v>5252</v>
      </c>
      <c r="U44" s="61">
        <f t="shared" si="2"/>
        <v>448</v>
      </c>
      <c r="V44" s="64">
        <f t="shared" si="3"/>
        <v>8.530083777608527E-2</v>
      </c>
      <c r="W44" s="62">
        <f t="shared" si="4"/>
        <v>13760.240000000009</v>
      </c>
      <c r="X44" s="62">
        <f t="shared" si="5"/>
        <v>27362.919999999995</v>
      </c>
      <c r="Y44" s="62">
        <f t="shared" si="6"/>
        <v>2334.0799999999986</v>
      </c>
      <c r="Z44" s="62">
        <f t="shared" si="7"/>
        <v>13602.679999999986</v>
      </c>
      <c r="AA44" s="64">
        <f t="shared" si="8"/>
        <v>0.49712092130518193</v>
      </c>
      <c r="AB44" s="49"/>
    </row>
    <row r="45" spans="4:28" ht="15.6" x14ac:dyDescent="0.3">
      <c r="D45" t="s">
        <v>153</v>
      </c>
      <c r="E45" s="4">
        <v>6325</v>
      </c>
      <c r="F45" s="4">
        <v>519</v>
      </c>
      <c r="G45" s="3">
        <v>8.2055335968379411E-2</v>
      </c>
      <c r="H45" s="2">
        <v>36684.999999999985</v>
      </c>
      <c r="I45" s="2">
        <v>53066.749999999985</v>
      </c>
      <c r="J45" s="2">
        <v>4354.4099999999971</v>
      </c>
      <c r="K45" s="2">
        <v>16381.75</v>
      </c>
      <c r="L45" s="3">
        <v>0.30870083432657935</v>
      </c>
      <c r="R45" s="54"/>
      <c r="S45" s="55" t="str">
        <f t="shared" si="0"/>
        <v>Heavy Rush</v>
      </c>
      <c r="T45" s="60">
        <f t="shared" si="1"/>
        <v>6681</v>
      </c>
      <c r="U45" s="61">
        <f t="shared" si="2"/>
        <v>481</v>
      </c>
      <c r="V45" s="64">
        <f t="shared" si="3"/>
        <v>7.1995210297859574E-2</v>
      </c>
      <c r="W45" s="62">
        <f t="shared" si="4"/>
        <v>55986.780000000028</v>
      </c>
      <c r="X45" s="62">
        <f t="shared" si="5"/>
        <v>57991.07999999998</v>
      </c>
      <c r="Y45" s="62">
        <f t="shared" si="6"/>
        <v>4175.0799999999972</v>
      </c>
      <c r="Z45" s="62">
        <f t="shared" si="7"/>
        <v>2004.299999999952</v>
      </c>
      <c r="AA45" s="64">
        <f t="shared" si="8"/>
        <v>3.4562211981566004E-2</v>
      </c>
      <c r="AB45" s="49"/>
    </row>
    <row r="46" spans="4:28" ht="15.6" x14ac:dyDescent="0.3">
      <c r="D46" t="s">
        <v>154</v>
      </c>
      <c r="E46" s="4">
        <v>6263</v>
      </c>
      <c r="F46" s="4">
        <v>503</v>
      </c>
      <c r="G46" s="3">
        <v>8.031294906594294E-2</v>
      </c>
      <c r="H46" s="2">
        <v>37076.959999999985</v>
      </c>
      <c r="I46" s="2">
        <v>80980.589999999982</v>
      </c>
      <c r="J46" s="2">
        <v>6503.7900000000063</v>
      </c>
      <c r="K46" s="2">
        <v>43903.63</v>
      </c>
      <c r="L46" s="3">
        <v>0.5421500386697603</v>
      </c>
      <c r="R46" s="54"/>
      <c r="S46" s="55" t="str">
        <f t="shared" si="0"/>
        <v>Hold Brew</v>
      </c>
      <c r="T46" s="60">
        <f t="shared" si="1"/>
        <v>5107</v>
      </c>
      <c r="U46" s="61">
        <f t="shared" si="2"/>
        <v>404</v>
      </c>
      <c r="V46" s="64">
        <f t="shared" si="3"/>
        <v>7.9107107891129833E-2</v>
      </c>
      <c r="W46" s="62">
        <f t="shared" si="4"/>
        <v>21960.100000000002</v>
      </c>
      <c r="X46" s="62">
        <f t="shared" si="5"/>
        <v>34982.950000000012</v>
      </c>
      <c r="Y46" s="62">
        <f t="shared" si="6"/>
        <v>2767.4000000000015</v>
      </c>
      <c r="Z46" s="62">
        <f t="shared" si="7"/>
        <v>13022.850000000009</v>
      </c>
      <c r="AA46" s="64">
        <f t="shared" si="8"/>
        <v>0.37226277372262789</v>
      </c>
      <c r="AB46" s="49"/>
    </row>
    <row r="47" spans="4:28" ht="15.6" x14ac:dyDescent="0.3">
      <c r="D47" t="s">
        <v>155</v>
      </c>
      <c r="E47" s="4">
        <v>6992</v>
      </c>
      <c r="F47" s="4">
        <v>516</v>
      </c>
      <c r="G47" s="3">
        <v>7.3798627002288189E-2</v>
      </c>
      <c r="H47" s="2">
        <v>12026.239999999998</v>
      </c>
      <c r="I47" s="2">
        <v>22933.760000000006</v>
      </c>
      <c r="J47" s="2">
        <v>1692.4799999999971</v>
      </c>
      <c r="K47" s="2">
        <v>10907.520000000008</v>
      </c>
      <c r="L47" s="3">
        <v>0.47560975609756118</v>
      </c>
      <c r="R47" s="54"/>
      <c r="S47" s="55" t="str">
        <f t="shared" si="0"/>
        <v>Hotel Splash</v>
      </c>
      <c r="T47" s="60">
        <f t="shared" si="1"/>
        <v>6325</v>
      </c>
      <c r="U47" s="61">
        <f t="shared" si="2"/>
        <v>519</v>
      </c>
      <c r="V47" s="64">
        <f t="shared" si="3"/>
        <v>8.2055335968379411E-2</v>
      </c>
      <c r="W47" s="62">
        <f t="shared" si="4"/>
        <v>36684.999999999985</v>
      </c>
      <c r="X47" s="62">
        <f t="shared" si="5"/>
        <v>53066.749999999985</v>
      </c>
      <c r="Y47" s="62">
        <f t="shared" si="6"/>
        <v>4354.4099999999971</v>
      </c>
      <c r="Z47" s="62">
        <f t="shared" si="7"/>
        <v>16381.75</v>
      </c>
      <c r="AA47" s="64">
        <f t="shared" si="8"/>
        <v>0.30870083432657935</v>
      </c>
      <c r="AB47" s="49"/>
    </row>
    <row r="48" spans="4:28" ht="15.6" x14ac:dyDescent="0.3">
      <c r="D48" t="s">
        <v>156</v>
      </c>
      <c r="E48" s="4">
        <v>6033</v>
      </c>
      <c r="F48" s="4">
        <v>485</v>
      </c>
      <c r="G48" s="3">
        <v>8.0391181833250391E-2</v>
      </c>
      <c r="H48" s="2">
        <v>17375.040000000012</v>
      </c>
      <c r="I48" s="2">
        <v>46152.450000000012</v>
      </c>
      <c r="J48" s="2">
        <v>3710.2499999999982</v>
      </c>
      <c r="K48" s="2">
        <v>28777.41</v>
      </c>
      <c r="L48" s="3">
        <v>0.62352941176470578</v>
      </c>
      <c r="R48" s="54"/>
      <c r="S48" s="55" t="str">
        <f t="shared" si="0"/>
        <v>Husband Rush</v>
      </c>
      <c r="T48" s="60">
        <f t="shared" si="1"/>
        <v>6263</v>
      </c>
      <c r="U48" s="61">
        <f t="shared" si="2"/>
        <v>503</v>
      </c>
      <c r="V48" s="64">
        <f t="shared" si="3"/>
        <v>8.031294906594294E-2</v>
      </c>
      <c r="W48" s="62">
        <f t="shared" si="4"/>
        <v>37076.959999999985</v>
      </c>
      <c r="X48" s="62">
        <f t="shared" si="5"/>
        <v>80980.589999999982</v>
      </c>
      <c r="Y48" s="62">
        <f t="shared" si="6"/>
        <v>6503.7900000000063</v>
      </c>
      <c r="Z48" s="62">
        <f t="shared" si="7"/>
        <v>43903.63</v>
      </c>
      <c r="AA48" s="64">
        <f t="shared" si="8"/>
        <v>0.5421500386697603</v>
      </c>
      <c r="AB48" s="49"/>
    </row>
    <row r="49" spans="4:28" ht="15.6" x14ac:dyDescent="0.3">
      <c r="D49" t="s">
        <v>157</v>
      </c>
      <c r="E49" s="4">
        <v>5819</v>
      </c>
      <c r="F49" s="4">
        <v>489</v>
      </c>
      <c r="G49" s="3">
        <v>8.4035057570029228E-2</v>
      </c>
      <c r="H49" s="2">
        <v>32819.160000000025</v>
      </c>
      <c r="I49" s="2">
        <v>31248.02999999997</v>
      </c>
      <c r="J49" s="2">
        <v>2625.929999999998</v>
      </c>
      <c r="K49" s="2">
        <v>-1571.1300000000556</v>
      </c>
      <c r="L49" s="3">
        <v>-5.0279329608940375E-2</v>
      </c>
      <c r="R49" s="54"/>
      <c r="S49" s="55" t="str">
        <f t="shared" si="0"/>
        <v>Include Breeze</v>
      </c>
      <c r="T49" s="60">
        <f t="shared" si="1"/>
        <v>6992</v>
      </c>
      <c r="U49" s="61">
        <f t="shared" si="2"/>
        <v>516</v>
      </c>
      <c r="V49" s="64">
        <f t="shared" si="3"/>
        <v>7.3798627002288189E-2</v>
      </c>
      <c r="W49" s="62">
        <f t="shared" si="4"/>
        <v>12026.239999999998</v>
      </c>
      <c r="X49" s="62">
        <f t="shared" si="5"/>
        <v>22933.760000000006</v>
      </c>
      <c r="Y49" s="62">
        <f t="shared" si="6"/>
        <v>1692.4799999999971</v>
      </c>
      <c r="Z49" s="62">
        <f t="shared" si="7"/>
        <v>10907.520000000008</v>
      </c>
      <c r="AA49" s="64">
        <f t="shared" si="8"/>
        <v>0.47560975609756118</v>
      </c>
      <c r="AB49" s="49"/>
    </row>
    <row r="50" spans="4:28" ht="15.6" x14ac:dyDescent="0.3">
      <c r="D50" t="s">
        <v>158</v>
      </c>
      <c r="E50" s="4">
        <v>6194</v>
      </c>
      <c r="F50" s="4">
        <v>485</v>
      </c>
      <c r="G50" s="3">
        <v>7.8301582176299594E-2</v>
      </c>
      <c r="H50" s="2">
        <v>60515.379999999976</v>
      </c>
      <c r="I50" s="2">
        <v>38774.439999999995</v>
      </c>
      <c r="J50" s="2">
        <v>3036.0999999999976</v>
      </c>
      <c r="K50" s="2">
        <v>-21740.939999999981</v>
      </c>
      <c r="L50" s="3">
        <v>-0.56070287539936059</v>
      </c>
      <c r="R50" s="54"/>
      <c r="S50" s="55" t="str">
        <f t="shared" si="0"/>
        <v>Indeed Splash</v>
      </c>
      <c r="T50" s="60">
        <f t="shared" si="1"/>
        <v>6033</v>
      </c>
      <c r="U50" s="61">
        <f t="shared" si="2"/>
        <v>485</v>
      </c>
      <c r="V50" s="64">
        <f t="shared" si="3"/>
        <v>8.0391181833250391E-2</v>
      </c>
      <c r="W50" s="62">
        <f t="shared" si="4"/>
        <v>17375.040000000012</v>
      </c>
      <c r="X50" s="62">
        <f t="shared" si="5"/>
        <v>46152.450000000012</v>
      </c>
      <c r="Y50" s="62">
        <f t="shared" si="6"/>
        <v>3710.2499999999982</v>
      </c>
      <c r="Z50" s="62">
        <f t="shared" si="7"/>
        <v>28777.41</v>
      </c>
      <c r="AA50" s="64">
        <f t="shared" si="8"/>
        <v>0.62352941176470578</v>
      </c>
      <c r="AB50" s="49"/>
    </row>
    <row r="51" spans="4:28" ht="15.6" x14ac:dyDescent="0.3">
      <c r="D51" t="s">
        <v>159</v>
      </c>
      <c r="E51" s="4">
        <v>6943</v>
      </c>
      <c r="F51" s="4">
        <v>563</v>
      </c>
      <c r="G51" s="3">
        <v>8.1088866484228916E-2</v>
      </c>
      <c r="H51" s="2">
        <v>8401.0300000000007</v>
      </c>
      <c r="I51" s="2">
        <v>14719.159999999993</v>
      </c>
      <c r="J51" s="2">
        <v>1193.5600000000022</v>
      </c>
      <c r="K51" s="2">
        <v>6318.1299999999919</v>
      </c>
      <c r="L51" s="3">
        <v>0.42924528301886761</v>
      </c>
      <c r="R51" s="54"/>
      <c r="S51" s="55" t="str">
        <f t="shared" si="0"/>
        <v>Into Mist</v>
      </c>
      <c r="T51" s="60">
        <f t="shared" si="1"/>
        <v>5819</v>
      </c>
      <c r="U51" s="61">
        <f t="shared" si="2"/>
        <v>489</v>
      </c>
      <c r="V51" s="64">
        <f t="shared" si="3"/>
        <v>8.4035057570029228E-2</v>
      </c>
      <c r="W51" s="62">
        <f t="shared" si="4"/>
        <v>32819.160000000025</v>
      </c>
      <c r="X51" s="62">
        <f t="shared" si="5"/>
        <v>31248.02999999997</v>
      </c>
      <c r="Y51" s="62">
        <f t="shared" si="6"/>
        <v>2625.929999999998</v>
      </c>
      <c r="Z51" s="62">
        <f t="shared" si="7"/>
        <v>-1571.1300000000556</v>
      </c>
      <c r="AA51" s="64">
        <f t="shared" si="8"/>
        <v>-5.0279329608940375E-2</v>
      </c>
      <c r="AB51" s="49"/>
    </row>
    <row r="52" spans="4:28" ht="15.6" x14ac:dyDescent="0.3">
      <c r="D52" t="s">
        <v>160</v>
      </c>
      <c r="E52" s="4">
        <v>5915</v>
      </c>
      <c r="F52" s="4">
        <v>476</v>
      </c>
      <c r="G52" s="3">
        <v>8.0473372781065228E-2</v>
      </c>
      <c r="H52" s="2">
        <v>28806.049999999996</v>
      </c>
      <c r="I52" s="2">
        <v>15024.100000000009</v>
      </c>
      <c r="J52" s="2">
        <v>1209.0400000000029</v>
      </c>
      <c r="K52" s="2">
        <v>-13781.949999999986</v>
      </c>
      <c r="L52" s="3">
        <v>-0.91732283464566777</v>
      </c>
      <c r="R52" s="54"/>
      <c r="S52" s="55" t="str">
        <f t="shared" si="0"/>
        <v>Its Dew</v>
      </c>
      <c r="T52" s="60">
        <f t="shared" si="1"/>
        <v>6194</v>
      </c>
      <c r="U52" s="61">
        <f t="shared" si="2"/>
        <v>485</v>
      </c>
      <c r="V52" s="64">
        <f t="shared" si="3"/>
        <v>7.8301582176299594E-2</v>
      </c>
      <c r="W52" s="62">
        <f t="shared" si="4"/>
        <v>60515.379999999976</v>
      </c>
      <c r="X52" s="62">
        <f t="shared" si="5"/>
        <v>38774.439999999995</v>
      </c>
      <c r="Y52" s="62">
        <f t="shared" si="6"/>
        <v>3036.0999999999976</v>
      </c>
      <c r="Z52" s="62">
        <f t="shared" si="7"/>
        <v>-21740.939999999981</v>
      </c>
      <c r="AA52" s="64">
        <f t="shared" si="8"/>
        <v>-0.56070287539936059</v>
      </c>
      <c r="AB52" s="49"/>
    </row>
    <row r="53" spans="4:28" ht="15.6" x14ac:dyDescent="0.3">
      <c r="D53" t="s">
        <v>161</v>
      </c>
      <c r="E53" s="4">
        <v>5760</v>
      </c>
      <c r="F53" s="4">
        <v>491</v>
      </c>
      <c r="G53" s="3">
        <v>8.524305555555578E-2</v>
      </c>
      <c r="H53" s="2">
        <v>52992.000000000007</v>
      </c>
      <c r="I53" s="2">
        <v>44524.799999999974</v>
      </c>
      <c r="J53" s="2">
        <v>3795.4300000000076</v>
      </c>
      <c r="K53" s="2">
        <v>-8467.2000000000335</v>
      </c>
      <c r="L53" s="3">
        <v>-0.19016817593790514</v>
      </c>
      <c r="R53" s="54"/>
      <c r="S53" s="55" t="str">
        <f t="shared" si="0"/>
        <v>Itself Breeze</v>
      </c>
      <c r="T53" s="60">
        <f t="shared" si="1"/>
        <v>6943</v>
      </c>
      <c r="U53" s="61">
        <f t="shared" si="2"/>
        <v>563</v>
      </c>
      <c r="V53" s="64">
        <f t="shared" si="3"/>
        <v>8.1088866484228916E-2</v>
      </c>
      <c r="W53" s="62">
        <f t="shared" si="4"/>
        <v>8401.0300000000007</v>
      </c>
      <c r="X53" s="62">
        <f t="shared" si="5"/>
        <v>14719.159999999993</v>
      </c>
      <c r="Y53" s="62">
        <f t="shared" si="6"/>
        <v>1193.5600000000022</v>
      </c>
      <c r="Z53" s="62">
        <f t="shared" si="7"/>
        <v>6318.1299999999919</v>
      </c>
      <c r="AA53" s="64">
        <f t="shared" si="8"/>
        <v>0.42924528301886761</v>
      </c>
      <c r="AB53" s="49"/>
    </row>
    <row r="54" spans="4:28" ht="15.6" x14ac:dyDescent="0.3">
      <c r="D54" t="s">
        <v>162</v>
      </c>
      <c r="E54" s="4">
        <v>6761</v>
      </c>
      <c r="F54" s="4">
        <v>532</v>
      </c>
      <c r="G54" s="3">
        <v>7.8686584824730024E-2</v>
      </c>
      <c r="H54" s="2">
        <v>35021.979999999981</v>
      </c>
      <c r="I54" s="2">
        <v>59091.139999999992</v>
      </c>
      <c r="J54" s="2">
        <v>4649.6799999999967</v>
      </c>
      <c r="K54" s="2">
        <v>24069.160000000011</v>
      </c>
      <c r="L54" s="3">
        <v>0.40732265446224281</v>
      </c>
      <c r="R54" s="54"/>
      <c r="S54" s="55" t="str">
        <f t="shared" si="0"/>
        <v>Large Fusion</v>
      </c>
      <c r="T54" s="60">
        <f t="shared" si="1"/>
        <v>5915</v>
      </c>
      <c r="U54" s="61">
        <f t="shared" si="2"/>
        <v>476</v>
      </c>
      <c r="V54" s="64">
        <f t="shared" si="3"/>
        <v>8.0473372781065228E-2</v>
      </c>
      <c r="W54" s="62">
        <f t="shared" si="4"/>
        <v>28806.049999999996</v>
      </c>
      <c r="X54" s="62">
        <f t="shared" si="5"/>
        <v>15024.100000000009</v>
      </c>
      <c r="Y54" s="62">
        <f t="shared" si="6"/>
        <v>1209.0400000000029</v>
      </c>
      <c r="Z54" s="62">
        <f t="shared" si="7"/>
        <v>-13781.949999999986</v>
      </c>
      <c r="AA54" s="64">
        <f t="shared" si="8"/>
        <v>-0.91732283464566777</v>
      </c>
      <c r="AB54" s="49"/>
    </row>
    <row r="55" spans="4:28" ht="15.6" x14ac:dyDescent="0.3">
      <c r="D55" t="s">
        <v>163</v>
      </c>
      <c r="E55" s="4">
        <v>6749</v>
      </c>
      <c r="F55" s="4">
        <v>527</v>
      </c>
      <c r="G55" s="3">
        <v>7.8085642317380383E-2</v>
      </c>
      <c r="H55" s="2">
        <v>13093.060000000001</v>
      </c>
      <c r="I55" s="2">
        <v>28480.779999999995</v>
      </c>
      <c r="J55" s="2">
        <v>2223.9400000000005</v>
      </c>
      <c r="K55" s="2">
        <v>15387.719999999994</v>
      </c>
      <c r="L55" s="3">
        <v>0.54028436018957338</v>
      </c>
      <c r="R55" s="54"/>
      <c r="S55" s="55" t="str">
        <f t="shared" si="0"/>
        <v>Left Breeze</v>
      </c>
      <c r="T55" s="60">
        <f t="shared" si="1"/>
        <v>5760</v>
      </c>
      <c r="U55" s="61">
        <f t="shared" si="2"/>
        <v>491</v>
      </c>
      <c r="V55" s="64">
        <f t="shared" si="3"/>
        <v>8.524305555555578E-2</v>
      </c>
      <c r="W55" s="62">
        <f t="shared" si="4"/>
        <v>52992.000000000007</v>
      </c>
      <c r="X55" s="62">
        <f t="shared" si="5"/>
        <v>44524.799999999974</v>
      </c>
      <c r="Y55" s="62">
        <f t="shared" si="6"/>
        <v>3795.4300000000076</v>
      </c>
      <c r="Z55" s="62">
        <f t="shared" si="7"/>
        <v>-8467.2000000000335</v>
      </c>
      <c r="AA55" s="64">
        <f t="shared" si="8"/>
        <v>-0.19016817593790514</v>
      </c>
      <c r="AB55" s="49"/>
    </row>
    <row r="56" spans="4:28" ht="15.6" x14ac:dyDescent="0.3">
      <c r="D56" t="s">
        <v>164</v>
      </c>
      <c r="E56" s="4">
        <v>6577</v>
      </c>
      <c r="F56" s="4">
        <v>528</v>
      </c>
      <c r="G56" s="3">
        <v>8.0279762809791932E-2</v>
      </c>
      <c r="H56" s="2">
        <v>55575.649999999994</v>
      </c>
      <c r="I56" s="2">
        <v>67151.170000000013</v>
      </c>
      <c r="J56" s="2">
        <v>5390.8800000000165</v>
      </c>
      <c r="K56" s="2">
        <v>11575.520000000019</v>
      </c>
      <c r="L56" s="3">
        <v>0.17238001958863883</v>
      </c>
      <c r="R56" s="54"/>
      <c r="S56" s="55" t="str">
        <f t="shared" si="0"/>
        <v>Leg Rush</v>
      </c>
      <c r="T56" s="60">
        <f t="shared" si="1"/>
        <v>6761</v>
      </c>
      <c r="U56" s="61">
        <f t="shared" si="2"/>
        <v>532</v>
      </c>
      <c r="V56" s="64">
        <f t="shared" si="3"/>
        <v>7.8686584824730024E-2</v>
      </c>
      <c r="W56" s="62">
        <f t="shared" si="4"/>
        <v>35021.979999999981</v>
      </c>
      <c r="X56" s="62">
        <f t="shared" si="5"/>
        <v>59091.139999999992</v>
      </c>
      <c r="Y56" s="62">
        <f t="shared" si="6"/>
        <v>4649.6799999999967</v>
      </c>
      <c r="Z56" s="62">
        <f t="shared" si="7"/>
        <v>24069.160000000011</v>
      </c>
      <c r="AA56" s="64">
        <f t="shared" si="8"/>
        <v>0.40732265446224281</v>
      </c>
      <c r="AB56" s="49"/>
    </row>
    <row r="57" spans="4:28" ht="15.6" x14ac:dyDescent="0.3">
      <c r="D57" t="s">
        <v>165</v>
      </c>
      <c r="E57" s="4">
        <v>6127</v>
      </c>
      <c r="F57" s="4">
        <v>503</v>
      </c>
      <c r="G57" s="3">
        <v>8.2095642239268643E-2</v>
      </c>
      <c r="H57" s="2">
        <v>59860.789999999972</v>
      </c>
      <c r="I57" s="2">
        <v>72237.329999999973</v>
      </c>
      <c r="J57" s="2">
        <v>5930.3699999999853</v>
      </c>
      <c r="K57" s="2">
        <v>12376.54</v>
      </c>
      <c r="L57" s="3">
        <v>0.17133163698049203</v>
      </c>
      <c r="R57" s="54"/>
      <c r="S57" s="55" t="str">
        <f t="shared" si="0"/>
        <v>Let Dew</v>
      </c>
      <c r="T57" s="60">
        <f t="shared" si="1"/>
        <v>6749</v>
      </c>
      <c r="U57" s="61">
        <f t="shared" si="2"/>
        <v>527</v>
      </c>
      <c r="V57" s="64">
        <f t="shared" si="3"/>
        <v>7.8085642317380383E-2</v>
      </c>
      <c r="W57" s="62">
        <f t="shared" si="4"/>
        <v>13093.060000000001</v>
      </c>
      <c r="X57" s="62">
        <f t="shared" si="5"/>
        <v>28480.779999999995</v>
      </c>
      <c r="Y57" s="62">
        <f t="shared" si="6"/>
        <v>2223.9400000000005</v>
      </c>
      <c r="Z57" s="62">
        <f t="shared" si="7"/>
        <v>15387.719999999994</v>
      </c>
      <c r="AA57" s="64">
        <f t="shared" si="8"/>
        <v>0.54028436018957338</v>
      </c>
      <c r="AB57" s="49"/>
    </row>
    <row r="58" spans="4:28" ht="15.6" x14ac:dyDescent="0.3">
      <c r="D58" t="s">
        <v>166</v>
      </c>
      <c r="E58" s="4">
        <v>5875</v>
      </c>
      <c r="F58" s="4">
        <v>456</v>
      </c>
      <c r="G58" s="3">
        <v>7.7617021276595713E-2</v>
      </c>
      <c r="H58" s="2">
        <v>33311.250000000015</v>
      </c>
      <c r="I58" s="2">
        <v>36072.499999999993</v>
      </c>
      <c r="J58" s="2">
        <v>2799.8399999999983</v>
      </c>
      <c r="K58" s="2">
        <v>2761.2499999999782</v>
      </c>
      <c r="L58" s="3">
        <v>7.6547231270357716E-2</v>
      </c>
      <c r="R58" s="54"/>
      <c r="S58" s="55" t="str">
        <f t="shared" si="0"/>
        <v>Level Splash</v>
      </c>
      <c r="T58" s="60">
        <f t="shared" si="1"/>
        <v>6577</v>
      </c>
      <c r="U58" s="61">
        <f t="shared" si="2"/>
        <v>528</v>
      </c>
      <c r="V58" s="64">
        <f t="shared" si="3"/>
        <v>8.0279762809791932E-2</v>
      </c>
      <c r="W58" s="62">
        <f t="shared" si="4"/>
        <v>55575.649999999994</v>
      </c>
      <c r="X58" s="62">
        <f t="shared" si="5"/>
        <v>67151.170000000013</v>
      </c>
      <c r="Y58" s="62">
        <f t="shared" si="6"/>
        <v>5390.8800000000165</v>
      </c>
      <c r="Z58" s="62">
        <f t="shared" si="7"/>
        <v>11575.520000000019</v>
      </c>
      <c r="AA58" s="64">
        <f t="shared" si="8"/>
        <v>0.17238001958863883</v>
      </c>
      <c r="AB58" s="49"/>
    </row>
    <row r="59" spans="4:28" ht="15.6" x14ac:dyDescent="0.3">
      <c r="D59" t="s">
        <v>167</v>
      </c>
      <c r="E59" s="4">
        <v>6063</v>
      </c>
      <c r="F59" s="4">
        <v>493</v>
      </c>
      <c r="G59" s="3">
        <v>8.1312881411842494E-2</v>
      </c>
      <c r="H59" s="2">
        <v>14429.939999999995</v>
      </c>
      <c r="I59" s="2">
        <v>78333.96000000005</v>
      </c>
      <c r="J59" s="2">
        <v>6369.5600000000177</v>
      </c>
      <c r="K59" s="2">
        <v>63904.020000000055</v>
      </c>
      <c r="L59" s="3">
        <v>0.81578947368421073</v>
      </c>
      <c r="R59" s="54"/>
      <c r="S59" s="55" t="str">
        <f t="shared" si="0"/>
        <v>Majority Rush</v>
      </c>
      <c r="T59" s="60">
        <f t="shared" si="1"/>
        <v>6127</v>
      </c>
      <c r="U59" s="61">
        <f t="shared" si="2"/>
        <v>503</v>
      </c>
      <c r="V59" s="64">
        <f t="shared" si="3"/>
        <v>8.2095642239268643E-2</v>
      </c>
      <c r="W59" s="62">
        <f t="shared" si="4"/>
        <v>59860.789999999972</v>
      </c>
      <c r="X59" s="62">
        <f t="shared" si="5"/>
        <v>72237.329999999973</v>
      </c>
      <c r="Y59" s="62">
        <f t="shared" si="6"/>
        <v>5930.3699999999853</v>
      </c>
      <c r="Z59" s="62">
        <f t="shared" si="7"/>
        <v>12376.54</v>
      </c>
      <c r="AA59" s="64">
        <f t="shared" si="8"/>
        <v>0.17133163698049203</v>
      </c>
      <c r="AB59" s="49"/>
    </row>
    <row r="60" spans="4:28" ht="15.6" x14ac:dyDescent="0.3">
      <c r="D60" t="s">
        <v>168</v>
      </c>
      <c r="E60" s="4">
        <v>5558</v>
      </c>
      <c r="F60" s="4">
        <v>483</v>
      </c>
      <c r="G60" s="3">
        <v>8.6901763224181222E-2</v>
      </c>
      <c r="H60" s="2">
        <v>27901.159999999993</v>
      </c>
      <c r="I60" s="2">
        <v>71475.88</v>
      </c>
      <c r="J60" s="2">
        <v>6211.379999999991</v>
      </c>
      <c r="K60" s="2">
        <v>43574.720000000016</v>
      </c>
      <c r="L60" s="3">
        <v>0.60964230171073108</v>
      </c>
      <c r="R60" s="54"/>
      <c r="S60" s="55" t="str">
        <f t="shared" si="0"/>
        <v>Management Drop</v>
      </c>
      <c r="T60" s="60">
        <f t="shared" si="1"/>
        <v>5875</v>
      </c>
      <c r="U60" s="61">
        <f t="shared" si="2"/>
        <v>456</v>
      </c>
      <c r="V60" s="64">
        <f t="shared" si="3"/>
        <v>7.7617021276595713E-2</v>
      </c>
      <c r="W60" s="62">
        <f t="shared" si="4"/>
        <v>33311.250000000015</v>
      </c>
      <c r="X60" s="62">
        <f t="shared" si="5"/>
        <v>36072.499999999993</v>
      </c>
      <c r="Y60" s="62">
        <f t="shared" si="6"/>
        <v>2799.8399999999983</v>
      </c>
      <c r="Z60" s="62">
        <f t="shared" si="7"/>
        <v>2761.2499999999782</v>
      </c>
      <c r="AA60" s="64">
        <f t="shared" si="8"/>
        <v>7.6547231270357716E-2</v>
      </c>
      <c r="AB60" s="49"/>
    </row>
    <row r="61" spans="4:28" ht="15.6" x14ac:dyDescent="0.3">
      <c r="D61" t="s">
        <v>169</v>
      </c>
      <c r="E61" s="4">
        <v>5888</v>
      </c>
      <c r="F61" s="4">
        <v>476</v>
      </c>
      <c r="G61" s="3">
        <v>8.084239130434788E-2</v>
      </c>
      <c r="H61" s="2">
        <v>51578.879999999997</v>
      </c>
      <c r="I61" s="2">
        <v>83315.200000000055</v>
      </c>
      <c r="J61" s="2">
        <v>6735.4000000000087</v>
      </c>
      <c r="K61" s="2">
        <v>31736.320000000058</v>
      </c>
      <c r="L61" s="3">
        <v>0.38091872791519477</v>
      </c>
      <c r="R61" s="54"/>
      <c r="S61" s="55" t="str">
        <f t="shared" si="0"/>
        <v>Method Mist</v>
      </c>
      <c r="T61" s="60">
        <f t="shared" si="1"/>
        <v>6063</v>
      </c>
      <c r="U61" s="61">
        <f t="shared" si="2"/>
        <v>493</v>
      </c>
      <c r="V61" s="64">
        <f t="shared" si="3"/>
        <v>8.1312881411842494E-2</v>
      </c>
      <c r="W61" s="62">
        <f t="shared" si="4"/>
        <v>14429.939999999995</v>
      </c>
      <c r="X61" s="62">
        <f t="shared" si="5"/>
        <v>78333.96000000005</v>
      </c>
      <c r="Y61" s="62">
        <f t="shared" si="6"/>
        <v>6369.5600000000177</v>
      </c>
      <c r="Z61" s="62">
        <f t="shared" si="7"/>
        <v>63904.020000000055</v>
      </c>
      <c r="AA61" s="64">
        <f t="shared" si="8"/>
        <v>0.81578947368421073</v>
      </c>
      <c r="AB61" s="49"/>
    </row>
    <row r="62" spans="4:28" ht="15.6" x14ac:dyDescent="0.3">
      <c r="D62" t="s">
        <v>170</v>
      </c>
      <c r="E62" s="4">
        <v>5857</v>
      </c>
      <c r="F62" s="4">
        <v>446</v>
      </c>
      <c r="G62" s="3">
        <v>7.6148198736554637E-2</v>
      </c>
      <c r="H62" s="2">
        <v>42638.960000000006</v>
      </c>
      <c r="I62" s="2">
        <v>41526.130000000012</v>
      </c>
      <c r="J62" s="2">
        <v>3162.1400000000044</v>
      </c>
      <c r="K62" s="2">
        <v>-1112.8299999999945</v>
      </c>
      <c r="L62" s="3">
        <v>-2.6798307475317206E-2</v>
      </c>
      <c r="R62" s="54"/>
      <c r="S62" s="55" t="str">
        <f t="shared" si="0"/>
        <v>Might Mist</v>
      </c>
      <c r="T62" s="60">
        <f t="shared" si="1"/>
        <v>5558</v>
      </c>
      <c r="U62" s="61">
        <f t="shared" si="2"/>
        <v>483</v>
      </c>
      <c r="V62" s="64">
        <f t="shared" si="3"/>
        <v>8.6901763224181222E-2</v>
      </c>
      <c r="W62" s="62">
        <f t="shared" si="4"/>
        <v>27901.159999999993</v>
      </c>
      <c r="X62" s="62">
        <f t="shared" si="5"/>
        <v>71475.88</v>
      </c>
      <c r="Y62" s="62">
        <f t="shared" si="6"/>
        <v>6211.379999999991</v>
      </c>
      <c r="Z62" s="62">
        <f t="shared" si="7"/>
        <v>43574.720000000016</v>
      </c>
      <c r="AA62" s="64">
        <f t="shared" si="8"/>
        <v>0.60964230171073108</v>
      </c>
      <c r="AB62" s="49"/>
    </row>
    <row r="63" spans="4:28" ht="15.6" x14ac:dyDescent="0.3">
      <c r="D63" t="s">
        <v>171</v>
      </c>
      <c r="E63" s="4">
        <v>6290</v>
      </c>
      <c r="F63" s="4">
        <v>501</v>
      </c>
      <c r="G63" s="3">
        <v>7.9650238473767954E-2</v>
      </c>
      <c r="H63" s="2">
        <v>52710.19999999999</v>
      </c>
      <c r="I63" s="2">
        <v>89443.800000000047</v>
      </c>
      <c r="J63" s="2">
        <v>7124.2200000000093</v>
      </c>
      <c r="K63" s="2">
        <v>36733.600000000057</v>
      </c>
      <c r="L63" s="3">
        <v>0.41068917018284151</v>
      </c>
      <c r="R63" s="54"/>
      <c r="S63" s="55" t="str">
        <f t="shared" si="0"/>
        <v>Mind Dew</v>
      </c>
      <c r="T63" s="60">
        <f t="shared" si="1"/>
        <v>5888</v>
      </c>
      <c r="U63" s="61">
        <f t="shared" si="2"/>
        <v>476</v>
      </c>
      <c r="V63" s="64">
        <f t="shared" si="3"/>
        <v>8.084239130434788E-2</v>
      </c>
      <c r="W63" s="62">
        <f t="shared" si="4"/>
        <v>51578.879999999997</v>
      </c>
      <c r="X63" s="62">
        <f t="shared" si="5"/>
        <v>83315.200000000055</v>
      </c>
      <c r="Y63" s="62">
        <f t="shared" si="6"/>
        <v>6735.4000000000087</v>
      </c>
      <c r="Z63" s="62">
        <f t="shared" si="7"/>
        <v>31736.320000000058</v>
      </c>
      <c r="AA63" s="64">
        <f t="shared" si="8"/>
        <v>0.38091872791519477</v>
      </c>
      <c r="AB63" s="49"/>
    </row>
    <row r="64" spans="4:28" ht="15.6" x14ac:dyDescent="0.3">
      <c r="D64" t="s">
        <v>172</v>
      </c>
      <c r="E64" s="4">
        <v>5928</v>
      </c>
      <c r="F64" s="4">
        <v>478</v>
      </c>
      <c r="G64" s="3">
        <v>8.0634278002699011E-2</v>
      </c>
      <c r="H64" s="2">
        <v>42859.440000000031</v>
      </c>
      <c r="I64" s="2">
        <v>23889.839999999986</v>
      </c>
      <c r="J64" s="2">
        <v>1926.3399999999979</v>
      </c>
      <c r="K64" s="2">
        <v>-18969.600000000046</v>
      </c>
      <c r="L64" s="3">
        <v>-0.79404466501240933</v>
      </c>
      <c r="R64" s="54"/>
      <c r="S64" s="55" t="str">
        <f t="shared" si="0"/>
        <v>Minute Rush</v>
      </c>
      <c r="T64" s="60">
        <f t="shared" si="1"/>
        <v>5857</v>
      </c>
      <c r="U64" s="61">
        <f t="shared" si="2"/>
        <v>446</v>
      </c>
      <c r="V64" s="64">
        <f t="shared" si="3"/>
        <v>7.6148198736554637E-2</v>
      </c>
      <c r="W64" s="62">
        <f t="shared" si="4"/>
        <v>42638.960000000006</v>
      </c>
      <c r="X64" s="62">
        <f t="shared" si="5"/>
        <v>41526.130000000012</v>
      </c>
      <c r="Y64" s="62">
        <f t="shared" si="6"/>
        <v>3162.1400000000044</v>
      </c>
      <c r="Z64" s="62">
        <f t="shared" si="7"/>
        <v>-1112.8299999999945</v>
      </c>
      <c r="AA64" s="64">
        <f t="shared" si="8"/>
        <v>-2.6798307475317206E-2</v>
      </c>
      <c r="AB64" s="49"/>
    </row>
    <row r="65" spans="4:28" ht="15.6" x14ac:dyDescent="0.3">
      <c r="D65" t="s">
        <v>173</v>
      </c>
      <c r="E65" s="4">
        <v>5795</v>
      </c>
      <c r="F65" s="4">
        <v>460</v>
      </c>
      <c r="G65" s="3">
        <v>7.9378774805867039E-2</v>
      </c>
      <c r="H65" s="2">
        <v>19007.599999999999</v>
      </c>
      <c r="I65" s="2">
        <v>61195.200000000019</v>
      </c>
      <c r="J65" s="2">
        <v>4857.5999999999958</v>
      </c>
      <c r="K65" s="2">
        <v>42187.60000000002</v>
      </c>
      <c r="L65" s="3">
        <v>0.68939393939393956</v>
      </c>
      <c r="R65" s="54"/>
      <c r="S65" s="55" t="str">
        <f t="shared" si="0"/>
        <v>Name Rush</v>
      </c>
      <c r="T65" s="60">
        <f t="shared" si="1"/>
        <v>6290</v>
      </c>
      <c r="U65" s="61">
        <f t="shared" si="2"/>
        <v>501</v>
      </c>
      <c r="V65" s="64">
        <f t="shared" si="3"/>
        <v>7.9650238473767954E-2</v>
      </c>
      <c r="W65" s="62">
        <f t="shared" si="4"/>
        <v>52710.19999999999</v>
      </c>
      <c r="X65" s="62">
        <f t="shared" si="5"/>
        <v>89443.800000000047</v>
      </c>
      <c r="Y65" s="62">
        <f t="shared" si="6"/>
        <v>7124.2200000000093</v>
      </c>
      <c r="Z65" s="62">
        <f t="shared" si="7"/>
        <v>36733.600000000057</v>
      </c>
      <c r="AA65" s="64">
        <f t="shared" si="8"/>
        <v>0.41068917018284151</v>
      </c>
      <c r="AB65" s="49"/>
    </row>
    <row r="66" spans="4:28" ht="15.6" x14ac:dyDescent="0.3">
      <c r="D66" t="s">
        <v>174</v>
      </c>
      <c r="E66" s="4">
        <v>4891</v>
      </c>
      <c r="F66" s="4">
        <v>363</v>
      </c>
      <c r="G66" s="3">
        <v>7.4217951339194413E-2</v>
      </c>
      <c r="H66" s="2">
        <v>46855.779999999992</v>
      </c>
      <c r="I66" s="2">
        <v>58643.09</v>
      </c>
      <c r="J66" s="2">
        <v>4352.3699999999981</v>
      </c>
      <c r="K66" s="2">
        <v>11787.310000000005</v>
      </c>
      <c r="L66" s="3">
        <v>0.20100083402835706</v>
      </c>
      <c r="R66" s="54"/>
      <c r="S66" s="55" t="str">
        <f t="shared" si="0"/>
        <v>Nice Mist</v>
      </c>
      <c r="T66" s="60">
        <f t="shared" si="1"/>
        <v>5928</v>
      </c>
      <c r="U66" s="61">
        <f t="shared" si="2"/>
        <v>478</v>
      </c>
      <c r="V66" s="64">
        <f t="shared" si="3"/>
        <v>8.0634278002699011E-2</v>
      </c>
      <c r="W66" s="62">
        <f t="shared" si="4"/>
        <v>42859.440000000031</v>
      </c>
      <c r="X66" s="62">
        <f t="shared" si="5"/>
        <v>23889.839999999986</v>
      </c>
      <c r="Y66" s="62">
        <f t="shared" si="6"/>
        <v>1926.3399999999979</v>
      </c>
      <c r="Z66" s="62">
        <f t="shared" si="7"/>
        <v>-18969.600000000046</v>
      </c>
      <c r="AA66" s="64">
        <f t="shared" si="8"/>
        <v>-0.79404466501240933</v>
      </c>
      <c r="AB66" s="49"/>
    </row>
    <row r="67" spans="4:28" ht="15.6" x14ac:dyDescent="0.3">
      <c r="D67" t="s">
        <v>175</v>
      </c>
      <c r="E67" s="4">
        <v>6860</v>
      </c>
      <c r="F67" s="4">
        <v>555</v>
      </c>
      <c r="G67" s="3">
        <v>8.0903790087463762E-2</v>
      </c>
      <c r="H67" s="2">
        <v>14749.000000000002</v>
      </c>
      <c r="I67" s="2">
        <v>40816.999999999978</v>
      </c>
      <c r="J67" s="2">
        <v>3302.2500000000068</v>
      </c>
      <c r="K67" s="2">
        <v>26067.999999999978</v>
      </c>
      <c r="L67" s="3">
        <v>0.63865546218487379</v>
      </c>
      <c r="R67" s="54"/>
      <c r="S67" s="55" t="str">
        <f t="shared" si="0"/>
        <v>Note Splash</v>
      </c>
      <c r="T67" s="60">
        <f t="shared" si="1"/>
        <v>5795</v>
      </c>
      <c r="U67" s="61">
        <f t="shared" si="2"/>
        <v>460</v>
      </c>
      <c r="V67" s="64">
        <f t="shared" si="3"/>
        <v>7.9378774805867039E-2</v>
      </c>
      <c r="W67" s="62">
        <f t="shared" si="4"/>
        <v>19007.599999999999</v>
      </c>
      <c r="X67" s="62">
        <f t="shared" si="5"/>
        <v>61195.200000000019</v>
      </c>
      <c r="Y67" s="62">
        <f t="shared" si="6"/>
        <v>4857.5999999999958</v>
      </c>
      <c r="Z67" s="62">
        <f t="shared" si="7"/>
        <v>42187.60000000002</v>
      </c>
      <c r="AA67" s="64">
        <f t="shared" si="8"/>
        <v>0.68939393939393956</v>
      </c>
      <c r="AB67" s="49"/>
    </row>
    <row r="68" spans="4:28" ht="15.6" x14ac:dyDescent="0.3">
      <c r="D68" t="s">
        <v>176</v>
      </c>
      <c r="E68" s="4">
        <v>6333</v>
      </c>
      <c r="F68" s="4">
        <v>515</v>
      </c>
      <c r="G68" s="3">
        <v>8.1320069477341023E-2</v>
      </c>
      <c r="H68" s="2">
        <v>19315.650000000005</v>
      </c>
      <c r="I68" s="2">
        <v>27421.889999999996</v>
      </c>
      <c r="J68" s="2">
        <v>2229.9500000000025</v>
      </c>
      <c r="K68" s="2">
        <v>8106.2399999999907</v>
      </c>
      <c r="L68" s="3">
        <v>0.29561200923787501</v>
      </c>
      <c r="R68" s="54"/>
      <c r="S68" s="55" t="str">
        <f t="shared" si="0"/>
        <v>Now Mist</v>
      </c>
      <c r="T68" s="60">
        <f t="shared" si="1"/>
        <v>4891</v>
      </c>
      <c r="U68" s="61">
        <f t="shared" si="2"/>
        <v>363</v>
      </c>
      <c r="V68" s="64">
        <f t="shared" si="3"/>
        <v>7.4217951339194413E-2</v>
      </c>
      <c r="W68" s="62">
        <f t="shared" si="4"/>
        <v>46855.779999999992</v>
      </c>
      <c r="X68" s="62">
        <f t="shared" si="5"/>
        <v>58643.09</v>
      </c>
      <c r="Y68" s="62">
        <f t="shared" si="6"/>
        <v>4352.3699999999981</v>
      </c>
      <c r="Z68" s="62">
        <f t="shared" si="7"/>
        <v>11787.310000000005</v>
      </c>
      <c r="AA68" s="64">
        <f t="shared" si="8"/>
        <v>0.20100083402835706</v>
      </c>
      <c r="AB68" s="49"/>
    </row>
    <row r="69" spans="4:28" ht="15.6" x14ac:dyDescent="0.3">
      <c r="D69" t="s">
        <v>112</v>
      </c>
      <c r="E69" s="4">
        <v>6262</v>
      </c>
      <c r="F69" s="4">
        <v>498</v>
      </c>
      <c r="G69" s="3">
        <v>7.9527307569466799E-2</v>
      </c>
      <c r="H69" s="2">
        <v>13525.920000000006</v>
      </c>
      <c r="I69" s="2">
        <v>96810.51999999999</v>
      </c>
      <c r="J69" s="2">
        <v>7699.0800000000154</v>
      </c>
      <c r="K69" s="2">
        <v>83284.599999999977</v>
      </c>
      <c r="L69" s="3">
        <v>0.86028460543337626</v>
      </c>
      <c r="R69" s="54"/>
      <c r="S69" s="55" t="str">
        <f t="shared" si="0"/>
        <v>Of Rush</v>
      </c>
      <c r="T69" s="60">
        <f t="shared" si="1"/>
        <v>6860</v>
      </c>
      <c r="U69" s="61">
        <f t="shared" si="2"/>
        <v>555</v>
      </c>
      <c r="V69" s="64">
        <f t="shared" si="3"/>
        <v>8.0903790087463762E-2</v>
      </c>
      <c r="W69" s="62">
        <f t="shared" si="4"/>
        <v>14749.000000000002</v>
      </c>
      <c r="X69" s="62">
        <f t="shared" si="5"/>
        <v>40816.999999999978</v>
      </c>
      <c r="Y69" s="62">
        <f t="shared" si="6"/>
        <v>3302.2500000000068</v>
      </c>
      <c r="Z69" s="62">
        <f t="shared" si="7"/>
        <v>26067.999999999978</v>
      </c>
      <c r="AA69" s="64">
        <f t="shared" si="8"/>
        <v>0.63865546218487379</v>
      </c>
      <c r="AB69" s="49"/>
    </row>
    <row r="70" spans="4:28" ht="15.6" x14ac:dyDescent="0.3">
      <c r="D70" t="s">
        <v>177</v>
      </c>
      <c r="E70" s="4">
        <v>6938</v>
      </c>
      <c r="F70" s="4">
        <v>533</v>
      </c>
      <c r="G70" s="3">
        <v>7.6823292014989761E-2</v>
      </c>
      <c r="H70" s="2">
        <v>55087.719999999994</v>
      </c>
      <c r="I70" s="2">
        <v>106567.68000000004</v>
      </c>
      <c r="J70" s="2">
        <v>8186.8799999999874</v>
      </c>
      <c r="K70" s="2">
        <v>51479.960000000043</v>
      </c>
      <c r="L70" s="3">
        <v>0.48307291666666691</v>
      </c>
      <c r="R70" s="54"/>
      <c r="S70" s="55" t="str">
        <f t="shared" si="0"/>
        <v>Only Dew</v>
      </c>
      <c r="T70" s="60">
        <f t="shared" si="1"/>
        <v>6333</v>
      </c>
      <c r="U70" s="61">
        <f t="shared" si="2"/>
        <v>515</v>
      </c>
      <c r="V70" s="64">
        <f t="shared" si="3"/>
        <v>8.1320069477341023E-2</v>
      </c>
      <c r="W70" s="62">
        <f t="shared" si="4"/>
        <v>19315.650000000005</v>
      </c>
      <c r="X70" s="62">
        <f t="shared" si="5"/>
        <v>27421.889999999996</v>
      </c>
      <c r="Y70" s="62">
        <f t="shared" si="6"/>
        <v>2229.9500000000025</v>
      </c>
      <c r="Z70" s="62">
        <f t="shared" si="7"/>
        <v>8106.2399999999907</v>
      </c>
      <c r="AA70" s="64">
        <f t="shared" si="8"/>
        <v>0.29561200923787501</v>
      </c>
      <c r="AB70" s="49"/>
    </row>
    <row r="71" spans="4:28" ht="15.6" x14ac:dyDescent="0.3">
      <c r="D71" t="s">
        <v>178</v>
      </c>
      <c r="E71" s="4">
        <v>5234</v>
      </c>
      <c r="F71" s="4">
        <v>410</v>
      </c>
      <c r="G71" s="3">
        <v>7.8333970194879601E-2</v>
      </c>
      <c r="H71" s="2">
        <v>50979.159999999989</v>
      </c>
      <c r="I71" s="2">
        <v>61447.159999999982</v>
      </c>
      <c r="J71" s="2">
        <v>4813.3999999999969</v>
      </c>
      <c r="K71" s="2">
        <v>10467.999999999993</v>
      </c>
      <c r="L71" s="3">
        <v>0.17035775127768307</v>
      </c>
      <c r="R71" s="54"/>
      <c r="S71" s="55" t="str">
        <f t="shared" si="0"/>
        <v>Onto Dew</v>
      </c>
      <c r="T71" s="60">
        <f t="shared" si="1"/>
        <v>6262</v>
      </c>
      <c r="U71" s="61">
        <f t="shared" si="2"/>
        <v>498</v>
      </c>
      <c r="V71" s="64">
        <f t="shared" si="3"/>
        <v>7.9527307569466799E-2</v>
      </c>
      <c r="W71" s="62">
        <f t="shared" si="4"/>
        <v>13525.920000000006</v>
      </c>
      <c r="X71" s="62">
        <f t="shared" si="5"/>
        <v>96810.51999999999</v>
      </c>
      <c r="Y71" s="62">
        <f t="shared" si="6"/>
        <v>7699.0800000000154</v>
      </c>
      <c r="Z71" s="62">
        <f t="shared" si="7"/>
        <v>83284.599999999977</v>
      </c>
      <c r="AA71" s="64">
        <f t="shared" si="8"/>
        <v>0.86028460543337626</v>
      </c>
      <c r="AB71" s="49"/>
    </row>
    <row r="72" spans="4:28" ht="15.6" x14ac:dyDescent="0.3">
      <c r="D72" t="s">
        <v>179</v>
      </c>
      <c r="E72" s="4">
        <v>5385</v>
      </c>
      <c r="F72" s="4">
        <v>457</v>
      </c>
      <c r="G72" s="3">
        <v>8.4865366759517322E-2</v>
      </c>
      <c r="H72" s="2">
        <v>12223.949999999992</v>
      </c>
      <c r="I72" s="2">
        <v>37479.600000000006</v>
      </c>
      <c r="J72" s="2">
        <v>3180.7200000000057</v>
      </c>
      <c r="K72" s="2">
        <v>25255.650000000016</v>
      </c>
      <c r="L72" s="3">
        <v>0.67385057471264398</v>
      </c>
      <c r="R72" s="54"/>
      <c r="S72" s="55" t="str">
        <f t="shared" si="0"/>
        <v>Over Splash</v>
      </c>
      <c r="T72" s="60">
        <f t="shared" si="1"/>
        <v>6938</v>
      </c>
      <c r="U72" s="61">
        <f t="shared" si="2"/>
        <v>533</v>
      </c>
      <c r="V72" s="64">
        <f t="shared" si="3"/>
        <v>7.6823292014989761E-2</v>
      </c>
      <c r="W72" s="62">
        <f t="shared" si="4"/>
        <v>55087.719999999994</v>
      </c>
      <c r="X72" s="62">
        <f t="shared" si="5"/>
        <v>106567.68000000004</v>
      </c>
      <c r="Y72" s="62">
        <f t="shared" si="6"/>
        <v>8186.8799999999874</v>
      </c>
      <c r="Z72" s="62">
        <f t="shared" si="7"/>
        <v>51479.960000000043</v>
      </c>
      <c r="AA72" s="64">
        <f t="shared" si="8"/>
        <v>0.48307291666666691</v>
      </c>
      <c r="AB72" s="49"/>
    </row>
    <row r="73" spans="4:28" ht="15.6" x14ac:dyDescent="0.3">
      <c r="D73" t="s">
        <v>180</v>
      </c>
      <c r="E73" s="4">
        <v>6024</v>
      </c>
      <c r="F73" s="4">
        <v>493</v>
      </c>
      <c r="G73" s="3">
        <v>8.183930942895111E-2</v>
      </c>
      <c r="H73" s="2">
        <v>21324.960000000006</v>
      </c>
      <c r="I73" s="2">
        <v>31264.559999999998</v>
      </c>
      <c r="J73" s="2">
        <v>2558.6700000000073</v>
      </c>
      <c r="K73" s="2">
        <v>9939.5999999999913</v>
      </c>
      <c r="L73" s="3">
        <v>0.3179190751445084</v>
      </c>
      <c r="R73" s="54"/>
      <c r="S73" s="55" t="str">
        <f t="shared" si="0"/>
        <v>Own Drop</v>
      </c>
      <c r="T73" s="60">
        <f t="shared" si="1"/>
        <v>5234</v>
      </c>
      <c r="U73" s="61">
        <f t="shared" si="2"/>
        <v>410</v>
      </c>
      <c r="V73" s="64">
        <f t="shared" si="3"/>
        <v>7.8333970194879601E-2</v>
      </c>
      <c r="W73" s="62">
        <f t="shared" si="4"/>
        <v>50979.159999999989</v>
      </c>
      <c r="X73" s="62">
        <f t="shared" si="5"/>
        <v>61447.159999999982</v>
      </c>
      <c r="Y73" s="62">
        <f t="shared" si="6"/>
        <v>4813.3999999999969</v>
      </c>
      <c r="Z73" s="62">
        <f t="shared" si="7"/>
        <v>10467.999999999993</v>
      </c>
      <c r="AA73" s="64">
        <f t="shared" si="8"/>
        <v>0.17035775127768307</v>
      </c>
      <c r="AB73" s="49"/>
    </row>
    <row r="74" spans="4:28" ht="15.6" x14ac:dyDescent="0.3">
      <c r="D74" t="s">
        <v>181</v>
      </c>
      <c r="E74" s="4">
        <v>5809</v>
      </c>
      <c r="F74" s="4">
        <v>428</v>
      </c>
      <c r="G74" s="3">
        <v>7.3678774315717038E-2</v>
      </c>
      <c r="H74" s="2">
        <v>44613.119999999988</v>
      </c>
      <c r="I74" s="2">
        <v>83591.510000000009</v>
      </c>
      <c r="J74" s="2">
        <v>6158.9200000000046</v>
      </c>
      <c r="K74" s="2">
        <v>38978.390000000021</v>
      </c>
      <c r="L74" s="3">
        <v>0.46629603891591404</v>
      </c>
      <c r="R74" s="54"/>
      <c r="S74" s="55" t="str">
        <f t="shared" si="0"/>
        <v>Pay Mist</v>
      </c>
      <c r="T74" s="60">
        <f t="shared" si="1"/>
        <v>5385</v>
      </c>
      <c r="U74" s="61">
        <f t="shared" si="2"/>
        <v>457</v>
      </c>
      <c r="V74" s="64">
        <f t="shared" si="3"/>
        <v>8.4865366759517322E-2</v>
      </c>
      <c r="W74" s="62">
        <f t="shared" si="4"/>
        <v>12223.949999999992</v>
      </c>
      <c r="X74" s="62">
        <f t="shared" si="5"/>
        <v>37479.600000000006</v>
      </c>
      <c r="Y74" s="62">
        <f t="shared" si="6"/>
        <v>3180.7200000000057</v>
      </c>
      <c r="Z74" s="62">
        <f t="shared" si="7"/>
        <v>25255.650000000016</v>
      </c>
      <c r="AA74" s="64">
        <f t="shared" si="8"/>
        <v>0.67385057471264398</v>
      </c>
      <c r="AB74" s="49"/>
    </row>
    <row r="75" spans="4:28" ht="15.6" x14ac:dyDescent="0.3">
      <c r="D75" t="s">
        <v>182</v>
      </c>
      <c r="E75" s="4">
        <v>5180</v>
      </c>
      <c r="F75" s="4">
        <v>452</v>
      </c>
      <c r="G75" s="3">
        <v>8.725868725868742E-2</v>
      </c>
      <c r="H75" s="2">
        <v>43356.600000000042</v>
      </c>
      <c r="I75" s="2">
        <v>36052.800000000003</v>
      </c>
      <c r="J75" s="2">
        <v>3145.920000000006</v>
      </c>
      <c r="K75" s="2">
        <v>-7303.8000000000393</v>
      </c>
      <c r="L75" s="3">
        <v>-0.2025862068965528</v>
      </c>
      <c r="R75" s="54"/>
      <c r="S75" s="55" t="str">
        <f t="shared" si="0"/>
        <v>Piece Dew</v>
      </c>
      <c r="T75" s="60">
        <f t="shared" si="1"/>
        <v>6024</v>
      </c>
      <c r="U75" s="61">
        <f t="shared" si="2"/>
        <v>493</v>
      </c>
      <c r="V75" s="64">
        <f t="shared" si="3"/>
        <v>8.183930942895111E-2</v>
      </c>
      <c r="W75" s="62">
        <f t="shared" si="4"/>
        <v>21324.960000000006</v>
      </c>
      <c r="X75" s="62">
        <f t="shared" si="5"/>
        <v>31264.559999999998</v>
      </c>
      <c r="Y75" s="62">
        <f t="shared" si="6"/>
        <v>2558.6700000000073</v>
      </c>
      <c r="Z75" s="62">
        <f t="shared" si="7"/>
        <v>9939.5999999999913</v>
      </c>
      <c r="AA75" s="64">
        <f t="shared" si="8"/>
        <v>0.3179190751445084</v>
      </c>
      <c r="AB75" s="49"/>
    </row>
    <row r="76" spans="4:28" ht="15.6" x14ac:dyDescent="0.3">
      <c r="D76" t="s">
        <v>183</v>
      </c>
      <c r="E76" s="4">
        <v>6161</v>
      </c>
      <c r="F76" s="4">
        <v>494</v>
      </c>
      <c r="G76" s="3">
        <v>8.0181788670670329E-2</v>
      </c>
      <c r="H76" s="2">
        <v>23350.190000000006</v>
      </c>
      <c r="I76" s="2">
        <v>50273.759999999995</v>
      </c>
      <c r="J76" s="2">
        <v>4031.0399999999986</v>
      </c>
      <c r="K76" s="2">
        <v>26923.569999999989</v>
      </c>
      <c r="L76" s="3">
        <v>0.53553921568627438</v>
      </c>
      <c r="R76" s="54"/>
      <c r="S76" s="55" t="str">
        <f t="shared" si="0"/>
        <v>Pm Fusion</v>
      </c>
      <c r="T76" s="60">
        <f t="shared" si="1"/>
        <v>5809</v>
      </c>
      <c r="U76" s="61">
        <f t="shared" si="2"/>
        <v>428</v>
      </c>
      <c r="V76" s="64">
        <f t="shared" si="3"/>
        <v>7.3678774315717038E-2</v>
      </c>
      <c r="W76" s="62">
        <f t="shared" si="4"/>
        <v>44613.119999999988</v>
      </c>
      <c r="X76" s="62">
        <f t="shared" si="5"/>
        <v>83591.510000000009</v>
      </c>
      <c r="Y76" s="62">
        <f t="shared" si="6"/>
        <v>6158.9200000000046</v>
      </c>
      <c r="Z76" s="62">
        <f t="shared" si="7"/>
        <v>38978.390000000021</v>
      </c>
      <c r="AA76" s="64">
        <f t="shared" si="8"/>
        <v>0.46629603891591404</v>
      </c>
      <c r="AB76" s="49"/>
    </row>
    <row r="77" spans="4:28" ht="15.6" x14ac:dyDescent="0.3">
      <c r="D77" t="s">
        <v>184</v>
      </c>
      <c r="E77" s="4">
        <v>7041</v>
      </c>
      <c r="F77" s="4">
        <v>571</v>
      </c>
      <c r="G77" s="3">
        <v>8.1096435165459571E-2</v>
      </c>
      <c r="H77" s="2">
        <v>27248.669999999984</v>
      </c>
      <c r="I77" s="2">
        <v>55623.899999999958</v>
      </c>
      <c r="J77" s="2">
        <v>4510.9000000000033</v>
      </c>
      <c r="K77" s="2">
        <v>28375.229999999974</v>
      </c>
      <c r="L77" s="3">
        <v>0.51012658227848096</v>
      </c>
      <c r="R77" s="54"/>
      <c r="S77" s="55" t="str">
        <f t="shared" ref="S77:S112" si="9">D75</f>
        <v>Point Splash</v>
      </c>
      <c r="T77" s="60">
        <f t="shared" ref="T77:T112" si="10">E75</f>
        <v>5180</v>
      </c>
      <c r="U77" s="61">
        <f t="shared" ref="U77:U112" si="11">F75</f>
        <v>452</v>
      </c>
      <c r="V77" s="64">
        <f t="shared" ref="V77:V112" si="12">G75</f>
        <v>8.725868725868742E-2</v>
      </c>
      <c r="W77" s="62">
        <f t="shared" ref="W77:W112" si="13">H75</f>
        <v>43356.600000000042</v>
      </c>
      <c r="X77" s="62">
        <f t="shared" ref="X77:X112" si="14">I75</f>
        <v>36052.800000000003</v>
      </c>
      <c r="Y77" s="62">
        <f t="shared" ref="Y77:Y112" si="15">J75</f>
        <v>3145.920000000006</v>
      </c>
      <c r="Z77" s="62">
        <f t="shared" ref="Z77:Z112" si="16">K75</f>
        <v>-7303.8000000000393</v>
      </c>
      <c r="AA77" s="64">
        <f t="shared" ref="AA77:AA112" si="17">L75</f>
        <v>-0.2025862068965528</v>
      </c>
      <c r="AB77" s="49"/>
    </row>
    <row r="78" spans="4:28" ht="15.6" x14ac:dyDescent="0.3">
      <c r="D78" t="s">
        <v>185</v>
      </c>
      <c r="E78" s="4">
        <v>5486</v>
      </c>
      <c r="F78" s="4">
        <v>495</v>
      </c>
      <c r="G78" s="3">
        <v>9.0229675537732298E-2</v>
      </c>
      <c r="H78" s="2">
        <v>25509.9</v>
      </c>
      <c r="I78" s="2">
        <v>49922.600000000028</v>
      </c>
      <c r="J78" s="2">
        <v>4504.4999999999973</v>
      </c>
      <c r="K78" s="2">
        <v>24412.700000000026</v>
      </c>
      <c r="L78" s="3">
        <v>0.48901098901098927</v>
      </c>
      <c r="R78" s="54"/>
      <c r="S78" s="55" t="str">
        <f t="shared" si="9"/>
        <v>Poor Breeze</v>
      </c>
      <c r="T78" s="60">
        <f t="shared" si="10"/>
        <v>6161</v>
      </c>
      <c r="U78" s="61">
        <f t="shared" si="11"/>
        <v>494</v>
      </c>
      <c r="V78" s="64">
        <f t="shared" si="12"/>
        <v>8.0181788670670329E-2</v>
      </c>
      <c r="W78" s="62">
        <f t="shared" si="13"/>
        <v>23350.190000000006</v>
      </c>
      <c r="X78" s="62">
        <f t="shared" si="14"/>
        <v>50273.759999999995</v>
      </c>
      <c r="Y78" s="62">
        <f t="shared" si="15"/>
        <v>4031.0399999999986</v>
      </c>
      <c r="Z78" s="62">
        <f t="shared" si="16"/>
        <v>26923.569999999989</v>
      </c>
      <c r="AA78" s="64">
        <f t="shared" si="17"/>
        <v>0.53553921568627438</v>
      </c>
      <c r="AB78" s="49"/>
    </row>
    <row r="79" spans="4:28" ht="15.6" x14ac:dyDescent="0.3">
      <c r="D79" t="s">
        <v>186</v>
      </c>
      <c r="E79" s="4">
        <v>5622</v>
      </c>
      <c r="F79" s="4">
        <v>478</v>
      </c>
      <c r="G79" s="3">
        <v>8.5023123443614165E-2</v>
      </c>
      <c r="H79" s="2">
        <v>29571.719999999998</v>
      </c>
      <c r="I79" s="2">
        <v>33844.439999999995</v>
      </c>
      <c r="J79" s="2">
        <v>2877.5599999999927</v>
      </c>
      <c r="K79" s="2">
        <v>4272.7199999999975</v>
      </c>
      <c r="L79" s="3">
        <v>0.12624584717607967</v>
      </c>
      <c r="R79" s="54"/>
      <c r="S79" s="55" t="str">
        <f t="shared" si="9"/>
        <v>Property Mist</v>
      </c>
      <c r="T79" s="60">
        <f t="shared" si="10"/>
        <v>7041</v>
      </c>
      <c r="U79" s="61">
        <f t="shared" si="11"/>
        <v>571</v>
      </c>
      <c r="V79" s="64">
        <f t="shared" si="12"/>
        <v>8.1096435165459571E-2</v>
      </c>
      <c r="W79" s="62">
        <f t="shared" si="13"/>
        <v>27248.669999999984</v>
      </c>
      <c r="X79" s="62">
        <f t="shared" si="14"/>
        <v>55623.899999999958</v>
      </c>
      <c r="Y79" s="62">
        <f t="shared" si="15"/>
        <v>4510.9000000000033</v>
      </c>
      <c r="Z79" s="62">
        <f t="shared" si="16"/>
        <v>28375.229999999974</v>
      </c>
      <c r="AA79" s="64">
        <f t="shared" si="17"/>
        <v>0.51012658227848096</v>
      </c>
      <c r="AB79" s="49"/>
    </row>
    <row r="80" spans="4:28" ht="15.6" x14ac:dyDescent="0.3">
      <c r="D80" t="s">
        <v>187</v>
      </c>
      <c r="E80" s="4">
        <v>7458</v>
      </c>
      <c r="F80" s="4">
        <v>560</v>
      </c>
      <c r="G80" s="3">
        <v>7.5087154733172429E-2</v>
      </c>
      <c r="H80" s="2">
        <v>59141.94</v>
      </c>
      <c r="I80" s="2">
        <v>42883.5</v>
      </c>
      <c r="J80" s="2">
        <v>3220</v>
      </c>
      <c r="K80" s="2">
        <v>-16258.440000000002</v>
      </c>
      <c r="L80" s="3">
        <v>-0.37913043478260877</v>
      </c>
      <c r="R80" s="54"/>
      <c r="S80" s="55" t="str">
        <f t="shared" si="9"/>
        <v>Protect Rush</v>
      </c>
      <c r="T80" s="60">
        <f t="shared" si="10"/>
        <v>5486</v>
      </c>
      <c r="U80" s="61">
        <f t="shared" si="11"/>
        <v>495</v>
      </c>
      <c r="V80" s="64">
        <f t="shared" si="12"/>
        <v>9.0229675537732298E-2</v>
      </c>
      <c r="W80" s="62">
        <f t="shared" si="13"/>
        <v>25509.9</v>
      </c>
      <c r="X80" s="62">
        <f t="shared" si="14"/>
        <v>49922.600000000028</v>
      </c>
      <c r="Y80" s="62">
        <f t="shared" si="15"/>
        <v>4504.4999999999973</v>
      </c>
      <c r="Z80" s="62">
        <f t="shared" si="16"/>
        <v>24412.700000000026</v>
      </c>
      <c r="AA80" s="64">
        <f t="shared" si="17"/>
        <v>0.48901098901098927</v>
      </c>
      <c r="AB80" s="49"/>
    </row>
    <row r="81" spans="4:28" ht="15.6" x14ac:dyDescent="0.3">
      <c r="D81" t="s">
        <v>188</v>
      </c>
      <c r="E81" s="4">
        <v>5310</v>
      </c>
      <c r="F81" s="4">
        <v>449</v>
      </c>
      <c r="G81" s="3">
        <v>8.4557438794726977E-2</v>
      </c>
      <c r="H81" s="2">
        <v>30001.499999999985</v>
      </c>
      <c r="I81" s="2">
        <v>38444.400000000001</v>
      </c>
      <c r="J81" s="2">
        <v>3250.760000000002</v>
      </c>
      <c r="K81" s="2">
        <v>8442.900000000016</v>
      </c>
      <c r="L81" s="3">
        <v>0.2196132596685087</v>
      </c>
      <c r="R81" s="54"/>
      <c r="S81" s="55" t="str">
        <f t="shared" si="9"/>
        <v>Question Breeze</v>
      </c>
      <c r="T81" s="60">
        <f t="shared" si="10"/>
        <v>5622</v>
      </c>
      <c r="U81" s="61">
        <f t="shared" si="11"/>
        <v>478</v>
      </c>
      <c r="V81" s="64">
        <f t="shared" si="12"/>
        <v>8.5023123443614165E-2</v>
      </c>
      <c r="W81" s="62">
        <f t="shared" si="13"/>
        <v>29571.719999999998</v>
      </c>
      <c r="X81" s="62">
        <f t="shared" si="14"/>
        <v>33844.439999999995</v>
      </c>
      <c r="Y81" s="62">
        <f t="shared" si="15"/>
        <v>2877.5599999999927</v>
      </c>
      <c r="Z81" s="62">
        <f t="shared" si="16"/>
        <v>4272.7199999999975</v>
      </c>
      <c r="AA81" s="64">
        <f t="shared" si="17"/>
        <v>0.12624584717607967</v>
      </c>
      <c r="AB81" s="49"/>
    </row>
    <row r="82" spans="4:28" ht="15.6" x14ac:dyDescent="0.3">
      <c r="D82" t="s">
        <v>189</v>
      </c>
      <c r="E82" s="4">
        <v>6478</v>
      </c>
      <c r="F82" s="4">
        <v>519</v>
      </c>
      <c r="G82" s="3">
        <v>8.0117320160543348E-2</v>
      </c>
      <c r="H82" s="2">
        <v>22608.219999999994</v>
      </c>
      <c r="I82" s="2">
        <v>46382.479999999996</v>
      </c>
      <c r="J82" s="2">
        <v>3716.0399999999981</v>
      </c>
      <c r="K82" s="2">
        <v>23774.260000000002</v>
      </c>
      <c r="L82" s="3">
        <v>0.51256983240223475</v>
      </c>
      <c r="R82" s="54"/>
      <c r="S82" s="55" t="str">
        <f t="shared" si="9"/>
        <v>Race Rush</v>
      </c>
      <c r="T82" s="60">
        <f t="shared" si="10"/>
        <v>7458</v>
      </c>
      <c r="U82" s="61">
        <f t="shared" si="11"/>
        <v>560</v>
      </c>
      <c r="V82" s="64">
        <f t="shared" si="12"/>
        <v>7.5087154733172429E-2</v>
      </c>
      <c r="W82" s="62">
        <f t="shared" si="13"/>
        <v>59141.94</v>
      </c>
      <c r="X82" s="62">
        <f t="shared" si="14"/>
        <v>42883.5</v>
      </c>
      <c r="Y82" s="62">
        <f t="shared" si="15"/>
        <v>3220</v>
      </c>
      <c r="Z82" s="62">
        <f t="shared" si="16"/>
        <v>-16258.440000000002</v>
      </c>
      <c r="AA82" s="64">
        <f t="shared" si="17"/>
        <v>-0.37913043478260877</v>
      </c>
      <c r="AB82" s="49"/>
    </row>
    <row r="83" spans="4:28" ht="15.6" x14ac:dyDescent="0.3">
      <c r="D83" t="s">
        <v>190</v>
      </c>
      <c r="E83" s="4">
        <v>5867</v>
      </c>
      <c r="F83" s="4">
        <v>471</v>
      </c>
      <c r="G83" s="3">
        <v>8.0279529572183428E-2</v>
      </c>
      <c r="H83" s="2">
        <v>32209.830000000013</v>
      </c>
      <c r="I83" s="2">
        <v>90821.159999999989</v>
      </c>
      <c r="J83" s="2">
        <v>7291.0800000000017</v>
      </c>
      <c r="K83" s="2">
        <v>58611.329999999973</v>
      </c>
      <c r="L83" s="3">
        <v>0.64534883720930214</v>
      </c>
      <c r="R83" s="54"/>
      <c r="S83" s="55" t="str">
        <f t="shared" si="9"/>
        <v>Recent Splash</v>
      </c>
      <c r="T83" s="60">
        <f t="shared" si="10"/>
        <v>5310</v>
      </c>
      <c r="U83" s="61">
        <f t="shared" si="11"/>
        <v>449</v>
      </c>
      <c r="V83" s="64">
        <f t="shared" si="12"/>
        <v>8.4557438794726977E-2</v>
      </c>
      <c r="W83" s="62">
        <f t="shared" si="13"/>
        <v>30001.499999999985</v>
      </c>
      <c r="X83" s="62">
        <f t="shared" si="14"/>
        <v>38444.400000000001</v>
      </c>
      <c r="Y83" s="62">
        <f t="shared" si="15"/>
        <v>3250.760000000002</v>
      </c>
      <c r="Z83" s="62">
        <f t="shared" si="16"/>
        <v>8442.900000000016</v>
      </c>
      <c r="AA83" s="64">
        <f t="shared" si="17"/>
        <v>0.2196132596685087</v>
      </c>
      <c r="AB83" s="49"/>
    </row>
    <row r="84" spans="4:28" ht="15.6" x14ac:dyDescent="0.3">
      <c r="D84" t="s">
        <v>191</v>
      </c>
      <c r="E84" s="4">
        <v>5762</v>
      </c>
      <c r="F84" s="4">
        <v>450</v>
      </c>
      <c r="G84" s="3">
        <v>7.8097882679625016E-2</v>
      </c>
      <c r="H84" s="2">
        <v>26389.959999999992</v>
      </c>
      <c r="I84" s="2">
        <v>25295.180000000008</v>
      </c>
      <c r="J84" s="2">
        <v>1975.4999999999977</v>
      </c>
      <c r="K84" s="2">
        <v>-1094.7799999999843</v>
      </c>
      <c r="L84" s="3">
        <v>-4.3280182232345608E-2</v>
      </c>
      <c r="R84" s="54"/>
      <c r="S84" s="55" t="str">
        <f t="shared" si="9"/>
        <v>Record Fusion</v>
      </c>
      <c r="T84" s="60">
        <f t="shared" si="10"/>
        <v>6478</v>
      </c>
      <c r="U84" s="61">
        <f t="shared" si="11"/>
        <v>519</v>
      </c>
      <c r="V84" s="64">
        <f t="shared" si="12"/>
        <v>8.0117320160543348E-2</v>
      </c>
      <c r="W84" s="62">
        <f t="shared" si="13"/>
        <v>22608.219999999994</v>
      </c>
      <c r="X84" s="62">
        <f t="shared" si="14"/>
        <v>46382.479999999996</v>
      </c>
      <c r="Y84" s="62">
        <f t="shared" si="15"/>
        <v>3716.0399999999981</v>
      </c>
      <c r="Z84" s="62">
        <f t="shared" si="16"/>
        <v>23774.260000000002</v>
      </c>
      <c r="AA84" s="64">
        <f t="shared" si="17"/>
        <v>0.51256983240223475</v>
      </c>
      <c r="AB84" s="49"/>
    </row>
    <row r="85" spans="4:28" ht="15.6" x14ac:dyDescent="0.3">
      <c r="D85" t="s">
        <v>192</v>
      </c>
      <c r="E85" s="4">
        <v>5950</v>
      </c>
      <c r="F85" s="4">
        <v>499</v>
      </c>
      <c r="G85" s="3">
        <v>8.386554621848763E-2</v>
      </c>
      <c r="H85" s="2">
        <v>15469.999999999995</v>
      </c>
      <c r="I85" s="2">
        <v>33914.999999999985</v>
      </c>
      <c r="J85" s="2">
        <v>2844.3000000000065</v>
      </c>
      <c r="K85" s="2">
        <v>18444.999999999993</v>
      </c>
      <c r="L85" s="3">
        <v>0.54385964912280704</v>
      </c>
      <c r="R85" s="54"/>
      <c r="S85" s="55" t="str">
        <f t="shared" si="9"/>
        <v>Relate Mist</v>
      </c>
      <c r="T85" s="60">
        <f t="shared" si="10"/>
        <v>5867</v>
      </c>
      <c r="U85" s="61">
        <f t="shared" si="11"/>
        <v>471</v>
      </c>
      <c r="V85" s="64">
        <f t="shared" si="12"/>
        <v>8.0279529572183428E-2</v>
      </c>
      <c r="W85" s="62">
        <f t="shared" si="13"/>
        <v>32209.830000000013</v>
      </c>
      <c r="X85" s="62">
        <f t="shared" si="14"/>
        <v>90821.159999999989</v>
      </c>
      <c r="Y85" s="62">
        <f t="shared" si="15"/>
        <v>7291.0800000000017</v>
      </c>
      <c r="Z85" s="62">
        <f t="shared" si="16"/>
        <v>58611.329999999973</v>
      </c>
      <c r="AA85" s="64">
        <f t="shared" si="17"/>
        <v>0.64534883720930214</v>
      </c>
      <c r="AB85" s="49"/>
    </row>
    <row r="86" spans="4:28" ht="15.6" x14ac:dyDescent="0.3">
      <c r="D86" t="s">
        <v>193</v>
      </c>
      <c r="E86" s="4">
        <v>5163</v>
      </c>
      <c r="F86" s="4">
        <v>409</v>
      </c>
      <c r="G86" s="3">
        <v>7.9217509200077543E-2</v>
      </c>
      <c r="H86" s="2">
        <v>5163</v>
      </c>
      <c r="I86" s="2">
        <v>68254.859999999986</v>
      </c>
      <c r="J86" s="2">
        <v>5406.9800000000032</v>
      </c>
      <c r="K86" s="2">
        <v>63091.859999999986</v>
      </c>
      <c r="L86" s="3">
        <v>0.92435703479576403</v>
      </c>
      <c r="R86" s="54"/>
      <c r="S86" s="55" t="str">
        <f t="shared" si="9"/>
        <v>Represent Drop</v>
      </c>
      <c r="T86" s="60">
        <f t="shared" si="10"/>
        <v>5762</v>
      </c>
      <c r="U86" s="61">
        <f t="shared" si="11"/>
        <v>450</v>
      </c>
      <c r="V86" s="64">
        <f t="shared" si="12"/>
        <v>7.8097882679625016E-2</v>
      </c>
      <c r="W86" s="62">
        <f t="shared" si="13"/>
        <v>26389.959999999992</v>
      </c>
      <c r="X86" s="62">
        <f t="shared" si="14"/>
        <v>25295.180000000008</v>
      </c>
      <c r="Y86" s="62">
        <f t="shared" si="15"/>
        <v>1975.4999999999977</v>
      </c>
      <c r="Z86" s="62">
        <f t="shared" si="16"/>
        <v>-1094.7799999999843</v>
      </c>
      <c r="AA86" s="64">
        <f t="shared" si="17"/>
        <v>-4.3280182232345608E-2</v>
      </c>
      <c r="AB86" s="49"/>
    </row>
    <row r="87" spans="4:28" ht="15.6" x14ac:dyDescent="0.3">
      <c r="D87" t="s">
        <v>194</v>
      </c>
      <c r="E87" s="4">
        <v>5969</v>
      </c>
      <c r="F87" s="4">
        <v>487</v>
      </c>
      <c r="G87" s="3">
        <v>8.1588205729602986E-2</v>
      </c>
      <c r="H87" s="2">
        <v>7401.5599999999949</v>
      </c>
      <c r="I87" s="2">
        <v>37127.180000000008</v>
      </c>
      <c r="J87" s="2">
        <v>3029.1400000000021</v>
      </c>
      <c r="K87" s="2">
        <v>29725.620000000014</v>
      </c>
      <c r="L87" s="3">
        <v>0.80064308681672047</v>
      </c>
      <c r="R87" s="54"/>
      <c r="S87" s="55" t="str">
        <f t="shared" si="9"/>
        <v>Result Splash</v>
      </c>
      <c r="T87" s="60">
        <f t="shared" si="10"/>
        <v>5950</v>
      </c>
      <c r="U87" s="61">
        <f t="shared" si="11"/>
        <v>499</v>
      </c>
      <c r="V87" s="64">
        <f t="shared" si="12"/>
        <v>8.386554621848763E-2</v>
      </c>
      <c r="W87" s="62">
        <f t="shared" si="13"/>
        <v>15469.999999999995</v>
      </c>
      <c r="X87" s="62">
        <f t="shared" si="14"/>
        <v>33914.999999999985</v>
      </c>
      <c r="Y87" s="62">
        <f t="shared" si="15"/>
        <v>2844.3000000000065</v>
      </c>
      <c r="Z87" s="62">
        <f t="shared" si="16"/>
        <v>18444.999999999993</v>
      </c>
      <c r="AA87" s="64">
        <f t="shared" si="17"/>
        <v>0.54385964912280704</v>
      </c>
      <c r="AB87" s="49"/>
    </row>
    <row r="88" spans="4:28" ht="15.6" x14ac:dyDescent="0.3">
      <c r="D88" t="s">
        <v>195</v>
      </c>
      <c r="E88" s="4">
        <v>5400</v>
      </c>
      <c r="F88" s="4">
        <v>428</v>
      </c>
      <c r="G88" s="3">
        <v>7.9259259259259432E-2</v>
      </c>
      <c r="H88" s="2">
        <v>21762</v>
      </c>
      <c r="I88" s="2">
        <v>69714.000000000015</v>
      </c>
      <c r="J88" s="2">
        <v>5525.4800000000132</v>
      </c>
      <c r="K88" s="2">
        <v>47952.000000000015</v>
      </c>
      <c r="L88" s="3">
        <v>0.68783888458559261</v>
      </c>
      <c r="R88" s="54"/>
      <c r="S88" s="55" t="str">
        <f t="shared" si="9"/>
        <v>Return Mist</v>
      </c>
      <c r="T88" s="60">
        <f t="shared" si="10"/>
        <v>5163</v>
      </c>
      <c r="U88" s="61">
        <f t="shared" si="11"/>
        <v>409</v>
      </c>
      <c r="V88" s="64">
        <f t="shared" si="12"/>
        <v>7.9217509200077543E-2</v>
      </c>
      <c r="W88" s="62">
        <f t="shared" si="13"/>
        <v>5163</v>
      </c>
      <c r="X88" s="62">
        <f t="shared" si="14"/>
        <v>68254.859999999986</v>
      </c>
      <c r="Y88" s="62">
        <f t="shared" si="15"/>
        <v>5406.9800000000032</v>
      </c>
      <c r="Z88" s="62">
        <f t="shared" si="16"/>
        <v>63091.859999999986</v>
      </c>
      <c r="AA88" s="64">
        <f t="shared" si="17"/>
        <v>0.92435703479576403</v>
      </c>
      <c r="AB88" s="49"/>
    </row>
    <row r="89" spans="4:28" ht="15.6" x14ac:dyDescent="0.3">
      <c r="D89" t="s">
        <v>196</v>
      </c>
      <c r="E89" s="4">
        <v>6221</v>
      </c>
      <c r="F89" s="4">
        <v>525</v>
      </c>
      <c r="G89" s="3">
        <v>8.4391576916894626E-2</v>
      </c>
      <c r="H89" s="2">
        <v>8460.5600000000013</v>
      </c>
      <c r="I89" s="2">
        <v>64760.61</v>
      </c>
      <c r="J89" s="2">
        <v>5465.2500000000155</v>
      </c>
      <c r="K89" s="2">
        <v>56300.05</v>
      </c>
      <c r="L89" s="3">
        <v>0.86935638808837656</v>
      </c>
      <c r="R89" s="54"/>
      <c r="S89" s="55" t="str">
        <f t="shared" si="9"/>
        <v>Reveal Rush</v>
      </c>
      <c r="T89" s="60">
        <f t="shared" si="10"/>
        <v>5969</v>
      </c>
      <c r="U89" s="61">
        <f t="shared" si="11"/>
        <v>487</v>
      </c>
      <c r="V89" s="64">
        <f t="shared" si="12"/>
        <v>8.1588205729602986E-2</v>
      </c>
      <c r="W89" s="62">
        <f t="shared" si="13"/>
        <v>7401.5599999999949</v>
      </c>
      <c r="X89" s="62">
        <f t="shared" si="14"/>
        <v>37127.180000000008</v>
      </c>
      <c r="Y89" s="62">
        <f t="shared" si="15"/>
        <v>3029.1400000000021</v>
      </c>
      <c r="Z89" s="62">
        <f t="shared" si="16"/>
        <v>29725.620000000014</v>
      </c>
      <c r="AA89" s="64">
        <f t="shared" si="17"/>
        <v>0.80064308681672047</v>
      </c>
      <c r="AB89" s="49"/>
    </row>
    <row r="90" spans="4:28" ht="15.6" x14ac:dyDescent="0.3">
      <c r="D90" t="s">
        <v>197</v>
      </c>
      <c r="E90" s="4">
        <v>6554</v>
      </c>
      <c r="F90" s="4">
        <v>544</v>
      </c>
      <c r="G90" s="3">
        <v>8.3002746414403486E-2</v>
      </c>
      <c r="H90" s="2">
        <v>42207.760000000009</v>
      </c>
      <c r="I90" s="2">
        <v>65015.679999999986</v>
      </c>
      <c r="J90" s="2">
        <v>5396.4800000000032</v>
      </c>
      <c r="K90" s="2">
        <v>22807.919999999976</v>
      </c>
      <c r="L90" s="3">
        <v>0.35080645161290291</v>
      </c>
      <c r="R90" s="54"/>
      <c r="S90" s="55" t="str">
        <f t="shared" si="9"/>
        <v>Sea Drop</v>
      </c>
      <c r="T90" s="60">
        <f t="shared" si="10"/>
        <v>5400</v>
      </c>
      <c r="U90" s="61">
        <f t="shared" si="11"/>
        <v>428</v>
      </c>
      <c r="V90" s="64">
        <f t="shared" si="12"/>
        <v>7.9259259259259432E-2</v>
      </c>
      <c r="W90" s="62">
        <f t="shared" si="13"/>
        <v>21762</v>
      </c>
      <c r="X90" s="62">
        <f t="shared" si="14"/>
        <v>69714.000000000015</v>
      </c>
      <c r="Y90" s="62">
        <f t="shared" si="15"/>
        <v>5525.4800000000132</v>
      </c>
      <c r="Z90" s="62">
        <f t="shared" si="16"/>
        <v>47952.000000000015</v>
      </c>
      <c r="AA90" s="64">
        <f t="shared" si="17"/>
        <v>0.68783888458559261</v>
      </c>
      <c r="AB90" s="49"/>
    </row>
    <row r="91" spans="4:28" ht="15.6" x14ac:dyDescent="0.3">
      <c r="D91" t="s">
        <v>198</v>
      </c>
      <c r="E91" s="4">
        <v>6438</v>
      </c>
      <c r="F91" s="4">
        <v>534</v>
      </c>
      <c r="G91" s="3">
        <v>8.2945013979496857E-2</v>
      </c>
      <c r="H91" s="2">
        <v>45838.559999999983</v>
      </c>
      <c r="I91" s="2">
        <v>102364.2</v>
      </c>
      <c r="J91" s="2">
        <v>8490.6000000000113</v>
      </c>
      <c r="K91" s="2">
        <v>56525.640000000014</v>
      </c>
      <c r="L91" s="3">
        <v>0.55220125786163532</v>
      </c>
      <c r="R91" s="54"/>
      <c r="S91" s="55" t="str">
        <f t="shared" si="9"/>
        <v>Second Splash</v>
      </c>
      <c r="T91" s="60">
        <f t="shared" si="10"/>
        <v>6221</v>
      </c>
      <c r="U91" s="61">
        <f t="shared" si="11"/>
        <v>525</v>
      </c>
      <c r="V91" s="64">
        <f t="shared" si="12"/>
        <v>8.4391576916894626E-2</v>
      </c>
      <c r="W91" s="62">
        <f t="shared" si="13"/>
        <v>8460.5600000000013</v>
      </c>
      <c r="X91" s="62">
        <f t="shared" si="14"/>
        <v>64760.61</v>
      </c>
      <c r="Y91" s="62">
        <f t="shared" si="15"/>
        <v>5465.2500000000155</v>
      </c>
      <c r="Z91" s="62">
        <f t="shared" si="16"/>
        <v>56300.05</v>
      </c>
      <c r="AA91" s="64">
        <f t="shared" si="17"/>
        <v>0.86935638808837656</v>
      </c>
      <c r="AB91" s="49"/>
    </row>
    <row r="92" spans="4:28" ht="15.6" x14ac:dyDescent="0.3">
      <c r="D92" t="s">
        <v>199</v>
      </c>
      <c r="E92" s="4">
        <v>5862</v>
      </c>
      <c r="F92" s="4">
        <v>498</v>
      </c>
      <c r="G92" s="3">
        <v>8.4953940634595812E-2</v>
      </c>
      <c r="H92" s="2">
        <v>27727.26</v>
      </c>
      <c r="I92" s="2">
        <v>59792.399999999951</v>
      </c>
      <c r="J92" s="2">
        <v>5079.6000000000022</v>
      </c>
      <c r="K92" s="2">
        <v>32065.139999999952</v>
      </c>
      <c r="L92" s="3">
        <v>0.53627450980392122</v>
      </c>
      <c r="R92" s="54"/>
      <c r="S92" s="55" t="str">
        <f t="shared" si="9"/>
        <v>Series Mist</v>
      </c>
      <c r="T92" s="60">
        <f t="shared" si="10"/>
        <v>6554</v>
      </c>
      <c r="U92" s="61">
        <f t="shared" si="11"/>
        <v>544</v>
      </c>
      <c r="V92" s="64">
        <f t="shared" si="12"/>
        <v>8.3002746414403486E-2</v>
      </c>
      <c r="W92" s="62">
        <f t="shared" si="13"/>
        <v>42207.760000000009</v>
      </c>
      <c r="X92" s="62">
        <f t="shared" si="14"/>
        <v>65015.679999999986</v>
      </c>
      <c r="Y92" s="62">
        <f t="shared" si="15"/>
        <v>5396.4800000000032</v>
      </c>
      <c r="Z92" s="62">
        <f t="shared" si="16"/>
        <v>22807.919999999976</v>
      </c>
      <c r="AA92" s="64">
        <f t="shared" si="17"/>
        <v>0.35080645161290291</v>
      </c>
      <c r="AB92" s="49"/>
    </row>
    <row r="93" spans="4:28" ht="15.6" x14ac:dyDescent="0.3">
      <c r="D93" t="s">
        <v>200</v>
      </c>
      <c r="E93" s="4">
        <v>5709</v>
      </c>
      <c r="F93" s="4">
        <v>429</v>
      </c>
      <c r="G93" s="3">
        <v>7.5144508670520388E-2</v>
      </c>
      <c r="H93" s="2">
        <v>28944.63</v>
      </c>
      <c r="I93" s="2">
        <v>29629.709999999988</v>
      </c>
      <c r="J93" s="2">
        <v>2226.5100000000039</v>
      </c>
      <c r="K93" s="2">
        <v>685.07999999998719</v>
      </c>
      <c r="L93" s="3">
        <v>2.312138728323657E-2</v>
      </c>
      <c r="R93" s="54"/>
      <c r="S93" s="55" t="str">
        <f t="shared" si="9"/>
        <v>Side Brew</v>
      </c>
      <c r="T93" s="60">
        <f t="shared" si="10"/>
        <v>6438</v>
      </c>
      <c r="U93" s="61">
        <f t="shared" si="11"/>
        <v>534</v>
      </c>
      <c r="V93" s="64">
        <f t="shared" si="12"/>
        <v>8.2945013979496857E-2</v>
      </c>
      <c r="W93" s="62">
        <f t="shared" si="13"/>
        <v>45838.559999999983</v>
      </c>
      <c r="X93" s="62">
        <f t="shared" si="14"/>
        <v>102364.2</v>
      </c>
      <c r="Y93" s="62">
        <f t="shared" si="15"/>
        <v>8490.6000000000113</v>
      </c>
      <c r="Z93" s="62">
        <f t="shared" si="16"/>
        <v>56525.640000000014</v>
      </c>
      <c r="AA93" s="64">
        <f t="shared" si="17"/>
        <v>0.55220125786163532</v>
      </c>
      <c r="AB93" s="49"/>
    </row>
    <row r="94" spans="4:28" ht="15.6" x14ac:dyDescent="0.3">
      <c r="D94" t="s">
        <v>201</v>
      </c>
      <c r="E94" s="4">
        <v>7666</v>
      </c>
      <c r="F94" s="4">
        <v>533</v>
      </c>
      <c r="G94" s="3">
        <v>6.9527785024784558E-2</v>
      </c>
      <c r="H94" s="2">
        <v>71447.120000000024</v>
      </c>
      <c r="I94" s="2">
        <v>21311.480000000003</v>
      </c>
      <c r="J94" s="2">
        <v>1481.7399999999959</v>
      </c>
      <c r="K94" s="2">
        <v>-50135.640000000021</v>
      </c>
      <c r="L94" s="3">
        <v>-2.3525179856115113</v>
      </c>
      <c r="R94" s="54"/>
      <c r="S94" s="55" t="str">
        <f t="shared" si="9"/>
        <v>Society Rush</v>
      </c>
      <c r="T94" s="60">
        <f t="shared" si="10"/>
        <v>5862</v>
      </c>
      <c r="U94" s="61">
        <f t="shared" si="11"/>
        <v>498</v>
      </c>
      <c r="V94" s="64">
        <f t="shared" si="12"/>
        <v>8.4953940634595812E-2</v>
      </c>
      <c r="W94" s="62">
        <f t="shared" si="13"/>
        <v>27727.26</v>
      </c>
      <c r="X94" s="62">
        <f t="shared" si="14"/>
        <v>59792.399999999951</v>
      </c>
      <c r="Y94" s="62">
        <f t="shared" si="15"/>
        <v>5079.6000000000022</v>
      </c>
      <c r="Z94" s="62">
        <f t="shared" si="16"/>
        <v>32065.139999999952</v>
      </c>
      <c r="AA94" s="64">
        <f t="shared" si="17"/>
        <v>0.53627450980392122</v>
      </c>
      <c r="AB94" s="49"/>
    </row>
    <row r="95" spans="4:28" ht="15.6" x14ac:dyDescent="0.3">
      <c r="D95" t="s">
        <v>202</v>
      </c>
      <c r="E95" s="4">
        <v>5853</v>
      </c>
      <c r="F95" s="4">
        <v>422</v>
      </c>
      <c r="G95" s="3">
        <v>7.2099777891679484E-2</v>
      </c>
      <c r="H95" s="2">
        <v>55837.620000000024</v>
      </c>
      <c r="I95" s="2">
        <v>30728.25</v>
      </c>
      <c r="J95" s="2">
        <v>2215.5</v>
      </c>
      <c r="K95" s="2">
        <v>-25109.370000000024</v>
      </c>
      <c r="L95" s="3">
        <v>-0.81714285714285795</v>
      </c>
      <c r="R95" s="54"/>
      <c r="S95" s="55" t="str">
        <f t="shared" si="9"/>
        <v>Soldier Splash</v>
      </c>
      <c r="T95" s="60">
        <f t="shared" si="10"/>
        <v>5709</v>
      </c>
      <c r="U95" s="61">
        <f t="shared" si="11"/>
        <v>429</v>
      </c>
      <c r="V95" s="64">
        <f t="shared" si="12"/>
        <v>7.5144508670520388E-2</v>
      </c>
      <c r="W95" s="62">
        <f t="shared" si="13"/>
        <v>28944.63</v>
      </c>
      <c r="X95" s="62">
        <f t="shared" si="14"/>
        <v>29629.709999999988</v>
      </c>
      <c r="Y95" s="62">
        <f t="shared" si="15"/>
        <v>2226.5100000000039</v>
      </c>
      <c r="Z95" s="62">
        <f t="shared" si="16"/>
        <v>685.07999999998719</v>
      </c>
      <c r="AA95" s="64">
        <f t="shared" si="17"/>
        <v>2.312138728323657E-2</v>
      </c>
      <c r="AB95" s="49"/>
    </row>
    <row r="96" spans="4:28" ht="15.6" x14ac:dyDescent="0.3">
      <c r="D96" t="s">
        <v>203</v>
      </c>
      <c r="E96" s="4">
        <v>6646</v>
      </c>
      <c r="F96" s="4">
        <v>524</v>
      </c>
      <c r="G96" s="3">
        <v>7.8844417694853855E-2</v>
      </c>
      <c r="H96" s="2">
        <v>18941.099999999991</v>
      </c>
      <c r="I96" s="2">
        <v>21732.419999999995</v>
      </c>
      <c r="J96" s="2">
        <v>1713.4799999999952</v>
      </c>
      <c r="K96" s="2">
        <v>2791.3200000000033</v>
      </c>
      <c r="L96" s="3">
        <v>0.12844036697247724</v>
      </c>
      <c r="R96" s="54"/>
      <c r="S96" s="55" t="str">
        <f t="shared" si="9"/>
        <v>Somebody Fusion</v>
      </c>
      <c r="T96" s="60">
        <f t="shared" si="10"/>
        <v>7666</v>
      </c>
      <c r="U96" s="61">
        <f t="shared" si="11"/>
        <v>533</v>
      </c>
      <c r="V96" s="64">
        <f t="shared" si="12"/>
        <v>6.9527785024784558E-2</v>
      </c>
      <c r="W96" s="62">
        <f t="shared" si="13"/>
        <v>71447.120000000024</v>
      </c>
      <c r="X96" s="62">
        <f t="shared" si="14"/>
        <v>21311.480000000003</v>
      </c>
      <c r="Y96" s="62">
        <f t="shared" si="15"/>
        <v>1481.7399999999959</v>
      </c>
      <c r="Z96" s="62">
        <f t="shared" si="16"/>
        <v>-50135.640000000021</v>
      </c>
      <c r="AA96" s="64">
        <f t="shared" si="17"/>
        <v>-2.3525179856115113</v>
      </c>
      <c r="AB96" s="49"/>
    </row>
    <row r="97" spans="4:28" ht="15.6" x14ac:dyDescent="0.3">
      <c r="D97" t="s">
        <v>204</v>
      </c>
      <c r="E97" s="4">
        <v>5637</v>
      </c>
      <c r="F97" s="4">
        <v>470</v>
      </c>
      <c r="G97" s="3">
        <v>8.337768316480404E-2</v>
      </c>
      <c r="H97" s="2">
        <v>52762.319999999992</v>
      </c>
      <c r="I97" s="2">
        <v>13246.949999999992</v>
      </c>
      <c r="J97" s="2">
        <v>1104.5000000000002</v>
      </c>
      <c r="K97" s="2">
        <v>-39515.370000000003</v>
      </c>
      <c r="L97" s="3">
        <v>-2.9829787234042575</v>
      </c>
      <c r="R97" s="54"/>
      <c r="S97" s="55" t="str">
        <f t="shared" si="9"/>
        <v>Sometimes Dew</v>
      </c>
      <c r="T97" s="60">
        <f t="shared" si="10"/>
        <v>5853</v>
      </c>
      <c r="U97" s="61">
        <f t="shared" si="11"/>
        <v>422</v>
      </c>
      <c r="V97" s="64">
        <f t="shared" si="12"/>
        <v>7.2099777891679484E-2</v>
      </c>
      <c r="W97" s="62">
        <f t="shared" si="13"/>
        <v>55837.620000000024</v>
      </c>
      <c r="X97" s="62">
        <f t="shared" si="14"/>
        <v>30728.25</v>
      </c>
      <c r="Y97" s="62">
        <f t="shared" si="15"/>
        <v>2215.5</v>
      </c>
      <c r="Z97" s="62">
        <f t="shared" si="16"/>
        <v>-25109.370000000024</v>
      </c>
      <c r="AA97" s="64">
        <f t="shared" si="17"/>
        <v>-0.81714285714285795</v>
      </c>
      <c r="AB97" s="49"/>
    </row>
    <row r="98" spans="4:28" ht="15.6" x14ac:dyDescent="0.3">
      <c r="D98" t="s">
        <v>205</v>
      </c>
      <c r="E98" s="4">
        <v>5713</v>
      </c>
      <c r="F98" s="4">
        <v>453</v>
      </c>
      <c r="G98" s="3">
        <v>7.9292840889200217E-2</v>
      </c>
      <c r="H98" s="2">
        <v>49246.059999999969</v>
      </c>
      <c r="I98" s="2">
        <v>76497.069999999978</v>
      </c>
      <c r="J98" s="2">
        <v>6065.6700000000092</v>
      </c>
      <c r="K98" s="2">
        <v>27251.010000000009</v>
      </c>
      <c r="L98" s="3">
        <v>0.35623599701269626</v>
      </c>
      <c r="R98" s="54"/>
      <c r="S98" s="55" t="str">
        <f t="shared" si="9"/>
        <v>Street Breeze</v>
      </c>
      <c r="T98" s="60">
        <f t="shared" si="10"/>
        <v>6646</v>
      </c>
      <c r="U98" s="61">
        <f t="shared" si="11"/>
        <v>524</v>
      </c>
      <c r="V98" s="64">
        <f t="shared" si="12"/>
        <v>7.8844417694853855E-2</v>
      </c>
      <c r="W98" s="62">
        <f t="shared" si="13"/>
        <v>18941.099999999991</v>
      </c>
      <c r="X98" s="62">
        <f t="shared" si="14"/>
        <v>21732.419999999995</v>
      </c>
      <c r="Y98" s="62">
        <f t="shared" si="15"/>
        <v>1713.4799999999952</v>
      </c>
      <c r="Z98" s="62">
        <f t="shared" si="16"/>
        <v>2791.3200000000033</v>
      </c>
      <c r="AA98" s="64">
        <f t="shared" si="17"/>
        <v>0.12844036697247724</v>
      </c>
      <c r="AB98" s="49"/>
    </row>
    <row r="99" spans="4:28" ht="15.6" x14ac:dyDescent="0.3">
      <c r="D99" t="s">
        <v>206</v>
      </c>
      <c r="E99" s="4">
        <v>5438</v>
      </c>
      <c r="F99" s="4">
        <v>466</v>
      </c>
      <c r="G99" s="3">
        <v>8.5693269584406276E-2</v>
      </c>
      <c r="H99" s="2">
        <v>10440.959999999995</v>
      </c>
      <c r="I99" s="2">
        <v>31703.540000000008</v>
      </c>
      <c r="J99" s="2">
        <v>2716.7800000000084</v>
      </c>
      <c r="K99" s="2">
        <v>21262.580000000013</v>
      </c>
      <c r="L99" s="3">
        <v>0.67066895368782187</v>
      </c>
      <c r="R99" s="54"/>
      <c r="S99" s="55" t="str">
        <f t="shared" si="9"/>
        <v>Threat Mist</v>
      </c>
      <c r="T99" s="60">
        <f t="shared" si="10"/>
        <v>5637</v>
      </c>
      <c r="U99" s="61">
        <f t="shared" si="11"/>
        <v>470</v>
      </c>
      <c r="V99" s="64">
        <f t="shared" si="12"/>
        <v>8.337768316480404E-2</v>
      </c>
      <c r="W99" s="62">
        <f t="shared" si="13"/>
        <v>52762.319999999992</v>
      </c>
      <c r="X99" s="62">
        <f t="shared" si="14"/>
        <v>13246.949999999992</v>
      </c>
      <c r="Y99" s="62">
        <f t="shared" si="15"/>
        <v>1104.5000000000002</v>
      </c>
      <c r="Z99" s="62">
        <f t="shared" si="16"/>
        <v>-39515.370000000003</v>
      </c>
      <c r="AA99" s="64">
        <f t="shared" si="17"/>
        <v>-2.9829787234042575</v>
      </c>
      <c r="AB99" s="49"/>
    </row>
    <row r="100" spans="4:28" ht="15.6" x14ac:dyDescent="0.3">
      <c r="D100" t="s">
        <v>207</v>
      </c>
      <c r="E100" s="4">
        <v>5384</v>
      </c>
      <c r="F100" s="4">
        <v>460</v>
      </c>
      <c r="G100" s="3">
        <v>8.5438335809806795E-2</v>
      </c>
      <c r="H100" s="2">
        <v>24443.360000000001</v>
      </c>
      <c r="I100" s="2">
        <v>41241.440000000002</v>
      </c>
      <c r="J100" s="2">
        <v>3523.5999999999985</v>
      </c>
      <c r="K100" s="2">
        <v>16798.080000000002</v>
      </c>
      <c r="L100" s="3">
        <v>0.40731070496083555</v>
      </c>
      <c r="R100" s="54"/>
      <c r="S100" s="55" t="str">
        <f t="shared" si="9"/>
        <v>Throughout Fusion</v>
      </c>
      <c r="T100" s="60">
        <f t="shared" si="10"/>
        <v>5713</v>
      </c>
      <c r="U100" s="61">
        <f t="shared" si="11"/>
        <v>453</v>
      </c>
      <c r="V100" s="64">
        <f t="shared" si="12"/>
        <v>7.9292840889200217E-2</v>
      </c>
      <c r="W100" s="62">
        <f t="shared" si="13"/>
        <v>49246.059999999969</v>
      </c>
      <c r="X100" s="62">
        <f t="shared" si="14"/>
        <v>76497.069999999978</v>
      </c>
      <c r="Y100" s="62">
        <f t="shared" si="15"/>
        <v>6065.6700000000092</v>
      </c>
      <c r="Z100" s="62">
        <f t="shared" si="16"/>
        <v>27251.010000000009</v>
      </c>
      <c r="AA100" s="64">
        <f t="shared" si="17"/>
        <v>0.35623599701269626</v>
      </c>
      <c r="AB100" s="49"/>
    </row>
    <row r="101" spans="4:28" ht="15.6" x14ac:dyDescent="0.3">
      <c r="D101" t="s">
        <v>208</v>
      </c>
      <c r="E101" s="4">
        <v>5839</v>
      </c>
      <c r="F101" s="4">
        <v>513</v>
      </c>
      <c r="G101" s="3">
        <v>8.7857509847576801E-2</v>
      </c>
      <c r="H101" s="2">
        <v>12904.189999999995</v>
      </c>
      <c r="I101" s="2">
        <v>87351.440000000017</v>
      </c>
      <c r="J101" s="2">
        <v>7674.4800000000159</v>
      </c>
      <c r="K101" s="2">
        <v>74447.250000000029</v>
      </c>
      <c r="L101" s="3">
        <v>0.8522727272727274</v>
      </c>
      <c r="R101" s="54"/>
      <c r="S101" s="55" t="str">
        <f t="shared" si="9"/>
        <v>Too Splash</v>
      </c>
      <c r="T101" s="60">
        <f t="shared" si="10"/>
        <v>5438</v>
      </c>
      <c r="U101" s="61">
        <f t="shared" si="11"/>
        <v>466</v>
      </c>
      <c r="V101" s="64">
        <f t="shared" si="12"/>
        <v>8.5693269584406276E-2</v>
      </c>
      <c r="W101" s="62">
        <f t="shared" si="13"/>
        <v>10440.959999999995</v>
      </c>
      <c r="X101" s="62">
        <f t="shared" si="14"/>
        <v>31703.540000000008</v>
      </c>
      <c r="Y101" s="62">
        <f t="shared" si="15"/>
        <v>2716.7800000000084</v>
      </c>
      <c r="Z101" s="62">
        <f t="shared" si="16"/>
        <v>21262.580000000013</v>
      </c>
      <c r="AA101" s="64">
        <f t="shared" si="17"/>
        <v>0.67066895368782187</v>
      </c>
      <c r="AB101" s="49"/>
    </row>
    <row r="102" spans="4:28" ht="15.6" x14ac:dyDescent="0.3">
      <c r="D102" t="s">
        <v>209</v>
      </c>
      <c r="E102" s="4">
        <v>6255</v>
      </c>
      <c r="F102" s="4">
        <v>534</v>
      </c>
      <c r="G102" s="3">
        <v>8.537170263788961E-2</v>
      </c>
      <c r="H102" s="2">
        <v>18639.900000000012</v>
      </c>
      <c r="I102" s="2">
        <v>93011.849999999962</v>
      </c>
      <c r="J102" s="2">
        <v>7940.5799999999899</v>
      </c>
      <c r="K102" s="2">
        <v>74371.949999999953</v>
      </c>
      <c r="L102" s="3">
        <v>0.79959650302622709</v>
      </c>
      <c r="R102" s="54"/>
      <c r="S102" s="55" t="str">
        <f t="shared" si="9"/>
        <v>Training Mist</v>
      </c>
      <c r="T102" s="60">
        <f t="shared" si="10"/>
        <v>5384</v>
      </c>
      <c r="U102" s="61">
        <f t="shared" si="11"/>
        <v>460</v>
      </c>
      <c r="V102" s="64">
        <f t="shared" si="12"/>
        <v>8.5438335809806795E-2</v>
      </c>
      <c r="W102" s="62">
        <f t="shared" si="13"/>
        <v>24443.360000000001</v>
      </c>
      <c r="X102" s="62">
        <f t="shared" si="14"/>
        <v>41241.440000000002</v>
      </c>
      <c r="Y102" s="62">
        <f t="shared" si="15"/>
        <v>3523.5999999999985</v>
      </c>
      <c r="Z102" s="62">
        <f t="shared" si="16"/>
        <v>16798.080000000002</v>
      </c>
      <c r="AA102" s="64">
        <f t="shared" si="17"/>
        <v>0.40731070496083555</v>
      </c>
      <c r="AB102" s="49"/>
    </row>
    <row r="103" spans="4:28" ht="15.6" x14ac:dyDescent="0.3">
      <c r="D103" t="s">
        <v>210</v>
      </c>
      <c r="E103" s="4">
        <v>6099</v>
      </c>
      <c r="F103" s="4">
        <v>459</v>
      </c>
      <c r="G103" s="3">
        <v>7.5258239055582876E-2</v>
      </c>
      <c r="H103" s="2">
        <v>45864.480000000003</v>
      </c>
      <c r="I103" s="2">
        <v>45803.489999999991</v>
      </c>
      <c r="J103" s="2">
        <v>3447.0899999999992</v>
      </c>
      <c r="K103" s="2">
        <v>-60.990000000012515</v>
      </c>
      <c r="L103" s="3">
        <v>-1.331557922769914E-3</v>
      </c>
      <c r="R103" s="54"/>
      <c r="S103" s="55" t="str">
        <f t="shared" si="9"/>
        <v>Tv Breeze</v>
      </c>
      <c r="T103" s="60">
        <f t="shared" si="10"/>
        <v>5839</v>
      </c>
      <c r="U103" s="61">
        <f t="shared" si="11"/>
        <v>513</v>
      </c>
      <c r="V103" s="64">
        <f t="shared" si="12"/>
        <v>8.7857509847576801E-2</v>
      </c>
      <c r="W103" s="62">
        <f t="shared" si="13"/>
        <v>12904.189999999995</v>
      </c>
      <c r="X103" s="62">
        <f t="shared" si="14"/>
        <v>87351.440000000017</v>
      </c>
      <c r="Y103" s="62">
        <f t="shared" si="15"/>
        <v>7674.4800000000159</v>
      </c>
      <c r="Z103" s="62">
        <f t="shared" si="16"/>
        <v>74447.250000000029</v>
      </c>
      <c r="AA103" s="64">
        <f t="shared" si="17"/>
        <v>0.8522727272727274</v>
      </c>
      <c r="AB103" s="49"/>
    </row>
    <row r="104" spans="4:28" ht="15.6" x14ac:dyDescent="0.3">
      <c r="D104" t="s">
        <v>211</v>
      </c>
      <c r="E104" s="4">
        <v>5930</v>
      </c>
      <c r="F104" s="4">
        <v>472</v>
      </c>
      <c r="G104" s="3">
        <v>7.9595278246205867E-2</v>
      </c>
      <c r="H104" s="2">
        <v>24372.300000000014</v>
      </c>
      <c r="I104" s="2">
        <v>51057.299999999974</v>
      </c>
      <c r="J104" s="2">
        <v>4063.9200000000046</v>
      </c>
      <c r="K104" s="2">
        <v>26684.99999999996</v>
      </c>
      <c r="L104" s="3">
        <v>0.52264808362369286</v>
      </c>
      <c r="R104" s="54"/>
      <c r="S104" s="55" t="str">
        <f t="shared" si="9"/>
        <v>Two Breeze</v>
      </c>
      <c r="T104" s="60">
        <f t="shared" si="10"/>
        <v>6255</v>
      </c>
      <c r="U104" s="61">
        <f t="shared" si="11"/>
        <v>534</v>
      </c>
      <c r="V104" s="64">
        <f t="shared" si="12"/>
        <v>8.537170263788961E-2</v>
      </c>
      <c r="W104" s="62">
        <f t="shared" si="13"/>
        <v>18639.900000000012</v>
      </c>
      <c r="X104" s="62">
        <f t="shared" si="14"/>
        <v>93011.849999999962</v>
      </c>
      <c r="Y104" s="62">
        <f t="shared" si="15"/>
        <v>7940.5799999999899</v>
      </c>
      <c r="Z104" s="62">
        <f t="shared" si="16"/>
        <v>74371.949999999953</v>
      </c>
      <c r="AA104" s="64">
        <f t="shared" si="17"/>
        <v>0.79959650302622709</v>
      </c>
      <c r="AB104" s="49"/>
    </row>
    <row r="105" spans="4:28" ht="15.6" x14ac:dyDescent="0.3">
      <c r="D105" t="s">
        <v>212</v>
      </c>
      <c r="E105" s="4">
        <v>6378</v>
      </c>
      <c r="F105" s="4">
        <v>474</v>
      </c>
      <c r="G105" s="3">
        <v>7.4317968015051805E-2</v>
      </c>
      <c r="H105" s="2">
        <v>26915.160000000003</v>
      </c>
      <c r="I105" s="2">
        <v>73028.100000000006</v>
      </c>
      <c r="J105" s="2">
        <v>5427.3000000000056</v>
      </c>
      <c r="K105" s="2">
        <v>46112.94</v>
      </c>
      <c r="L105" s="3">
        <v>0.6314410480349345</v>
      </c>
      <c r="R105" s="54"/>
      <c r="S105" s="55" t="str">
        <f t="shared" si="9"/>
        <v>Value Fusion</v>
      </c>
      <c r="T105" s="60">
        <f t="shared" si="10"/>
        <v>6099</v>
      </c>
      <c r="U105" s="61">
        <f t="shared" si="11"/>
        <v>459</v>
      </c>
      <c r="V105" s="64">
        <f t="shared" si="12"/>
        <v>7.5258239055582876E-2</v>
      </c>
      <c r="W105" s="62">
        <f t="shared" si="13"/>
        <v>45864.480000000003</v>
      </c>
      <c r="X105" s="62">
        <f t="shared" si="14"/>
        <v>45803.489999999991</v>
      </c>
      <c r="Y105" s="62">
        <f t="shared" si="15"/>
        <v>3447.0899999999992</v>
      </c>
      <c r="Z105" s="62">
        <f t="shared" si="16"/>
        <v>-60.990000000012515</v>
      </c>
      <c r="AA105" s="64">
        <f t="shared" si="17"/>
        <v>-1.331557922769914E-3</v>
      </c>
      <c r="AB105" s="49"/>
    </row>
    <row r="106" spans="4:28" ht="15.6" x14ac:dyDescent="0.3">
      <c r="D106" t="s">
        <v>213</v>
      </c>
      <c r="E106" s="4">
        <v>6030</v>
      </c>
      <c r="F106" s="4">
        <v>495</v>
      </c>
      <c r="G106" s="3">
        <v>8.2089552238805985E-2</v>
      </c>
      <c r="H106" s="2">
        <v>56621.69999999999</v>
      </c>
      <c r="I106" s="2">
        <v>54872.999999999956</v>
      </c>
      <c r="J106" s="2">
        <v>4504.4999999999973</v>
      </c>
      <c r="K106" s="2">
        <v>-1748.7000000000335</v>
      </c>
      <c r="L106" s="3">
        <v>-3.1868131868132504E-2</v>
      </c>
      <c r="R106" s="54"/>
      <c r="S106" s="55" t="str">
        <f t="shared" si="9"/>
        <v>Wait Drop</v>
      </c>
      <c r="T106" s="60">
        <f t="shared" si="10"/>
        <v>5930</v>
      </c>
      <c r="U106" s="61">
        <f t="shared" si="11"/>
        <v>472</v>
      </c>
      <c r="V106" s="64">
        <f t="shared" si="12"/>
        <v>7.9595278246205867E-2</v>
      </c>
      <c r="W106" s="62">
        <f t="shared" si="13"/>
        <v>24372.300000000014</v>
      </c>
      <c r="X106" s="62">
        <f t="shared" si="14"/>
        <v>51057.299999999974</v>
      </c>
      <c r="Y106" s="62">
        <f t="shared" si="15"/>
        <v>4063.9200000000046</v>
      </c>
      <c r="Z106" s="62">
        <f t="shared" si="16"/>
        <v>26684.99999999996</v>
      </c>
      <c r="AA106" s="64">
        <f t="shared" si="17"/>
        <v>0.52264808362369286</v>
      </c>
      <c r="AB106" s="49"/>
    </row>
    <row r="107" spans="4:28" ht="15.6" x14ac:dyDescent="0.3">
      <c r="D107" t="s">
        <v>214</v>
      </c>
      <c r="E107" s="4">
        <v>6191</v>
      </c>
      <c r="F107" s="4">
        <v>498</v>
      </c>
      <c r="G107" s="3">
        <v>8.0439347439831985E-2</v>
      </c>
      <c r="H107" s="2">
        <v>34483.870000000003</v>
      </c>
      <c r="I107" s="2">
        <v>29592.979999999996</v>
      </c>
      <c r="J107" s="2">
        <v>2380.4399999999987</v>
      </c>
      <c r="K107" s="2">
        <v>-4890.8900000000067</v>
      </c>
      <c r="L107" s="3">
        <v>-0.16527196652719689</v>
      </c>
      <c r="R107" s="54"/>
      <c r="S107" s="55" t="str">
        <f t="shared" si="9"/>
        <v>Way Splash</v>
      </c>
      <c r="T107" s="60">
        <f t="shared" si="10"/>
        <v>6378</v>
      </c>
      <c r="U107" s="61">
        <f t="shared" si="11"/>
        <v>474</v>
      </c>
      <c r="V107" s="64">
        <f t="shared" si="12"/>
        <v>7.4317968015051805E-2</v>
      </c>
      <c r="W107" s="62">
        <f t="shared" si="13"/>
        <v>26915.160000000003</v>
      </c>
      <c r="X107" s="62">
        <f t="shared" si="14"/>
        <v>73028.100000000006</v>
      </c>
      <c r="Y107" s="62">
        <f t="shared" si="15"/>
        <v>5427.3000000000056</v>
      </c>
      <c r="Z107" s="62">
        <f t="shared" si="16"/>
        <v>46112.94</v>
      </c>
      <c r="AA107" s="64">
        <f t="shared" si="17"/>
        <v>0.6314410480349345</v>
      </c>
      <c r="AB107" s="49"/>
    </row>
    <row r="108" spans="4:28" ht="15.6" x14ac:dyDescent="0.3">
      <c r="D108" t="s">
        <v>215</v>
      </c>
      <c r="E108" s="4">
        <v>5934</v>
      </c>
      <c r="F108" s="4">
        <v>450</v>
      </c>
      <c r="G108" s="3">
        <v>7.5834175935288212E-2</v>
      </c>
      <c r="H108" s="2">
        <v>8485.619999999999</v>
      </c>
      <c r="I108" s="2">
        <v>63315.77999999997</v>
      </c>
      <c r="J108" s="2">
        <v>4801.5</v>
      </c>
      <c r="K108" s="2">
        <v>54830.159999999974</v>
      </c>
      <c r="L108" s="3">
        <v>0.865979381443299</v>
      </c>
      <c r="R108" s="54"/>
      <c r="S108" s="55" t="str">
        <f t="shared" si="9"/>
        <v>West Rush</v>
      </c>
      <c r="T108" s="60">
        <f t="shared" si="10"/>
        <v>6030</v>
      </c>
      <c r="U108" s="61">
        <f t="shared" si="11"/>
        <v>495</v>
      </c>
      <c r="V108" s="64">
        <f t="shared" si="12"/>
        <v>8.2089552238805985E-2</v>
      </c>
      <c r="W108" s="62">
        <f t="shared" si="13"/>
        <v>56621.69999999999</v>
      </c>
      <c r="X108" s="62">
        <f t="shared" si="14"/>
        <v>54872.999999999956</v>
      </c>
      <c r="Y108" s="62">
        <f t="shared" si="15"/>
        <v>4504.4999999999973</v>
      </c>
      <c r="Z108" s="62">
        <f t="shared" si="16"/>
        <v>-1748.7000000000335</v>
      </c>
      <c r="AA108" s="64">
        <f t="shared" si="17"/>
        <v>-3.1868131868132504E-2</v>
      </c>
      <c r="AB108" s="49"/>
    </row>
    <row r="109" spans="4:28" ht="15.6" x14ac:dyDescent="0.3">
      <c r="D109" t="s">
        <v>216</v>
      </c>
      <c r="E109" s="4">
        <v>6332</v>
      </c>
      <c r="F109" s="4">
        <v>502</v>
      </c>
      <c r="G109" s="3">
        <v>7.9279848389134544E-2</v>
      </c>
      <c r="H109" s="2">
        <v>50022.800000000032</v>
      </c>
      <c r="I109" s="2">
        <v>71678.239999999962</v>
      </c>
      <c r="J109" s="2">
        <v>5682.6399999999967</v>
      </c>
      <c r="K109" s="2">
        <v>21655.43999999993</v>
      </c>
      <c r="L109" s="3">
        <v>0.30212014134275539</v>
      </c>
      <c r="R109" s="54"/>
      <c r="S109" s="55" t="str">
        <f t="shared" si="9"/>
        <v>What Rush</v>
      </c>
      <c r="T109" s="60">
        <f t="shared" si="10"/>
        <v>6191</v>
      </c>
      <c r="U109" s="61">
        <f t="shared" si="11"/>
        <v>498</v>
      </c>
      <c r="V109" s="64">
        <f t="shared" si="12"/>
        <v>8.0439347439831985E-2</v>
      </c>
      <c r="W109" s="62">
        <f t="shared" si="13"/>
        <v>34483.870000000003</v>
      </c>
      <c r="X109" s="62">
        <f t="shared" si="14"/>
        <v>29592.979999999996</v>
      </c>
      <c r="Y109" s="62">
        <f t="shared" si="15"/>
        <v>2380.4399999999987</v>
      </c>
      <c r="Z109" s="62">
        <f t="shared" si="16"/>
        <v>-4890.8900000000067</v>
      </c>
      <c r="AA109" s="64">
        <f t="shared" si="17"/>
        <v>-0.16527196652719689</v>
      </c>
      <c r="AB109" s="49"/>
    </row>
    <row r="110" spans="4:28" ht="15.6" x14ac:dyDescent="0.3">
      <c r="D110" t="s">
        <v>217</v>
      </c>
      <c r="E110" s="4">
        <v>6231</v>
      </c>
      <c r="F110" s="4">
        <v>493</v>
      </c>
      <c r="G110" s="3">
        <v>7.9120526400256685E-2</v>
      </c>
      <c r="H110" s="2">
        <v>6168.6899999999969</v>
      </c>
      <c r="I110" s="2">
        <v>15265.950000000006</v>
      </c>
      <c r="J110" s="2">
        <v>1207.849999999999</v>
      </c>
      <c r="K110" s="2">
        <v>9097.2600000000093</v>
      </c>
      <c r="L110" s="3">
        <v>0.59591836734693915</v>
      </c>
      <c r="R110" s="54"/>
      <c r="S110" s="55" t="str">
        <f t="shared" si="9"/>
        <v>Window Dew</v>
      </c>
      <c r="T110" s="60">
        <f t="shared" si="10"/>
        <v>5934</v>
      </c>
      <c r="U110" s="61">
        <f t="shared" si="11"/>
        <v>450</v>
      </c>
      <c r="V110" s="64">
        <f t="shared" si="12"/>
        <v>7.5834175935288212E-2</v>
      </c>
      <c r="W110" s="62">
        <f t="shared" si="13"/>
        <v>8485.619999999999</v>
      </c>
      <c r="X110" s="62">
        <f t="shared" si="14"/>
        <v>63315.77999999997</v>
      </c>
      <c r="Y110" s="62">
        <f t="shared" si="15"/>
        <v>4801.5</v>
      </c>
      <c r="Z110" s="62">
        <f t="shared" si="16"/>
        <v>54830.159999999974</v>
      </c>
      <c r="AA110" s="64">
        <f t="shared" si="17"/>
        <v>0.865979381443299</v>
      </c>
      <c r="AB110" s="49"/>
    </row>
    <row r="111" spans="4:28" ht="15.6" x14ac:dyDescent="0.3">
      <c r="R111" s="54"/>
      <c r="S111" s="55" t="str">
        <f t="shared" si="9"/>
        <v>Woman Dew</v>
      </c>
      <c r="T111" s="60">
        <f t="shared" si="10"/>
        <v>6332</v>
      </c>
      <c r="U111" s="61">
        <f t="shared" si="11"/>
        <v>502</v>
      </c>
      <c r="V111" s="64">
        <f t="shared" si="12"/>
        <v>7.9279848389134544E-2</v>
      </c>
      <c r="W111" s="62">
        <f t="shared" si="13"/>
        <v>50022.800000000032</v>
      </c>
      <c r="X111" s="62">
        <f t="shared" si="14"/>
        <v>71678.239999999962</v>
      </c>
      <c r="Y111" s="62">
        <f t="shared" si="15"/>
        <v>5682.6399999999967</v>
      </c>
      <c r="Z111" s="62">
        <f t="shared" si="16"/>
        <v>21655.43999999993</v>
      </c>
      <c r="AA111" s="64">
        <f t="shared" si="17"/>
        <v>0.30212014134275539</v>
      </c>
      <c r="AB111" s="49"/>
    </row>
    <row r="112" spans="4:28" ht="15.6" x14ac:dyDescent="0.3">
      <c r="R112" s="54"/>
      <c r="S112" s="55" t="str">
        <f t="shared" si="9"/>
        <v>Would Rush</v>
      </c>
      <c r="T112" s="60">
        <f t="shared" si="10"/>
        <v>6231</v>
      </c>
      <c r="U112" s="61">
        <f t="shared" si="11"/>
        <v>493</v>
      </c>
      <c r="V112" s="64">
        <f t="shared" si="12"/>
        <v>7.9120526400256685E-2</v>
      </c>
      <c r="W112" s="62">
        <f t="shared" si="13"/>
        <v>6168.6899999999969</v>
      </c>
      <c r="X112" s="62">
        <f t="shared" si="14"/>
        <v>15265.950000000006</v>
      </c>
      <c r="Y112" s="62">
        <f t="shared" si="15"/>
        <v>1207.849999999999</v>
      </c>
      <c r="Z112" s="62">
        <f t="shared" si="16"/>
        <v>9097.2600000000093</v>
      </c>
      <c r="AA112" s="64">
        <f t="shared" si="17"/>
        <v>0.59591836734693915</v>
      </c>
      <c r="AB112" s="49"/>
    </row>
    <row r="113" spans="18:28" x14ac:dyDescent="0.3">
      <c r="R113" s="56"/>
      <c r="S113" s="50"/>
      <c r="T113" s="50"/>
      <c r="U113" s="50"/>
      <c r="V113" s="50"/>
      <c r="W113" s="50"/>
      <c r="X113" s="50"/>
      <c r="Y113" s="50"/>
      <c r="Z113" s="50"/>
      <c r="AA113" s="50"/>
      <c r="AB113" s="51"/>
    </row>
  </sheetData>
  <conditionalFormatting sqref="T13:T112">
    <cfRule type="dataBar" priority="9">
      <dataBar>
        <cfvo type="min"/>
        <cfvo type="max"/>
        <color theme="0" tint="-0.249977111117893"/>
      </dataBar>
      <extLst>
        <ext xmlns:x14="http://schemas.microsoft.com/office/spreadsheetml/2009/9/main" uri="{B025F937-C7B1-47D3-B67F-A62EFF666E3E}">
          <x14:id>{D9573CC6-BA57-400F-B73D-89ED1EA3A70B}</x14:id>
        </ext>
      </extLst>
    </cfRule>
  </conditionalFormatting>
  <conditionalFormatting sqref="U13:U112">
    <cfRule type="dataBar" priority="8">
      <dataBar>
        <cfvo type="min"/>
        <cfvo type="max"/>
        <color theme="0" tint="-0.14999847407452621"/>
      </dataBar>
      <extLst>
        <ext xmlns:x14="http://schemas.microsoft.com/office/spreadsheetml/2009/9/main" uri="{B025F937-C7B1-47D3-B67F-A62EFF666E3E}">
          <x14:id>{0BECE928-C649-4610-BA3E-87CF175275D0}</x14:id>
        </ext>
      </extLst>
    </cfRule>
  </conditionalFormatting>
  <conditionalFormatting sqref="W13:W112">
    <cfRule type="dataBar" priority="7">
      <dataBar>
        <cfvo type="min"/>
        <cfvo type="max"/>
        <color theme="0" tint="-0.14999847407452621"/>
      </dataBar>
      <extLst>
        <ext xmlns:x14="http://schemas.microsoft.com/office/spreadsheetml/2009/9/main" uri="{B025F937-C7B1-47D3-B67F-A62EFF666E3E}">
          <x14:id>{3A2304F4-7AB7-414F-AF85-66CDAFB5B99E}</x14:id>
        </ext>
      </extLst>
    </cfRule>
  </conditionalFormatting>
  <conditionalFormatting sqref="X13:X112">
    <cfRule type="dataBar" priority="6">
      <dataBar>
        <cfvo type="min"/>
        <cfvo type="max"/>
        <color theme="0" tint="-0.249977111117893"/>
      </dataBar>
      <extLst>
        <ext xmlns:x14="http://schemas.microsoft.com/office/spreadsheetml/2009/9/main" uri="{B025F937-C7B1-47D3-B67F-A62EFF666E3E}">
          <x14:id>{BA78F690-BC7E-4376-986C-3E91CDF09E94}</x14:id>
        </ext>
      </extLst>
    </cfRule>
  </conditionalFormatting>
  <conditionalFormatting sqref="Y13:Y112">
    <cfRule type="dataBar" priority="5">
      <dataBar>
        <cfvo type="min"/>
        <cfvo type="max"/>
        <color theme="0" tint="-0.14999847407452621"/>
      </dataBar>
      <extLst>
        <ext xmlns:x14="http://schemas.microsoft.com/office/spreadsheetml/2009/9/main" uri="{B025F937-C7B1-47D3-B67F-A62EFF666E3E}">
          <x14:id>{5048A2CB-4363-47E2-A3E1-3A46586D0D0C}</x14:id>
        </ext>
      </extLst>
    </cfRule>
  </conditionalFormatting>
  <conditionalFormatting sqref="Z13:Z112">
    <cfRule type="dataBar" priority="4">
      <dataBar>
        <cfvo type="num" val="0"/>
        <cfvo type="num" val="100000"/>
        <color theme="0" tint="-0.14999847407452621"/>
      </dataBar>
      <extLst>
        <ext xmlns:x14="http://schemas.microsoft.com/office/spreadsheetml/2009/9/main" uri="{B025F937-C7B1-47D3-B67F-A62EFF666E3E}">
          <x14:id>{6103F14A-C831-497C-A416-22F2D7EABD74}</x14:id>
        </ext>
      </extLst>
    </cfRule>
  </conditionalFormatting>
  <conditionalFormatting sqref="V13:V112">
    <cfRule type="colorScale" priority="3">
      <colorScale>
        <cfvo type="percent" val="8"/>
        <cfvo type="max"/>
        <color rgb="FFFCFCFF"/>
        <color rgb="FFF8696B"/>
      </colorScale>
    </cfRule>
  </conditionalFormatting>
  <conditionalFormatting sqref="AA13:AA112">
    <cfRule type="colorScale" priority="1">
      <colorScale>
        <cfvo type="min"/>
        <cfvo type="percentile" val="50"/>
        <cfvo type="max"/>
        <color theme="0"/>
        <color theme="9" tint="0.79998168889431442"/>
        <color rgb="FF63BE7B"/>
      </colorScale>
    </cfRule>
  </conditionalFormatting>
  <pageMargins left="0.7" right="0.7" top="0.75" bottom="0.75" header="0.3" footer="0.3"/>
  <pageSetup orientation="portrait"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D9573CC6-BA57-400F-B73D-89ED1EA3A70B}">
            <x14:dataBar minLength="0" maxLength="100" gradient="0">
              <x14:cfvo type="autoMin"/>
              <x14:cfvo type="autoMax"/>
              <x14:negativeFillColor rgb="FFFF0000"/>
              <x14:axisColor rgb="FF000000"/>
            </x14:dataBar>
          </x14:cfRule>
          <xm:sqref>T13:T112</xm:sqref>
        </x14:conditionalFormatting>
        <x14:conditionalFormatting xmlns:xm="http://schemas.microsoft.com/office/excel/2006/main">
          <x14:cfRule type="dataBar" id="{0BECE928-C649-4610-BA3E-87CF175275D0}">
            <x14:dataBar minLength="0" maxLength="100" gradient="0">
              <x14:cfvo type="autoMin"/>
              <x14:cfvo type="autoMax"/>
              <x14:negativeFillColor rgb="FFFF0000"/>
              <x14:axisColor rgb="FF000000"/>
            </x14:dataBar>
          </x14:cfRule>
          <xm:sqref>U13:U112</xm:sqref>
        </x14:conditionalFormatting>
        <x14:conditionalFormatting xmlns:xm="http://schemas.microsoft.com/office/excel/2006/main">
          <x14:cfRule type="dataBar" id="{3A2304F4-7AB7-414F-AF85-66CDAFB5B99E}">
            <x14:dataBar minLength="0" maxLength="100" gradient="0">
              <x14:cfvo type="autoMin"/>
              <x14:cfvo type="autoMax"/>
              <x14:negativeFillColor rgb="FFFF0000"/>
              <x14:axisColor rgb="FF000000"/>
            </x14:dataBar>
          </x14:cfRule>
          <xm:sqref>W13:W112</xm:sqref>
        </x14:conditionalFormatting>
        <x14:conditionalFormatting xmlns:xm="http://schemas.microsoft.com/office/excel/2006/main">
          <x14:cfRule type="dataBar" id="{BA78F690-BC7E-4376-986C-3E91CDF09E94}">
            <x14:dataBar minLength="0" maxLength="100" gradient="0">
              <x14:cfvo type="autoMin"/>
              <x14:cfvo type="autoMax"/>
              <x14:negativeFillColor rgb="FFFF0000"/>
              <x14:axisColor rgb="FF000000"/>
            </x14:dataBar>
          </x14:cfRule>
          <xm:sqref>X13:X112</xm:sqref>
        </x14:conditionalFormatting>
        <x14:conditionalFormatting xmlns:xm="http://schemas.microsoft.com/office/excel/2006/main">
          <x14:cfRule type="dataBar" id="{5048A2CB-4363-47E2-A3E1-3A46586D0D0C}">
            <x14:dataBar minLength="0" maxLength="100" gradient="0">
              <x14:cfvo type="autoMin"/>
              <x14:cfvo type="autoMax"/>
              <x14:negativeFillColor rgb="FFFF0000"/>
              <x14:axisColor rgb="FF000000"/>
            </x14:dataBar>
          </x14:cfRule>
          <xm:sqref>Y13:Y112</xm:sqref>
        </x14:conditionalFormatting>
        <x14:conditionalFormatting xmlns:xm="http://schemas.microsoft.com/office/excel/2006/main">
          <x14:cfRule type="dataBar" id="{6103F14A-C831-497C-A416-22F2D7EABD74}">
            <x14:dataBar minLength="0" maxLength="100" gradient="0" direction="leftToRight">
              <x14:cfvo type="num">
                <xm:f>0</xm:f>
              </x14:cfvo>
              <x14:cfvo type="num">
                <xm:f>100000</xm:f>
              </x14:cfvo>
              <x14:negativeFillColor rgb="FFFF0000"/>
              <x14:axisColor rgb="FF000000"/>
            </x14:dataBar>
          </x14:cfRule>
          <xm:sqref>Z13:Z112</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57B57-8AC6-4544-8DB3-7FF5AD426AF1}">
  <sheetPr codeName="Sheet5"/>
  <dimension ref="A1"/>
  <sheetViews>
    <sheetView showGridLines="0" showRowColHeaders="0" workbookViewId="0">
      <selection activeCell="P6" sqref="P6"/>
    </sheetView>
  </sheetViews>
  <sheetFormatPr defaultRowHeight="14.4" x14ac:dyDescent="0.3"/>
  <cols>
    <col min="1" max="16384" width="8.88671875" style="1"/>
  </cols>
  <sheetData/>
  <pageMargins left="0.7" right="0.7" top="0.75" bottom="0.75" header="0.3" footer="0.3"/>
  <pageSetup orientation="portrait" r:id="rId1"/>
  <drawing r:id="rId2"/>
  <legacy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E67C68-1E24-401E-9526-CA59A83362E4}">
  <sheetPr codeName="Sheet6"/>
  <dimension ref="F10"/>
  <sheetViews>
    <sheetView showGridLines="0" showRowColHeaders="0" workbookViewId="0"/>
  </sheetViews>
  <sheetFormatPr defaultRowHeight="14.4" x14ac:dyDescent="0.3"/>
  <cols>
    <col min="1" max="16384" width="8.88671875" style="1"/>
  </cols>
  <sheetData>
    <row r="10" spans="6:6" x14ac:dyDescent="0.3">
      <c r="F10" s="1" t="s">
        <v>11</v>
      </c>
    </row>
  </sheetData>
  <pageMargins left="0.7" right="0.7" top="0.75" bottom="0.75" header="0.3" footer="0.3"/>
  <pageSetup orientation="portrait" r:id="rId1"/>
  <drawing r:id="rId2"/>
  <legacy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3DCBE-DE80-4255-B79C-03497F2FCD3A}">
  <sheetPr codeName="Sheet7"/>
  <dimension ref="A1"/>
  <sheetViews>
    <sheetView showGridLines="0" showRowColHeaders="0" tabSelected="1" workbookViewId="0">
      <selection activeCell="O10" sqref="O10"/>
    </sheetView>
  </sheetViews>
  <sheetFormatPr defaultRowHeight="14.4" x14ac:dyDescent="0.3"/>
  <cols>
    <col min="1" max="16384" width="8.88671875" style="1"/>
  </cols>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Option Button 1">
              <controlPr defaultSize="0" autoFill="0" autoLine="0" autoPict="0">
                <anchor moveWithCells="1">
                  <from>
                    <xdr:col>9</xdr:col>
                    <xdr:colOff>388620</xdr:colOff>
                    <xdr:row>13</xdr:row>
                    <xdr:rowOff>106680</xdr:rowOff>
                  </from>
                  <to>
                    <xdr:col>9</xdr:col>
                    <xdr:colOff>601980</xdr:colOff>
                    <xdr:row>14</xdr:row>
                    <xdr:rowOff>175260</xdr:rowOff>
                  </to>
                </anchor>
              </controlPr>
            </control>
          </mc:Choice>
        </mc:AlternateContent>
        <mc:AlternateContent xmlns:mc="http://schemas.openxmlformats.org/markup-compatibility/2006">
          <mc:Choice Requires="x14">
            <control shapeId="5122" r:id="rId5" name="Option Button 2">
              <controlPr defaultSize="0" autoFill="0" autoLine="0" autoPict="0">
                <anchor moveWithCells="1">
                  <from>
                    <xdr:col>11</xdr:col>
                    <xdr:colOff>45720</xdr:colOff>
                    <xdr:row>13</xdr:row>
                    <xdr:rowOff>99060</xdr:rowOff>
                  </from>
                  <to>
                    <xdr:col>11</xdr:col>
                    <xdr:colOff>259080</xdr:colOff>
                    <xdr:row>14</xdr:row>
                    <xdr:rowOff>167640</xdr:rowOff>
                  </to>
                </anchor>
              </controlPr>
            </control>
          </mc:Choice>
        </mc:AlternateContent>
        <mc:AlternateContent xmlns:mc="http://schemas.openxmlformats.org/markup-compatibility/2006">
          <mc:Choice Requires="x14">
            <control shapeId="5123" r:id="rId6" name="Drop Down 3">
              <controlPr defaultSize="0" autoLine="0" autoPict="0">
                <anchor moveWithCells="1">
                  <from>
                    <xdr:col>13</xdr:col>
                    <xdr:colOff>495300</xdr:colOff>
                    <xdr:row>13</xdr:row>
                    <xdr:rowOff>144780</xdr:rowOff>
                  </from>
                  <to>
                    <xdr:col>15</xdr:col>
                    <xdr:colOff>335280</xdr:colOff>
                    <xdr:row>15</xdr:row>
                    <xdr:rowOff>0</xdr:rowOff>
                  </to>
                </anchor>
              </controlPr>
            </control>
          </mc:Choice>
        </mc:AlternateContent>
        <mc:AlternateContent xmlns:mc="http://schemas.openxmlformats.org/markup-compatibility/2006">
          <mc:Choice Requires="x14">
            <control shapeId="31" r:id="rId7" name="Group Box 26">
              <controlPr defaultSize="0" autoFill="0" autoPict="0">
                <anchor moveWithCells="1">
                  <from>
                    <xdr:col>16</xdr:col>
                    <xdr:colOff>167640</xdr:colOff>
                    <xdr:row>15</xdr:row>
                    <xdr:rowOff>83820</xdr:rowOff>
                  </from>
                  <to>
                    <xdr:col>19</xdr:col>
                    <xdr:colOff>190500</xdr:colOff>
                    <xdr:row>18</xdr:row>
                    <xdr:rowOff>83820</xdr:rowOff>
                  </to>
                </anchor>
              </controlPr>
            </control>
          </mc:Choice>
        </mc:AlternateContent>
        <mc:AlternateContent xmlns:mc="http://schemas.openxmlformats.org/markup-compatibility/2006">
          <mc:Choice Requires="x14">
            <control shapeId="39" r:id="rId8" name="Option Button 27">
              <controlPr defaultSize="0" autoFill="0" autoLine="0" autoPict="0">
                <anchor moveWithCells="1">
                  <from>
                    <xdr:col>17</xdr:col>
                    <xdr:colOff>30480</xdr:colOff>
                    <xdr:row>15</xdr:row>
                    <xdr:rowOff>137160</xdr:rowOff>
                  </from>
                  <to>
                    <xdr:col>17</xdr:col>
                    <xdr:colOff>236220</xdr:colOff>
                    <xdr:row>17</xdr:row>
                    <xdr:rowOff>30480</xdr:rowOff>
                  </to>
                </anchor>
              </controlPr>
            </control>
          </mc:Choice>
        </mc:AlternateContent>
        <mc:AlternateContent xmlns:mc="http://schemas.openxmlformats.org/markup-compatibility/2006">
          <mc:Choice Requires="x14">
            <control shapeId="42" r:id="rId9" name="Option Button 28">
              <controlPr defaultSize="0" autoFill="0" autoLine="0" autoPict="0">
                <anchor moveWithCells="1">
                  <from>
                    <xdr:col>18</xdr:col>
                    <xdr:colOff>342900</xdr:colOff>
                    <xdr:row>15</xdr:row>
                    <xdr:rowOff>137160</xdr:rowOff>
                  </from>
                  <to>
                    <xdr:col>18</xdr:col>
                    <xdr:colOff>556260</xdr:colOff>
                    <xdr:row>17</xdr:row>
                    <xdr:rowOff>30480</xdr:rowOff>
                  </to>
                </anchor>
              </controlPr>
            </control>
          </mc:Choice>
        </mc:AlternateContent>
      </controls>
    </mc:Choice>
  </mc:AlternateContent>
  <extLst>
    <ext xmlns:x14="http://schemas.microsoft.com/office/spreadsheetml/2009/9/main" uri="{A8765BA9-456A-4dab-B4F3-ACF838C121DE}">
      <x14:slicerList>
        <x14:slicer r:id="rId10"/>
      </x14:slicerList>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2A768-24A4-4A3F-9050-0E60D021BD40}">
  <sheetPr codeName="Sheet8"/>
  <dimension ref="B12:N29"/>
  <sheetViews>
    <sheetView showGridLines="0" showRowColHeaders="0" workbookViewId="0">
      <selection activeCell="I34" sqref="I34"/>
    </sheetView>
  </sheetViews>
  <sheetFormatPr defaultRowHeight="14.4" x14ac:dyDescent="0.3"/>
  <cols>
    <col min="1" max="1" width="12.6640625" style="1" customWidth="1"/>
    <col min="2" max="10" width="18.44140625" style="1" customWidth="1"/>
    <col min="11" max="16384" width="8.88671875" style="1"/>
  </cols>
  <sheetData>
    <row r="12" spans="2:14" ht="19.2" customHeight="1" x14ac:dyDescent="0.3"/>
    <row r="13" spans="2:14" ht="19.2" customHeight="1" x14ac:dyDescent="0.3">
      <c r="N13" s="1">
        <v>1</v>
      </c>
    </row>
    <row r="14" spans="2:14" ht="19.2" customHeight="1" x14ac:dyDescent="0.3">
      <c r="B14" s="65" t="str">
        <f>Table1[[#Headers],[Product Name]]</f>
        <v>Product Name</v>
      </c>
      <c r="C14" s="66" t="str">
        <f>Table1[[#Headers],[ Quantity]]</f>
        <v xml:space="preserve"> Quantity</v>
      </c>
      <c r="D14" s="66" t="str">
        <f>Table1[[#Headers],[Qty Returned]]</f>
        <v>Qty Returned</v>
      </c>
      <c r="E14" s="66" t="str">
        <f>Table1[[#Headers],[Refund Rate]]</f>
        <v>Refund Rate</v>
      </c>
      <c r="F14" s="66" t="str">
        <f>Table1[[#Headers],[COGS]]</f>
        <v>COGS</v>
      </c>
      <c r="G14" s="66" t="str">
        <f>Table1[[#Headers],[Total Revenue]]</f>
        <v>Total Revenue</v>
      </c>
      <c r="H14" s="66" t="str">
        <f>Table1[[#Headers],[Total Refund]]</f>
        <v>Total Refund</v>
      </c>
      <c r="I14" s="66" t="str">
        <f>Table1[[#Headers],[Profit Margin]]</f>
        <v>Profit Margin</v>
      </c>
      <c r="J14" s="67" t="str">
        <f>Table1[[#Headers],[Profit Margin %]]</f>
        <v>Profit Margin %</v>
      </c>
    </row>
    <row r="15" spans="2:14" ht="19.2" customHeight="1" x14ac:dyDescent="0.3">
      <c r="B15" s="68" t="str" cm="1">
        <f t="array" ref="B15">INDEX(Table1[[#All],[Product Name]],TableStartRow+1)</f>
        <v>A Splash</v>
      </c>
      <c r="C15" s="69" cm="1">
        <f t="array" ref="C15">INDEX(Table1[[#All],[ Quantity]],TableStartRow+1)</f>
        <v>5352</v>
      </c>
      <c r="D15" s="70" cm="1">
        <f t="array" ref="D15">INDEX(Table1[[#All],[Qty Returned]],TableStartRow+1)</f>
        <v>416</v>
      </c>
      <c r="E15" s="71" cm="1">
        <f t="array" ref="E15">INDEX(Table1[[#All],[Refund Rate]],TableStartRow+1)</f>
        <v>7.7727952167413947E-2</v>
      </c>
      <c r="F15" s="72" cm="1">
        <f t="array" ref="F15">INDEX(Table1[[#All],[COGS]],TableStartRow+1)</f>
        <v>27669.84</v>
      </c>
      <c r="G15" s="72" cm="1">
        <f t="array" ref="G15">INDEX(Table1[[#All],[Total Revenue]],TableStartRow+1)</f>
        <v>60156.480000000032</v>
      </c>
      <c r="H15" s="72" cm="1">
        <f t="array" ref="H15">INDEX(Table1[[#All],[Total Refund]],TableStartRow+1)</f>
        <v>4675.8399999999965</v>
      </c>
      <c r="I15" s="72" cm="1">
        <f t="array" ref="I15">INDEX(Table1[[#All],[Profit Margin]],TableStartRow+1)</f>
        <v>32486.640000000032</v>
      </c>
      <c r="J15" s="71" cm="1">
        <f t="array" ref="J15">INDEX(Table1[[#All],[Profit Margin %]],TableStartRow+1)</f>
        <v>0.54003558718861233</v>
      </c>
    </row>
    <row r="16" spans="2:14" ht="19.2" customHeight="1" x14ac:dyDescent="0.3">
      <c r="B16" s="55" t="str" cm="1">
        <f t="array" ref="B16">INDEX(Table1[[#All],[Product Name]],TableStartRow+2)</f>
        <v>Above Brew</v>
      </c>
      <c r="C16" s="60" cm="1">
        <f t="array" ref="C16">INDEX(Table1[[#All],[ Quantity]],TableStartRow+2)</f>
        <v>6080</v>
      </c>
      <c r="D16" s="61" cm="1">
        <f t="array" ref="D16">INDEX(Table1[[#All],[Qty Returned]],TableStartRow+2)</f>
        <v>480</v>
      </c>
      <c r="E16" s="64" cm="1">
        <f t="array" ref="E16">INDEX(Table1[[#All],[Refund Rate]],TableStartRow+2)</f>
        <v>7.8947368421052447E-2</v>
      </c>
      <c r="F16" s="62" cm="1">
        <f t="array" ref="F16">INDEX(Table1[[#All],[COGS]],TableStartRow+2)</f>
        <v>29062.400000000009</v>
      </c>
      <c r="G16" s="62" cm="1">
        <f t="array" ref="G16">INDEX(Table1[[#All],[Total Revenue]],TableStartRow+2)</f>
        <v>75027.199999999983</v>
      </c>
      <c r="H16" s="62" cm="1">
        <f t="array" ref="H16">INDEX(Table1[[#All],[Total Refund]],TableStartRow+2)</f>
        <v>5923.1999999999844</v>
      </c>
      <c r="I16" s="62" cm="1">
        <f t="array" ref="I16">INDEX(Table1[[#All],[Profit Margin]],TableStartRow+2)</f>
        <v>45964.799999999974</v>
      </c>
      <c r="J16" s="64" cm="1">
        <f t="array" ref="J16">INDEX(Table1[[#All],[Profit Margin %]],TableStartRow+2)</f>
        <v>0.61264181523500794</v>
      </c>
    </row>
    <row r="17" spans="2:10" ht="19.2" customHeight="1" x14ac:dyDescent="0.3">
      <c r="B17" s="55" t="str" cm="1">
        <f t="array" ref="B17">INDEX(Table1[[#All],[Product Name]],TableStartRow+3)</f>
        <v>Administration Fusion</v>
      </c>
      <c r="C17" s="60" cm="1">
        <f t="array" ref="C17">INDEX(Table1[[#All],[ Quantity]],TableStartRow+3)</f>
        <v>6209</v>
      </c>
      <c r="D17" s="61" cm="1">
        <f t="array" ref="D17">INDEX(Table1[[#All],[Qty Returned]],TableStartRow+3)</f>
        <v>506</v>
      </c>
      <c r="E17" s="64" cm="1">
        <f t="array" ref="E17">INDEX(Table1[[#All],[Refund Rate]],TableStartRow+3)</f>
        <v>8.1494604606216922E-2</v>
      </c>
      <c r="F17" s="62" cm="1">
        <f t="array" ref="F17">INDEX(Table1[[#All],[COGS]],TableStartRow+3)</f>
        <v>25767.35000000002</v>
      </c>
      <c r="G17" s="62" cm="1">
        <f t="array" ref="G17">INDEX(Table1[[#All],[Total Revenue]],TableStartRow+3)</f>
        <v>74011.280000000028</v>
      </c>
      <c r="H17" s="62" cm="1">
        <f t="array" ref="H17">INDEX(Table1[[#All],[Total Refund]],TableStartRow+3)</f>
        <v>6031.5200000000123</v>
      </c>
      <c r="I17" s="62" cm="1">
        <f t="array" ref="I17">INDEX(Table1[[#All],[Profit Margin]],TableStartRow+3)</f>
        <v>48243.930000000008</v>
      </c>
      <c r="J17" s="64" cm="1">
        <f t="array" ref="J17">INDEX(Table1[[#All],[Profit Margin %]],TableStartRow+3)</f>
        <v>0.65184563758389247</v>
      </c>
    </row>
    <row r="18" spans="2:10" ht="19.2" customHeight="1" x14ac:dyDescent="0.3">
      <c r="B18" s="55" t="str" cm="1">
        <f t="array" ref="B18">INDEX(Table1[[#All],[Product Name]],TableStartRow+4)</f>
        <v>Against Rush</v>
      </c>
      <c r="C18" s="60" cm="1">
        <f t="array" ref="C18">INDEX(Table1[[#All],[ Quantity]],TableStartRow+4)</f>
        <v>5529</v>
      </c>
      <c r="D18" s="61" cm="1">
        <f t="array" ref="D18">INDEX(Table1[[#All],[Qty Returned]],TableStartRow+4)</f>
        <v>433</v>
      </c>
      <c r="E18" s="64" cm="1">
        <f t="array" ref="E18">INDEX(Table1[[#All],[Refund Rate]],TableStartRow+4)</f>
        <v>7.8314342557424282E-2</v>
      </c>
      <c r="F18" s="62" cm="1">
        <f t="array" ref="F18">INDEX(Table1[[#All],[COGS]],TableStartRow+4)</f>
        <v>12163.8</v>
      </c>
      <c r="G18" s="62" cm="1">
        <f t="array" ref="G18">INDEX(Table1[[#All],[Total Revenue]],TableStartRow+4)</f>
        <v>64081.109999999993</v>
      </c>
      <c r="H18" s="62" cm="1">
        <f t="array" ref="H18">INDEX(Table1[[#All],[Total Refund]],TableStartRow+4)</f>
        <v>5018.4699999999866</v>
      </c>
      <c r="I18" s="62" cm="1">
        <f t="array" ref="I18">INDEX(Table1[[#All],[Profit Margin]],TableStartRow+4)</f>
        <v>51917.31</v>
      </c>
      <c r="J18" s="64" cm="1">
        <f t="array" ref="J18">INDEX(Table1[[#All],[Profit Margin %]],TableStartRow+4)</f>
        <v>0.81018119068162209</v>
      </c>
    </row>
    <row r="19" spans="2:10" ht="19.2" customHeight="1" x14ac:dyDescent="0.3">
      <c r="B19" s="55" t="str" cm="1">
        <f t="array" ref="B19">INDEX(Table1[[#All],[Product Name]],TableStartRow+5)</f>
        <v>Alone Splash</v>
      </c>
      <c r="C19" s="60" cm="1">
        <f t="array" ref="C19">INDEX(Table1[[#All],[ Quantity]],TableStartRow+5)</f>
        <v>6931</v>
      </c>
      <c r="D19" s="61" cm="1">
        <f t="array" ref="D19">INDEX(Table1[[#All],[Qty Returned]],TableStartRow+5)</f>
        <v>580</v>
      </c>
      <c r="E19" s="64" cm="1">
        <f t="array" ref="E19">INDEX(Table1[[#All],[Refund Rate]],TableStartRow+5)</f>
        <v>8.3682008368201138E-2</v>
      </c>
      <c r="F19" s="62" cm="1">
        <f t="array" ref="F19">INDEX(Table1[[#All],[COGS]],TableStartRow+5)</f>
        <v>63210.720000000001</v>
      </c>
      <c r="G19" s="62" cm="1">
        <f t="array" ref="G19">INDEX(Table1[[#All],[Total Revenue]],TableStartRow+5)</f>
        <v>67300.00999999998</v>
      </c>
      <c r="H19" s="62" cm="1">
        <f t="array" ref="H19">INDEX(Table1[[#All],[Total Refund]],TableStartRow+5)</f>
        <v>5631.8000000000184</v>
      </c>
      <c r="I19" s="62" cm="1">
        <f t="array" ref="I19">INDEX(Table1[[#All],[Profit Margin]],TableStartRow+5)</f>
        <v>4089.289999999979</v>
      </c>
      <c r="J19" s="64" cm="1">
        <f t="array" ref="J19">INDEX(Table1[[#All],[Profit Margin %]],TableStartRow+5)</f>
        <v>6.0762100926879212E-2</v>
      </c>
    </row>
    <row r="20" spans="2:10" ht="19.2" customHeight="1" x14ac:dyDescent="0.3">
      <c r="B20" s="55" t="str" cm="1">
        <f t="array" ref="B20">INDEX(Table1[[#All],[Product Name]],TableStartRow+6)</f>
        <v>Animal Breeze</v>
      </c>
      <c r="C20" s="60" cm="1">
        <f t="array" ref="C20">INDEX(Table1[[#All],[ Quantity]],TableStartRow+6)</f>
        <v>6349</v>
      </c>
      <c r="D20" s="61" cm="1">
        <f t="array" ref="D20">INDEX(Table1[[#All],[Qty Returned]],TableStartRow+6)</f>
        <v>526</v>
      </c>
      <c r="E20" s="64" cm="1">
        <f t="array" ref="E20">INDEX(Table1[[#All],[Refund Rate]],TableStartRow+6)</f>
        <v>8.2847692550007762E-2</v>
      </c>
      <c r="F20" s="62" cm="1">
        <f t="array" ref="F20">INDEX(Table1[[#All],[COGS]],TableStartRow+6)</f>
        <v>32697.35000000002</v>
      </c>
      <c r="G20" s="62" cm="1">
        <f t="array" ref="G20">INDEX(Table1[[#All],[Total Revenue]],TableStartRow+6)</f>
        <v>51553.879999999968</v>
      </c>
      <c r="H20" s="62" cm="1">
        <f t="array" ref="H20">INDEX(Table1[[#All],[Total Refund]],TableStartRow+6)</f>
        <v>4271.1199999999917</v>
      </c>
      <c r="I20" s="62" cm="1">
        <f t="array" ref="I20">INDEX(Table1[[#All],[Profit Margin]],TableStartRow+6)</f>
        <v>18856.529999999948</v>
      </c>
      <c r="J20" s="64" cm="1">
        <f t="array" ref="J20">INDEX(Table1[[#All],[Profit Margin %]],TableStartRow+6)</f>
        <v>0.36576354679802875</v>
      </c>
    </row>
    <row r="21" spans="2:10" ht="19.2" customHeight="1" x14ac:dyDescent="0.3">
      <c r="B21" s="55" t="str" cm="1">
        <f t="array" ref="B21">INDEX(Table1[[#All],[Product Name]],TableStartRow+7)</f>
        <v>Any Brew</v>
      </c>
      <c r="C21" s="60" cm="1">
        <f t="array" ref="C21">INDEX(Table1[[#All],[ Quantity]],TableStartRow+7)</f>
        <v>5840</v>
      </c>
      <c r="D21" s="61" cm="1">
        <f t="array" ref="D21">INDEX(Table1[[#All],[Qty Returned]],TableStartRow+7)</f>
        <v>503</v>
      </c>
      <c r="E21" s="64" cm="1">
        <f t="array" ref="E21">INDEX(Table1[[#All],[Refund Rate]],TableStartRow+7)</f>
        <v>8.6130136986301564E-2</v>
      </c>
      <c r="F21" s="62" cm="1">
        <f t="array" ref="F21">INDEX(Table1[[#All],[COGS]],TableStartRow+7)</f>
        <v>29667.200000000001</v>
      </c>
      <c r="G21" s="62" cm="1">
        <f t="array" ref="G21">INDEX(Table1[[#All],[Total Revenue]],TableStartRow+7)</f>
        <v>82986.399999999994</v>
      </c>
      <c r="H21" s="62" cm="1">
        <f t="array" ref="H21">INDEX(Table1[[#All],[Total Refund]],TableStartRow+7)</f>
        <v>7147.6300000000156</v>
      </c>
      <c r="I21" s="62" cm="1">
        <f t="array" ref="I21">INDEX(Table1[[#All],[Profit Margin]],TableStartRow+7)</f>
        <v>53319.199999999997</v>
      </c>
      <c r="J21" s="64" cm="1">
        <f t="array" ref="J21">INDEX(Table1[[#All],[Profit Margin %]],TableStartRow+7)</f>
        <v>0.64250527797325829</v>
      </c>
    </row>
    <row r="22" spans="2:10" ht="19.2" customHeight="1" x14ac:dyDescent="0.3">
      <c r="B22" s="55" t="str" cm="1">
        <f t="array" ref="B22">INDEX(Table1[[#All],[Product Name]],TableStartRow+8)</f>
        <v>Assume Mist</v>
      </c>
      <c r="C22" s="60" cm="1">
        <f t="array" ref="C22">INDEX(Table1[[#All],[ Quantity]],TableStartRow+8)</f>
        <v>5522</v>
      </c>
      <c r="D22" s="61" cm="1">
        <f t="array" ref="D22">INDEX(Table1[[#All],[Qty Returned]],TableStartRow+8)</f>
        <v>460</v>
      </c>
      <c r="E22" s="64" cm="1">
        <f t="array" ref="E22">INDEX(Table1[[#All],[Refund Rate]],TableStartRow+8)</f>
        <v>8.3303151032234748E-2</v>
      </c>
      <c r="F22" s="62" cm="1">
        <f t="array" ref="F22">INDEX(Table1[[#All],[COGS]],TableStartRow+8)</f>
        <v>51962.020000000019</v>
      </c>
      <c r="G22" s="62" cm="1">
        <f t="array" ref="G22">INDEX(Table1[[#All],[Total Revenue]],TableStartRow+8)</f>
        <v>63834.319999999949</v>
      </c>
      <c r="H22" s="62" cm="1">
        <f t="array" ref="H22">INDEX(Table1[[#All],[Total Refund]],TableStartRow+8)</f>
        <v>5317.5999999999985</v>
      </c>
      <c r="I22" s="62" cm="1">
        <f t="array" ref="I22">INDEX(Table1[[#All],[Profit Margin]],TableStartRow+8)</f>
        <v>11872.29999999993</v>
      </c>
      <c r="J22" s="64" cm="1">
        <f t="array" ref="J22">INDEX(Table1[[#All],[Profit Margin %]],TableStartRow+8)</f>
        <v>0.18598615916954922</v>
      </c>
    </row>
    <row r="23" spans="2:10" ht="19.2" customHeight="1" x14ac:dyDescent="0.3">
      <c r="B23" s="55" t="str" cm="1">
        <f t="array" ref="B23">INDEX(Table1[[#All],[Product Name]],TableStartRow+9)</f>
        <v>Attorney Mist</v>
      </c>
      <c r="C23" s="60" cm="1">
        <f t="array" ref="C23">INDEX(Table1[[#All],[ Quantity]],TableStartRow+9)</f>
        <v>6545</v>
      </c>
      <c r="D23" s="61" cm="1">
        <f t="array" ref="D23">INDEX(Table1[[#All],[Qty Returned]],TableStartRow+9)</f>
        <v>488</v>
      </c>
      <c r="E23" s="64" cm="1">
        <f t="array" ref="E23">INDEX(Table1[[#All],[Refund Rate]],TableStartRow+9)</f>
        <v>7.4560733384262973E-2</v>
      </c>
      <c r="F23" s="62" cm="1">
        <f t="array" ref="F23">INDEX(Table1[[#All],[COGS]],TableStartRow+9)</f>
        <v>11126.5</v>
      </c>
      <c r="G23" s="62" cm="1">
        <f t="array" ref="G23">INDEX(Table1[[#All],[Total Revenue]],TableStartRow+9)</f>
        <v>89208.349999999962</v>
      </c>
      <c r="H23" s="62" cm="1">
        <f t="array" ref="H23">INDEX(Table1[[#All],[Total Refund]],TableStartRow+9)</f>
        <v>6651.4400000000123</v>
      </c>
      <c r="I23" s="62" cm="1">
        <f t="array" ref="I23">INDEX(Table1[[#All],[Profit Margin]],TableStartRow+9)</f>
        <v>78081.849999999962</v>
      </c>
      <c r="J23" s="64" cm="1">
        <f t="array" ref="J23">INDEX(Table1[[#All],[Profit Margin %]],TableStartRow+9)</f>
        <v>0.87527512839325017</v>
      </c>
    </row>
    <row r="24" spans="2:10" ht="19.2" customHeight="1" x14ac:dyDescent="0.3">
      <c r="B24" s="55" t="str" cm="1">
        <f t="array" ref="B24">INDEX(Table1[[#All],[Product Name]],TableStartRow+10)</f>
        <v>Audience Fusion</v>
      </c>
      <c r="C24" s="60" cm="1">
        <f t="array" ref="C24">INDEX(Table1[[#All],[ Quantity]],TableStartRow+10)</f>
        <v>5379</v>
      </c>
      <c r="D24" s="61" cm="1">
        <f t="array" ref="D24">INDEX(Table1[[#All],[Qty Returned]],TableStartRow+10)</f>
        <v>472</v>
      </c>
      <c r="E24" s="64" cm="1">
        <f t="array" ref="E24">INDEX(Table1[[#All],[Refund Rate]],TableStartRow+10)</f>
        <v>8.7748652165829846E-2</v>
      </c>
      <c r="F24" s="62" cm="1">
        <f t="array" ref="F24">INDEX(Table1[[#All],[COGS]],TableStartRow+10)</f>
        <v>35393.819999999992</v>
      </c>
      <c r="G24" s="62" cm="1">
        <f t="array" ref="G24">INDEX(Table1[[#All],[Total Revenue]],TableStartRow+10)</f>
        <v>37760.580000000016</v>
      </c>
      <c r="H24" s="62" cm="1">
        <f t="array" ref="H24">INDEX(Table1[[#All],[Total Refund]],TableStartRow+10)</f>
        <v>3313.4399999999928</v>
      </c>
      <c r="I24" s="62" cm="1">
        <f t="array" ref="I24">INDEX(Table1[[#All],[Profit Margin]],TableStartRow+10)</f>
        <v>2366.7600000000239</v>
      </c>
      <c r="J24" s="64" cm="1">
        <f t="array" ref="J24">INDEX(Table1[[#All],[Profit Margin %]],TableStartRow+10)</f>
        <v>6.2678062678063279E-2</v>
      </c>
    </row>
    <row r="25" spans="2:10" ht="19.2" customHeight="1" x14ac:dyDescent="0.3">
      <c r="B25" s="55" t="str" cm="1">
        <f t="array" ref="B25">INDEX(Table1[[#All],[Product Name]],TableStartRow+11)</f>
        <v>Bar Drop</v>
      </c>
      <c r="C25" s="60" cm="1">
        <f t="array" ref="C25">INDEX(Table1[[#All],[ Quantity]],TableStartRow+11)</f>
        <v>5339</v>
      </c>
      <c r="D25" s="61" cm="1">
        <f t="array" ref="D25">INDEX(Table1[[#All],[Qty Returned]],TableStartRow+11)</f>
        <v>426</v>
      </c>
      <c r="E25" s="64" cm="1">
        <f t="array" ref="E25">INDEX(Table1[[#All],[Refund Rate]],TableStartRow+11)</f>
        <v>7.979022288818137E-2</v>
      </c>
      <c r="F25" s="62" cm="1">
        <f t="array" ref="F25">INDEX(Table1[[#All],[COGS]],TableStartRow+11)</f>
        <v>29578.05999999999</v>
      </c>
      <c r="G25" s="62" cm="1">
        <f t="array" ref="G25">INDEX(Table1[[#All],[Total Revenue]],TableStartRow+11)</f>
        <v>19540.740000000013</v>
      </c>
      <c r="H25" s="62" cm="1">
        <f t="array" ref="H25">INDEX(Table1[[#All],[Total Refund]],TableStartRow+11)</f>
        <v>1559.1600000000021</v>
      </c>
      <c r="I25" s="62" cm="1">
        <f t="array" ref="I25">INDEX(Table1[[#All],[Profit Margin]],TableStartRow+11)</f>
        <v>-10037.319999999978</v>
      </c>
      <c r="J25" s="64" cm="1">
        <f t="array" ref="J25">INDEX(Table1[[#All],[Profit Margin %]],TableStartRow+11)</f>
        <v>-0.51366120218579092</v>
      </c>
    </row>
    <row r="26" spans="2:10" ht="19.2" customHeight="1" x14ac:dyDescent="0.3">
      <c r="B26" s="55" t="str" cm="1">
        <f t="array" ref="B26">INDEX(Table1[[#All],[Product Name]],TableStartRow+12)</f>
        <v>Begin Brew</v>
      </c>
      <c r="C26" s="60" cm="1">
        <f t="array" ref="C26">INDEX(Table1[[#All],[ Quantity]],TableStartRow+12)</f>
        <v>6861</v>
      </c>
      <c r="D26" s="61" cm="1">
        <f t="array" ref="D26">INDEX(Table1[[#All],[Qty Returned]],TableStartRow+12)</f>
        <v>571</v>
      </c>
      <c r="E26" s="64" cm="1">
        <f t="array" ref="E26">INDEX(Table1[[#All],[Refund Rate]],TableStartRow+12)</f>
        <v>8.3224019822183387E-2</v>
      </c>
      <c r="F26" s="62" cm="1">
        <f t="array" ref="F26">INDEX(Table1[[#All],[COGS]],TableStartRow+12)</f>
        <v>13173.120000000003</v>
      </c>
      <c r="G26" s="62" cm="1">
        <f t="array" ref="G26">INDEX(Table1[[#All],[Total Revenue]],TableStartRow+12)</f>
        <v>108197.97000000004</v>
      </c>
      <c r="H26" s="62" cm="1">
        <f t="array" ref="H26">INDEX(Table1[[#All],[Total Refund]],TableStartRow+12)</f>
        <v>9004.6700000000073</v>
      </c>
      <c r="I26" s="62" cm="1">
        <f t="array" ref="I26">INDEX(Table1[[#All],[Profit Margin]],TableStartRow+12)</f>
        <v>95024.850000000035</v>
      </c>
      <c r="J26" s="64" cm="1">
        <f t="array" ref="J26">INDEX(Table1[[#All],[Profit Margin %]],TableStartRow+12)</f>
        <v>0.87824984147114771</v>
      </c>
    </row>
    <row r="27" spans="2:10" ht="19.2" customHeight="1" x14ac:dyDescent="0.3">
      <c r="B27" s="55" t="str" cm="1">
        <f t="array" ref="B27">INDEX(Table1[[#All],[Product Name]],TableStartRow+13)</f>
        <v>Boy Splash</v>
      </c>
      <c r="C27" s="60" cm="1">
        <f t="array" ref="C27">INDEX(Table1[[#All],[ Quantity]],TableStartRow+13)</f>
        <v>6621</v>
      </c>
      <c r="D27" s="61" cm="1">
        <f t="array" ref="D27">INDEX(Table1[[#All],[Qty Returned]],TableStartRow+13)</f>
        <v>508</v>
      </c>
      <c r="E27" s="64" cm="1">
        <f t="array" ref="E27">INDEX(Table1[[#All],[Refund Rate]],TableStartRow+13)</f>
        <v>7.6725570155565706E-2</v>
      </c>
      <c r="F27" s="62" cm="1">
        <f t="array" ref="F27">INDEX(Table1[[#All],[COGS]],TableStartRow+13)</f>
        <v>34694.039999999994</v>
      </c>
      <c r="G27" s="62" cm="1">
        <f t="array" ref="G27">INDEX(Table1[[#All],[Total Revenue]],TableStartRow+13)</f>
        <v>72897.209999999977</v>
      </c>
      <c r="H27" s="62" cm="1">
        <f t="array" ref="H27">INDEX(Table1[[#All],[Total Refund]],TableStartRow+13)</f>
        <v>5593.0800000000045</v>
      </c>
      <c r="I27" s="62" cm="1">
        <f t="array" ref="I27">INDEX(Table1[[#All],[Profit Margin]],TableStartRow+13)</f>
        <v>38203.169999999984</v>
      </c>
      <c r="J27" s="64" cm="1">
        <f t="array" ref="J27">INDEX(Table1[[#All],[Profit Margin %]],TableStartRow+13)</f>
        <v>0.52406902815622158</v>
      </c>
    </row>
    <row r="28" spans="2:10" ht="15.6" x14ac:dyDescent="0.3">
      <c r="B28" s="55" t="str" cm="1">
        <f t="array" ref="B28">INDEX(Table1[[#All],[Product Name]],TableStartRow+14)</f>
        <v>Build Brew</v>
      </c>
      <c r="C28" s="60" cm="1">
        <f t="array" ref="C28">INDEX(Table1[[#All],[ Quantity]],TableStartRow+14)</f>
        <v>6475</v>
      </c>
      <c r="D28" s="61" cm="1">
        <f t="array" ref="D28">INDEX(Table1[[#All],[Qty Returned]],TableStartRow+14)</f>
        <v>541</v>
      </c>
      <c r="E28" s="64" cm="1">
        <f t="array" ref="E28">INDEX(Table1[[#All],[Refund Rate]],TableStartRow+14)</f>
        <v>8.3552123552123492E-2</v>
      </c>
      <c r="F28" s="62" cm="1">
        <f t="array" ref="F28">INDEX(Table1[[#All],[COGS]],TableStartRow+14)</f>
        <v>19619.250000000007</v>
      </c>
      <c r="G28" s="62" cm="1">
        <f t="array" ref="G28">INDEX(Table1[[#All],[Total Revenue]],TableStartRow+14)</f>
        <v>73232.250000000029</v>
      </c>
      <c r="H28" s="62" cm="1">
        <f t="array" ref="H28">INDEX(Table1[[#All],[Total Refund]],TableStartRow+14)</f>
        <v>6118.7099999999982</v>
      </c>
      <c r="I28" s="62" cm="1">
        <f t="array" ref="I28">INDEX(Table1[[#All],[Profit Margin]],TableStartRow+14)</f>
        <v>53613.000000000022</v>
      </c>
      <c r="J28" s="64" cm="1">
        <f t="array" ref="J28">INDEX(Table1[[#All],[Profit Margin %]],TableStartRow+14)</f>
        <v>0.73209549071618041</v>
      </c>
    </row>
    <row r="29" spans="2:10" ht="15.6" x14ac:dyDescent="0.3">
      <c r="B29" s="55" t="str" cm="1">
        <f t="array" ref="B29">INDEX(Table1[[#All],[Product Name]],TableStartRow+15)</f>
        <v>Center Mist</v>
      </c>
      <c r="C29" s="60" cm="1">
        <f t="array" ref="C29">INDEX(Table1[[#All],[ Quantity]],TableStartRow+15)</f>
        <v>6776</v>
      </c>
      <c r="D29" s="61" cm="1">
        <f t="array" ref="D29">INDEX(Table1[[#All],[Qty Returned]],TableStartRow+15)</f>
        <v>510</v>
      </c>
      <c r="E29" s="64" cm="1">
        <f t="array" ref="E29">INDEX(Table1[[#All],[Refund Rate]],TableStartRow+15)</f>
        <v>7.5265643447461908E-2</v>
      </c>
      <c r="F29" s="62" cm="1">
        <f t="array" ref="F29">INDEX(Table1[[#All],[COGS]],TableStartRow+15)</f>
        <v>67624.479999999996</v>
      </c>
      <c r="G29" s="62" cm="1">
        <f t="array" ref="G29">INDEX(Table1[[#All],[Total Revenue]],TableStartRow+15)</f>
        <v>38555.439999999995</v>
      </c>
      <c r="H29" s="62" cm="1">
        <f t="array" ref="H29">INDEX(Table1[[#All],[Total Refund]],TableStartRow+15)</f>
        <v>2901.9000000000106</v>
      </c>
      <c r="I29" s="62" cm="1">
        <f t="array" ref="I29">INDEX(Table1[[#All],[Profit Margin]],TableStartRow+15)</f>
        <v>-29069.040000000001</v>
      </c>
      <c r="J29" s="64" cm="1">
        <f t="array" ref="J29">INDEX(Table1[[#All],[Profit Margin %]],TableStartRow+15)</f>
        <v>-0.75395430579964862</v>
      </c>
    </row>
  </sheetData>
  <conditionalFormatting sqref="C15:C29">
    <cfRule type="dataBar" priority="8">
      <dataBar>
        <cfvo type="min"/>
        <cfvo type="max"/>
        <color theme="0" tint="-0.249977111117893"/>
      </dataBar>
      <extLst>
        <ext xmlns:x14="http://schemas.microsoft.com/office/spreadsheetml/2009/9/main" uri="{B025F937-C7B1-47D3-B67F-A62EFF666E3E}">
          <x14:id>{F3FF2ECB-1FE7-4AB6-9B5B-9FD8AE10B88C}</x14:id>
        </ext>
      </extLst>
    </cfRule>
  </conditionalFormatting>
  <conditionalFormatting sqref="D15:D29">
    <cfRule type="dataBar" priority="7">
      <dataBar>
        <cfvo type="min"/>
        <cfvo type="max"/>
        <color theme="0" tint="-0.14999847407452621"/>
      </dataBar>
      <extLst>
        <ext xmlns:x14="http://schemas.microsoft.com/office/spreadsheetml/2009/9/main" uri="{B025F937-C7B1-47D3-B67F-A62EFF666E3E}">
          <x14:id>{EE02D145-11EC-4835-A1CF-C3ED104A87E2}</x14:id>
        </ext>
      </extLst>
    </cfRule>
  </conditionalFormatting>
  <conditionalFormatting sqref="F15:F29">
    <cfRule type="dataBar" priority="6">
      <dataBar>
        <cfvo type="min"/>
        <cfvo type="max"/>
        <color theme="0" tint="-0.14999847407452621"/>
      </dataBar>
      <extLst>
        <ext xmlns:x14="http://schemas.microsoft.com/office/spreadsheetml/2009/9/main" uri="{B025F937-C7B1-47D3-B67F-A62EFF666E3E}">
          <x14:id>{329A1BF9-E1B8-4BD6-B322-C24FCAD6D3AE}</x14:id>
        </ext>
      </extLst>
    </cfRule>
  </conditionalFormatting>
  <conditionalFormatting sqref="G15:G29">
    <cfRule type="dataBar" priority="5">
      <dataBar>
        <cfvo type="min"/>
        <cfvo type="max"/>
        <color theme="0" tint="-0.249977111117893"/>
      </dataBar>
      <extLst>
        <ext xmlns:x14="http://schemas.microsoft.com/office/spreadsheetml/2009/9/main" uri="{B025F937-C7B1-47D3-B67F-A62EFF666E3E}">
          <x14:id>{019261D7-0A15-4873-96B2-33C023B9452D}</x14:id>
        </ext>
      </extLst>
    </cfRule>
  </conditionalFormatting>
  <conditionalFormatting sqref="H15:H29">
    <cfRule type="dataBar" priority="4">
      <dataBar>
        <cfvo type="min"/>
        <cfvo type="max"/>
        <color theme="0" tint="-0.14999847407452621"/>
      </dataBar>
      <extLst>
        <ext xmlns:x14="http://schemas.microsoft.com/office/spreadsheetml/2009/9/main" uri="{B025F937-C7B1-47D3-B67F-A62EFF666E3E}">
          <x14:id>{9D2D4CF7-5AB0-48EB-A166-94C8A6E80337}</x14:id>
        </ext>
      </extLst>
    </cfRule>
  </conditionalFormatting>
  <conditionalFormatting sqref="I15:I29">
    <cfRule type="dataBar" priority="3">
      <dataBar>
        <cfvo type="num" val="0"/>
        <cfvo type="num" val="100000"/>
        <color theme="0" tint="-0.14999847407452621"/>
      </dataBar>
      <extLst>
        <ext xmlns:x14="http://schemas.microsoft.com/office/spreadsheetml/2009/9/main" uri="{B025F937-C7B1-47D3-B67F-A62EFF666E3E}">
          <x14:id>{894C7089-7E37-42A7-A972-D887B48A4D9A}</x14:id>
        </ext>
      </extLst>
    </cfRule>
  </conditionalFormatting>
  <conditionalFormatting sqref="E15:E29">
    <cfRule type="colorScale" priority="2">
      <colorScale>
        <cfvo type="percent" val="8"/>
        <cfvo type="max"/>
        <color rgb="FFFCFCFF"/>
        <color rgb="FFF8696B"/>
      </colorScale>
    </cfRule>
  </conditionalFormatting>
  <conditionalFormatting sqref="J15:J29">
    <cfRule type="colorScale" priority="1">
      <colorScale>
        <cfvo type="min"/>
        <cfvo type="percentile" val="50"/>
        <cfvo type="max"/>
        <color theme="0"/>
        <color theme="9" tint="0.79998168889431442"/>
        <color rgb="FF63BE7B"/>
      </colorScale>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 r:id="rId3" name="Spinner 5">
              <controlPr defaultSize="0" autoPict="0">
                <anchor moveWithCells="1" sizeWithCells="1">
                  <from>
                    <xdr:col>12</xdr:col>
                    <xdr:colOff>83820</xdr:colOff>
                    <xdr:row>17</xdr:row>
                    <xdr:rowOff>160020</xdr:rowOff>
                  </from>
                  <to>
                    <xdr:col>12</xdr:col>
                    <xdr:colOff>556260</xdr:colOff>
                    <xdr:row>19</xdr:row>
                    <xdr:rowOff>83820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F3FF2ECB-1FE7-4AB6-9B5B-9FD8AE10B88C}">
            <x14:dataBar minLength="0" maxLength="100" gradient="0">
              <x14:cfvo type="autoMin"/>
              <x14:cfvo type="autoMax"/>
              <x14:negativeFillColor rgb="FFFF0000"/>
              <x14:axisColor rgb="FF000000"/>
            </x14:dataBar>
          </x14:cfRule>
          <xm:sqref>C15:C29</xm:sqref>
        </x14:conditionalFormatting>
        <x14:conditionalFormatting xmlns:xm="http://schemas.microsoft.com/office/excel/2006/main">
          <x14:cfRule type="dataBar" id="{EE02D145-11EC-4835-A1CF-C3ED104A87E2}">
            <x14:dataBar minLength="0" maxLength="100" gradient="0">
              <x14:cfvo type="autoMin"/>
              <x14:cfvo type="autoMax"/>
              <x14:negativeFillColor rgb="FFFF0000"/>
              <x14:axisColor rgb="FF000000"/>
            </x14:dataBar>
          </x14:cfRule>
          <xm:sqref>D15:D29</xm:sqref>
        </x14:conditionalFormatting>
        <x14:conditionalFormatting xmlns:xm="http://schemas.microsoft.com/office/excel/2006/main">
          <x14:cfRule type="dataBar" id="{329A1BF9-E1B8-4BD6-B322-C24FCAD6D3AE}">
            <x14:dataBar minLength="0" maxLength="100" gradient="0">
              <x14:cfvo type="autoMin"/>
              <x14:cfvo type="autoMax"/>
              <x14:negativeFillColor rgb="FFFF0000"/>
              <x14:axisColor rgb="FF000000"/>
            </x14:dataBar>
          </x14:cfRule>
          <xm:sqref>F15:F29</xm:sqref>
        </x14:conditionalFormatting>
        <x14:conditionalFormatting xmlns:xm="http://schemas.microsoft.com/office/excel/2006/main">
          <x14:cfRule type="dataBar" id="{019261D7-0A15-4873-96B2-33C023B9452D}">
            <x14:dataBar minLength="0" maxLength="100" gradient="0">
              <x14:cfvo type="autoMin"/>
              <x14:cfvo type="autoMax"/>
              <x14:negativeFillColor rgb="FFFF0000"/>
              <x14:axisColor rgb="FF000000"/>
            </x14:dataBar>
          </x14:cfRule>
          <xm:sqref>G15:G29</xm:sqref>
        </x14:conditionalFormatting>
        <x14:conditionalFormatting xmlns:xm="http://schemas.microsoft.com/office/excel/2006/main">
          <x14:cfRule type="dataBar" id="{9D2D4CF7-5AB0-48EB-A166-94C8A6E80337}">
            <x14:dataBar minLength="0" maxLength="100" gradient="0">
              <x14:cfvo type="autoMin"/>
              <x14:cfvo type="autoMax"/>
              <x14:negativeFillColor rgb="FFFF0000"/>
              <x14:axisColor rgb="FF000000"/>
            </x14:dataBar>
          </x14:cfRule>
          <xm:sqref>H15:H29</xm:sqref>
        </x14:conditionalFormatting>
        <x14:conditionalFormatting xmlns:xm="http://schemas.microsoft.com/office/excel/2006/main">
          <x14:cfRule type="dataBar" id="{894C7089-7E37-42A7-A972-D887B48A4D9A}">
            <x14:dataBar minLength="0" maxLength="100" gradient="0" direction="leftToRight">
              <x14:cfvo type="num">
                <xm:f>0</xm:f>
              </x14:cfvo>
              <x14:cfvo type="num">
                <xm:f>100000</xm:f>
              </x14:cfvo>
              <x14:negativeFillColor rgb="FFFF0000"/>
              <x14:axisColor rgb="FF000000"/>
            </x14:dataBar>
          </x14:cfRule>
          <xm:sqref>I15:I29</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Props1.xml><?xml version="1.0" encoding="utf-8"?>
<ds:datastoreItem xmlns:ds="http://schemas.openxmlformats.org/officeDocument/2006/customXml" ds:itemID="{FAF3777D-A101-40AC-B199-D518E7CB0F2D}">
  <ds:schemaRefs/>
</ds:datastoreItem>
</file>

<file path=customXml/itemProps2.xml><?xml version="1.0" encoding="utf-8"?>
<ds:datastoreItem xmlns:ds="http://schemas.openxmlformats.org/officeDocument/2006/customXml" ds:itemID="{3AB91FF3-31EA-4521-AF85-A70675920629}">
  <ds:schemaRefs/>
</ds:datastoreItem>
</file>

<file path=customXml/itemProps3.xml><?xml version="1.0" encoding="utf-8"?>
<ds:datastoreItem xmlns:ds="http://schemas.openxmlformats.org/officeDocument/2006/customXml" ds:itemID="{96364888-66A5-4453-997A-F91D6F96BEEC}">
  <ds:schemaRefs/>
</ds:datastoreItem>
</file>

<file path=customXml/itemProps4.xml><?xml version="1.0" encoding="utf-8"?>
<ds:datastoreItem xmlns:ds="http://schemas.openxmlformats.org/officeDocument/2006/customXml" ds:itemID="{FCED66DB-BC84-428E-BF28-D30CB8A2BCA5}">
  <ds:schemaRefs/>
</ds:datastoreItem>
</file>

<file path=customXml/itemProps5.xml><?xml version="1.0" encoding="utf-8"?>
<ds:datastoreItem xmlns:ds="http://schemas.openxmlformats.org/officeDocument/2006/customXml" ds:itemID="{8AD15346-D6AB-49B7-90C0-EB262B51F376}">
  <ds:schemaRefs/>
</ds:datastoreItem>
</file>

<file path=customXml/itemProps6.xml><?xml version="1.0" encoding="utf-8"?>
<ds:datastoreItem xmlns:ds="http://schemas.openxmlformats.org/officeDocument/2006/customXml" ds:itemID="{75AC99C1-67C5-4DC8-99E0-98ECB1E4075E}">
  <ds:schemaRefs/>
</ds:datastoreItem>
</file>

<file path=customXml/itemProps7.xml><?xml version="1.0" encoding="utf-8"?>
<ds:datastoreItem xmlns:ds="http://schemas.openxmlformats.org/officeDocument/2006/customXml" ds:itemID="{0B769FAD-95A7-4504-9F0C-B2B1EBB7B4B8}">
  <ds:schemaRefs/>
</ds:datastoreItem>
</file>

<file path=customXml/itemProps8.xml><?xml version="1.0" encoding="utf-8"?>
<ds:datastoreItem xmlns:ds="http://schemas.openxmlformats.org/officeDocument/2006/customXml" ds:itemID="{45B4073C-F805-4E5B-9D8D-C4853C5E8E94}">
  <ds:schemaRefs/>
</ds:datastoreItem>
</file>

<file path=customXml/itemProps9.xml><?xml version="1.0" encoding="utf-8"?>
<ds:datastoreItem xmlns:ds="http://schemas.openxmlformats.org/officeDocument/2006/customXml" ds:itemID="{EE7212C1-A5BF-492F-8C6B-C3EB91AA3A08}">
  <ds:schemaRefs/>
</ds:datastoreItem>
</file>

<file path=customXml/itemProps10.xml><?xml version="1.0" encoding="utf-8"?>
<ds:datastoreItem xmlns:ds="http://schemas.openxmlformats.org/officeDocument/2006/customXml" ds:itemID="{8D3158C6-33C4-4DD9-9BE5-CFB329AE6F10}">
  <ds:schemaRefs/>
</ds:datastoreItem>
</file>

<file path=customXml/itemProps11.xml><?xml version="1.0" encoding="utf-8"?>
<ds:datastoreItem xmlns:ds="http://schemas.openxmlformats.org/officeDocument/2006/customXml" ds:itemID="{8B21DD92-DB9C-4827-926A-116D63BDDC9E}">
  <ds:schemaRefs/>
</ds:datastoreItem>
</file>

<file path=customXml/itemProps12.xml><?xml version="1.0" encoding="utf-8"?>
<ds:datastoreItem xmlns:ds="http://schemas.openxmlformats.org/officeDocument/2006/customXml" ds:itemID="{C108F26F-20B1-403E-920F-79FDCFED0090}">
  <ds:schemaRefs/>
</ds:datastoreItem>
</file>

<file path=customXml/itemProps13.xml><?xml version="1.0" encoding="utf-8"?>
<ds:datastoreItem xmlns:ds="http://schemas.openxmlformats.org/officeDocument/2006/customXml" ds:itemID="{2496F8FE-4809-4F5B-94B6-AB98CD81F554}">
  <ds:schemaRefs/>
</ds:datastoreItem>
</file>

<file path=customXml/itemProps14.xml><?xml version="1.0" encoding="utf-8"?>
<ds:datastoreItem xmlns:ds="http://schemas.openxmlformats.org/officeDocument/2006/customXml" ds:itemID="{80CF0D8E-9CCA-4816-8C10-1CBB71899F28}">
  <ds:schemaRefs/>
</ds:datastoreItem>
</file>

<file path=customXml/itemProps15.xml><?xml version="1.0" encoding="utf-8"?>
<ds:datastoreItem xmlns:ds="http://schemas.openxmlformats.org/officeDocument/2006/customXml" ds:itemID="{74043AA0-9F25-4A88-A501-026355DA083D}">
  <ds:schemaRefs/>
</ds:datastoreItem>
</file>

<file path=customXml/itemProps16.xml><?xml version="1.0" encoding="utf-8"?>
<ds:datastoreItem xmlns:ds="http://schemas.openxmlformats.org/officeDocument/2006/customXml" ds:itemID="{7E564641-997F-460B-A29E-619E0B80A354}">
  <ds:schemaRefs/>
</ds:datastoreItem>
</file>

<file path=customXml/itemProps17.xml><?xml version="1.0" encoding="utf-8"?>
<ds:datastoreItem xmlns:ds="http://schemas.openxmlformats.org/officeDocument/2006/customXml" ds:itemID="{3C0DFA18-0B40-455D-95CB-D120A8B05A6F}">
  <ds:schemaRefs/>
</ds:datastoreItem>
</file>

<file path=customXml/itemProps18.xml><?xml version="1.0" encoding="utf-8"?>
<ds:datastoreItem xmlns:ds="http://schemas.openxmlformats.org/officeDocument/2006/customXml" ds:itemID="{285FD5D9-D29E-451F-8C5E-28470651486A}">
  <ds:schemaRefs/>
</ds:datastoreItem>
</file>

<file path=customXml/itemProps19.xml><?xml version="1.0" encoding="utf-8"?>
<ds:datastoreItem xmlns:ds="http://schemas.openxmlformats.org/officeDocument/2006/customXml" ds:itemID="{B79DDF0D-36E7-4CAF-A396-F2DA66569C51}">
  <ds:schemaRefs/>
</ds:datastoreItem>
</file>

<file path=customXml/itemProps20.xml><?xml version="1.0" encoding="utf-8"?>
<ds:datastoreItem xmlns:ds="http://schemas.openxmlformats.org/officeDocument/2006/customXml" ds:itemID="{6E62A11C-E6A5-4DD2-94E2-94CAA9E5975C}">
  <ds:schemaRefs/>
</ds:datastoreItem>
</file>

<file path=customXml/itemProps21.xml><?xml version="1.0" encoding="utf-8"?>
<ds:datastoreItem xmlns:ds="http://schemas.openxmlformats.org/officeDocument/2006/customXml" ds:itemID="{AF1D6AA7-5433-4DB2-952B-64F8F0CB8EA4}">
  <ds:schemaRefs/>
</ds:datastoreItem>
</file>

<file path=customXml/itemProps22.xml><?xml version="1.0" encoding="utf-8"?>
<ds:datastoreItem xmlns:ds="http://schemas.openxmlformats.org/officeDocument/2006/customXml" ds:itemID="{B8E1B739-D2EB-4B8A-B21D-31CC5FC5E8C2}">
  <ds:schemaRefs/>
</ds:datastoreItem>
</file>

<file path=customXml/itemProps23.xml><?xml version="1.0" encoding="utf-8"?>
<ds:datastoreItem xmlns:ds="http://schemas.openxmlformats.org/officeDocument/2006/customXml" ds:itemID="{F8E44ECF-6A9B-47E5-89CD-DA7E07687E3F}">
  <ds:schemaRefs/>
</ds:datastoreItem>
</file>

<file path=customXml/itemProps24.xml><?xml version="1.0" encoding="utf-8"?>
<ds:datastoreItem xmlns:ds="http://schemas.openxmlformats.org/officeDocument/2006/customXml" ds:itemID="{DF8670F7-5AE4-405E-A2B6-9EE59DD50DDD}">
  <ds:schemaRefs/>
</ds:datastoreItem>
</file>

<file path=customXml/itemProps25.xml><?xml version="1.0" encoding="utf-8"?>
<ds:datastoreItem xmlns:ds="http://schemas.openxmlformats.org/officeDocument/2006/customXml" ds:itemID="{302E4C10-6392-40AF-AC94-8D63883EE1FD}">
  <ds:schemaRefs/>
</ds:datastoreItem>
</file>

<file path=customXml/itemProps26.xml><?xml version="1.0" encoding="utf-8"?>
<ds:datastoreItem xmlns:ds="http://schemas.openxmlformats.org/officeDocument/2006/customXml" ds:itemID="{E03BD07E-D134-468F-9A07-344C237B8BF6}">
  <ds:schemaRefs/>
</ds:datastoreItem>
</file>

<file path=customXml/itemProps27.xml><?xml version="1.0" encoding="utf-8"?>
<ds:datastoreItem xmlns:ds="http://schemas.openxmlformats.org/officeDocument/2006/customXml" ds:itemID="{C6000175-53E5-4126-9791-68FF27EF1B28}">
  <ds:schemaRefs/>
</ds:datastoreItem>
</file>

<file path=customXml/itemProps28.xml><?xml version="1.0" encoding="utf-8"?>
<ds:datastoreItem xmlns:ds="http://schemas.openxmlformats.org/officeDocument/2006/customXml" ds:itemID="{B86DBC8A-3004-481B-BE52-A9B844B9E51C}">
  <ds:schemaRefs/>
</ds:datastoreItem>
</file>

<file path=customXml/itemProps29.xml><?xml version="1.0" encoding="utf-8"?>
<ds:datastoreItem xmlns:ds="http://schemas.openxmlformats.org/officeDocument/2006/customXml" ds:itemID="{084F7857-AFFA-4697-8C9B-B9DBAA83188B}">
  <ds:schemaRefs/>
</ds:datastoreItem>
</file>

<file path=customXml/itemProps30.xml><?xml version="1.0" encoding="utf-8"?>
<ds:datastoreItem xmlns:ds="http://schemas.openxmlformats.org/officeDocument/2006/customXml" ds:itemID="{EB21749D-6E9D-4424-9BED-5E049F876549}">
  <ds:schemaRefs/>
</ds:datastoreItem>
</file>

<file path=customXml/itemProps31.xml><?xml version="1.0" encoding="utf-8"?>
<ds:datastoreItem xmlns:ds="http://schemas.openxmlformats.org/officeDocument/2006/customXml" ds:itemID="{6FB7BA07-F10F-4237-B93D-BC204202EB80}">
  <ds:schemaRefs/>
</ds:datastoreItem>
</file>

<file path=customXml/itemProps32.xml><?xml version="1.0" encoding="utf-8"?>
<ds:datastoreItem xmlns:ds="http://schemas.openxmlformats.org/officeDocument/2006/customXml" ds:itemID="{F4054CFC-1ADC-4647-9756-B6FA87513C0B}">
  <ds:schemaRefs/>
</ds:datastoreItem>
</file>

<file path=customXml/itemProps33.xml><?xml version="1.0" encoding="utf-8"?>
<ds:datastoreItem xmlns:ds="http://schemas.openxmlformats.org/officeDocument/2006/customXml" ds:itemID="{EC508724-DA40-4A44-BA5B-6F4011BF71A8}">
  <ds:schemaRefs/>
</ds:datastoreItem>
</file>

<file path=customXml/itemProps34.xml><?xml version="1.0" encoding="utf-8"?>
<ds:datastoreItem xmlns:ds="http://schemas.openxmlformats.org/officeDocument/2006/customXml" ds:itemID="{E927A3B4-3719-4E44-BCC5-D336C394D918}">
  <ds:schemaRefs/>
</ds:datastoreItem>
</file>

<file path=customXml/itemProps35.xml><?xml version="1.0" encoding="utf-8"?>
<ds:datastoreItem xmlns:ds="http://schemas.openxmlformats.org/officeDocument/2006/customXml" ds:itemID="{05D984CF-E24D-471E-8940-E916BDCB3845}">
  <ds:schemaRefs/>
</ds:datastoreItem>
</file>

<file path=customXml/itemProps36.xml><?xml version="1.0" encoding="utf-8"?>
<ds:datastoreItem xmlns:ds="http://schemas.openxmlformats.org/officeDocument/2006/customXml" ds:itemID="{07D8845B-7741-41FC-BAF7-9DFEF41E9675}">
  <ds:schemaRefs/>
</ds:datastoreItem>
</file>

<file path=customXml/itemProps37.xml><?xml version="1.0" encoding="utf-8"?>
<ds:datastoreItem xmlns:ds="http://schemas.openxmlformats.org/officeDocument/2006/customXml" ds:itemID="{D10686D2-68AE-4446-94C4-BF4339F51B07}">
  <ds:schemaRefs/>
</ds:datastoreItem>
</file>

<file path=customXml/itemProps38.xml><?xml version="1.0" encoding="utf-8"?>
<ds:datastoreItem xmlns:ds="http://schemas.openxmlformats.org/officeDocument/2006/customXml" ds:itemID="{7BB689EC-C9E4-428B-A401-A6E6E9BF6537}">
  <ds:schemaRefs/>
</ds:datastoreItem>
</file>

<file path=customXml/itemProps39.xml><?xml version="1.0" encoding="utf-8"?>
<ds:datastoreItem xmlns:ds="http://schemas.openxmlformats.org/officeDocument/2006/customXml" ds:itemID="{2AB2E6A3-4A1E-4F29-8631-B838D46300C2}">
  <ds:schemaRefs/>
</ds:datastoreItem>
</file>

<file path=customXml/itemProps40.xml><?xml version="1.0" encoding="utf-8"?>
<ds:datastoreItem xmlns:ds="http://schemas.openxmlformats.org/officeDocument/2006/customXml" ds:itemID="{2353E83A-0D49-4699-8DA0-A9A36E818D30}">
  <ds:schemaRefs/>
</ds:datastoreItem>
</file>

<file path=customXml/itemProps41.xml><?xml version="1.0" encoding="utf-8"?>
<ds:datastoreItem xmlns:ds="http://schemas.openxmlformats.org/officeDocument/2006/customXml" ds:itemID="{49998C08-007D-4FDC-BAB6-3B17BF69A480}">
  <ds:schemaRefs/>
</ds:datastoreItem>
</file>

<file path=customXml/itemProps42.xml><?xml version="1.0" encoding="utf-8"?>
<ds:datastoreItem xmlns:ds="http://schemas.openxmlformats.org/officeDocument/2006/customXml" ds:itemID="{AF99E937-9DE3-4FC9-8FB6-4D67A4F58E1D}">
  <ds:schemaRefs/>
</ds:datastoreItem>
</file>

<file path=customXml/itemProps43.xml><?xml version="1.0" encoding="utf-8"?>
<ds:datastoreItem xmlns:ds="http://schemas.openxmlformats.org/officeDocument/2006/customXml" ds:itemID="{5D3A5C08-2B25-47BF-B75B-6490DB246E1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Wafle chart</vt:lpstr>
      <vt:lpstr>Analysis 1</vt:lpstr>
      <vt:lpstr>Analysis 2</vt:lpstr>
      <vt:lpstr>Analysis 3</vt:lpstr>
      <vt:lpstr>Analysis 4</vt:lpstr>
      <vt:lpstr>Time Frame</vt:lpstr>
      <vt:lpstr>Store</vt:lpstr>
      <vt:lpstr>Profit View</vt:lpstr>
      <vt:lpstr>Product Details</vt:lpstr>
      <vt:lpstr>TableStartRow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White knight</dc:creator>
  <cp:lastModifiedBy>User</cp:lastModifiedBy>
  <dcterms:created xsi:type="dcterms:W3CDTF">2015-06-05T18:17:20Z</dcterms:created>
  <dcterms:modified xsi:type="dcterms:W3CDTF">2025-09-05T09:28:49Z</dcterms:modified>
</cp:coreProperties>
</file>