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embeddings/oleObject1.bin" ContentType="application/vnd.openxmlformats-officedocument.oleObject"/>
  <Override PartName="/xl/drawings/drawing12.xml" ContentType="application/vnd.openxmlformats-officedocument.drawing+xml"/>
  <Override PartName="/xl/embeddings/oleObject2.bin" ContentType="application/vnd.openxmlformats-officedocument.oleObject"/>
  <Override PartName="/xl/drawings/drawing13.xml" ContentType="application/vnd.openxmlformats-officedocument.drawing+xml"/>
  <Override PartName="/xl/embeddings/oleObject3.bin" ContentType="application/vnd.openxmlformats-officedocument.oleObject"/>
  <Override PartName="/xl/drawings/drawing14.xml" ContentType="application/vnd.openxmlformats-officedocument.drawing+xml"/>
  <Override PartName="/xl/embeddings/oleObject4.bin" ContentType="application/vnd.openxmlformats-officedocument.oleObject"/>
  <Override PartName="/xl/drawings/drawing15.xml" ContentType="application/vnd.openxmlformats-officedocument.drawing+xml"/>
  <Override PartName="/xl/drawings/drawing16.xml" ContentType="application/vnd.openxmlformats-officedocument.drawing+xml"/>
  <Override PartName="/xl/tables/table1.xml" ContentType="application/vnd.openxmlformats-officedocument.spreadsheetml.table+xml"/>
  <Override PartName="/xl/drawings/drawing17.xml" ContentType="application/vnd.openxmlformats-officedocument.drawing+xml"/>
  <Override PartName="/xl/tables/table2.xml" ContentType="application/vnd.openxmlformats-officedocument.spreadsheetml.table+xml"/>
  <Override PartName="/xl/drawings/drawing18.xml" ContentType="application/vnd.openxmlformats-officedocument.drawing+xml"/>
  <Override PartName="/xl/tables/table3.xml" ContentType="application/vnd.openxmlformats-officedocument.spreadsheetml.table+xml"/>
  <Override PartName="/xl/drawings/drawing19.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User\Desktop\20220327 For Excel\"/>
    </mc:Choice>
  </mc:AlternateContent>
  <xr:revisionPtr revIDLastSave="0" documentId="13_ncr:1_{F6C53FAA-2878-45EA-9038-4DAF362B7A04}" xr6:coauthVersionLast="45" xr6:coauthVersionMax="47" xr10:uidLastSave="{00000000-0000-0000-0000-000000000000}"/>
  <bookViews>
    <workbookView xWindow="0" yWindow="0" windowWidth="19200" windowHeight="10240" tabRatio="850" firstSheet="1" activeTab="14" xr2:uid="{00000000-000D-0000-FFFF-FFFF00000000}"/>
  </bookViews>
  <sheets>
    <sheet name="Table Lookups" sheetId="66" r:id="rId1"/>
    <sheet name="Miniature Phone Book" sheetId="41" r:id="rId2"/>
    <sheet name="Phone Book Example" sheetId="80" r:id="rId3"/>
    <sheet name="VLOOKUP Screen Captures" sheetId="75" r:id="rId4"/>
    <sheet name="Phone Book Example Solved" sheetId="81" r:id="rId5"/>
    <sheet name="Error-Code Summary" sheetId="67" r:id="rId6"/>
    <sheet name="The IFERROR Function" sheetId="79" r:id="rId7"/>
    <sheet name="Sheet1" sheetId="108" r:id="rId8"/>
    <sheet name="VLOOKUP Example 2" sheetId="98" r:id="rId9"/>
    <sheet name="VLOOKUP Example 2 Solved" sheetId="42" r:id="rId10"/>
    <sheet name="HLOOKUP Example" sheetId="43" r:id="rId11"/>
    <sheet name="An Interval Search Example" sheetId="44" r:id="rId12"/>
    <sheet name="More About the Example" sheetId="72" r:id="rId13"/>
    <sheet name="Implementation of the Example" sheetId="85" r:id="rId14"/>
    <sheet name="Completion of the Example" sheetId="95" r:id="rId15"/>
    <sheet name="LOOKUP Function" sheetId="107" r:id="rId16"/>
    <sheet name="VLOOKUP #1 at Talent Tracs" sheetId="86" r:id="rId17"/>
    <sheet name="VLOOKUP #1 in Employee Data" sheetId="87" r:id="rId18"/>
    <sheet name="VLOOKUP #2 at Talent Tracs" sheetId="88" r:id="rId19"/>
    <sheet name="VLOOKUP #2 in Employee Data" sheetId="89" r:id="rId20"/>
    <sheet name="An Excel Table" sheetId="92" state="hidden" r:id="rId21"/>
  </sheets>
  <definedNames>
    <definedName name="_Fill" localSheetId="20" hidden="1">#REF!</definedName>
    <definedName name="_Fill" localSheetId="14" hidden="1">#REF!</definedName>
    <definedName name="_Fill" localSheetId="13" hidden="1">#REF!</definedName>
    <definedName name="_Fill" localSheetId="2" hidden="1">#REF!</definedName>
    <definedName name="_Fill" localSheetId="4" hidden="1">#REF!</definedName>
    <definedName name="_Fill" localSheetId="6" hidden="1">#REF!</definedName>
    <definedName name="_Fill" localSheetId="18" hidden="1">#REF!</definedName>
    <definedName name="_Fill" hidden="1">#REF!</definedName>
    <definedName name="_xlnm._FilterDatabase" localSheetId="20" hidden="1">'An Excel Table'!$A$1:$L$101</definedName>
    <definedName name="_xlnm._FilterDatabase" localSheetId="17" hidden="1">'VLOOKUP #1 in Employee Data'!$A$3:$L$103</definedName>
    <definedName name="_xlnm._FilterDatabase" localSheetId="19" hidden="1">'VLOOKUP #2 in Employee Data'!$A$3:$L$103</definedName>
    <definedName name="_Key1" localSheetId="20" hidden="1">#REF!</definedName>
    <definedName name="_Key1" localSheetId="14" hidden="1">#REF!</definedName>
    <definedName name="_Key1" localSheetId="13" hidden="1">#REF!</definedName>
    <definedName name="_Key1" localSheetId="2" hidden="1">#REF!</definedName>
    <definedName name="_Key1" localSheetId="4" hidden="1">#REF!</definedName>
    <definedName name="_Key1" localSheetId="6" hidden="1">#REF!</definedName>
    <definedName name="_Key1" localSheetId="18" hidden="1">#REF!</definedName>
    <definedName name="_Key1" hidden="1">#REF!</definedName>
    <definedName name="_Order1" hidden="1">255</definedName>
    <definedName name="anscount"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0" i="85" l="1"/>
  <c r="J21" i="85"/>
  <c r="J22" i="85"/>
  <c r="J23" i="85"/>
  <c r="J24" i="85"/>
  <c r="J25" i="85"/>
  <c r="J26" i="85"/>
  <c r="J27" i="85"/>
  <c r="J19" i="85"/>
  <c r="J49" i="95"/>
  <c r="C26" i="98"/>
  <c r="C21" i="98"/>
  <c r="C16" i="98"/>
  <c r="C21" i="42"/>
  <c r="L7" i="67"/>
  <c r="K22" i="79"/>
  <c r="K20" i="79"/>
  <c r="F20" i="80" l="1"/>
  <c r="F19" i="80"/>
  <c r="F20" i="81" l="1"/>
  <c r="G28" i="107"/>
  <c r="G30" i="107"/>
  <c r="G29" i="107" l="1"/>
  <c r="L66" i="79" l="1"/>
  <c r="L65" i="79"/>
  <c r="L64" i="79"/>
  <c r="J19" i="95" l="1"/>
  <c r="C16" i="42"/>
  <c r="F19" i="81"/>
  <c r="J50" i="95"/>
  <c r="J51" i="95"/>
  <c r="J52" i="95"/>
  <c r="J53" i="95"/>
  <c r="J54" i="95"/>
  <c r="J55" i="95"/>
  <c r="J56" i="95"/>
  <c r="J57" i="95"/>
  <c r="J20" i="95"/>
  <c r="J21" i="95"/>
  <c r="J22" i="95"/>
  <c r="J23" i="95"/>
  <c r="J24" i="95"/>
  <c r="J25" i="95"/>
  <c r="J26" i="95"/>
  <c r="J27" i="95"/>
  <c r="C31" i="42"/>
  <c r="R101" i="92"/>
  <c r="Q101" i="92"/>
  <c r="P101" i="92"/>
  <c r="N101" i="92"/>
  <c r="M101" i="92"/>
  <c r="S101" i="92" s="1"/>
  <c r="R100" i="92"/>
  <c r="Q100" i="92"/>
  <c r="P100" i="92"/>
  <c r="N100" i="92"/>
  <c r="M100" i="92"/>
  <c r="S100" i="92" s="1"/>
  <c r="R99" i="92"/>
  <c r="Q99" i="92"/>
  <c r="P99" i="92"/>
  <c r="N99" i="92"/>
  <c r="M99" i="92"/>
  <c r="S99" i="92"/>
  <c r="R98" i="92"/>
  <c r="Q98" i="92"/>
  <c r="P98" i="92"/>
  <c r="N98" i="92"/>
  <c r="M98" i="92"/>
  <c r="S98" i="92" s="1"/>
  <c r="R97" i="92"/>
  <c r="Q97" i="92"/>
  <c r="P97" i="92"/>
  <c r="N97" i="92"/>
  <c r="M97" i="92"/>
  <c r="S97" i="92" s="1"/>
  <c r="R96" i="92"/>
  <c r="Q96" i="92"/>
  <c r="P96" i="92"/>
  <c r="N96" i="92"/>
  <c r="M96" i="92"/>
  <c r="S96" i="92" s="1"/>
  <c r="R95" i="92"/>
  <c r="Q95" i="92"/>
  <c r="P95" i="92"/>
  <c r="N95" i="92"/>
  <c r="M95" i="92"/>
  <c r="S95" i="92"/>
  <c r="R94" i="92"/>
  <c r="Q94" i="92"/>
  <c r="P94" i="92"/>
  <c r="N94" i="92"/>
  <c r="M94" i="92"/>
  <c r="S94" i="92" s="1"/>
  <c r="R93" i="92"/>
  <c r="Q93" i="92"/>
  <c r="P93" i="92"/>
  <c r="N93" i="92"/>
  <c r="M93" i="92"/>
  <c r="S93" i="92" s="1"/>
  <c r="R92" i="92"/>
  <c r="Q92" i="92"/>
  <c r="P92" i="92"/>
  <c r="N92" i="92"/>
  <c r="M92" i="92"/>
  <c r="S92" i="92" s="1"/>
  <c r="R91" i="92"/>
  <c r="Q91" i="92"/>
  <c r="P91" i="92"/>
  <c r="N91" i="92"/>
  <c r="M91" i="92"/>
  <c r="S91" i="92"/>
  <c r="R90" i="92"/>
  <c r="Q90" i="92"/>
  <c r="P90" i="92"/>
  <c r="N90" i="92"/>
  <c r="M90" i="92"/>
  <c r="S90" i="92" s="1"/>
  <c r="R89" i="92"/>
  <c r="Q89" i="92"/>
  <c r="P89" i="92"/>
  <c r="N89" i="92"/>
  <c r="M89" i="92"/>
  <c r="S89" i="92" s="1"/>
  <c r="R88" i="92"/>
  <c r="Q88" i="92"/>
  <c r="P88" i="92"/>
  <c r="N88" i="92"/>
  <c r="M88" i="92"/>
  <c r="S88" i="92" s="1"/>
  <c r="R87" i="92"/>
  <c r="Q87" i="92"/>
  <c r="P87" i="92"/>
  <c r="N87" i="92"/>
  <c r="M87" i="92"/>
  <c r="S87" i="92"/>
  <c r="R86" i="92"/>
  <c r="Q86" i="92"/>
  <c r="P86" i="92"/>
  <c r="N86" i="92"/>
  <c r="M86" i="92"/>
  <c r="S86" i="92" s="1"/>
  <c r="R85" i="92"/>
  <c r="Q85" i="92"/>
  <c r="P85" i="92"/>
  <c r="N85" i="92"/>
  <c r="M85" i="92"/>
  <c r="S85" i="92" s="1"/>
  <c r="R84" i="92"/>
  <c r="Q84" i="92"/>
  <c r="P84" i="92"/>
  <c r="N84" i="92"/>
  <c r="M84" i="92"/>
  <c r="S84" i="92" s="1"/>
  <c r="R83" i="92"/>
  <c r="Q83" i="92"/>
  <c r="P83" i="92"/>
  <c r="N83" i="92"/>
  <c r="M83" i="92"/>
  <c r="S83" i="92"/>
  <c r="R82" i="92"/>
  <c r="Q82" i="92"/>
  <c r="P82" i="92"/>
  <c r="N82" i="92"/>
  <c r="M82" i="92"/>
  <c r="S82" i="92" s="1"/>
  <c r="R81" i="92"/>
  <c r="Q81" i="92"/>
  <c r="P81" i="92"/>
  <c r="N81" i="92"/>
  <c r="M81" i="92"/>
  <c r="S81" i="92" s="1"/>
  <c r="R80" i="92"/>
  <c r="Q80" i="92"/>
  <c r="P80" i="92"/>
  <c r="N80" i="92"/>
  <c r="M80" i="92"/>
  <c r="S80" i="92" s="1"/>
  <c r="R79" i="92"/>
  <c r="Q79" i="92"/>
  <c r="P79" i="92"/>
  <c r="N79" i="92"/>
  <c r="M79" i="92"/>
  <c r="S79" i="92"/>
  <c r="R78" i="92"/>
  <c r="Q78" i="92"/>
  <c r="P78" i="92"/>
  <c r="N78" i="92"/>
  <c r="M78" i="92"/>
  <c r="S78" i="92" s="1"/>
  <c r="R77" i="92"/>
  <c r="Q77" i="92"/>
  <c r="P77" i="92"/>
  <c r="N77" i="92"/>
  <c r="M77" i="92"/>
  <c r="S77" i="92" s="1"/>
  <c r="R76" i="92"/>
  <c r="Q76" i="92"/>
  <c r="P76" i="92"/>
  <c r="N76" i="92"/>
  <c r="M76" i="92"/>
  <c r="S76" i="92" s="1"/>
  <c r="R75" i="92"/>
  <c r="Q75" i="92"/>
  <c r="P75" i="92"/>
  <c r="N75" i="92"/>
  <c r="M75" i="92"/>
  <c r="S75" i="92"/>
  <c r="R74" i="92"/>
  <c r="Q74" i="92"/>
  <c r="P74" i="92"/>
  <c r="N74" i="92"/>
  <c r="M74" i="92"/>
  <c r="S74" i="92" s="1"/>
  <c r="R73" i="92"/>
  <c r="Q73" i="92"/>
  <c r="P73" i="92"/>
  <c r="N73" i="92"/>
  <c r="M73" i="92"/>
  <c r="S73" i="92" s="1"/>
  <c r="R72" i="92"/>
  <c r="Q72" i="92"/>
  <c r="P72" i="92"/>
  <c r="N72" i="92"/>
  <c r="M72" i="92"/>
  <c r="S72" i="92" s="1"/>
  <c r="R71" i="92"/>
  <c r="Q71" i="92"/>
  <c r="P71" i="92"/>
  <c r="N71" i="92"/>
  <c r="M71" i="92"/>
  <c r="S71" i="92"/>
  <c r="R70" i="92"/>
  <c r="Q70" i="92"/>
  <c r="P70" i="92"/>
  <c r="N70" i="92"/>
  <c r="M70" i="92"/>
  <c r="S70" i="92" s="1"/>
  <c r="R69" i="92"/>
  <c r="Q69" i="92"/>
  <c r="P69" i="92"/>
  <c r="N69" i="92"/>
  <c r="M69" i="92"/>
  <c r="S69" i="92" s="1"/>
  <c r="R68" i="92"/>
  <c r="Q68" i="92"/>
  <c r="P68" i="92"/>
  <c r="N68" i="92"/>
  <c r="M68" i="92"/>
  <c r="S68" i="92" s="1"/>
  <c r="R67" i="92"/>
  <c r="Q67" i="92"/>
  <c r="P67" i="92"/>
  <c r="N67" i="92"/>
  <c r="M67" i="92"/>
  <c r="S67" i="92"/>
  <c r="R66" i="92"/>
  <c r="Q66" i="92"/>
  <c r="P66" i="92"/>
  <c r="N66" i="92"/>
  <c r="M66" i="92"/>
  <c r="S66" i="92" s="1"/>
  <c r="R65" i="92"/>
  <c r="Q65" i="92"/>
  <c r="P65" i="92"/>
  <c r="N65" i="92"/>
  <c r="M65" i="92"/>
  <c r="S65" i="92" s="1"/>
  <c r="R64" i="92"/>
  <c r="Q64" i="92"/>
  <c r="P64" i="92"/>
  <c r="N64" i="92"/>
  <c r="M64" i="92"/>
  <c r="S64" i="92" s="1"/>
  <c r="R63" i="92"/>
  <c r="Q63" i="92"/>
  <c r="P63" i="92"/>
  <c r="N63" i="92"/>
  <c r="M63" i="92"/>
  <c r="S63" i="92"/>
  <c r="R62" i="92"/>
  <c r="Q62" i="92"/>
  <c r="P62" i="92"/>
  <c r="N62" i="92"/>
  <c r="M62" i="92"/>
  <c r="S62" i="92" s="1"/>
  <c r="R61" i="92"/>
  <c r="Q61" i="92"/>
  <c r="P61" i="92"/>
  <c r="N61" i="92"/>
  <c r="M61" i="92"/>
  <c r="S61" i="92" s="1"/>
  <c r="R60" i="92"/>
  <c r="Q60" i="92"/>
  <c r="P60" i="92"/>
  <c r="N60" i="92"/>
  <c r="M60" i="92"/>
  <c r="S60" i="92" s="1"/>
  <c r="R59" i="92"/>
  <c r="Q59" i="92"/>
  <c r="P59" i="92"/>
  <c r="N59" i="92"/>
  <c r="M59" i="92"/>
  <c r="S59" i="92"/>
  <c r="R58" i="92"/>
  <c r="Q58" i="92"/>
  <c r="P58" i="92"/>
  <c r="N58" i="92"/>
  <c r="M58" i="92"/>
  <c r="S58" i="92" s="1"/>
  <c r="R57" i="92"/>
  <c r="Q57" i="92"/>
  <c r="P57" i="92"/>
  <c r="N57" i="92"/>
  <c r="M57" i="92"/>
  <c r="S57" i="92" s="1"/>
  <c r="R56" i="92"/>
  <c r="Q56" i="92"/>
  <c r="P56" i="92"/>
  <c r="N56" i="92"/>
  <c r="M56" i="92"/>
  <c r="S56" i="92" s="1"/>
  <c r="R55" i="92"/>
  <c r="Q55" i="92"/>
  <c r="P55" i="92"/>
  <c r="N55" i="92"/>
  <c r="M55" i="92"/>
  <c r="S55" i="92"/>
  <c r="R54" i="92"/>
  <c r="Q54" i="92"/>
  <c r="P54" i="92"/>
  <c r="N54" i="92"/>
  <c r="M54" i="92"/>
  <c r="S54" i="92" s="1"/>
  <c r="R53" i="92"/>
  <c r="Q53" i="92"/>
  <c r="P53" i="92"/>
  <c r="N53" i="92"/>
  <c r="M53" i="92"/>
  <c r="O53" i="92" s="1"/>
  <c r="R52" i="92"/>
  <c r="Q52" i="92"/>
  <c r="P52" i="92"/>
  <c r="N52" i="92"/>
  <c r="M52" i="92"/>
  <c r="S52" i="92" s="1"/>
  <c r="R51" i="92"/>
  <c r="Q51" i="92"/>
  <c r="P51" i="92"/>
  <c r="N51" i="92"/>
  <c r="M51" i="92"/>
  <c r="S51" i="92"/>
  <c r="R50" i="92"/>
  <c r="Q50" i="92"/>
  <c r="P50" i="92"/>
  <c r="N50" i="92"/>
  <c r="M50" i="92"/>
  <c r="S50" i="92" s="1"/>
  <c r="R49" i="92"/>
  <c r="Q49" i="92"/>
  <c r="P49" i="92"/>
  <c r="N49" i="92"/>
  <c r="M49" i="92"/>
  <c r="S49" i="92" s="1"/>
  <c r="R48" i="92"/>
  <c r="Q48" i="92"/>
  <c r="P48" i="92"/>
  <c r="N48" i="92"/>
  <c r="M48" i="92"/>
  <c r="S48" i="92" s="1"/>
  <c r="R47" i="92"/>
  <c r="Q47" i="92"/>
  <c r="P47" i="92"/>
  <c r="N47" i="92"/>
  <c r="M47" i="92"/>
  <c r="S47" i="92"/>
  <c r="R46" i="92"/>
  <c r="Q46" i="92"/>
  <c r="P46" i="92"/>
  <c r="N46" i="92"/>
  <c r="M46" i="92"/>
  <c r="S46" i="92" s="1"/>
  <c r="R45" i="92"/>
  <c r="Q45" i="92"/>
  <c r="P45" i="92"/>
  <c r="N45" i="92"/>
  <c r="M45" i="92"/>
  <c r="S45" i="92" s="1"/>
  <c r="R44" i="92"/>
  <c r="Q44" i="92"/>
  <c r="P44" i="92"/>
  <c r="N44" i="92"/>
  <c r="M44" i="92"/>
  <c r="S44" i="92" s="1"/>
  <c r="R43" i="92"/>
  <c r="Q43" i="92"/>
  <c r="P43" i="92"/>
  <c r="N43" i="92"/>
  <c r="M43" i="92"/>
  <c r="S43" i="92"/>
  <c r="R42" i="92"/>
  <c r="Q42" i="92"/>
  <c r="P42" i="92"/>
  <c r="N42" i="92"/>
  <c r="M42" i="92"/>
  <c r="S42" i="92" s="1"/>
  <c r="R41" i="92"/>
  <c r="Q41" i="92"/>
  <c r="P41" i="92"/>
  <c r="N41" i="92"/>
  <c r="M41" i="92"/>
  <c r="S41" i="92" s="1"/>
  <c r="R40" i="92"/>
  <c r="Q40" i="92"/>
  <c r="P40" i="92"/>
  <c r="N40" i="92"/>
  <c r="M40" i="92"/>
  <c r="S40" i="92" s="1"/>
  <c r="R39" i="92"/>
  <c r="Q39" i="92"/>
  <c r="P39" i="92"/>
  <c r="N39" i="92"/>
  <c r="M39" i="92"/>
  <c r="S39" i="92"/>
  <c r="R38" i="92"/>
  <c r="Q38" i="92"/>
  <c r="P38" i="92"/>
  <c r="N38" i="92"/>
  <c r="M38" i="92"/>
  <c r="S38" i="92" s="1"/>
  <c r="R37" i="92"/>
  <c r="Q37" i="92"/>
  <c r="P37" i="92"/>
  <c r="N37" i="92"/>
  <c r="M37" i="92"/>
  <c r="O37" i="92" s="1"/>
  <c r="R36" i="92"/>
  <c r="Q36" i="92"/>
  <c r="P36" i="92"/>
  <c r="N36" i="92"/>
  <c r="M36" i="92"/>
  <c r="S36" i="92" s="1"/>
  <c r="R35" i="92"/>
  <c r="Q35" i="92"/>
  <c r="P35" i="92"/>
  <c r="N35" i="92"/>
  <c r="M35" i="92"/>
  <c r="S35" i="92"/>
  <c r="R34" i="92"/>
  <c r="Q34" i="92"/>
  <c r="P34" i="92"/>
  <c r="N34" i="92"/>
  <c r="M34" i="92"/>
  <c r="S34" i="92" s="1"/>
  <c r="R33" i="92"/>
  <c r="Q33" i="92"/>
  <c r="P33" i="92"/>
  <c r="N33" i="92"/>
  <c r="M33" i="92"/>
  <c r="S33" i="92" s="1"/>
  <c r="R32" i="92"/>
  <c r="Q32" i="92"/>
  <c r="P32" i="92"/>
  <c r="N32" i="92"/>
  <c r="M32" i="92"/>
  <c r="S32" i="92" s="1"/>
  <c r="R31" i="92"/>
  <c r="Q31" i="92"/>
  <c r="P31" i="92"/>
  <c r="N31" i="92"/>
  <c r="M31" i="92"/>
  <c r="S31" i="92"/>
  <c r="R30" i="92"/>
  <c r="Q30" i="92"/>
  <c r="P30" i="92"/>
  <c r="N30" i="92"/>
  <c r="M30" i="92"/>
  <c r="S30" i="92" s="1"/>
  <c r="R29" i="92"/>
  <c r="Q29" i="92"/>
  <c r="P29" i="92"/>
  <c r="N29" i="92"/>
  <c r="M29" i="92"/>
  <c r="S29" i="92" s="1"/>
  <c r="R28" i="92"/>
  <c r="Q28" i="92"/>
  <c r="P28" i="92"/>
  <c r="N28" i="92"/>
  <c r="M28" i="92"/>
  <c r="S28" i="92" s="1"/>
  <c r="R27" i="92"/>
  <c r="Q27" i="92"/>
  <c r="P27" i="92"/>
  <c r="N27" i="92"/>
  <c r="M27" i="92"/>
  <c r="S27" i="92"/>
  <c r="R26" i="92"/>
  <c r="Q26" i="92"/>
  <c r="P26" i="92"/>
  <c r="N26" i="92"/>
  <c r="M26" i="92"/>
  <c r="S26" i="92" s="1"/>
  <c r="R25" i="92"/>
  <c r="Q25" i="92"/>
  <c r="P25" i="92"/>
  <c r="N25" i="92"/>
  <c r="M25" i="92"/>
  <c r="S25" i="92" s="1"/>
  <c r="R24" i="92"/>
  <c r="Q24" i="92"/>
  <c r="P24" i="92"/>
  <c r="N24" i="92"/>
  <c r="M24" i="92"/>
  <c r="S24" i="92" s="1"/>
  <c r="R23" i="92"/>
  <c r="Q23" i="92"/>
  <c r="P23" i="92"/>
  <c r="N23" i="92"/>
  <c r="M23" i="92"/>
  <c r="S23" i="92"/>
  <c r="R22" i="92"/>
  <c r="Q22" i="92"/>
  <c r="P22" i="92"/>
  <c r="N22" i="92"/>
  <c r="M22" i="92"/>
  <c r="S22" i="92" s="1"/>
  <c r="R21" i="92"/>
  <c r="Q21" i="92"/>
  <c r="P21" i="92"/>
  <c r="N21" i="92"/>
  <c r="M21" i="92"/>
  <c r="O21" i="92" s="1"/>
  <c r="R20" i="92"/>
  <c r="Q20" i="92"/>
  <c r="P20" i="92"/>
  <c r="N20" i="92"/>
  <c r="M20" i="92"/>
  <c r="S20" i="92" s="1"/>
  <c r="R19" i="92"/>
  <c r="Q19" i="92"/>
  <c r="P19" i="92"/>
  <c r="N19" i="92"/>
  <c r="M19" i="92"/>
  <c r="S19" i="92"/>
  <c r="R18" i="92"/>
  <c r="Q18" i="92"/>
  <c r="P18" i="92"/>
  <c r="N18" i="92"/>
  <c r="M18" i="92"/>
  <c r="S18" i="92" s="1"/>
  <c r="R17" i="92"/>
  <c r="Q17" i="92"/>
  <c r="P17" i="92"/>
  <c r="N17" i="92"/>
  <c r="M17" i="92"/>
  <c r="S17" i="92" s="1"/>
  <c r="R16" i="92"/>
  <c r="Q16" i="92"/>
  <c r="P16" i="92"/>
  <c r="N16" i="92"/>
  <c r="M16" i="92"/>
  <c r="S16" i="92" s="1"/>
  <c r="R15" i="92"/>
  <c r="Q15" i="92"/>
  <c r="P15" i="92"/>
  <c r="N15" i="92"/>
  <c r="M15" i="92"/>
  <c r="O15" i="92" s="1"/>
  <c r="S15" i="92"/>
  <c r="R14" i="92"/>
  <c r="Q14" i="92"/>
  <c r="P14" i="92"/>
  <c r="N14" i="92"/>
  <c r="M14" i="92"/>
  <c r="S14" i="92" s="1"/>
  <c r="R13" i="92"/>
  <c r="Q13" i="92"/>
  <c r="P13" i="92"/>
  <c r="N13" i="92"/>
  <c r="M13" i="92"/>
  <c r="S13" i="92" s="1"/>
  <c r="R12" i="92"/>
  <c r="Q12" i="92"/>
  <c r="P12" i="92"/>
  <c r="N12" i="92"/>
  <c r="M12" i="92"/>
  <c r="S12" i="92" s="1"/>
  <c r="R11" i="92"/>
  <c r="Q11" i="92"/>
  <c r="P11" i="92"/>
  <c r="N11" i="92"/>
  <c r="M11" i="92"/>
  <c r="O11" i="92" s="1"/>
  <c r="S11" i="92"/>
  <c r="R10" i="92"/>
  <c r="Q10" i="92"/>
  <c r="P10" i="92"/>
  <c r="N10" i="92"/>
  <c r="M10" i="92"/>
  <c r="S10" i="92" s="1"/>
  <c r="R9" i="92"/>
  <c r="Q9" i="92"/>
  <c r="P9" i="92"/>
  <c r="N9" i="92"/>
  <c r="M9" i="92"/>
  <c r="S9" i="92" s="1"/>
  <c r="R8" i="92"/>
  <c r="Q8" i="92"/>
  <c r="P8" i="92"/>
  <c r="N8" i="92"/>
  <c r="M8" i="92"/>
  <c r="S8" i="92" s="1"/>
  <c r="R7" i="92"/>
  <c r="Q7" i="92"/>
  <c r="P7" i="92"/>
  <c r="N7" i="92"/>
  <c r="M7" i="92"/>
  <c r="S7" i="92"/>
  <c r="R6" i="92"/>
  <c r="Q6" i="92"/>
  <c r="P6" i="92"/>
  <c r="N6" i="92"/>
  <c r="M6" i="92"/>
  <c r="S6" i="92" s="1"/>
  <c r="R5" i="92"/>
  <c r="Q5" i="92"/>
  <c r="P5" i="92"/>
  <c r="N5" i="92"/>
  <c r="M5" i="92"/>
  <c r="S5" i="92" s="1"/>
  <c r="R4" i="92"/>
  <c r="Q4" i="92"/>
  <c r="P4" i="92"/>
  <c r="N4" i="92"/>
  <c r="M4" i="92"/>
  <c r="S4" i="92" s="1"/>
  <c r="R3" i="92"/>
  <c r="Q3" i="92"/>
  <c r="P3" i="92"/>
  <c r="N3" i="92"/>
  <c r="M3" i="92"/>
  <c r="O3" i="92" s="1"/>
  <c r="S3" i="92"/>
  <c r="R2" i="92"/>
  <c r="Q2" i="92"/>
  <c r="P2" i="92"/>
  <c r="N2" i="92"/>
  <c r="M2" i="92"/>
  <c r="S2" i="92" s="1"/>
  <c r="O7" i="92"/>
  <c r="O9" i="92"/>
  <c r="O13" i="92"/>
  <c r="O2" i="92"/>
  <c r="O6" i="92"/>
  <c r="O10" i="92"/>
  <c r="O14" i="92"/>
  <c r="O18" i="92"/>
  <c r="O22" i="92"/>
  <c r="O26" i="92"/>
  <c r="O30" i="92"/>
  <c r="O34" i="92"/>
  <c r="O38" i="92"/>
  <c r="O42" i="92"/>
  <c r="O46" i="92"/>
  <c r="O50" i="92"/>
  <c r="O54" i="92"/>
  <c r="O58" i="92"/>
  <c r="O62" i="92"/>
  <c r="O66" i="92"/>
  <c r="O70" i="92"/>
  <c r="O74" i="92"/>
  <c r="O78" i="92"/>
  <c r="O82" i="92"/>
  <c r="O86" i="92"/>
  <c r="O90" i="92"/>
  <c r="O94" i="92"/>
  <c r="O98" i="92"/>
  <c r="O19" i="92"/>
  <c r="O23" i="92"/>
  <c r="O27" i="92"/>
  <c r="O31" i="92"/>
  <c r="O33" i="92"/>
  <c r="O35" i="92"/>
  <c r="O39" i="92"/>
  <c r="O43" i="92"/>
  <c r="O47" i="92"/>
  <c r="O49" i="92"/>
  <c r="O51" i="92"/>
  <c r="O55" i="92"/>
  <c r="O59" i="92"/>
  <c r="O63" i="92"/>
  <c r="O65" i="92"/>
  <c r="O67" i="92"/>
  <c r="O69" i="92"/>
  <c r="O71" i="92"/>
  <c r="O73" i="92"/>
  <c r="O75" i="92"/>
  <c r="O77" i="92"/>
  <c r="O79" i="92"/>
  <c r="O81" i="92"/>
  <c r="O83" i="92"/>
  <c r="O85" i="92"/>
  <c r="O87" i="92"/>
  <c r="O89" i="92"/>
  <c r="O91" i="92"/>
  <c r="O93" i="92"/>
  <c r="O95" i="92"/>
  <c r="O97" i="92"/>
  <c r="O99" i="92"/>
  <c r="O101" i="92"/>
  <c r="R5" i="89"/>
  <c r="R6" i="89"/>
  <c r="R7" i="89"/>
  <c r="R8" i="89"/>
  <c r="R9" i="89"/>
  <c r="R10" i="89"/>
  <c r="R11" i="89"/>
  <c r="R12" i="89"/>
  <c r="R13" i="89"/>
  <c r="R14" i="89"/>
  <c r="R15" i="89"/>
  <c r="R16" i="89"/>
  <c r="R17" i="89"/>
  <c r="R18" i="89"/>
  <c r="R19" i="89"/>
  <c r="R20" i="89"/>
  <c r="R21" i="89"/>
  <c r="R22" i="89"/>
  <c r="R23" i="89"/>
  <c r="R24" i="89"/>
  <c r="R25" i="89"/>
  <c r="R26" i="89"/>
  <c r="R27" i="89"/>
  <c r="R28" i="89"/>
  <c r="R29" i="89"/>
  <c r="R30" i="89"/>
  <c r="R31" i="89"/>
  <c r="R32" i="89"/>
  <c r="R33" i="89"/>
  <c r="R34" i="89"/>
  <c r="R35" i="89"/>
  <c r="R36" i="89"/>
  <c r="R37" i="89"/>
  <c r="R38" i="89"/>
  <c r="R39" i="89"/>
  <c r="R40" i="89"/>
  <c r="R41" i="89"/>
  <c r="R42" i="89"/>
  <c r="R43" i="89"/>
  <c r="R44" i="89"/>
  <c r="R45" i="89"/>
  <c r="R46" i="89"/>
  <c r="R47" i="89"/>
  <c r="R48" i="89"/>
  <c r="R49" i="89"/>
  <c r="R50" i="89"/>
  <c r="R51" i="89"/>
  <c r="R52" i="89"/>
  <c r="R53" i="89"/>
  <c r="R54" i="89"/>
  <c r="R55" i="89"/>
  <c r="R56" i="89"/>
  <c r="R57" i="89"/>
  <c r="R58" i="89"/>
  <c r="R59" i="89"/>
  <c r="R60" i="89"/>
  <c r="R61" i="89"/>
  <c r="R62" i="89"/>
  <c r="R63" i="89"/>
  <c r="R64" i="89"/>
  <c r="R65" i="89"/>
  <c r="R66" i="89"/>
  <c r="R67" i="89"/>
  <c r="R68" i="89"/>
  <c r="R69" i="89"/>
  <c r="R70" i="89"/>
  <c r="R71" i="89"/>
  <c r="R72" i="89"/>
  <c r="R73" i="89"/>
  <c r="R74" i="89"/>
  <c r="R75" i="89"/>
  <c r="R76" i="89"/>
  <c r="R77" i="89"/>
  <c r="R78" i="89"/>
  <c r="R79" i="89"/>
  <c r="R80" i="89"/>
  <c r="R81" i="89"/>
  <c r="R82" i="89"/>
  <c r="R83" i="89"/>
  <c r="R84" i="89"/>
  <c r="R85" i="89"/>
  <c r="R86" i="89"/>
  <c r="R87" i="89"/>
  <c r="R88" i="89"/>
  <c r="R89" i="89"/>
  <c r="R90" i="89"/>
  <c r="R91" i="89"/>
  <c r="R92" i="89"/>
  <c r="R93" i="89"/>
  <c r="R94" i="89"/>
  <c r="R95" i="89"/>
  <c r="R96" i="89"/>
  <c r="R97" i="89"/>
  <c r="R98" i="89"/>
  <c r="R99" i="89"/>
  <c r="R100" i="89"/>
  <c r="R101" i="89"/>
  <c r="R102" i="89"/>
  <c r="R103" i="89"/>
  <c r="R4" i="89"/>
  <c r="F59" i="79"/>
  <c r="F60" i="79"/>
  <c r="F58" i="79"/>
  <c r="Q103" i="89"/>
  <c r="P103" i="89"/>
  <c r="N103" i="89"/>
  <c r="M103" i="89"/>
  <c r="Q102" i="89"/>
  <c r="P102" i="89"/>
  <c r="N102" i="89"/>
  <c r="M102" i="89"/>
  <c r="O102" i="89" s="1"/>
  <c r="Q101" i="89"/>
  <c r="P101" i="89"/>
  <c r="N101" i="89"/>
  <c r="M101" i="89"/>
  <c r="O101" i="89" s="1"/>
  <c r="Q100" i="89"/>
  <c r="P100" i="89"/>
  <c r="N100" i="89"/>
  <c r="M100" i="89"/>
  <c r="O100" i="89" s="1"/>
  <c r="Q99" i="89"/>
  <c r="P99" i="89"/>
  <c r="N99" i="89"/>
  <c r="M99" i="89"/>
  <c r="Q98" i="89"/>
  <c r="P98" i="89"/>
  <c r="N98" i="89"/>
  <c r="M98" i="89"/>
  <c r="Q97" i="89"/>
  <c r="P97" i="89"/>
  <c r="N97" i="89"/>
  <c r="M97" i="89"/>
  <c r="Q96" i="89"/>
  <c r="P96" i="89"/>
  <c r="N96" i="89"/>
  <c r="M96" i="89"/>
  <c r="O96" i="89" s="1"/>
  <c r="Q95" i="89"/>
  <c r="P95" i="89"/>
  <c r="N95" i="89"/>
  <c r="M95" i="89"/>
  <c r="Q94" i="89"/>
  <c r="P94" i="89"/>
  <c r="N94" i="89"/>
  <c r="M94" i="89"/>
  <c r="O94" i="89" s="1"/>
  <c r="Q93" i="89"/>
  <c r="P93" i="89"/>
  <c r="N93" i="89"/>
  <c r="M93" i="89"/>
  <c r="Q92" i="89"/>
  <c r="P92" i="89"/>
  <c r="N92" i="89"/>
  <c r="M92" i="89"/>
  <c r="O92" i="89" s="1"/>
  <c r="Q91" i="89"/>
  <c r="P91" i="89"/>
  <c r="N91" i="89"/>
  <c r="M91" i="89"/>
  <c r="Q90" i="89"/>
  <c r="P90" i="89"/>
  <c r="N90" i="89"/>
  <c r="M90" i="89"/>
  <c r="O90" i="89" s="1"/>
  <c r="Q89" i="89"/>
  <c r="P89" i="89"/>
  <c r="N89" i="89"/>
  <c r="M89" i="89"/>
  <c r="O89" i="89" s="1"/>
  <c r="Q88" i="89"/>
  <c r="P88" i="89"/>
  <c r="N88" i="89"/>
  <c r="M88" i="89"/>
  <c r="O88" i="89" s="1"/>
  <c r="Q87" i="89"/>
  <c r="P87" i="89"/>
  <c r="N87" i="89"/>
  <c r="M87" i="89"/>
  <c r="Q86" i="89"/>
  <c r="P86" i="89"/>
  <c r="N86" i="89"/>
  <c r="M86" i="89"/>
  <c r="O86" i="89" s="1"/>
  <c r="Q85" i="89"/>
  <c r="P85" i="89"/>
  <c r="N85" i="89"/>
  <c r="M85" i="89"/>
  <c r="O85" i="89" s="1"/>
  <c r="Q84" i="89"/>
  <c r="P84" i="89"/>
  <c r="N84" i="89"/>
  <c r="M84" i="89"/>
  <c r="O84" i="89" s="1"/>
  <c r="Q83" i="89"/>
  <c r="P83" i="89"/>
  <c r="N83" i="89"/>
  <c r="M83" i="89"/>
  <c r="Q82" i="89"/>
  <c r="P82" i="89"/>
  <c r="N82" i="89"/>
  <c r="M82" i="89"/>
  <c r="Q81" i="89"/>
  <c r="P81" i="89"/>
  <c r="N81" i="89"/>
  <c r="M81" i="89"/>
  <c r="O81" i="89" s="1"/>
  <c r="Q80" i="89"/>
  <c r="P80" i="89"/>
  <c r="N80" i="89"/>
  <c r="M80" i="89"/>
  <c r="O80" i="89" s="1"/>
  <c r="Q79" i="89"/>
  <c r="P79" i="89"/>
  <c r="N79" i="89"/>
  <c r="M79" i="89"/>
  <c r="Q78" i="89"/>
  <c r="P78" i="89"/>
  <c r="N78" i="89"/>
  <c r="M78" i="89"/>
  <c r="O78" i="89" s="1"/>
  <c r="Q77" i="89"/>
  <c r="P77" i="89"/>
  <c r="N77" i="89"/>
  <c r="M77" i="89"/>
  <c r="Q76" i="89"/>
  <c r="P76" i="89"/>
  <c r="N76" i="89"/>
  <c r="M76" i="89"/>
  <c r="O76" i="89" s="1"/>
  <c r="Q75" i="89"/>
  <c r="P75" i="89"/>
  <c r="N75" i="89"/>
  <c r="M75" i="89"/>
  <c r="Q74" i="89"/>
  <c r="P74" i="89"/>
  <c r="N74" i="89"/>
  <c r="M74" i="89"/>
  <c r="O74" i="89" s="1"/>
  <c r="Q73" i="89"/>
  <c r="P73" i="89"/>
  <c r="N73" i="89"/>
  <c r="M73" i="89"/>
  <c r="O73" i="89" s="1"/>
  <c r="Q72" i="89"/>
  <c r="P72" i="89"/>
  <c r="N72" i="89"/>
  <c r="M72" i="89"/>
  <c r="O72" i="89" s="1"/>
  <c r="Q71" i="89"/>
  <c r="P71" i="89"/>
  <c r="N71" i="89"/>
  <c r="M71" i="89"/>
  <c r="Q70" i="89"/>
  <c r="P70" i="89"/>
  <c r="N70" i="89"/>
  <c r="M70" i="89"/>
  <c r="O70" i="89" s="1"/>
  <c r="Q69" i="89"/>
  <c r="P69" i="89"/>
  <c r="N69" i="89"/>
  <c r="M69" i="89"/>
  <c r="O69" i="89" s="1"/>
  <c r="Q68" i="89"/>
  <c r="P68" i="89"/>
  <c r="N68" i="89"/>
  <c r="M68" i="89"/>
  <c r="O68" i="89" s="1"/>
  <c r="Q67" i="89"/>
  <c r="P67" i="89"/>
  <c r="N67" i="89"/>
  <c r="M67" i="89"/>
  <c r="Q66" i="89"/>
  <c r="P66" i="89"/>
  <c r="N66" i="89"/>
  <c r="M66" i="89"/>
  <c r="Q65" i="89"/>
  <c r="P65" i="89"/>
  <c r="N65" i="89"/>
  <c r="M65" i="89"/>
  <c r="O65" i="89" s="1"/>
  <c r="Q64" i="89"/>
  <c r="P64" i="89"/>
  <c r="N64" i="89"/>
  <c r="M64" i="89"/>
  <c r="O64" i="89" s="1"/>
  <c r="Q63" i="89"/>
  <c r="P63" i="89"/>
  <c r="N63" i="89"/>
  <c r="M63" i="89"/>
  <c r="Q62" i="89"/>
  <c r="P62" i="89"/>
  <c r="N62" i="89"/>
  <c r="M62" i="89"/>
  <c r="O62" i="89" s="1"/>
  <c r="Q61" i="89"/>
  <c r="P61" i="89"/>
  <c r="N61" i="89"/>
  <c r="M61" i="89"/>
  <c r="Q60" i="89"/>
  <c r="P60" i="89"/>
  <c r="N60" i="89"/>
  <c r="M60" i="89"/>
  <c r="O60" i="89" s="1"/>
  <c r="Q59" i="89"/>
  <c r="P59" i="89"/>
  <c r="N59" i="89"/>
  <c r="M59" i="89"/>
  <c r="Q58" i="89"/>
  <c r="P58" i="89"/>
  <c r="N58" i="89"/>
  <c r="M58" i="89"/>
  <c r="O58" i="89" s="1"/>
  <c r="Q57" i="89"/>
  <c r="P57" i="89"/>
  <c r="N57" i="89"/>
  <c r="M57" i="89"/>
  <c r="O57" i="89" s="1"/>
  <c r="Q56" i="89"/>
  <c r="P56" i="89"/>
  <c r="N56" i="89"/>
  <c r="M56" i="89"/>
  <c r="O56" i="89" s="1"/>
  <c r="Q55" i="89"/>
  <c r="P55" i="89"/>
  <c r="N55" i="89"/>
  <c r="M55" i="89"/>
  <c r="Q54" i="89"/>
  <c r="P54" i="89"/>
  <c r="N54" i="89"/>
  <c r="M54" i="89"/>
  <c r="O54" i="89" s="1"/>
  <c r="Q53" i="89"/>
  <c r="P53" i="89"/>
  <c r="N53" i="89"/>
  <c r="M53" i="89"/>
  <c r="O53" i="89" s="1"/>
  <c r="Q52" i="89"/>
  <c r="P52" i="89"/>
  <c r="N52" i="89"/>
  <c r="M52" i="89"/>
  <c r="O52" i="89" s="1"/>
  <c r="Q51" i="89"/>
  <c r="P51" i="89"/>
  <c r="N51" i="89"/>
  <c r="M51" i="89"/>
  <c r="Q50" i="89"/>
  <c r="P50" i="89"/>
  <c r="N50" i="89"/>
  <c r="M50" i="89"/>
  <c r="Q49" i="89"/>
  <c r="P49" i="89"/>
  <c r="N49" i="89"/>
  <c r="M49" i="89"/>
  <c r="O49" i="89" s="1"/>
  <c r="Q48" i="89"/>
  <c r="P48" i="89"/>
  <c r="N48" i="89"/>
  <c r="M48" i="89"/>
  <c r="O48" i="89" s="1"/>
  <c r="Q47" i="89"/>
  <c r="P47" i="89"/>
  <c r="N47" i="89"/>
  <c r="M47" i="89"/>
  <c r="Q46" i="89"/>
  <c r="P46" i="89"/>
  <c r="N46" i="89"/>
  <c r="M46" i="89"/>
  <c r="O46" i="89" s="1"/>
  <c r="Q45" i="89"/>
  <c r="P45" i="89"/>
  <c r="N45" i="89"/>
  <c r="M45" i="89"/>
  <c r="Q44" i="89"/>
  <c r="P44" i="89"/>
  <c r="N44" i="89"/>
  <c r="M44" i="89"/>
  <c r="O44" i="89" s="1"/>
  <c r="Q43" i="89"/>
  <c r="P43" i="89"/>
  <c r="N43" i="89"/>
  <c r="M43" i="89"/>
  <c r="Q42" i="89"/>
  <c r="P42" i="89"/>
  <c r="N42" i="89"/>
  <c r="M42" i="89"/>
  <c r="O42" i="89" s="1"/>
  <c r="Q41" i="89"/>
  <c r="P41" i="89"/>
  <c r="N41" i="89"/>
  <c r="M41" i="89"/>
  <c r="O41" i="89" s="1"/>
  <c r="Q40" i="89"/>
  <c r="P40" i="89"/>
  <c r="N40" i="89"/>
  <c r="M40" i="89"/>
  <c r="O40" i="89" s="1"/>
  <c r="Q39" i="89"/>
  <c r="P39" i="89"/>
  <c r="N39" i="89"/>
  <c r="M39" i="89"/>
  <c r="Q38" i="89"/>
  <c r="P38" i="89"/>
  <c r="N38" i="89"/>
  <c r="M38" i="89"/>
  <c r="O38" i="89" s="1"/>
  <c r="Q37" i="89"/>
  <c r="P37" i="89"/>
  <c r="N37" i="89"/>
  <c r="M37" i="89"/>
  <c r="O37" i="89" s="1"/>
  <c r="Q36" i="89"/>
  <c r="P36" i="89"/>
  <c r="N36" i="89"/>
  <c r="M36" i="89"/>
  <c r="O36" i="89" s="1"/>
  <c r="Q35" i="89"/>
  <c r="P35" i="89"/>
  <c r="N35" i="89"/>
  <c r="M35" i="89"/>
  <c r="Q34" i="89"/>
  <c r="P34" i="89"/>
  <c r="N34" i="89"/>
  <c r="M34" i="89"/>
  <c r="Q33" i="89"/>
  <c r="P33" i="89"/>
  <c r="N33" i="89"/>
  <c r="M33" i="89"/>
  <c r="O33" i="89" s="1"/>
  <c r="Q32" i="89"/>
  <c r="P32" i="89"/>
  <c r="N32" i="89"/>
  <c r="M32" i="89"/>
  <c r="O32" i="89" s="1"/>
  <c r="Q31" i="89"/>
  <c r="P31" i="89"/>
  <c r="N31" i="89"/>
  <c r="M31" i="89"/>
  <c r="Q30" i="89"/>
  <c r="P30" i="89"/>
  <c r="N30" i="89"/>
  <c r="M30" i="89"/>
  <c r="O30" i="89" s="1"/>
  <c r="Q29" i="89"/>
  <c r="P29" i="89"/>
  <c r="N29" i="89"/>
  <c r="M29" i="89"/>
  <c r="Q28" i="89"/>
  <c r="P28" i="89"/>
  <c r="N28" i="89"/>
  <c r="M28" i="89"/>
  <c r="O28" i="89" s="1"/>
  <c r="Q27" i="89"/>
  <c r="P27" i="89"/>
  <c r="N27" i="89"/>
  <c r="M27" i="89"/>
  <c r="Q26" i="89"/>
  <c r="P26" i="89"/>
  <c r="N26" i="89"/>
  <c r="M26" i="89"/>
  <c r="O26" i="89" s="1"/>
  <c r="Q25" i="89"/>
  <c r="P25" i="89"/>
  <c r="N25" i="89"/>
  <c r="M25" i="89"/>
  <c r="O25" i="89" s="1"/>
  <c r="Q24" i="89"/>
  <c r="P24" i="89"/>
  <c r="N24" i="89"/>
  <c r="M24" i="89"/>
  <c r="O24" i="89" s="1"/>
  <c r="Q23" i="89"/>
  <c r="P23" i="89"/>
  <c r="N23" i="89"/>
  <c r="M23" i="89"/>
  <c r="Q22" i="89"/>
  <c r="P22" i="89"/>
  <c r="N22" i="89"/>
  <c r="M22" i="89"/>
  <c r="O22" i="89" s="1"/>
  <c r="Q21" i="89"/>
  <c r="P21" i="89"/>
  <c r="N21" i="89"/>
  <c r="M21" i="89"/>
  <c r="O21" i="89" s="1"/>
  <c r="Q20" i="89"/>
  <c r="P20" i="89"/>
  <c r="N20" i="89"/>
  <c r="M20" i="89"/>
  <c r="O20" i="89" s="1"/>
  <c r="Q19" i="89"/>
  <c r="P19" i="89"/>
  <c r="N19" i="89"/>
  <c r="M19" i="89"/>
  <c r="Q18" i="89"/>
  <c r="P18" i="89"/>
  <c r="N18" i="89"/>
  <c r="M18" i="89"/>
  <c r="Q17" i="89"/>
  <c r="P17" i="89"/>
  <c r="N17" i="89"/>
  <c r="M17" i="89"/>
  <c r="Q16" i="89"/>
  <c r="P16" i="89"/>
  <c r="N16" i="89"/>
  <c r="M16" i="89"/>
  <c r="O16" i="89" s="1"/>
  <c r="Q15" i="89"/>
  <c r="P15" i="89"/>
  <c r="N15" i="89"/>
  <c r="M15" i="89"/>
  <c r="Q14" i="89"/>
  <c r="P14" i="89"/>
  <c r="N14" i="89"/>
  <c r="M14" i="89"/>
  <c r="O14" i="89" s="1"/>
  <c r="Q13" i="89"/>
  <c r="P13" i="89"/>
  <c r="N13" i="89"/>
  <c r="M13" i="89"/>
  <c r="O13" i="89" s="1"/>
  <c r="Q12" i="89"/>
  <c r="P12" i="89"/>
  <c r="N12" i="89"/>
  <c r="M12" i="89"/>
  <c r="O12" i="89" s="1"/>
  <c r="Q11" i="89"/>
  <c r="P11" i="89"/>
  <c r="N11" i="89"/>
  <c r="M11" i="89"/>
  <c r="Q10" i="89"/>
  <c r="P10" i="89"/>
  <c r="N10" i="89"/>
  <c r="M10" i="89"/>
  <c r="O10" i="89" s="1"/>
  <c r="Q9" i="89"/>
  <c r="P9" i="89"/>
  <c r="N9" i="89"/>
  <c r="M9" i="89"/>
  <c r="O9" i="89" s="1"/>
  <c r="Q8" i="89"/>
  <c r="P8" i="89"/>
  <c r="N8" i="89"/>
  <c r="M8" i="89"/>
  <c r="O8" i="89" s="1"/>
  <c r="Q7" i="89"/>
  <c r="P7" i="89"/>
  <c r="N7" i="89"/>
  <c r="M7" i="89"/>
  <c r="Q6" i="89"/>
  <c r="P6" i="89"/>
  <c r="N6" i="89"/>
  <c r="M6" i="89"/>
  <c r="O6" i="89" s="1"/>
  <c r="Q5" i="89"/>
  <c r="P5" i="89"/>
  <c r="N5" i="89"/>
  <c r="M5" i="89"/>
  <c r="O5" i="89" s="1"/>
  <c r="Q4" i="89"/>
  <c r="P4" i="89"/>
  <c r="N4" i="89"/>
  <c r="M4" i="89"/>
  <c r="O4" i="89" s="1"/>
  <c r="O18" i="89"/>
  <c r="O7" i="89"/>
  <c r="O11" i="89"/>
  <c r="O15" i="89"/>
  <c r="O17" i="89"/>
  <c r="O19" i="89"/>
  <c r="O34" i="89"/>
  <c r="O50" i="89"/>
  <c r="O66" i="89"/>
  <c r="O82" i="89"/>
  <c r="O98" i="89"/>
  <c r="O23" i="89"/>
  <c r="O27" i="89"/>
  <c r="O29" i="89"/>
  <c r="O31" i="89"/>
  <c r="O35" i="89"/>
  <c r="O39" i="89"/>
  <c r="O43" i="89"/>
  <c r="O45" i="89"/>
  <c r="O47" i="89"/>
  <c r="O51" i="89"/>
  <c r="O55" i="89"/>
  <c r="O59" i="89"/>
  <c r="O61" i="89"/>
  <c r="O63" i="89"/>
  <c r="O67" i="89"/>
  <c r="O71" i="89"/>
  <c r="O75" i="89"/>
  <c r="O77" i="89"/>
  <c r="O79" i="89"/>
  <c r="O83" i="89"/>
  <c r="O87" i="89"/>
  <c r="O91" i="89"/>
  <c r="O93" i="89"/>
  <c r="O95" i="89"/>
  <c r="O97" i="89"/>
  <c r="O99" i="89"/>
  <c r="O103" i="89"/>
  <c r="Q103" i="87"/>
  <c r="P103" i="87"/>
  <c r="N103" i="87"/>
  <c r="M103" i="87"/>
  <c r="Q102" i="87"/>
  <c r="P102" i="87"/>
  <c r="N102" i="87"/>
  <c r="M102" i="87"/>
  <c r="Q101" i="87"/>
  <c r="P101" i="87"/>
  <c r="N101" i="87"/>
  <c r="M101" i="87"/>
  <c r="O101" i="87" s="1"/>
  <c r="Q100" i="87"/>
  <c r="P100" i="87"/>
  <c r="N100" i="87"/>
  <c r="M100" i="87"/>
  <c r="Q99" i="87"/>
  <c r="P99" i="87"/>
  <c r="N99" i="87"/>
  <c r="M99" i="87"/>
  <c r="O99" i="87" s="1"/>
  <c r="Q98" i="87"/>
  <c r="P98" i="87"/>
  <c r="N98" i="87"/>
  <c r="M98" i="87"/>
  <c r="Q97" i="87"/>
  <c r="P97" i="87"/>
  <c r="N97" i="87"/>
  <c r="M97" i="87"/>
  <c r="O97" i="87" s="1"/>
  <c r="Q96" i="87"/>
  <c r="P96" i="87"/>
  <c r="N96" i="87"/>
  <c r="M96" i="87"/>
  <c r="O96" i="87" s="1"/>
  <c r="Q95" i="87"/>
  <c r="P95" i="87"/>
  <c r="N95" i="87"/>
  <c r="M95" i="87"/>
  <c r="O95" i="87" s="1"/>
  <c r="Q94" i="87"/>
  <c r="P94" i="87"/>
  <c r="N94" i="87"/>
  <c r="M94" i="87"/>
  <c r="Q93" i="87"/>
  <c r="P93" i="87"/>
  <c r="N93" i="87"/>
  <c r="M93" i="87"/>
  <c r="O93" i="87" s="1"/>
  <c r="Q92" i="87"/>
  <c r="P92" i="87"/>
  <c r="N92" i="87"/>
  <c r="M92" i="87"/>
  <c r="Q91" i="87"/>
  <c r="P91" i="87"/>
  <c r="N91" i="87"/>
  <c r="M91" i="87"/>
  <c r="O91" i="87" s="1"/>
  <c r="Q90" i="87"/>
  <c r="P90" i="87"/>
  <c r="N90" i="87"/>
  <c r="M90" i="87"/>
  <c r="Q89" i="87"/>
  <c r="P89" i="87"/>
  <c r="N89" i="87"/>
  <c r="M89" i="87"/>
  <c r="O89" i="87" s="1"/>
  <c r="Q88" i="87"/>
  <c r="P88" i="87"/>
  <c r="N88" i="87"/>
  <c r="M88" i="87"/>
  <c r="Q87" i="87"/>
  <c r="P87" i="87"/>
  <c r="N87" i="87"/>
  <c r="M87" i="87"/>
  <c r="Q86" i="87"/>
  <c r="P86" i="87"/>
  <c r="N86" i="87"/>
  <c r="M86" i="87"/>
  <c r="Q85" i="87"/>
  <c r="P85" i="87"/>
  <c r="N85" i="87"/>
  <c r="M85" i="87"/>
  <c r="O85" i="87" s="1"/>
  <c r="Q84" i="87"/>
  <c r="P84" i="87"/>
  <c r="N84" i="87"/>
  <c r="M84" i="87"/>
  <c r="O84" i="87" s="1"/>
  <c r="Q83" i="87"/>
  <c r="P83" i="87"/>
  <c r="N83" i="87"/>
  <c r="M83" i="87"/>
  <c r="O83" i="87" s="1"/>
  <c r="Q82" i="87"/>
  <c r="P82" i="87"/>
  <c r="N82" i="87"/>
  <c r="M82" i="87"/>
  <c r="Q81" i="87"/>
  <c r="P81" i="87"/>
  <c r="N81" i="87"/>
  <c r="M81" i="87"/>
  <c r="O81" i="87" s="1"/>
  <c r="Q80" i="87"/>
  <c r="P80" i="87"/>
  <c r="N80" i="87"/>
  <c r="M80" i="87"/>
  <c r="O80" i="87" s="1"/>
  <c r="Q79" i="87"/>
  <c r="P79" i="87"/>
  <c r="N79" i="87"/>
  <c r="M79" i="87"/>
  <c r="O79" i="87" s="1"/>
  <c r="Q78" i="87"/>
  <c r="P78" i="87"/>
  <c r="N78" i="87"/>
  <c r="M78" i="87"/>
  <c r="Q77" i="87"/>
  <c r="P77" i="87"/>
  <c r="N77" i="87"/>
  <c r="M77" i="87"/>
  <c r="O77" i="87" s="1"/>
  <c r="Q76" i="87"/>
  <c r="P76" i="87"/>
  <c r="N76" i="87"/>
  <c r="M76" i="87"/>
  <c r="O76" i="87" s="1"/>
  <c r="Q75" i="87"/>
  <c r="P75" i="87"/>
  <c r="N75" i="87"/>
  <c r="M75" i="87"/>
  <c r="O75" i="87" s="1"/>
  <c r="Q74" i="87"/>
  <c r="P74" i="87"/>
  <c r="N74" i="87"/>
  <c r="M74" i="87"/>
  <c r="Q73" i="87"/>
  <c r="P73" i="87"/>
  <c r="N73" i="87"/>
  <c r="M73" i="87"/>
  <c r="O73" i="87" s="1"/>
  <c r="Q72" i="87"/>
  <c r="P72" i="87"/>
  <c r="N72" i="87"/>
  <c r="M72" i="87"/>
  <c r="Q71" i="87"/>
  <c r="P71" i="87"/>
  <c r="N71" i="87"/>
  <c r="M71" i="87"/>
  <c r="Q70" i="87"/>
  <c r="P70" i="87"/>
  <c r="N70" i="87"/>
  <c r="M70" i="87"/>
  <c r="Q69" i="87"/>
  <c r="P69" i="87"/>
  <c r="N69" i="87"/>
  <c r="M69" i="87"/>
  <c r="O69" i="87" s="1"/>
  <c r="Q68" i="87"/>
  <c r="P68" i="87"/>
  <c r="N68" i="87"/>
  <c r="M68" i="87"/>
  <c r="O68" i="87" s="1"/>
  <c r="Q67" i="87"/>
  <c r="P67" i="87"/>
  <c r="N67" i="87"/>
  <c r="M67" i="87"/>
  <c r="O67" i="87" s="1"/>
  <c r="Q66" i="87"/>
  <c r="P66" i="87"/>
  <c r="N66" i="87"/>
  <c r="M66" i="87"/>
  <c r="Q65" i="87"/>
  <c r="P65" i="87"/>
  <c r="N65" i="87"/>
  <c r="M65" i="87"/>
  <c r="O65" i="87" s="1"/>
  <c r="Q64" i="87"/>
  <c r="P64" i="87"/>
  <c r="N64" i="87"/>
  <c r="M64" i="87"/>
  <c r="O64" i="87" s="1"/>
  <c r="Q63" i="87"/>
  <c r="P63" i="87"/>
  <c r="N63" i="87"/>
  <c r="M63" i="87"/>
  <c r="O63" i="87" s="1"/>
  <c r="Q62" i="87"/>
  <c r="P62" i="87"/>
  <c r="N62" i="87"/>
  <c r="M62" i="87"/>
  <c r="Q61" i="87"/>
  <c r="P61" i="87"/>
  <c r="N61" i="87"/>
  <c r="M61" i="87"/>
  <c r="O61" i="87" s="1"/>
  <c r="Q60" i="87"/>
  <c r="P60" i="87"/>
  <c r="N60" i="87"/>
  <c r="M60" i="87"/>
  <c r="O60" i="87" s="1"/>
  <c r="Q59" i="87"/>
  <c r="P59" i="87"/>
  <c r="N59" i="87"/>
  <c r="M59" i="87"/>
  <c r="O59" i="87" s="1"/>
  <c r="Q58" i="87"/>
  <c r="P58" i="87"/>
  <c r="N58" i="87"/>
  <c r="M58" i="87"/>
  <c r="Q57" i="87"/>
  <c r="P57" i="87"/>
  <c r="N57" i="87"/>
  <c r="M57" i="87"/>
  <c r="O57" i="87" s="1"/>
  <c r="Q56" i="87"/>
  <c r="P56" i="87"/>
  <c r="N56" i="87"/>
  <c r="M56" i="87"/>
  <c r="Q55" i="87"/>
  <c r="P55" i="87"/>
  <c r="N55" i="87"/>
  <c r="M55" i="87"/>
  <c r="Q54" i="87"/>
  <c r="P54" i="87"/>
  <c r="N54" i="87"/>
  <c r="M54" i="87"/>
  <c r="Q53" i="87"/>
  <c r="P53" i="87"/>
  <c r="N53" i="87"/>
  <c r="M53" i="87"/>
  <c r="O53" i="87" s="1"/>
  <c r="Q52" i="87"/>
  <c r="P52" i="87"/>
  <c r="N52" i="87"/>
  <c r="M52" i="87"/>
  <c r="O52" i="87" s="1"/>
  <c r="Q51" i="87"/>
  <c r="P51" i="87"/>
  <c r="N51" i="87"/>
  <c r="M51" i="87"/>
  <c r="O51" i="87" s="1"/>
  <c r="Q50" i="87"/>
  <c r="P50" i="87"/>
  <c r="N50" i="87"/>
  <c r="M50" i="87"/>
  <c r="Q49" i="87"/>
  <c r="P49" i="87"/>
  <c r="N49" i="87"/>
  <c r="M49" i="87"/>
  <c r="O49" i="87" s="1"/>
  <c r="Q48" i="87"/>
  <c r="P48" i="87"/>
  <c r="N48" i="87"/>
  <c r="M48" i="87"/>
  <c r="O48" i="87" s="1"/>
  <c r="Q47" i="87"/>
  <c r="P47" i="87"/>
  <c r="N47" i="87"/>
  <c r="M47" i="87"/>
  <c r="O47" i="87" s="1"/>
  <c r="Q46" i="87"/>
  <c r="P46" i="87"/>
  <c r="N46" i="87"/>
  <c r="M46" i="87"/>
  <c r="Q45" i="87"/>
  <c r="P45" i="87"/>
  <c r="N45" i="87"/>
  <c r="M45" i="87"/>
  <c r="O45" i="87" s="1"/>
  <c r="Q44" i="87"/>
  <c r="P44" i="87"/>
  <c r="N44" i="87"/>
  <c r="M44" i="87"/>
  <c r="O44" i="87" s="1"/>
  <c r="Q43" i="87"/>
  <c r="P43" i="87"/>
  <c r="N43" i="87"/>
  <c r="M43" i="87"/>
  <c r="O43" i="87" s="1"/>
  <c r="Q42" i="87"/>
  <c r="P42" i="87"/>
  <c r="N42" i="87"/>
  <c r="M42" i="87"/>
  <c r="Q41" i="87"/>
  <c r="P41" i="87"/>
  <c r="N41" i="87"/>
  <c r="M41" i="87"/>
  <c r="O41" i="87" s="1"/>
  <c r="Q40" i="87"/>
  <c r="P40" i="87"/>
  <c r="N40" i="87"/>
  <c r="M40" i="87"/>
  <c r="Q39" i="87"/>
  <c r="P39" i="87"/>
  <c r="N39" i="87"/>
  <c r="M39" i="87"/>
  <c r="Q38" i="87"/>
  <c r="P38" i="87"/>
  <c r="N38" i="87"/>
  <c r="M38" i="87"/>
  <c r="Q37" i="87"/>
  <c r="P37" i="87"/>
  <c r="N37" i="87"/>
  <c r="M37" i="87"/>
  <c r="O37" i="87" s="1"/>
  <c r="Q36" i="87"/>
  <c r="P36" i="87"/>
  <c r="N36" i="87"/>
  <c r="M36" i="87"/>
  <c r="O36" i="87" s="1"/>
  <c r="Q35" i="87"/>
  <c r="P35" i="87"/>
  <c r="N35" i="87"/>
  <c r="M35" i="87"/>
  <c r="O35" i="87" s="1"/>
  <c r="Q34" i="87"/>
  <c r="P34" i="87"/>
  <c r="N34" i="87"/>
  <c r="M34" i="87"/>
  <c r="Q33" i="87"/>
  <c r="P33" i="87"/>
  <c r="N33" i="87"/>
  <c r="M33" i="87"/>
  <c r="O33" i="87" s="1"/>
  <c r="Q32" i="87"/>
  <c r="P32" i="87"/>
  <c r="N32" i="87"/>
  <c r="M32" i="87"/>
  <c r="O32" i="87" s="1"/>
  <c r="Q31" i="87"/>
  <c r="P31" i="87"/>
  <c r="N31" i="87"/>
  <c r="M31" i="87"/>
  <c r="O31" i="87" s="1"/>
  <c r="Q30" i="87"/>
  <c r="P30" i="87"/>
  <c r="N30" i="87"/>
  <c r="M30" i="87"/>
  <c r="Q29" i="87"/>
  <c r="P29" i="87"/>
  <c r="N29" i="87"/>
  <c r="M29" i="87"/>
  <c r="O29" i="87" s="1"/>
  <c r="Q28" i="87"/>
  <c r="P28" i="87"/>
  <c r="N28" i="87"/>
  <c r="M28" i="87"/>
  <c r="O28" i="87" s="1"/>
  <c r="Q27" i="87"/>
  <c r="P27" i="87"/>
  <c r="N27" i="87"/>
  <c r="M27" i="87"/>
  <c r="O27" i="87" s="1"/>
  <c r="Q26" i="87"/>
  <c r="P26" i="87"/>
  <c r="N26" i="87"/>
  <c r="M26" i="87"/>
  <c r="Q25" i="87"/>
  <c r="P25" i="87"/>
  <c r="N25" i="87"/>
  <c r="M25" i="87"/>
  <c r="O25" i="87" s="1"/>
  <c r="Q24" i="87"/>
  <c r="P24" i="87"/>
  <c r="N24" i="87"/>
  <c r="M24" i="87"/>
  <c r="Q23" i="87"/>
  <c r="P23" i="87"/>
  <c r="N23" i="87"/>
  <c r="M23" i="87"/>
  <c r="Q22" i="87"/>
  <c r="P22" i="87"/>
  <c r="N22" i="87"/>
  <c r="M22" i="87"/>
  <c r="Q21" i="87"/>
  <c r="P21" i="87"/>
  <c r="N21" i="87"/>
  <c r="M21" i="87"/>
  <c r="O21" i="87" s="1"/>
  <c r="Q20" i="87"/>
  <c r="P20" i="87"/>
  <c r="N20" i="87"/>
  <c r="M20" i="87"/>
  <c r="O20" i="87" s="1"/>
  <c r="Q19" i="87"/>
  <c r="P19" i="87"/>
  <c r="N19" i="87"/>
  <c r="M19" i="87"/>
  <c r="O19" i="87" s="1"/>
  <c r="Q18" i="87"/>
  <c r="P18" i="87"/>
  <c r="N18" i="87"/>
  <c r="M18" i="87"/>
  <c r="O18" i="87" s="1"/>
  <c r="Q17" i="87"/>
  <c r="P17" i="87"/>
  <c r="N17" i="87"/>
  <c r="M17" i="87"/>
  <c r="O17" i="87" s="1"/>
  <c r="Q16" i="87"/>
  <c r="P16" i="87"/>
  <c r="N16" i="87"/>
  <c r="M16" i="87"/>
  <c r="Q15" i="87"/>
  <c r="P15" i="87"/>
  <c r="N15" i="87"/>
  <c r="M15" i="87"/>
  <c r="O15" i="87" s="1"/>
  <c r="Q14" i="87"/>
  <c r="P14" i="87"/>
  <c r="N14" i="87"/>
  <c r="M14" i="87"/>
  <c r="O14" i="87" s="1"/>
  <c r="Q13" i="87"/>
  <c r="P13" i="87"/>
  <c r="N13" i="87"/>
  <c r="M13" i="87"/>
  <c r="O13" i="87" s="1"/>
  <c r="Q12" i="87"/>
  <c r="P12" i="87"/>
  <c r="N12" i="87"/>
  <c r="M12" i="87"/>
  <c r="Q11" i="87"/>
  <c r="P11" i="87"/>
  <c r="N11" i="87"/>
  <c r="M11" i="87"/>
  <c r="O11" i="87" s="1"/>
  <c r="Q10" i="87"/>
  <c r="P10" i="87"/>
  <c r="N10" i="87"/>
  <c r="M10" i="87"/>
  <c r="O10" i="87" s="1"/>
  <c r="Q9" i="87"/>
  <c r="P9" i="87"/>
  <c r="N9" i="87"/>
  <c r="M9" i="87"/>
  <c r="O9" i="87" s="1"/>
  <c r="Q8" i="87"/>
  <c r="P8" i="87"/>
  <c r="N8" i="87"/>
  <c r="M8" i="87"/>
  <c r="Q7" i="87"/>
  <c r="P7" i="87"/>
  <c r="N7" i="87"/>
  <c r="M7" i="87"/>
  <c r="O7" i="87" s="1"/>
  <c r="Q6" i="87"/>
  <c r="P6" i="87"/>
  <c r="N6" i="87"/>
  <c r="M6" i="87"/>
  <c r="Q5" i="87"/>
  <c r="P5" i="87"/>
  <c r="N5" i="87"/>
  <c r="M5" i="87"/>
  <c r="O5" i="87" s="1"/>
  <c r="Q4" i="87"/>
  <c r="P4" i="87"/>
  <c r="N4" i="87"/>
  <c r="M4" i="87"/>
  <c r="O4" i="87"/>
  <c r="O6" i="87"/>
  <c r="O8" i="87"/>
  <c r="O12" i="87"/>
  <c r="O16" i="87"/>
  <c r="O22" i="87"/>
  <c r="O24" i="87"/>
  <c r="O26" i="87"/>
  <c r="O30" i="87"/>
  <c r="O34" i="87"/>
  <c r="O38" i="87"/>
  <c r="O40" i="87"/>
  <c r="O42" i="87"/>
  <c r="O46" i="87"/>
  <c r="O50" i="87"/>
  <c r="O54" i="87"/>
  <c r="O56" i="87"/>
  <c r="O58" i="87"/>
  <c r="O62" i="87"/>
  <c r="O66" i="87"/>
  <c r="O70" i="87"/>
  <c r="O72" i="87"/>
  <c r="O74" i="87"/>
  <c r="O78" i="87"/>
  <c r="O82" i="87"/>
  <c r="O86" i="87"/>
  <c r="O88" i="87"/>
  <c r="O90" i="87"/>
  <c r="O92" i="87"/>
  <c r="O94" i="87"/>
  <c r="O98" i="87"/>
  <c r="O100" i="87"/>
  <c r="O102" i="87"/>
  <c r="O23" i="87"/>
  <c r="O39" i="87"/>
  <c r="O55" i="87"/>
  <c r="O71" i="87"/>
  <c r="O87" i="87"/>
  <c r="O103" i="87"/>
  <c r="F21" i="81"/>
  <c r="C26" i="42"/>
  <c r="O84" i="92" l="1"/>
  <c r="O20" i="92"/>
  <c r="O5" i="92"/>
  <c r="O61" i="92"/>
  <c r="O45" i="92"/>
  <c r="O29" i="92"/>
  <c r="O96" i="92"/>
  <c r="O80" i="92"/>
  <c r="O64" i="92"/>
  <c r="O48" i="92"/>
  <c r="O32" i="92"/>
  <c r="O16" i="92"/>
  <c r="O68" i="92"/>
  <c r="O17" i="92"/>
  <c r="O100" i="92"/>
  <c r="O52" i="92"/>
  <c r="O36" i="92"/>
  <c r="O4" i="92"/>
  <c r="O57" i="92"/>
  <c r="O41" i="92"/>
  <c r="O25" i="92"/>
  <c r="O92" i="92"/>
  <c r="O76" i="92"/>
  <c r="O60" i="92"/>
  <c r="O44" i="92"/>
  <c r="O28" i="92"/>
  <c r="O12" i="92"/>
  <c r="S21" i="92"/>
  <c r="S37" i="92"/>
  <c r="S53" i="92"/>
  <c r="O88" i="92"/>
  <c r="O72" i="92"/>
  <c r="O56" i="92"/>
  <c r="O40" i="92"/>
  <c r="O24" i="92"/>
  <c r="O8" i="9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 J. Schriber</author>
  </authors>
  <commentList>
    <comment ref="B18" authorId="0" shapeId="0" xr:uid="{00000000-0006-0000-0100-000001000000}">
      <text>
        <r>
          <rPr>
            <b/>
            <sz val="11"/>
            <color indexed="81"/>
            <rFont val="Arial"/>
            <family val="2"/>
          </rPr>
          <t>The "compare values" in this example happen to be character strings.
In general, the "compare values" can be character strings or numbers.</t>
        </r>
      </text>
    </comment>
    <comment ref="C18" authorId="0" shapeId="0" xr:uid="{00000000-0006-0000-0100-000002000000}">
      <text>
        <r>
          <rPr>
            <b/>
            <sz val="11"/>
            <color indexed="81"/>
            <rFont val="Arial"/>
            <family val="2"/>
          </rPr>
          <t>The "result values" are in Column 2 of this lookup table, but in general they can be in any column in a multi-column vertical lookup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Thomas J. Schriber</author>
    <author>Administrator</author>
    <author>Business School</author>
  </authors>
  <commentList>
    <comment ref="B9" authorId="0" shapeId="0" xr:uid="{00000000-0006-0000-0200-000001000000}">
      <text>
        <r>
          <rPr>
            <b/>
            <sz val="11"/>
            <color indexed="81"/>
            <rFont val="Arial"/>
            <family val="2"/>
          </rPr>
          <t>The "compare values" in this example happen to be character strings.
In general, the "compare values" can be character strings or numbers.</t>
        </r>
      </text>
    </comment>
    <comment ref="C9" authorId="0" shapeId="0" xr:uid="{00000000-0006-0000-0200-000002000000}">
      <text>
        <r>
          <rPr>
            <b/>
            <sz val="11"/>
            <color indexed="81"/>
            <rFont val="Arial"/>
            <family val="2"/>
          </rPr>
          <t>The "result values" are in Column 2 of this lookup table, but in general they can be in any column (other than Column 1) in a multi-column lookup table.</t>
        </r>
      </text>
    </comment>
    <comment ref="E20" authorId="1" shapeId="0" xr:uid="{00000000-0006-0000-0200-000003000000}">
      <text>
        <r>
          <rPr>
            <b/>
            <sz val="11"/>
            <color indexed="81"/>
            <rFont val="Arial"/>
            <family val="2"/>
          </rPr>
          <t>There are two 
"Larry Presser"s 
in the phone book, but
the VLOOKUP function does not take the possibility of ties into account (and does not tell us if there are ties). The compare values are searched in top-down order, and when a match 
is found (if at all), VLOOKUP 
does not do any 
additional searching.</t>
        </r>
      </text>
    </comment>
    <comment ref="E21" authorId="2" shapeId="0" xr:uid="{00000000-0006-0000-0200-000004000000}">
      <text>
        <r>
          <rPr>
            <b/>
            <sz val="11"/>
            <color indexed="81"/>
            <rFont val="Arial"/>
            <family val="2"/>
          </rPr>
          <t xml:space="preserve">Note that there is no </t>
        </r>
        <r>
          <rPr>
            <b/>
            <sz val="11"/>
            <color indexed="10"/>
            <rFont val="Arial"/>
            <family val="2"/>
          </rPr>
          <t>Jedel</t>
        </r>
        <r>
          <rPr>
            <b/>
            <sz val="11"/>
            <color indexed="81"/>
            <rFont val="Arial"/>
            <family val="2"/>
          </rPr>
          <t xml:space="preserve"> in the phone book
(Jedel</t>
        </r>
        <r>
          <rPr>
            <b/>
            <sz val="11"/>
            <color indexed="10"/>
            <rFont val="Arial"/>
            <family val="2"/>
          </rPr>
          <t>e</t>
        </r>
        <r>
          <rPr>
            <b/>
            <sz val="11"/>
            <color indexed="81"/>
            <rFont val="Arial"/>
            <family val="2"/>
          </rPr>
          <t>, yes, but Jedel, no)</t>
        </r>
      </text>
    </comment>
    <comment ref="F21" authorId="0" shapeId="0" xr:uid="{00000000-0006-0000-0200-000005000000}">
      <text>
        <r>
          <rPr>
            <b/>
            <sz val="11"/>
            <color indexed="81"/>
            <rFont val="Arial"/>
            <family val="2"/>
          </rPr>
          <t>The worksheet two to the right lists the various error codes.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Thomas J. Schriber</author>
    <author>Administrator</author>
    <author>Business School</author>
  </authors>
  <commentList>
    <comment ref="B12" authorId="0" shapeId="0" xr:uid="{00000000-0006-0000-0400-000001000000}">
      <text>
        <r>
          <rPr>
            <b/>
            <sz val="11"/>
            <color indexed="81"/>
            <rFont val="Arial"/>
            <family val="2"/>
          </rPr>
          <t>The "compare values" in this example happen to be character strings.
In general, the "compare values" can be character strings or numbers.</t>
        </r>
      </text>
    </comment>
    <comment ref="C12" authorId="0" shapeId="0" xr:uid="{00000000-0006-0000-0400-000002000000}">
      <text>
        <r>
          <rPr>
            <b/>
            <sz val="11"/>
            <color indexed="81"/>
            <rFont val="Arial"/>
            <family val="2"/>
          </rPr>
          <t>The "result values" are in Column 2 of this lookup table, but in general they can be in any column (other than Column 1) in a multi-column lookup table.</t>
        </r>
      </text>
    </comment>
    <comment ref="E20" authorId="1" shapeId="0" xr:uid="{00000000-0006-0000-0400-000003000000}">
      <text>
        <r>
          <rPr>
            <b/>
            <sz val="11"/>
            <color rgb="FF000000"/>
            <rFont val="Arial"/>
            <family val="2"/>
          </rPr>
          <t xml:space="preserve">There are two 
</t>
        </r>
        <r>
          <rPr>
            <b/>
            <sz val="11"/>
            <color rgb="FF000000"/>
            <rFont val="Arial"/>
            <family val="2"/>
          </rPr>
          <t xml:space="preserve">"Larry Presser"s 
</t>
        </r>
        <r>
          <rPr>
            <b/>
            <sz val="11"/>
            <color rgb="FF000000"/>
            <rFont val="Arial"/>
            <family val="2"/>
          </rPr>
          <t xml:space="preserve">in the phone book, but
</t>
        </r>
        <r>
          <rPr>
            <b/>
            <sz val="11"/>
            <color rgb="FF000000"/>
            <rFont val="Arial"/>
            <family val="2"/>
          </rPr>
          <t xml:space="preserve">the VLOOKUP function does not take the possibility of ties into account (and does not tell us if there are ties). The compare values are searched in top-down order, and when a match 
</t>
        </r>
        <r>
          <rPr>
            <b/>
            <sz val="11"/>
            <color rgb="FF000000"/>
            <rFont val="Arial"/>
            <family val="2"/>
          </rPr>
          <t xml:space="preserve">is found (if at all), VLOOKUP 
</t>
        </r>
        <r>
          <rPr>
            <b/>
            <sz val="11"/>
            <color rgb="FF000000"/>
            <rFont val="Arial"/>
            <family val="2"/>
          </rPr>
          <t xml:space="preserve">does not do any 
</t>
        </r>
        <r>
          <rPr>
            <b/>
            <sz val="11"/>
            <color rgb="FF000000"/>
            <rFont val="Arial"/>
            <family val="2"/>
          </rPr>
          <t>additional searching.</t>
        </r>
      </text>
    </comment>
    <comment ref="E21" authorId="2" shapeId="0" xr:uid="{00000000-0006-0000-0400-000004000000}">
      <text>
        <r>
          <rPr>
            <b/>
            <sz val="11"/>
            <color indexed="81"/>
            <rFont val="Arial"/>
            <family val="2"/>
          </rPr>
          <t xml:space="preserve">Note that there is no </t>
        </r>
        <r>
          <rPr>
            <b/>
            <sz val="11"/>
            <color indexed="10"/>
            <rFont val="Arial"/>
            <family val="2"/>
          </rPr>
          <t>Jedel</t>
        </r>
        <r>
          <rPr>
            <b/>
            <sz val="11"/>
            <color indexed="81"/>
            <rFont val="Arial"/>
            <family val="2"/>
          </rPr>
          <t xml:space="preserve"> in the phone book
(Jedel</t>
        </r>
        <r>
          <rPr>
            <b/>
            <sz val="11"/>
            <color indexed="10"/>
            <rFont val="Arial"/>
            <family val="2"/>
          </rPr>
          <t>e</t>
        </r>
        <r>
          <rPr>
            <b/>
            <sz val="11"/>
            <color indexed="81"/>
            <rFont val="Arial"/>
            <family val="2"/>
          </rPr>
          <t>, yes, but Jedel, no)</t>
        </r>
      </text>
    </comment>
    <comment ref="F21" authorId="0" shapeId="0" xr:uid="{00000000-0006-0000-0400-000005000000}">
      <text>
        <r>
          <rPr>
            <b/>
            <sz val="11"/>
            <color indexed="81"/>
            <rFont val="Arial"/>
            <family val="2"/>
          </rPr>
          <t>The worksheet two to the right lists the various error messages</t>
        </r>
      </text>
    </comment>
  </commentList>
</comments>
</file>

<file path=xl/sharedStrings.xml><?xml version="1.0" encoding="utf-8"?>
<sst xmlns="http://schemas.openxmlformats.org/spreadsheetml/2006/main" count="2520" uniqueCount="304">
  <si>
    <t>"Looking Up Phone Numbers in a Telephone Book"</t>
  </si>
  <si>
    <t>Column 1</t>
  </si>
  <si>
    <t>Column 2</t>
  </si>
  <si>
    <t>Crane, Catherine</t>
  </si>
  <si>
    <t>971-0514</t>
  </si>
  <si>
    <t>Name</t>
  </si>
  <si>
    <t>Number</t>
  </si>
  <si>
    <t>Deitzen, Anthony</t>
  </si>
  <si>
    <t>747-9881</t>
  </si>
  <si>
    <t>Mull, Betty Kay</t>
  </si>
  <si>
    <t>Hartenburg, Wayne</t>
  </si>
  <si>
    <t>426-3591</t>
  </si>
  <si>
    <t>Jedel, Sheri</t>
  </si>
  <si>
    <t>Holtfreter, Lillian</t>
  </si>
  <si>
    <t>662-7415</t>
  </si>
  <si>
    <t>Jedele, Sheri</t>
  </si>
  <si>
    <t>429-2417</t>
  </si>
  <si>
    <t>Kahn, Alan</t>
  </si>
  <si>
    <t>426-2743</t>
  </si>
  <si>
    <t>Livant, D.</t>
  </si>
  <si>
    <t>741-8220</t>
  </si>
  <si>
    <t>McNamara, Arthur</t>
  </si>
  <si>
    <t>662-0636</t>
  </si>
  <si>
    <t>475-1797</t>
  </si>
  <si>
    <t>Nickerson, Bart</t>
  </si>
  <si>
    <t>665-6834</t>
  </si>
  <si>
    <t>Presser, Larry</t>
  </si>
  <si>
    <t>483-2078</t>
  </si>
  <si>
    <t>Prience, Alice C.</t>
  </si>
  <si>
    <t>663-0354</t>
  </si>
  <si>
    <t>Richardson, Bruce</t>
  </si>
  <si>
    <t>667-8650</t>
  </si>
  <si>
    <t>Column 3</t>
  </si>
  <si>
    <t>Product Code</t>
  </si>
  <si>
    <t>Unit Cost</t>
  </si>
  <si>
    <t>Selling Price</t>
  </si>
  <si>
    <t>Description</t>
  </si>
  <si>
    <t>Crunchy Nuts</t>
  </si>
  <si>
    <t>Trail Mix</t>
  </si>
  <si>
    <t>Morning Delight</t>
  </si>
  <si>
    <t>Captain Crunch</t>
  </si>
  <si>
    <t>Godzilla Grapes</t>
  </si>
  <si>
    <t>What's the description of product 16743?</t>
  </si>
  <si>
    <t>Code:</t>
  </si>
  <si>
    <t>Cost:</t>
  </si>
  <si>
    <t>Price:</t>
  </si>
  <si>
    <t>Name:</t>
  </si>
  <si>
    <r>
      <t>Starting</t>
    </r>
    <r>
      <rPr>
        <b/>
        <sz val="16"/>
        <color indexed="9"/>
        <rFont val="Arial"/>
        <family val="2"/>
      </rPr>
      <t xml:space="preserve"> the Interval into Which the Lookup Value Falls</t>
    </r>
  </si>
  <si>
    <r>
      <t xml:space="preserve">(If the Lookup Value Happens to </t>
    </r>
    <r>
      <rPr>
        <b/>
        <sz val="16"/>
        <color indexed="13"/>
        <rFont val="Arial"/>
        <family val="2"/>
      </rPr>
      <t/>
    </r>
  </si>
  <si>
    <t>417-5732</t>
  </si>
  <si>
    <t>Answer:</t>
  </si>
  <si>
    <t xml:space="preserve">   scores from 90 to 94 are an A-;</t>
  </si>
  <si>
    <t>Row 1</t>
  </si>
  <si>
    <t>Row 2</t>
  </si>
  <si>
    <t>Row 3</t>
  </si>
  <si>
    <t>Row 4</t>
  </si>
  <si>
    <r>
      <t xml:space="preserve">What's the description of product </t>
    </r>
    <r>
      <rPr>
        <b/>
        <sz val="14"/>
        <color indexed="10"/>
        <rFont val="Arial"/>
        <family val="2"/>
      </rPr>
      <t>16743</t>
    </r>
    <r>
      <rPr>
        <b/>
        <sz val="14"/>
        <rFont val="Arial"/>
        <family val="2"/>
      </rPr>
      <t>?</t>
    </r>
  </si>
  <si>
    <r>
      <t xml:space="preserve">What's the selling price of product </t>
    </r>
    <r>
      <rPr>
        <b/>
        <sz val="14"/>
        <color indexed="10"/>
        <rFont val="Arial"/>
        <family val="2"/>
      </rPr>
      <t>18659</t>
    </r>
    <r>
      <rPr>
        <b/>
        <sz val="14"/>
        <rFont val="Arial"/>
        <family val="2"/>
      </rPr>
      <t>?</t>
    </r>
  </si>
  <si>
    <t>What the VLOOKUP Function Does:</t>
  </si>
  <si>
    <t>Here are screen captures for the</t>
  </si>
  <si>
    <r>
      <t xml:space="preserve">It Searches the Table </t>
    </r>
    <r>
      <rPr>
        <b/>
        <sz val="16"/>
        <color indexed="13"/>
        <rFont val="Arial"/>
        <family val="2"/>
      </rPr>
      <t>Top-Down</t>
    </r>
    <r>
      <rPr>
        <b/>
        <sz val="16"/>
        <color indexed="9"/>
        <rFont val="Arial"/>
        <family val="2"/>
      </rPr>
      <t xml:space="preserve"> and Selects the Row</t>
    </r>
  </si>
  <si>
    <r>
      <t xml:space="preserve">What's the unit cost of product </t>
    </r>
    <r>
      <rPr>
        <b/>
        <sz val="14"/>
        <color indexed="10"/>
        <rFont val="Arial"/>
        <family val="2"/>
      </rPr>
      <t>14685</t>
    </r>
    <r>
      <rPr>
        <b/>
        <sz val="14"/>
        <rFont val="Arial"/>
        <family val="2"/>
      </rPr>
      <t>?</t>
    </r>
  </si>
  <si>
    <t>F</t>
  </si>
  <si>
    <t>D</t>
  </si>
  <si>
    <t>C</t>
  </si>
  <si>
    <t>BC</t>
  </si>
  <si>
    <t>AB</t>
  </si>
  <si>
    <t>A</t>
  </si>
  <si>
    <t>Lookup Table</t>
  </si>
  <si>
    <t>Grade Book</t>
  </si>
  <si>
    <r>
      <t xml:space="preserve">(An </t>
    </r>
    <r>
      <rPr>
        <b/>
        <i/>
        <sz val="14"/>
        <color indexed="43"/>
        <rFont val="Arial"/>
        <family val="2"/>
      </rPr>
      <t>Exact</t>
    </r>
    <r>
      <rPr>
        <b/>
        <sz val="14"/>
        <color indexed="9"/>
        <rFont val="Arial"/>
        <family val="2"/>
      </rPr>
      <t xml:space="preserve"> </t>
    </r>
    <r>
      <rPr>
        <b/>
        <i/>
        <sz val="14"/>
        <color indexed="43"/>
        <rFont val="Arial"/>
        <family val="2"/>
      </rPr>
      <t>Match</t>
    </r>
    <r>
      <rPr>
        <b/>
        <sz val="14"/>
        <color indexed="9"/>
        <rFont val="Arial"/>
        <family val="2"/>
      </rPr>
      <t xml:space="preserve"> is required for the lookup to be meaningful)</t>
    </r>
  </si>
  <si>
    <r>
      <t xml:space="preserve">(in the phone book example, the </t>
    </r>
    <r>
      <rPr>
        <b/>
        <sz val="14"/>
        <color indexed="10"/>
        <rFont val="Arial"/>
        <family val="2"/>
      </rPr>
      <t>lookup value</t>
    </r>
    <r>
      <rPr>
        <b/>
        <sz val="14"/>
        <rFont val="Arial"/>
        <family val="2"/>
      </rPr>
      <t xml:space="preserve"> is the name of</t>
    </r>
  </si>
  <si>
    <r>
      <t>Match</t>
    </r>
    <r>
      <rPr>
        <b/>
        <sz val="16"/>
        <color indexed="9"/>
        <rFont val="Arial"/>
        <family val="2"/>
      </rPr>
      <t xml:space="preserve"> a Compare Value, VLOOKUP Selects that Row)</t>
    </r>
  </si>
  <si>
    <r>
      <t xml:space="preserve">What's the unit cost of product </t>
    </r>
    <r>
      <rPr>
        <b/>
        <sz val="14"/>
        <color indexed="10"/>
        <rFont val="Arial"/>
        <family val="2"/>
      </rPr>
      <t>14686</t>
    </r>
    <r>
      <rPr>
        <b/>
        <sz val="14"/>
        <rFont val="Arial"/>
        <family val="2"/>
      </rPr>
      <t>?</t>
    </r>
  </si>
  <si>
    <t>B</t>
  </si>
  <si>
    <t>the person whose phone number you want to look up)</t>
  </si>
  <si>
    <t>When using a lookup function, you specify the</t>
  </si>
  <si>
    <t>Lookup Table Columns</t>
  </si>
  <si>
    <t>Column 4</t>
  </si>
  <si>
    <t>(Compare Values)</t>
  </si>
  <si>
    <t>(Result Values)</t>
  </si>
  <si>
    <t>of a vertical lookup table</t>
  </si>
  <si>
    <t>(An Example: Converting Exam Scores into Letter Grades)</t>
  </si>
  <si>
    <r>
      <t xml:space="preserve">For example, we might </t>
    </r>
    <r>
      <rPr>
        <b/>
        <sz val="16"/>
        <color rgb="FFFF0000"/>
        <rFont val="Arial"/>
        <family val="2"/>
      </rPr>
      <t>look up</t>
    </r>
    <r>
      <rPr>
        <b/>
        <sz val="16"/>
        <rFont val="Arial"/>
        <family val="2"/>
      </rPr>
      <t xml:space="preserve"> a person's</t>
    </r>
  </si>
  <si>
    <t>phone number in a telephone book</t>
  </si>
  <si>
    <t>The Solved Telephone Book Example</t>
  </si>
  <si>
    <t>"scores from 95 to 100 are an A;</t>
  </si>
  <si>
    <t xml:space="preserve">   scores from 85 to 89 are a B+; etc."</t>
  </si>
  <si>
    <r>
      <t xml:space="preserve">the </t>
    </r>
    <r>
      <rPr>
        <b/>
        <sz val="14"/>
        <color rgb="FFFF0000"/>
        <rFont val="Arial"/>
        <family val="2"/>
      </rPr>
      <t>compare values</t>
    </r>
  </si>
  <si>
    <r>
      <rPr>
        <b/>
        <sz val="14"/>
        <color rgb="FFFF0000"/>
        <rFont val="Arial"/>
        <family val="2"/>
      </rPr>
      <t>lookup value</t>
    </r>
    <r>
      <rPr>
        <b/>
        <sz val="14"/>
        <rFont val="Arial"/>
        <family val="2"/>
      </rPr>
      <t xml:space="preserve"> that is to be compared to the </t>
    </r>
    <r>
      <rPr>
        <b/>
        <sz val="14"/>
        <color rgb="FFFF0000"/>
        <rFont val="Arial"/>
        <family val="2"/>
      </rPr>
      <t>compare values</t>
    </r>
  </si>
  <si>
    <r>
      <t xml:space="preserve">you specify whether an </t>
    </r>
    <r>
      <rPr>
        <b/>
        <sz val="14"/>
        <color indexed="10"/>
        <rFont val="Arial"/>
        <family val="2"/>
      </rPr>
      <t>exact match</t>
    </r>
    <r>
      <rPr>
        <b/>
        <sz val="14"/>
        <rFont val="Arial"/>
        <family val="2"/>
      </rPr>
      <t xml:space="preserve"> is required </t>
    </r>
  </si>
  <si>
    <t>(the compare values form a</t>
  </si>
  <si>
    <r>
      <rPr>
        <b/>
        <sz val="16"/>
        <color rgb="FFFF0000"/>
        <rFont val="Arial"/>
        <family val="2"/>
      </rPr>
      <t>lookup functions</t>
    </r>
    <r>
      <rPr>
        <b/>
        <sz val="16"/>
        <rFont val="Arial"/>
        <family val="2"/>
      </rPr>
      <t xml:space="preserve"> that can be used to "look up"</t>
    </r>
  </si>
  <si>
    <t>("Ann's exam score is 91. What is her letter grade?")</t>
  </si>
  <si>
    <t>corresponding to a score on an exam:</t>
  </si>
  <si>
    <r>
      <t xml:space="preserve">Or we might </t>
    </r>
    <r>
      <rPr>
        <b/>
        <sz val="16"/>
        <color rgb="FFFF0000"/>
        <rFont val="Arial"/>
        <family val="2"/>
      </rPr>
      <t>look up</t>
    </r>
    <r>
      <rPr>
        <b/>
        <sz val="16"/>
        <rFont val="Arial"/>
        <family val="2"/>
      </rPr>
      <t xml:space="preserve"> the letter grade </t>
    </r>
  </si>
  <si>
    <t>Structured Range of Data or in an Excel Table.</t>
  </si>
  <si>
    <r>
      <t xml:space="preserve">take the form of </t>
    </r>
    <r>
      <rPr>
        <b/>
        <sz val="16"/>
        <color rgb="FFFF0000"/>
        <rFont val="Arial"/>
        <family val="2"/>
      </rPr>
      <t>records</t>
    </r>
    <r>
      <rPr>
        <b/>
        <sz val="16"/>
        <rFont val="Arial"/>
        <family val="2"/>
      </rPr>
      <t xml:space="preserve"> contained in a </t>
    </r>
  </si>
  <si>
    <r>
      <t xml:space="preserve">The lookup tables </t>
    </r>
    <r>
      <rPr>
        <b/>
        <sz val="16"/>
        <color rgb="FFFF0000"/>
        <rFont val="Arial"/>
        <family val="2"/>
      </rPr>
      <t>can</t>
    </r>
    <r>
      <rPr>
        <b/>
        <sz val="16"/>
        <rFont val="Arial"/>
        <family val="2"/>
      </rPr>
      <t xml:space="preserve"> (but don't have to)</t>
    </r>
  </si>
  <si>
    <r>
      <t xml:space="preserve">The </t>
    </r>
    <r>
      <rPr>
        <b/>
        <sz val="20"/>
        <color rgb="FFFF0000"/>
        <rFont val="Arial"/>
        <family val="2"/>
      </rPr>
      <t xml:space="preserve">IFERROR </t>
    </r>
    <r>
      <rPr>
        <b/>
        <sz val="20"/>
        <rFont val="Arial"/>
        <family val="2"/>
      </rPr>
      <t>Function</t>
    </r>
  </si>
  <si>
    <t>vertical list, resulting in the</t>
  </si>
  <si>
    <t>Error Codes in Excel</t>
  </si>
  <si>
    <t>More Details About the Example</t>
  </si>
  <si>
    <t>Implementation of the Lookup Table in the Example</t>
  </si>
  <si>
    <t>Emp ID</t>
  </si>
  <si>
    <t>Last Name</t>
  </si>
  <si>
    <t>Hire Date</t>
  </si>
  <si>
    <t>Birth Date</t>
  </si>
  <si>
    <t>Sex</t>
  </si>
  <si>
    <t>Location</t>
  </si>
  <si>
    <t>Job Status</t>
  </si>
  <si>
    <t>Add Life Ins</t>
  </si>
  <si>
    <t>Pay Grade</t>
  </si>
  <si>
    <t>Pay Type</t>
  </si>
  <si>
    <t>Annual Salary</t>
  </si>
  <si>
    <t>Health Plan</t>
  </si>
  <si>
    <t>Years Service</t>
  </si>
  <si>
    <t>Life Ins Premium</t>
  </si>
  <si>
    <t>401(k)</t>
  </si>
  <si>
    <t>Salary Increase</t>
  </si>
  <si>
    <t>Bonus</t>
  </si>
  <si>
    <t>Health Cost</t>
  </si>
  <si>
    <t>Award</t>
  </si>
  <si>
    <t>years service as of</t>
  </si>
  <si>
    <t>Hovey</t>
  </si>
  <si>
    <t>M</t>
  </si>
  <si>
    <t>Austin</t>
  </si>
  <si>
    <t>FT</t>
  </si>
  <si>
    <t>Y</t>
  </si>
  <si>
    <t>S</t>
  </si>
  <si>
    <t>HMOF</t>
  </si>
  <si>
    <t>Bonus Pay Grade 1</t>
  </si>
  <si>
    <t>Overton</t>
  </si>
  <si>
    <t>Home</t>
  </si>
  <si>
    <t>N</t>
  </si>
  <si>
    <t>Bonus Pay Grade 2</t>
  </si>
  <si>
    <t>Fetherston</t>
  </si>
  <si>
    <t>New Orleans</t>
  </si>
  <si>
    <t>Bonus Pay Grade 3</t>
  </si>
  <si>
    <t>Lebrun</t>
  </si>
  <si>
    <t>None</t>
  </si>
  <si>
    <t>Hanson</t>
  </si>
  <si>
    <t>Philo</t>
  </si>
  <si>
    <t>PPOI</t>
  </si>
  <si>
    <t>Stolt</t>
  </si>
  <si>
    <t>HMOI</t>
  </si>
  <si>
    <t>Akhalaghi</t>
  </si>
  <si>
    <t>Vankeuren</t>
  </si>
  <si>
    <t>PT</t>
  </si>
  <si>
    <t>H</t>
  </si>
  <si>
    <t>PPOF</t>
  </si>
  <si>
    <t>Mccorkle</t>
  </si>
  <si>
    <t>Nashville</t>
  </si>
  <si>
    <t>Nightingale</t>
  </si>
  <si>
    <t>Croasdale</t>
  </si>
  <si>
    <t>Lambrechts</t>
  </si>
  <si>
    <t>Palmer</t>
  </si>
  <si>
    <t>Tetreault</t>
  </si>
  <si>
    <t>Cugini</t>
  </si>
  <si>
    <t>Dash</t>
  </si>
  <si>
    <t>Donnelly</t>
  </si>
  <si>
    <t>Lucht</t>
  </si>
  <si>
    <t>Tiernan</t>
  </si>
  <si>
    <t>Sheinin</t>
  </si>
  <si>
    <t>Kenyon</t>
  </si>
  <si>
    <t>Wichman</t>
  </si>
  <si>
    <t>Husband</t>
  </si>
  <si>
    <t>Watts</t>
  </si>
  <si>
    <t>Longa</t>
  </si>
  <si>
    <t>Jacques</t>
  </si>
  <si>
    <t>Joseph</t>
  </si>
  <si>
    <t>Provost</t>
  </si>
  <si>
    <t>Limanni</t>
  </si>
  <si>
    <t>Young</t>
  </si>
  <si>
    <t>Damien</t>
  </si>
  <si>
    <t>Squillante</t>
  </si>
  <si>
    <t>Conrad</t>
  </si>
  <si>
    <t>Myette</t>
  </si>
  <si>
    <t>Nasse</t>
  </si>
  <si>
    <t>Kusz</t>
  </si>
  <si>
    <t>White</t>
  </si>
  <si>
    <t>Chamberlain</t>
  </si>
  <si>
    <t>Anderson</t>
  </si>
  <si>
    <t>Viator</t>
  </si>
  <si>
    <t>Law</t>
  </si>
  <si>
    <t>Teliha</t>
  </si>
  <si>
    <t>Carrington</t>
  </si>
  <si>
    <t>Petro</t>
  </si>
  <si>
    <t>Greenwood</t>
  </si>
  <si>
    <t>Martuscelli</t>
  </si>
  <si>
    <t>Mcgovern</t>
  </si>
  <si>
    <t>Lapointe</t>
  </si>
  <si>
    <t>Sweet</t>
  </si>
  <si>
    <t>Boisclair</t>
  </si>
  <si>
    <t>Montagna</t>
  </si>
  <si>
    <t>Engstrume</t>
  </si>
  <si>
    <t>Travison</t>
  </si>
  <si>
    <t>Kovacs</t>
  </si>
  <si>
    <t>Patnoad</t>
  </si>
  <si>
    <t>Disandro</t>
  </si>
  <si>
    <t>Steyerl</t>
  </si>
  <si>
    <t>CN</t>
  </si>
  <si>
    <t>Fagan</t>
  </si>
  <si>
    <t>Abdullah</t>
  </si>
  <si>
    <t>Rigby</t>
  </si>
  <si>
    <t>Zisowitz</t>
  </si>
  <si>
    <t>Weaver</t>
  </si>
  <si>
    <t>Williams</t>
  </si>
  <si>
    <t>Gifford</t>
  </si>
  <si>
    <t>Scott</t>
  </si>
  <si>
    <t>Tufts</t>
  </si>
  <si>
    <t>Sherman</t>
  </si>
  <si>
    <t>Mulcahey</t>
  </si>
  <si>
    <t>Lachapelle</t>
  </si>
  <si>
    <t>Hamilton</t>
  </si>
  <si>
    <t>Silver</t>
  </si>
  <si>
    <t>Schwegler</t>
  </si>
  <si>
    <t>Reels</t>
  </si>
  <si>
    <t>Hazera</t>
  </si>
  <si>
    <t>Hu</t>
  </si>
  <si>
    <t>Flores</t>
  </si>
  <si>
    <t>Johnson</t>
  </si>
  <si>
    <t>Laplante</t>
  </si>
  <si>
    <t>Mazzotta</t>
  </si>
  <si>
    <t>Tucker</t>
  </si>
  <si>
    <t>Brazil</t>
  </si>
  <si>
    <t>Lowe</t>
  </si>
  <si>
    <t>Fasching</t>
  </si>
  <si>
    <t>Veyera</t>
  </si>
  <si>
    <t>O'Donnell</t>
  </si>
  <si>
    <t>Dasilva</t>
  </si>
  <si>
    <t>Dain</t>
  </si>
  <si>
    <t>Fisher</t>
  </si>
  <si>
    <t>Golet</t>
  </si>
  <si>
    <t>Howard</t>
  </si>
  <si>
    <t>Zunjic</t>
  </si>
  <si>
    <t>Lynch</t>
  </si>
  <si>
    <t>Thibault</t>
  </si>
  <si>
    <t>Baglama</t>
  </si>
  <si>
    <t>Winters</t>
  </si>
  <si>
    <t>Wang</t>
  </si>
  <si>
    <t>Harrison</t>
  </si>
  <si>
    <t>Plan</t>
  </si>
  <si>
    <t>Monthly
Premium</t>
  </si>
  <si>
    <t>PPO1</t>
  </si>
  <si>
    <t>A  First Use of a Lookup Table at Talent Tracs</t>
  </si>
  <si>
    <t>A Second Use of a Lookup Table at Talent Tracs</t>
  </si>
  <si>
    <t>Years of
Service</t>
  </si>
  <si>
    <t>Recognition
Award</t>
  </si>
  <si>
    <t>Looking Up Employee Awards ("Recognition  Awards")  at Talent Tracs</t>
  </si>
  <si>
    <t>phone numbers of the people below…</t>
  </si>
  <si>
    <t>Lookups in Vertical Tables</t>
  </si>
  <si>
    <t>Without IFERROR</t>
  </si>
  <si>
    <t>With IFERROR</t>
  </si>
  <si>
    <t>Looking Up (Finding) Information in Lookup Tables</t>
  </si>
  <si>
    <t>information stored in lookup tables.</t>
  </si>
  <si>
    <r>
      <t xml:space="preserve">"Looking Up Phone Numbers in a Telephone Book" </t>
    </r>
    <r>
      <rPr>
        <b/>
        <sz val="16"/>
        <color rgb="FFFFFF00"/>
        <rFont val="Arial"/>
        <family val="2"/>
      </rPr>
      <t>(Solved)</t>
    </r>
  </si>
  <si>
    <t>Looking Up Employee Health Costs at Talent Tracs (using the IFERROR function)</t>
  </si>
  <si>
    <t xml:space="preserve">Use VLOOKUP to try to look up the </t>
  </si>
  <si>
    <t xml:space="preserve">The information for such lookups can be stored in </t>
  </si>
  <si>
    <r>
      <t xml:space="preserve">Excel in the form of </t>
    </r>
    <r>
      <rPr>
        <b/>
        <sz val="16"/>
        <color rgb="FFFF0000"/>
        <rFont val="Arial"/>
        <family val="2"/>
      </rPr>
      <t>lookup tables</t>
    </r>
    <r>
      <rPr>
        <b/>
        <sz val="16"/>
        <rFont val="Arial"/>
        <family val="2"/>
      </rPr>
      <t>. Excel provides</t>
    </r>
  </si>
  <si>
    <r>
      <t>("If Error", as in "</t>
    </r>
    <r>
      <rPr>
        <b/>
        <sz val="18"/>
        <color rgb="FFFF0000"/>
        <rFont val="Arial"/>
        <family val="2"/>
      </rPr>
      <t xml:space="preserve">IF </t>
    </r>
    <r>
      <rPr>
        <b/>
        <sz val="18"/>
        <rFont val="Arial"/>
        <family val="2"/>
      </rPr>
      <t>an</t>
    </r>
    <r>
      <rPr>
        <b/>
        <sz val="18"/>
        <color rgb="FFFF0000"/>
        <rFont val="Arial"/>
        <family val="2"/>
      </rPr>
      <t xml:space="preserve"> ERROR </t>
    </r>
    <r>
      <rPr>
        <b/>
        <sz val="18"/>
        <rFont val="Arial"/>
        <family val="2"/>
      </rPr>
      <t>code is produced")</t>
    </r>
  </si>
  <si>
    <t>Vertical Lookup Table Columns</t>
  </si>
  <si>
    <t>????</t>
  </si>
  <si>
    <t>Solution for the Example</t>
  </si>
  <si>
    <r>
      <t xml:space="preserve">The lookup tables themselves consist </t>
    </r>
    <r>
      <rPr>
        <b/>
        <sz val="16"/>
        <color rgb="FFFF0000"/>
        <rFont val="Arial"/>
        <family val="2"/>
      </rPr>
      <t>only</t>
    </r>
    <r>
      <rPr>
        <b/>
        <sz val="16"/>
        <rFont val="Arial"/>
        <family val="2"/>
      </rPr>
      <t xml:space="preserve"> of the</t>
    </r>
  </si>
  <si>
    <r>
      <rPr>
        <b/>
        <sz val="16"/>
        <color rgb="FFFF0000"/>
        <rFont val="Arial"/>
        <family val="2"/>
      </rPr>
      <t>name</t>
    </r>
    <r>
      <rPr>
        <b/>
        <sz val="16"/>
        <rFont val="Arial"/>
        <family val="2"/>
      </rPr>
      <t xml:space="preserve"> can be used as the name of a lookup table.</t>
    </r>
  </si>
  <si>
    <t>When constructing a lookup-table formula</t>
  </si>
  <si>
    <t>or whether it's OK just to find the interval</t>
  </si>
  <si>
    <t>into which the lookup value falls</t>
  </si>
  <si>
    <r>
      <t xml:space="preserve">between the </t>
    </r>
    <r>
      <rPr>
        <b/>
        <sz val="14"/>
        <color rgb="FFFF0000"/>
        <rFont val="Arial"/>
        <family val="2"/>
      </rPr>
      <t>lookup value</t>
    </r>
    <r>
      <rPr>
        <b/>
        <sz val="14"/>
        <rFont val="Arial"/>
        <family val="2"/>
      </rPr>
      <t xml:space="preserve"> and a </t>
    </r>
    <r>
      <rPr>
        <b/>
        <sz val="14"/>
        <color rgb="FFFF0000"/>
        <rFont val="Arial"/>
        <family val="2"/>
      </rPr>
      <t>compare value</t>
    </r>
    <r>
      <rPr>
        <b/>
        <sz val="14"/>
        <rFont val="Arial"/>
        <family val="2"/>
      </rPr>
      <t>,</t>
    </r>
  </si>
  <si>
    <t>(looking up Recognition Awards Amounts for Employees)</t>
  </si>
  <si>
    <t>Lookups in Vertical Tables: The VLOOKUP Function</t>
  </si>
  <si>
    <t>(VLOOKUP: Vertical table LOOKUP)</t>
  </si>
  <si>
    <r>
      <t xml:space="preserve">We often </t>
    </r>
    <r>
      <rPr>
        <b/>
        <sz val="16"/>
        <color rgb="FFFF0000"/>
        <rFont val="Arial"/>
        <family val="2"/>
      </rPr>
      <t xml:space="preserve">look up </t>
    </r>
    <r>
      <rPr>
        <b/>
        <sz val="16"/>
        <rFont val="Arial"/>
        <family val="2"/>
      </rPr>
      <t>information of various kinds</t>
    </r>
  </si>
  <si>
    <t>("What is my friend's phone number?")</t>
  </si>
  <si>
    <t>records in such cases, they do not include</t>
  </si>
  <si>
    <r>
      <t xml:space="preserve">the </t>
    </r>
    <r>
      <rPr>
        <b/>
        <sz val="16"/>
        <color rgb="FFFF0000"/>
        <rFont val="Arial"/>
        <family val="2"/>
      </rPr>
      <t>field names</t>
    </r>
    <r>
      <rPr>
        <b/>
        <sz val="16"/>
        <rFont val="Arial"/>
        <family val="2"/>
      </rPr>
      <t>. This means an Excel Table's</t>
    </r>
  </si>
  <si>
    <t>phone numbers of the people below</t>
  </si>
  <si>
    <t>With IFERROR (Solved)</t>
  </si>
  <si>
    <r>
      <t xml:space="preserve">must be in </t>
    </r>
    <r>
      <rPr>
        <b/>
        <sz val="14"/>
        <color rgb="FFFF0000"/>
        <rFont val="Arial"/>
        <family val="2"/>
      </rPr>
      <t>Column 1</t>
    </r>
  </si>
  <si>
    <t>name vertical lookup table)</t>
  </si>
  <si>
    <t>HLOOKUP(16743,C7:G10,4,FALSE)</t>
  </si>
  <si>
    <t>Formula:</t>
  </si>
  <si>
    <r>
      <rPr>
        <b/>
        <sz val="18"/>
        <color rgb="FFFFFF00"/>
        <rFont val="Arial"/>
        <family val="2"/>
      </rPr>
      <t>Vertical</t>
    </r>
    <r>
      <rPr>
        <b/>
        <sz val="18"/>
        <color theme="0"/>
        <rFont val="Arial"/>
        <family val="2"/>
      </rPr>
      <t xml:space="preserve"> Lookup Tables</t>
    </r>
  </si>
  <si>
    <r>
      <t xml:space="preserve">(Phone Book Used as an Example; an </t>
    </r>
    <r>
      <rPr>
        <b/>
        <sz val="14"/>
        <color rgb="FFFFFF00"/>
        <rFont val="Arial"/>
        <family val="2"/>
      </rPr>
      <t>Exact Match</t>
    </r>
    <r>
      <rPr>
        <b/>
        <sz val="14"/>
        <color theme="0"/>
        <rFont val="Arial"/>
        <family val="2"/>
      </rPr>
      <t xml:space="preserve"> is Required)</t>
    </r>
  </si>
  <si>
    <r>
      <t xml:space="preserve">VLOOKUP </t>
    </r>
    <r>
      <rPr>
        <b/>
        <sz val="18"/>
        <color rgb="FFFFFF00"/>
        <rFont val="Arial"/>
        <family val="2"/>
      </rPr>
      <t>Insert Function</t>
    </r>
    <r>
      <rPr>
        <b/>
        <sz val="18"/>
        <color theme="0"/>
        <rFont val="Arial"/>
        <family val="2"/>
      </rPr>
      <t xml:space="preserve"> Dialog box…</t>
    </r>
  </si>
  <si>
    <r>
      <t>Using</t>
    </r>
    <r>
      <rPr>
        <b/>
        <sz val="18"/>
        <color rgb="FFFFFF00"/>
        <rFont val="Arial"/>
        <family val="2"/>
      </rPr>
      <t xml:space="preserve"> Numbers</t>
    </r>
    <r>
      <rPr>
        <b/>
        <sz val="18"/>
        <color theme="0"/>
        <rFont val="Arial"/>
        <family val="2"/>
      </rPr>
      <t xml:space="preserve"> as the Basis for the Lookup</t>
    </r>
  </si>
  <si>
    <r>
      <t>(</t>
    </r>
    <r>
      <rPr>
        <b/>
        <sz val="18"/>
        <color rgb="FFFFFF00"/>
        <rFont val="Arial"/>
        <family val="2"/>
      </rPr>
      <t>Exact Match</t>
    </r>
    <r>
      <rPr>
        <b/>
        <sz val="18"/>
        <color theme="0"/>
        <rFont val="Arial"/>
        <family val="2"/>
      </rPr>
      <t xml:space="preserve"> Again Required in These Examples)</t>
    </r>
  </si>
  <si>
    <r>
      <t xml:space="preserve">The </t>
    </r>
    <r>
      <rPr>
        <b/>
        <sz val="16"/>
        <color rgb="FFFFFF00"/>
        <rFont val="Arial"/>
        <family val="2"/>
      </rPr>
      <t>HLOOKUP</t>
    </r>
    <r>
      <rPr>
        <b/>
        <sz val="16"/>
        <color theme="0"/>
        <rFont val="Arial"/>
        <family val="2"/>
      </rPr>
      <t xml:space="preserve"> (</t>
    </r>
    <r>
      <rPr>
        <b/>
        <sz val="16"/>
        <color rgb="FFFFFF00"/>
        <rFont val="Arial"/>
        <family val="2"/>
      </rPr>
      <t>H</t>
    </r>
    <r>
      <rPr>
        <b/>
        <sz val="16"/>
        <color theme="0"/>
        <rFont val="Arial"/>
        <family val="2"/>
      </rPr>
      <t xml:space="preserve">orizontal </t>
    </r>
    <r>
      <rPr>
        <b/>
        <sz val="16"/>
        <color rgb="FFFFFF00"/>
        <rFont val="Arial"/>
        <family val="2"/>
      </rPr>
      <t>LOOKUP</t>
    </r>
    <r>
      <rPr>
        <b/>
        <sz val="16"/>
        <color theme="0"/>
        <rFont val="Arial"/>
        <family val="2"/>
      </rPr>
      <t>) Function</t>
    </r>
  </si>
  <si>
    <r>
      <t xml:space="preserve">(The Compare Values are Arranged </t>
    </r>
    <r>
      <rPr>
        <b/>
        <i/>
        <sz val="16"/>
        <color rgb="FFFFFF00"/>
        <rFont val="Arial"/>
        <family val="2"/>
      </rPr>
      <t>Horizontally</t>
    </r>
  </si>
  <si>
    <r>
      <t xml:space="preserve">in the </t>
    </r>
    <r>
      <rPr>
        <b/>
        <i/>
        <sz val="16"/>
        <color rgb="FFFFFF00"/>
        <rFont val="Arial"/>
        <family val="2"/>
      </rPr>
      <t>First Row</t>
    </r>
    <r>
      <rPr>
        <b/>
        <sz val="16"/>
        <color theme="0"/>
        <rFont val="Arial"/>
        <family val="2"/>
      </rPr>
      <t xml:space="preserve"> of the Lookup Table)</t>
    </r>
  </si>
  <si>
    <r>
      <rPr>
        <b/>
        <sz val="20"/>
        <color rgb="FFFFFF00"/>
        <rFont val="Arial"/>
        <family val="2"/>
      </rPr>
      <t>Interval</t>
    </r>
    <r>
      <rPr>
        <b/>
        <sz val="20"/>
        <color theme="0"/>
        <rFont val="Arial"/>
        <family val="2"/>
      </rPr>
      <t xml:space="preserve"> Search vs. </t>
    </r>
    <r>
      <rPr>
        <b/>
        <sz val="20"/>
        <color rgb="FFFFFF00"/>
        <rFont val="Arial"/>
        <family val="2"/>
      </rPr>
      <t>Exact-Match</t>
    </r>
    <r>
      <rPr>
        <b/>
        <sz val="20"/>
        <color theme="0"/>
        <rFont val="Arial"/>
        <family val="2"/>
      </rPr>
      <t xml:space="preserve"> Search</t>
    </r>
  </si>
  <si>
    <t>Points</t>
  </si>
  <si>
    <t>Level</t>
  </si>
  <si>
    <t>Grade</t>
  </si>
  <si>
    <t>Bronze</t>
  </si>
  <si>
    <t>Match</t>
  </si>
  <si>
    <t>Gold</t>
  </si>
  <si>
    <t>Platinum</t>
  </si>
  <si>
    <t>Diamond</t>
  </si>
  <si>
    <t>E</t>
  </si>
  <si>
    <t xml:space="preserve"> </t>
  </si>
  <si>
    <t>This function is not commonly used so it is ok if you don’t understand. But better if you can understand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</si>
</sst>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5" formatCode="&quot;$&quot;#,##0_);\(&quot;$&quot;#,##0\)"/>
    <numFmt numFmtId="7" formatCode="&quot;$&quot;#,##0.00_);\(&quot;$&quot;#,##0.00\)"/>
    <numFmt numFmtId="42" formatCode="_(&quot;$&quot;* #,##0_);_(&quot;$&quot;* \(#,##0\);_(&quot;$&quot;* &quot;-&quot;_);_(@_)"/>
    <numFmt numFmtId="44" formatCode="_(&quot;$&quot;* #,##0.00_);_(&quot;$&quot;* \(#,##0.00\);_(&quot;$&quot;* &quot;-&quot;??_);_(@_)"/>
    <numFmt numFmtId="43" formatCode="_(* #,##0.00_);_(* \(#,##0.00\);_(* &quot;-&quot;??_);_(@_)"/>
    <numFmt numFmtId="164" formatCode="_(&quot;$&quot;* #,##0_);_(&quot;$&quot;* \(#,##0\);_(&quot;$&quot;* &quot;-&quot;??_);_(@_)"/>
  </numFmts>
  <fonts count="5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1"/>
      <name val="Arial"/>
      <family val="2"/>
    </font>
    <font>
      <b/>
      <sz val="12"/>
      <color indexed="9"/>
      <name val="Arial"/>
      <family val="2"/>
    </font>
    <font>
      <b/>
      <sz val="18"/>
      <name val="Arial"/>
      <family val="2"/>
    </font>
    <font>
      <b/>
      <sz val="16"/>
      <name val="Arial"/>
      <family val="2"/>
    </font>
    <font>
      <b/>
      <sz val="12"/>
      <name val="Arial"/>
      <family val="2"/>
    </font>
    <font>
      <b/>
      <sz val="14"/>
      <name val="Arial"/>
      <family val="2"/>
    </font>
    <font>
      <b/>
      <sz val="14"/>
      <color indexed="10"/>
      <name val="Arial"/>
      <family val="2"/>
    </font>
    <font>
      <sz val="10"/>
      <color indexed="9"/>
      <name val="Arial"/>
      <family val="2"/>
    </font>
    <font>
      <b/>
      <sz val="16"/>
      <color indexed="9"/>
      <name val="Arial"/>
      <family val="2"/>
    </font>
    <font>
      <b/>
      <sz val="14"/>
      <color indexed="9"/>
      <name val="Arial"/>
      <family val="2"/>
    </font>
    <font>
      <b/>
      <sz val="20"/>
      <name val="Arial"/>
      <family val="2"/>
    </font>
    <font>
      <sz val="14"/>
      <name val="Arial"/>
      <family val="2"/>
    </font>
    <font>
      <b/>
      <sz val="12"/>
      <color indexed="8"/>
      <name val="Arial"/>
      <family val="2"/>
    </font>
    <font>
      <b/>
      <sz val="12"/>
      <name val="Arial"/>
      <family val="2"/>
    </font>
    <font>
      <b/>
      <sz val="11"/>
      <color indexed="8"/>
      <name val="Arial"/>
      <family val="2"/>
    </font>
    <font>
      <b/>
      <sz val="11"/>
      <name val="Arial"/>
      <family val="2"/>
    </font>
    <font>
      <b/>
      <sz val="16"/>
      <color indexed="13"/>
      <name val="Arial"/>
      <family val="2"/>
    </font>
    <font>
      <b/>
      <sz val="11"/>
      <color indexed="81"/>
      <name val="Arial"/>
      <family val="2"/>
    </font>
    <font>
      <sz val="8"/>
      <name val="Arial"/>
      <family val="2"/>
    </font>
    <font>
      <b/>
      <sz val="11"/>
      <color indexed="10"/>
      <name val="Arial"/>
      <family val="2"/>
    </font>
    <font>
      <b/>
      <sz val="11"/>
      <color indexed="9"/>
      <name val="Arial"/>
      <family val="2"/>
    </font>
    <font>
      <b/>
      <sz val="10"/>
      <name val="Arial"/>
      <family val="2"/>
    </font>
    <font>
      <sz val="18"/>
      <name val="Arial"/>
      <family val="2"/>
    </font>
    <font>
      <b/>
      <sz val="12"/>
      <color indexed="9"/>
      <name val="Arial"/>
      <family val="2"/>
    </font>
    <font>
      <b/>
      <i/>
      <sz val="14"/>
      <color indexed="43"/>
      <name val="Arial"/>
      <family val="2"/>
    </font>
    <font>
      <b/>
      <sz val="16"/>
      <color rgb="FFFF0000"/>
      <name val="Arial"/>
      <family val="2"/>
    </font>
    <font>
      <b/>
      <sz val="14"/>
      <color rgb="FFFF0000"/>
      <name val="Arial"/>
      <family val="2"/>
    </font>
    <font>
      <b/>
      <sz val="18"/>
      <color rgb="FFFF0000"/>
      <name val="Arial"/>
      <family val="2"/>
    </font>
    <font>
      <b/>
      <sz val="11"/>
      <color theme="1"/>
      <name val="Calibri"/>
      <family val="2"/>
      <scheme val="minor"/>
    </font>
    <font>
      <b/>
      <sz val="20"/>
      <color rgb="FFFF0000"/>
      <name val="Arial"/>
      <family val="2"/>
    </font>
    <font>
      <b/>
      <sz val="18"/>
      <color theme="1"/>
      <name val="Calibri"/>
      <family val="2"/>
      <scheme val="minor"/>
    </font>
    <font>
      <b/>
      <sz val="11"/>
      <name val="Calibri"/>
      <family val="2"/>
      <scheme val="minor"/>
    </font>
    <font>
      <b/>
      <sz val="18"/>
      <name val="Calibri"/>
      <family val="2"/>
      <scheme val="minor"/>
    </font>
    <font>
      <b/>
      <sz val="20"/>
      <name val="Calibri"/>
      <family val="2"/>
      <scheme val="minor"/>
    </font>
    <font>
      <sz val="14"/>
      <name val="Calibri"/>
      <family val="2"/>
      <scheme val="minor"/>
    </font>
    <font>
      <b/>
      <sz val="13"/>
      <name val="Arial"/>
      <family val="2"/>
    </font>
    <font>
      <b/>
      <sz val="16"/>
      <color rgb="FFFFFF00"/>
      <name val="Arial"/>
      <family val="2"/>
    </font>
    <font>
      <b/>
      <sz val="22"/>
      <color theme="1"/>
      <name val="Calibri"/>
      <family val="2"/>
      <scheme val="minor"/>
    </font>
    <font>
      <b/>
      <sz val="14"/>
      <color theme="0"/>
      <name val="Arial"/>
      <family val="2"/>
    </font>
    <font>
      <b/>
      <sz val="20"/>
      <color theme="0"/>
      <name val="Arial"/>
      <family val="2"/>
    </font>
    <font>
      <b/>
      <sz val="16"/>
      <color theme="0"/>
      <name val="Arial"/>
      <family val="2"/>
    </font>
    <font>
      <b/>
      <sz val="18"/>
      <color theme="0"/>
      <name val="Arial"/>
      <family val="2"/>
    </font>
    <font>
      <sz val="10"/>
      <color theme="0"/>
      <name val="Arial"/>
      <family val="2"/>
    </font>
    <font>
      <b/>
      <sz val="18"/>
      <color rgb="FFFFFF00"/>
      <name val="Arial"/>
      <family val="2"/>
    </font>
    <font>
      <b/>
      <sz val="14"/>
      <color rgb="FFFFFF00"/>
      <name val="Arial"/>
      <family val="2"/>
    </font>
    <font>
      <sz val="14"/>
      <color theme="0"/>
      <name val="Arial"/>
      <family val="2"/>
    </font>
    <font>
      <b/>
      <sz val="12"/>
      <color rgb="FFFF0000"/>
      <name val="Arial"/>
      <family val="2"/>
    </font>
    <font>
      <b/>
      <sz val="20"/>
      <color rgb="FFFFFF00"/>
      <name val="Arial"/>
      <family val="2"/>
    </font>
    <font>
      <sz val="16"/>
      <color theme="0"/>
      <name val="Arial"/>
      <family val="2"/>
    </font>
    <font>
      <b/>
      <i/>
      <sz val="16"/>
      <color rgb="FFFFFF00"/>
      <name val="Arial"/>
      <family val="2"/>
    </font>
    <font>
      <b/>
      <sz val="11"/>
      <color rgb="FF000000"/>
      <name val="Arial"/>
      <family val="2"/>
    </font>
  </fonts>
  <fills count="35">
    <fill>
      <patternFill patternType="none"/>
    </fill>
    <fill>
      <patternFill patternType="gray125"/>
    </fill>
    <fill>
      <patternFill patternType="solid">
        <fgColor indexed="10"/>
        <bgColor indexed="64"/>
      </patternFill>
    </fill>
    <fill>
      <patternFill patternType="solid">
        <fgColor indexed="22"/>
        <bgColor indexed="64"/>
      </patternFill>
    </fill>
    <fill>
      <patternFill patternType="solid">
        <fgColor indexed="43"/>
        <bgColor indexed="64"/>
      </patternFill>
    </fill>
    <fill>
      <patternFill patternType="solid">
        <fgColor indexed="41"/>
        <bgColor indexed="64"/>
      </patternFill>
    </fill>
    <fill>
      <patternFill patternType="solid">
        <fgColor indexed="8"/>
        <bgColor indexed="64"/>
      </patternFill>
    </fill>
    <fill>
      <patternFill patternType="solid">
        <fgColor indexed="34"/>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21"/>
        <bgColor indexed="64"/>
      </patternFill>
    </fill>
    <fill>
      <patternFill patternType="solid">
        <fgColor indexed="61"/>
        <bgColor indexed="64"/>
      </patternFill>
    </fill>
    <fill>
      <patternFill patternType="solid">
        <fgColor indexed="56"/>
        <bgColor indexed="64"/>
      </patternFill>
    </fill>
    <fill>
      <patternFill patternType="solid">
        <fgColor theme="5" tint="-0.249977111117893"/>
        <bgColor indexed="64"/>
      </patternFill>
    </fill>
    <fill>
      <patternFill patternType="solid">
        <fgColor rgb="FFFFFF00"/>
        <bgColor indexed="64"/>
      </patternFill>
    </fill>
    <fill>
      <patternFill patternType="solid">
        <fgColor rgb="FF00B0F0"/>
        <bgColor indexed="64"/>
      </patternFill>
    </fill>
    <fill>
      <patternFill patternType="solid">
        <fgColor theme="0" tint="-0.249977111117893"/>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rgb="FF00B050"/>
        <bgColor indexed="64"/>
      </patternFill>
    </fill>
    <fill>
      <patternFill patternType="solid">
        <fgColor theme="9"/>
        <bgColor theme="9"/>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rgb="FFB0186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3"/>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6" tint="0.79998168889431442"/>
        <bgColor indexed="64"/>
      </patternFill>
    </fill>
  </fills>
  <borders count="20">
    <border>
      <left/>
      <right/>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theme="9" tint="0.39997558519241921"/>
      </bottom>
      <diagonal/>
    </border>
  </borders>
  <cellStyleXfs count="7">
    <xf numFmtId="0" fontId="0" fillId="0" borderId="0"/>
    <xf numFmtId="0" fontId="4" fillId="0" borderId="0"/>
    <xf numFmtId="44" fontId="4" fillId="0" borderId="0" applyFont="0" applyFill="0" applyBorder="0" applyAlignment="0" applyProtection="0"/>
    <xf numFmtId="43" fontId="5" fillId="0" borderId="0" applyFont="0" applyFill="0" applyBorder="0" applyAlignment="0" applyProtection="0"/>
    <xf numFmtId="0" fontId="3" fillId="0" borderId="0"/>
    <xf numFmtId="0" fontId="2" fillId="0" borderId="0"/>
    <xf numFmtId="44" fontId="2" fillId="0" borderId="0" applyFont="0" applyFill="0" applyBorder="0" applyAlignment="0" applyProtection="0"/>
  </cellStyleXfs>
  <cellXfs count="216">
    <xf numFmtId="0" fontId="0" fillId="0" borderId="0" xfId="0"/>
    <xf numFmtId="0" fontId="8" fillId="0" borderId="0" xfId="0" applyFont="1"/>
    <xf numFmtId="0" fontId="11" fillId="0" borderId="0" xfId="0" applyFont="1"/>
    <xf numFmtId="5" fontId="0" fillId="0" borderId="0" xfId="0" applyNumberFormat="1"/>
    <xf numFmtId="0" fontId="10" fillId="0" borderId="0" xfId="0" applyFont="1"/>
    <xf numFmtId="0" fontId="17" fillId="5" borderId="2" xfId="0" applyFont="1" applyFill="1" applyBorder="1" applyAlignment="1">
      <alignment horizontal="centerContinuous"/>
    </xf>
    <xf numFmtId="0" fontId="8" fillId="0" borderId="4" xfId="0" applyFont="1" applyFill="1" applyBorder="1" applyAlignment="1">
      <alignment horizontal="centerContinuous"/>
    </xf>
    <xf numFmtId="0" fontId="17" fillId="0" borderId="0" xfId="0" applyFont="1" applyFill="1" applyBorder="1" applyAlignment="1">
      <alignment horizontal="centerContinuous"/>
    </xf>
    <xf numFmtId="0" fontId="17" fillId="0" borderId="5" xfId="0" applyFont="1" applyFill="1" applyBorder="1" applyAlignment="1">
      <alignment horizontal="centerContinuous"/>
    </xf>
    <xf numFmtId="0" fontId="14" fillId="6" borderId="4" xfId="0" applyFont="1" applyFill="1" applyBorder="1" applyAlignment="1">
      <alignment horizontal="centerContinuous"/>
    </xf>
    <xf numFmtId="0" fontId="13" fillId="6" borderId="0" xfId="0" applyFont="1" applyFill="1" applyBorder="1" applyAlignment="1">
      <alignment horizontal="centerContinuous"/>
    </xf>
    <xf numFmtId="0" fontId="13" fillId="6" borderId="5" xfId="0" applyFont="1" applyFill="1" applyBorder="1" applyAlignment="1">
      <alignment horizontal="centerContinuous"/>
    </xf>
    <xf numFmtId="0" fontId="13" fillId="6" borderId="7" xfId="0" applyFont="1" applyFill="1" applyBorder="1" applyAlignment="1">
      <alignment horizontal="centerContinuous"/>
    </xf>
    <xf numFmtId="0" fontId="13" fillId="6" borderId="2" xfId="0" applyFont="1" applyFill="1" applyBorder="1" applyAlignment="1">
      <alignment horizontal="centerContinuous"/>
    </xf>
    <xf numFmtId="0" fontId="10" fillId="0" borderId="0" xfId="0" applyFont="1" applyAlignment="1">
      <alignment horizontal="center"/>
    </xf>
    <xf numFmtId="0" fontId="10" fillId="3" borderId="10" xfId="0" applyFont="1" applyFill="1" applyBorder="1"/>
    <xf numFmtId="0" fontId="10" fillId="4" borderId="1" xfId="0" applyFont="1" applyFill="1" applyBorder="1" applyAlignment="1">
      <alignment horizontal="center"/>
    </xf>
    <xf numFmtId="0" fontId="7" fillId="6" borderId="0" xfId="0" applyFont="1" applyFill="1" applyAlignment="1">
      <alignment horizontal="center"/>
    </xf>
    <xf numFmtId="0" fontId="10" fillId="3" borderId="11" xfId="0" applyFont="1" applyFill="1" applyBorder="1"/>
    <xf numFmtId="0" fontId="10" fillId="4" borderId="5" xfId="0" applyFont="1" applyFill="1" applyBorder="1" applyAlignment="1">
      <alignment horizontal="center"/>
    </xf>
    <xf numFmtId="0" fontId="10" fillId="3" borderId="12" xfId="0" applyFont="1" applyFill="1" applyBorder="1"/>
    <xf numFmtId="0" fontId="10" fillId="4" borderId="2" xfId="0" applyFont="1" applyFill="1" applyBorder="1" applyAlignment="1">
      <alignment horizontal="center"/>
    </xf>
    <xf numFmtId="0" fontId="0" fillId="0" borderId="0" xfId="0" quotePrefix="1"/>
    <xf numFmtId="0" fontId="11" fillId="0" borderId="0" xfId="0" applyFont="1" applyAlignment="1">
      <alignment horizontal="left"/>
    </xf>
    <xf numFmtId="0" fontId="0" fillId="0" borderId="0" xfId="0" applyFill="1" applyBorder="1"/>
    <xf numFmtId="7" fontId="19" fillId="7" borderId="10" xfId="0" applyNumberFormat="1" applyFont="1" applyFill="1" applyBorder="1" applyAlignment="1">
      <alignment horizontal="center"/>
    </xf>
    <xf numFmtId="0" fontId="19" fillId="7" borderId="1" xfId="0" applyFont="1" applyFill="1" applyBorder="1"/>
    <xf numFmtId="0" fontId="18" fillId="3" borderId="11" xfId="0" applyFont="1" applyFill="1" applyBorder="1" applyAlignment="1">
      <alignment horizontal="center"/>
    </xf>
    <xf numFmtId="7" fontId="19" fillId="7" borderId="11" xfId="0" applyNumberFormat="1" applyFont="1" applyFill="1" applyBorder="1" applyAlignment="1">
      <alignment horizontal="center"/>
    </xf>
    <xf numFmtId="0" fontId="19" fillId="7" borderId="5" xfId="0" applyFont="1" applyFill="1" applyBorder="1"/>
    <xf numFmtId="0" fontId="7" fillId="6" borderId="11" xfId="0" applyFont="1" applyFill="1" applyBorder="1" applyAlignment="1">
      <alignment horizontal="center"/>
    </xf>
    <xf numFmtId="0" fontId="7" fillId="6" borderId="5" xfId="0" applyFont="1" applyFill="1" applyBorder="1"/>
    <xf numFmtId="7" fontId="19" fillId="7" borderId="12" xfId="0" applyNumberFormat="1" applyFont="1" applyFill="1" applyBorder="1" applyAlignment="1">
      <alignment horizontal="center"/>
    </xf>
    <xf numFmtId="0" fontId="19" fillId="7" borderId="2" xfId="0" applyFont="1" applyFill="1" applyBorder="1"/>
    <xf numFmtId="0" fontId="17" fillId="0" borderId="0" xfId="0" applyFont="1"/>
    <xf numFmtId="0" fontId="20" fillId="3" borderId="10" xfId="0" applyFont="1" applyFill="1" applyBorder="1" applyAlignment="1">
      <alignment horizontal="center"/>
    </xf>
    <xf numFmtId="7" fontId="21" fillId="7" borderId="10" xfId="0" applyNumberFormat="1" applyFont="1" applyFill="1" applyBorder="1" applyAlignment="1">
      <alignment horizontal="center"/>
    </xf>
    <xf numFmtId="0" fontId="21" fillId="7" borderId="3" xfId="0" applyFont="1" applyFill="1" applyBorder="1"/>
    <xf numFmtId="0" fontId="21" fillId="7" borderId="9" xfId="0" applyFont="1" applyFill="1" applyBorder="1" applyAlignment="1">
      <alignment horizontal="center"/>
    </xf>
    <xf numFmtId="0" fontId="21" fillId="7" borderId="9" xfId="0" applyFont="1" applyFill="1" applyBorder="1"/>
    <xf numFmtId="0" fontId="7" fillId="6" borderId="3" xfId="0" applyFont="1" applyFill="1" applyBorder="1" applyAlignment="1">
      <alignment horizontal="center"/>
    </xf>
    <xf numFmtId="0" fontId="11" fillId="9" borderId="0" xfId="0" applyFont="1" applyFill="1" applyAlignment="1">
      <alignment horizontal="right"/>
    </xf>
    <xf numFmtId="0" fontId="10" fillId="8" borderId="0" xfId="0" applyFont="1" applyFill="1"/>
    <xf numFmtId="0" fontId="5" fillId="0" borderId="0" xfId="0" applyFont="1"/>
    <xf numFmtId="0" fontId="10" fillId="10" borderId="0" xfId="0" applyFont="1" applyFill="1" applyAlignment="1">
      <alignment horizontal="center"/>
    </xf>
    <xf numFmtId="0" fontId="26" fillId="6" borderId="5" xfId="0" applyFont="1" applyFill="1" applyBorder="1"/>
    <xf numFmtId="0" fontId="0" fillId="11" borderId="0" xfId="0" applyFill="1"/>
    <xf numFmtId="0" fontId="7" fillId="12" borderId="11" xfId="0" applyFont="1" applyFill="1" applyBorder="1"/>
    <xf numFmtId="0" fontId="7" fillId="12" borderId="5" xfId="0" applyFont="1" applyFill="1" applyBorder="1" applyAlignment="1">
      <alignment horizontal="center"/>
    </xf>
    <xf numFmtId="0" fontId="27" fillId="0" borderId="0" xfId="0" applyFont="1"/>
    <xf numFmtId="0" fontId="9" fillId="0" borderId="0" xfId="0" applyFont="1"/>
    <xf numFmtId="0" fontId="28" fillId="0" borderId="0" xfId="0" applyFont="1"/>
    <xf numFmtId="0" fontId="20" fillId="3" borderId="13" xfId="0" applyFont="1" applyFill="1" applyBorder="1" applyAlignment="1">
      <alignment horizontal="center"/>
    </xf>
    <xf numFmtId="7" fontId="21" fillId="7" borderId="13" xfId="0" applyNumberFormat="1" applyFont="1" applyFill="1" applyBorder="1" applyAlignment="1">
      <alignment horizontal="center"/>
    </xf>
    <xf numFmtId="0" fontId="21" fillId="7" borderId="15" xfId="0" applyFont="1" applyFill="1" applyBorder="1"/>
    <xf numFmtId="0" fontId="26" fillId="12" borderId="16" xfId="0" applyFont="1" applyFill="1" applyBorder="1" applyAlignment="1">
      <alignment horizontal="center"/>
    </xf>
    <xf numFmtId="0" fontId="26" fillId="12" borderId="17" xfId="0" applyFont="1" applyFill="1" applyBorder="1" applyAlignment="1">
      <alignment horizontal="center"/>
    </xf>
    <xf numFmtId="0" fontId="26" fillId="12" borderId="18" xfId="0" applyFont="1" applyFill="1" applyBorder="1" applyAlignment="1">
      <alignment horizontal="center"/>
    </xf>
    <xf numFmtId="0" fontId="7" fillId="2" borderId="11" xfId="0" applyFont="1" applyFill="1" applyBorder="1" applyAlignment="1">
      <alignment horizontal="center"/>
    </xf>
    <xf numFmtId="7" fontId="29" fillId="2" borderId="12" xfId="0" applyNumberFormat="1" applyFont="1" applyFill="1" applyBorder="1" applyAlignment="1">
      <alignment horizontal="center"/>
    </xf>
    <xf numFmtId="0" fontId="7" fillId="13" borderId="11" xfId="0" applyFont="1" applyFill="1" applyBorder="1" applyAlignment="1">
      <alignment horizontal="center"/>
    </xf>
    <xf numFmtId="7" fontId="29" fillId="13" borderId="12" xfId="0" applyNumberFormat="1" applyFont="1" applyFill="1" applyBorder="1" applyAlignment="1">
      <alignment horizontal="center"/>
    </xf>
    <xf numFmtId="0" fontId="7" fillId="12" borderId="6" xfId="0" applyFont="1" applyFill="1" applyBorder="1" applyAlignment="1">
      <alignment horizontal="center"/>
    </xf>
    <xf numFmtId="0" fontId="7" fillId="12" borderId="12" xfId="0" applyFont="1" applyFill="1" applyBorder="1" applyAlignment="1">
      <alignment horizontal="center"/>
    </xf>
    <xf numFmtId="0" fontId="15" fillId="6" borderId="6" xfId="0" applyFont="1" applyFill="1" applyBorder="1" applyAlignment="1">
      <alignment horizontal="centerContinuous"/>
    </xf>
    <xf numFmtId="0" fontId="0" fillId="14" borderId="0" xfId="0" applyFill="1"/>
    <xf numFmtId="0" fontId="11" fillId="16" borderId="3" xfId="0" applyFont="1" applyFill="1" applyBorder="1"/>
    <xf numFmtId="0" fontId="10" fillId="16" borderId="9" xfId="0" applyFont="1" applyFill="1" applyBorder="1"/>
    <xf numFmtId="7" fontId="11" fillId="16" borderId="3" xfId="0" applyNumberFormat="1" applyFont="1" applyFill="1" applyBorder="1" applyAlignment="1">
      <alignment horizontal="center"/>
    </xf>
    <xf numFmtId="0" fontId="0" fillId="18" borderId="0" xfId="0" applyFill="1"/>
    <xf numFmtId="0" fontId="10" fillId="0" borderId="0" xfId="0" applyFont="1" applyAlignment="1">
      <alignment horizontal="center"/>
    </xf>
    <xf numFmtId="0" fontId="10" fillId="19" borderId="1" xfId="0" applyFont="1" applyFill="1" applyBorder="1" applyAlignment="1">
      <alignment horizontal="center"/>
    </xf>
    <xf numFmtId="0" fontId="10" fillId="19" borderId="2" xfId="0" applyFont="1" applyFill="1" applyBorder="1" applyAlignment="1">
      <alignment horizontal="center"/>
    </xf>
    <xf numFmtId="0" fontId="10" fillId="19" borderId="10" xfId="0" applyFont="1" applyFill="1" applyBorder="1" applyAlignment="1">
      <alignment horizontal="center"/>
    </xf>
    <xf numFmtId="0" fontId="10" fillId="19" borderId="12" xfId="0" applyFont="1" applyFill="1" applyBorder="1" applyAlignment="1">
      <alignment horizontal="center"/>
    </xf>
    <xf numFmtId="0" fontId="8" fillId="0" borderId="0" xfId="0" applyFont="1" applyFill="1" applyBorder="1" applyAlignment="1">
      <alignment horizontal="centerContinuous"/>
    </xf>
    <xf numFmtId="0" fontId="10" fillId="20" borderId="11" xfId="0" applyFont="1" applyFill="1" applyBorder="1"/>
    <xf numFmtId="0" fontId="11" fillId="4" borderId="4" xfId="0" applyFont="1" applyFill="1" applyBorder="1" applyAlignment="1">
      <alignment horizontal="center"/>
    </xf>
    <xf numFmtId="0" fontId="11" fillId="8" borderId="5" xfId="0" applyFont="1" applyFill="1" applyBorder="1" applyAlignment="1">
      <alignment horizontal="center"/>
    </xf>
    <xf numFmtId="0" fontId="11" fillId="4" borderId="6" xfId="0" applyFont="1" applyFill="1" applyBorder="1" applyAlignment="1">
      <alignment horizontal="center"/>
    </xf>
    <xf numFmtId="0" fontId="11" fillId="8" borderId="2" xfId="0" applyFont="1" applyFill="1" applyBorder="1" applyAlignment="1">
      <alignment horizontal="center"/>
    </xf>
    <xf numFmtId="0" fontId="11" fillId="10" borderId="4" xfId="0" applyFont="1" applyFill="1" applyBorder="1" applyAlignment="1">
      <alignment horizontal="center"/>
    </xf>
    <xf numFmtId="0" fontId="37" fillId="0" borderId="0" xfId="5" applyFont="1" applyFill="1" applyBorder="1" applyAlignment="1">
      <alignment horizontal="center" wrapText="1"/>
    </xf>
    <xf numFmtId="0" fontId="37" fillId="0" borderId="0" xfId="5" applyFont="1" applyFill="1" applyBorder="1" applyAlignment="1">
      <alignment horizontal="center"/>
    </xf>
    <xf numFmtId="0" fontId="37" fillId="0" borderId="0" xfId="5" applyNumberFormat="1" applyFont="1" applyBorder="1" applyAlignment="1">
      <alignment horizontal="center" wrapText="1"/>
    </xf>
    <xf numFmtId="0" fontId="37" fillId="0" borderId="0" xfId="5" applyFont="1" applyFill="1" applyAlignment="1">
      <alignment horizontal="center" wrapText="1"/>
    </xf>
    <xf numFmtId="0" fontId="2" fillId="0" borderId="0" xfId="5" applyFont="1"/>
    <xf numFmtId="0" fontId="2" fillId="0" borderId="0" xfId="5" applyAlignment="1">
      <alignment wrapText="1"/>
    </xf>
    <xf numFmtId="14" fontId="2" fillId="0" borderId="0" xfId="5" applyNumberFormat="1" applyFont="1" applyAlignment="1">
      <alignment wrapText="1"/>
    </xf>
    <xf numFmtId="0" fontId="2" fillId="0" borderId="0" xfId="5" applyFont="1" applyFill="1" applyBorder="1" applyAlignment="1"/>
    <xf numFmtId="14" fontId="2" fillId="0" borderId="0" xfId="5" applyNumberFormat="1" applyFont="1" applyFill="1" applyBorder="1" applyAlignment="1"/>
    <xf numFmtId="14" fontId="2" fillId="0" borderId="0" xfId="5" applyNumberFormat="1" applyFont="1"/>
    <xf numFmtId="0" fontId="2" fillId="0" borderId="0" xfId="5" quotePrefix="1" applyFont="1" applyFill="1" applyBorder="1" applyAlignment="1"/>
    <xf numFmtId="0" fontId="2" fillId="0" borderId="0" xfId="5" applyFill="1" applyBorder="1" applyAlignment="1"/>
    <xf numFmtId="164" fontId="0" fillId="0" borderId="0" xfId="6" applyNumberFormat="1" applyFont="1" applyFill="1" applyBorder="1" applyAlignment="1"/>
    <xf numFmtId="1" fontId="2" fillId="0" borderId="0" xfId="5" applyNumberFormat="1" applyFont="1" applyFill="1" applyAlignment="1"/>
    <xf numFmtId="44" fontId="2" fillId="0" borderId="0" xfId="5" applyNumberFormat="1" applyFont="1" applyFill="1" applyAlignment="1"/>
    <xf numFmtId="164" fontId="2" fillId="0" borderId="0" xfId="5" applyNumberFormat="1" applyFont="1" applyFill="1" applyAlignment="1"/>
    <xf numFmtId="0" fontId="2" fillId="0" borderId="0" xfId="5"/>
    <xf numFmtId="164" fontId="0" fillId="0" borderId="0" xfId="6" applyNumberFormat="1" applyFont="1"/>
    <xf numFmtId="0" fontId="40" fillId="0" borderId="0" xfId="0" applyFont="1" applyFill="1"/>
    <xf numFmtId="42" fontId="40" fillId="0" borderId="0" xfId="0" applyNumberFormat="1" applyFont="1" applyFill="1"/>
    <xf numFmtId="0" fontId="40" fillId="21" borderId="19" xfId="5" applyNumberFormat="1" applyFont="1" applyFill="1" applyBorder="1" applyAlignment="1">
      <alignment horizontal="center"/>
    </xf>
    <xf numFmtId="0" fontId="40" fillId="21" borderId="19" xfId="5" applyNumberFormat="1" applyFont="1" applyFill="1" applyBorder="1" applyAlignment="1">
      <alignment horizontal="center" wrapText="1"/>
    </xf>
    <xf numFmtId="0" fontId="10" fillId="10" borderId="0" xfId="0" applyFont="1" applyFill="1" applyAlignment="1">
      <alignment horizontal="left"/>
    </xf>
    <xf numFmtId="0" fontId="0" fillId="0" borderId="0" xfId="0" applyFill="1"/>
    <xf numFmtId="0" fontId="11" fillId="15" borderId="4" xfId="0" applyFont="1" applyFill="1" applyBorder="1" applyAlignment="1">
      <alignment horizontal="center"/>
    </xf>
    <xf numFmtId="0" fontId="11" fillId="15" borderId="6" xfId="0" applyFont="1" applyFill="1" applyBorder="1" applyAlignment="1">
      <alignment horizontal="center"/>
    </xf>
    <xf numFmtId="7" fontId="11" fillId="16" borderId="3" xfId="0" applyNumberFormat="1" applyFont="1" applyFill="1" applyBorder="1" applyAlignment="1">
      <alignment horizontal="left"/>
    </xf>
    <xf numFmtId="0" fontId="11" fillId="22" borderId="5" xfId="0" applyFont="1" applyFill="1" applyBorder="1" applyAlignment="1">
      <alignment horizontal="center"/>
    </xf>
    <xf numFmtId="0" fontId="11" fillId="22" borderId="2" xfId="0" applyFont="1" applyFill="1" applyBorder="1" applyAlignment="1">
      <alignment horizontal="center"/>
    </xf>
    <xf numFmtId="0" fontId="44" fillId="23" borderId="6" xfId="0" applyFont="1" applyFill="1" applyBorder="1" applyAlignment="1">
      <alignment horizontal="center"/>
    </xf>
    <xf numFmtId="0" fontId="44" fillId="23" borderId="2" xfId="0" applyFont="1" applyFill="1" applyBorder="1" applyAlignment="1">
      <alignment horizontal="left"/>
    </xf>
    <xf numFmtId="0" fontId="11" fillId="10" borderId="13" xfId="0" applyFont="1" applyFill="1" applyBorder="1" applyAlignment="1">
      <alignment horizontal="center"/>
    </xf>
    <xf numFmtId="0" fontId="11" fillId="22" borderId="1" xfId="0" applyFont="1" applyFill="1" applyBorder="1" applyAlignment="1">
      <alignment horizontal="center"/>
    </xf>
    <xf numFmtId="0" fontId="37" fillId="0" borderId="0" xfId="5" applyFont="1"/>
    <xf numFmtId="0" fontId="10" fillId="0" borderId="0" xfId="0" applyFont="1" applyAlignment="1">
      <alignment horizontal="center"/>
    </xf>
    <xf numFmtId="0" fontId="11" fillId="16" borderId="8" xfId="0" applyFont="1" applyFill="1" applyBorder="1"/>
    <xf numFmtId="0" fontId="6" fillId="0" borderId="0" xfId="0" applyFont="1" applyFill="1"/>
    <xf numFmtId="0" fontId="9" fillId="0" borderId="0" xfId="0" applyFont="1" applyFill="1"/>
    <xf numFmtId="0" fontId="28" fillId="0" borderId="0" xfId="0" applyFont="1" applyFill="1"/>
    <xf numFmtId="0" fontId="0" fillId="24" borderId="0" xfId="0" applyFill="1"/>
    <xf numFmtId="0" fontId="0" fillId="16" borderId="15" xfId="0" applyFill="1" applyBorder="1"/>
    <xf numFmtId="0" fontId="0" fillId="16" borderId="9" xfId="0" applyFill="1" applyBorder="1"/>
    <xf numFmtId="14" fontId="2" fillId="0" borderId="0" xfId="5" applyNumberFormat="1" applyFont="1" applyFill="1"/>
    <xf numFmtId="164" fontId="34" fillId="0" borderId="0" xfId="5" applyNumberFormat="1" applyFont="1" applyFill="1" applyAlignment="1"/>
    <xf numFmtId="0" fontId="1" fillId="0" borderId="0" xfId="5" applyFont="1" applyFill="1" applyBorder="1" applyAlignment="1"/>
    <xf numFmtId="0" fontId="9" fillId="25" borderId="0" xfId="0" applyFont="1" applyFill="1"/>
    <xf numFmtId="0" fontId="28" fillId="25" borderId="0" xfId="0" applyFont="1" applyFill="1"/>
    <xf numFmtId="0" fontId="9" fillId="27" borderId="0" xfId="0" applyFont="1" applyFill="1"/>
    <xf numFmtId="0" fontId="9" fillId="28" borderId="0" xfId="0" applyFont="1" applyFill="1"/>
    <xf numFmtId="0" fontId="31" fillId="28" borderId="0" xfId="0" applyFont="1" applyFill="1"/>
    <xf numFmtId="0" fontId="9" fillId="29" borderId="0" xfId="0" applyFont="1" applyFill="1"/>
    <xf numFmtId="0" fontId="8" fillId="29" borderId="0" xfId="0" applyFont="1" applyFill="1"/>
    <xf numFmtId="0" fontId="28" fillId="29" borderId="0" xfId="0" applyFont="1" applyFill="1"/>
    <xf numFmtId="0" fontId="9" fillId="27" borderId="0" xfId="0" applyFont="1" applyFill="1" applyAlignment="1">
      <alignment horizontal="left" indent="2"/>
    </xf>
    <xf numFmtId="0" fontId="9" fillId="27" borderId="0" xfId="0" applyFont="1" applyFill="1" applyAlignment="1">
      <alignment horizontal="left" indent="1"/>
    </xf>
    <xf numFmtId="0" fontId="31" fillId="27" borderId="0" xfId="0" applyFont="1" applyFill="1" applyAlignment="1">
      <alignment horizontal="left"/>
    </xf>
    <xf numFmtId="0" fontId="0" fillId="26" borderId="1" xfId="0" applyFill="1" applyBorder="1" applyAlignment="1">
      <alignment horizontal="centerContinuous"/>
    </xf>
    <xf numFmtId="0" fontId="0" fillId="26" borderId="2" xfId="0" applyFill="1" applyBorder="1" applyAlignment="1">
      <alignment horizontal="centerContinuous"/>
    </xf>
    <xf numFmtId="0" fontId="47" fillId="26" borderId="13" xfId="0" applyFont="1" applyFill="1" applyBorder="1" applyAlignment="1">
      <alignment horizontal="centerContinuous"/>
    </xf>
    <xf numFmtId="0" fontId="48" fillId="26" borderId="14" xfId="0" applyFont="1" applyFill="1" applyBorder="1" applyAlignment="1">
      <alignment horizontal="centerContinuous"/>
    </xf>
    <xf numFmtId="0" fontId="48" fillId="26" borderId="1" xfId="0" applyFont="1" applyFill="1" applyBorder="1" applyAlignment="1">
      <alignment horizontal="centerContinuous"/>
    </xf>
    <xf numFmtId="0" fontId="44" fillId="26" borderId="6" xfId="0" applyFont="1" applyFill="1" applyBorder="1" applyAlignment="1">
      <alignment horizontal="centerContinuous"/>
    </xf>
    <xf numFmtId="0" fontId="48" fillId="26" borderId="7" xfId="0" applyFont="1" applyFill="1" applyBorder="1" applyAlignment="1">
      <alignment horizontal="centerContinuous"/>
    </xf>
    <xf numFmtId="0" fontId="48" fillId="26" borderId="2" xfId="0" applyFont="1" applyFill="1" applyBorder="1" applyAlignment="1">
      <alignment horizontal="centerContinuous"/>
    </xf>
    <xf numFmtId="0" fontId="11" fillId="25" borderId="0" xfId="0" applyFont="1" applyFill="1" applyAlignment="1">
      <alignment horizontal="centerContinuous"/>
    </xf>
    <xf numFmtId="0" fontId="0" fillId="25" borderId="0" xfId="0" applyFill="1" applyAlignment="1">
      <alignment horizontal="centerContinuous"/>
    </xf>
    <xf numFmtId="0" fontId="51" fillId="26" borderId="7" xfId="0" applyFont="1" applyFill="1" applyBorder="1" applyAlignment="1">
      <alignment horizontal="centerContinuous"/>
    </xf>
    <xf numFmtId="0" fontId="51" fillId="26" borderId="2" xfId="0" applyFont="1" applyFill="1" applyBorder="1" applyAlignment="1">
      <alignment horizontal="centerContinuous"/>
    </xf>
    <xf numFmtId="0" fontId="10" fillId="28" borderId="10" xfId="0" applyFont="1" applyFill="1" applyBorder="1" applyAlignment="1">
      <alignment horizontal="center"/>
    </xf>
    <xf numFmtId="0" fontId="10" fillId="28" borderId="1" xfId="0" applyFont="1" applyFill="1" applyBorder="1" applyAlignment="1">
      <alignment horizontal="center"/>
    </xf>
    <xf numFmtId="0" fontId="10" fillId="28" borderId="12" xfId="0" applyFont="1" applyFill="1" applyBorder="1" applyAlignment="1">
      <alignment horizontal="center"/>
    </xf>
    <xf numFmtId="0" fontId="10" fillId="28" borderId="2" xfId="0" applyFont="1" applyFill="1" applyBorder="1" applyAlignment="1">
      <alignment horizontal="center"/>
    </xf>
    <xf numFmtId="0" fontId="6" fillId="25" borderId="0" xfId="0" applyFont="1" applyFill="1"/>
    <xf numFmtId="0" fontId="0" fillId="25" borderId="0" xfId="0" applyFill="1"/>
    <xf numFmtId="0" fontId="0" fillId="31" borderId="0" xfId="0" applyFill="1"/>
    <xf numFmtId="0" fontId="47" fillId="26" borderId="6" xfId="0" applyFont="1" applyFill="1" applyBorder="1" applyAlignment="1">
      <alignment horizontal="centerContinuous"/>
    </xf>
    <xf numFmtId="0" fontId="52" fillId="8" borderId="0" xfId="0" applyFont="1" applyFill="1"/>
    <xf numFmtId="0" fontId="46" fillId="26" borderId="13" xfId="0" applyFont="1" applyFill="1" applyBorder="1" applyAlignment="1">
      <alignment horizontal="centerContinuous"/>
    </xf>
    <xf numFmtId="0" fontId="54" fillId="26" borderId="14" xfId="0" applyFont="1" applyFill="1" applyBorder="1" applyAlignment="1">
      <alignment horizontal="centerContinuous"/>
    </xf>
    <xf numFmtId="0" fontId="46" fillId="26" borderId="1" xfId="0" applyFont="1" applyFill="1" applyBorder="1" applyAlignment="1">
      <alignment horizontal="centerContinuous"/>
    </xf>
    <xf numFmtId="0" fontId="48" fillId="26" borderId="0" xfId="0" applyFont="1" applyFill="1"/>
    <xf numFmtId="0" fontId="46" fillId="26" borderId="4" xfId="0" applyFont="1" applyFill="1" applyBorder="1" applyAlignment="1">
      <alignment horizontal="centerContinuous"/>
    </xf>
    <xf numFmtId="0" fontId="51" fillId="26" borderId="0" xfId="0" applyFont="1" applyFill="1" applyBorder="1" applyAlignment="1">
      <alignment horizontal="centerContinuous"/>
    </xf>
    <xf numFmtId="0" fontId="46" fillId="26" borderId="5" xfId="0" applyFont="1" applyFill="1" applyBorder="1" applyAlignment="1">
      <alignment horizontal="centerContinuous"/>
    </xf>
    <xf numFmtId="0" fontId="46" fillId="26" borderId="6" xfId="0" applyFont="1" applyFill="1" applyBorder="1" applyAlignment="1">
      <alignment horizontal="centerContinuous"/>
    </xf>
    <xf numFmtId="0" fontId="46" fillId="26" borderId="2" xfId="0" applyFont="1" applyFill="1" applyBorder="1" applyAlignment="1">
      <alignment horizontal="centerContinuous"/>
    </xf>
    <xf numFmtId="0" fontId="13" fillId="26" borderId="0" xfId="0" applyFont="1" applyFill="1" applyBorder="1" applyAlignment="1">
      <alignment horizontal="centerContinuous"/>
    </xf>
    <xf numFmtId="0" fontId="22" fillId="26" borderId="0" xfId="0" applyFont="1" applyFill="1" applyBorder="1" applyAlignment="1">
      <alignment horizontal="centerContinuous"/>
    </xf>
    <xf numFmtId="0" fontId="14" fillId="26" borderId="0" xfId="0" applyFont="1" applyFill="1" applyBorder="1" applyAlignment="1">
      <alignment horizontal="centerContinuous"/>
    </xf>
    <xf numFmtId="0" fontId="9" fillId="29" borderId="0" xfId="0" applyFont="1" applyFill="1" applyAlignment="1">
      <alignment horizontal="center"/>
    </xf>
    <xf numFmtId="0" fontId="17" fillId="28" borderId="0" xfId="0" applyFont="1" applyFill="1" applyAlignment="1">
      <alignment horizontal="center"/>
    </xf>
    <xf numFmtId="0" fontId="17" fillId="0" borderId="0" xfId="0" applyFont="1" applyAlignment="1">
      <alignment horizontal="center"/>
    </xf>
    <xf numFmtId="0" fontId="17" fillId="32" borderId="0" xfId="0" applyFont="1" applyFill="1" applyAlignment="1">
      <alignment horizontal="center"/>
    </xf>
    <xf numFmtId="0" fontId="17" fillId="33" borderId="0" xfId="0" applyFont="1" applyFill="1" applyAlignment="1">
      <alignment horizontal="center"/>
    </xf>
    <xf numFmtId="0" fontId="17" fillId="34" borderId="0" xfId="0" applyFont="1" applyFill="1" applyAlignment="1">
      <alignment horizontal="center"/>
    </xf>
    <xf numFmtId="0" fontId="45" fillId="26" borderId="8" xfId="0" applyFont="1" applyFill="1" applyBorder="1" applyAlignment="1">
      <alignment horizontal="center"/>
    </xf>
    <xf numFmtId="0" fontId="45" fillId="26" borderId="15" xfId="0" applyFont="1" applyFill="1" applyBorder="1" applyAlignment="1">
      <alignment horizontal="center"/>
    </xf>
    <xf numFmtId="0" fontId="45" fillId="26" borderId="9" xfId="0" applyFont="1" applyFill="1" applyBorder="1" applyAlignment="1">
      <alignment horizontal="center"/>
    </xf>
    <xf numFmtId="0" fontId="10" fillId="17" borderId="8" xfId="0" applyFont="1" applyFill="1" applyBorder="1" applyAlignment="1">
      <alignment horizontal="center"/>
    </xf>
    <xf numFmtId="0" fontId="10" fillId="17" borderId="9" xfId="0" applyFont="1" applyFill="1" applyBorder="1" applyAlignment="1">
      <alignment horizontal="center"/>
    </xf>
    <xf numFmtId="0" fontId="11" fillId="25" borderId="0" xfId="0" applyFont="1" applyFill="1" applyAlignment="1">
      <alignment horizontal="center"/>
    </xf>
    <xf numFmtId="0" fontId="11" fillId="30" borderId="0" xfId="0" applyFont="1" applyFill="1" applyAlignment="1">
      <alignment horizontal="center"/>
    </xf>
    <xf numFmtId="0" fontId="47" fillId="26" borderId="13" xfId="0" applyFont="1" applyFill="1" applyBorder="1" applyAlignment="1">
      <alignment horizontal="center"/>
    </xf>
    <xf numFmtId="0" fontId="47" fillId="26" borderId="14" xfId="0" applyFont="1" applyFill="1" applyBorder="1" applyAlignment="1">
      <alignment horizontal="center"/>
    </xf>
    <xf numFmtId="0" fontId="47" fillId="26" borderId="1" xfId="0" applyFont="1" applyFill="1" applyBorder="1" applyAlignment="1">
      <alignment horizontal="center"/>
    </xf>
    <xf numFmtId="0" fontId="47" fillId="26" borderId="6" xfId="0" applyFont="1" applyFill="1" applyBorder="1" applyAlignment="1">
      <alignment horizontal="center"/>
    </xf>
    <xf numFmtId="0" fontId="47" fillId="26" borderId="7" xfId="0" applyFont="1" applyFill="1" applyBorder="1" applyAlignment="1">
      <alignment horizontal="center"/>
    </xf>
    <xf numFmtId="0" fontId="47" fillId="26" borderId="2" xfId="0" applyFont="1" applyFill="1" applyBorder="1" applyAlignment="1">
      <alignment horizontal="center"/>
    </xf>
    <xf numFmtId="0" fontId="45" fillId="26" borderId="13" xfId="0" applyFont="1" applyFill="1" applyBorder="1" applyAlignment="1">
      <alignment horizontal="center"/>
    </xf>
    <xf numFmtId="0" fontId="45" fillId="26" borderId="14" xfId="0" applyFont="1" applyFill="1" applyBorder="1" applyAlignment="1">
      <alignment horizontal="center"/>
    </xf>
    <xf numFmtId="0" fontId="45" fillId="26" borderId="1" xfId="0" applyFont="1" applyFill="1" applyBorder="1" applyAlignment="1">
      <alignment horizontal="center"/>
    </xf>
    <xf numFmtId="0" fontId="41" fillId="15" borderId="0" xfId="0" applyFont="1" applyFill="1" applyAlignment="1">
      <alignment horizontal="center"/>
    </xf>
    <xf numFmtId="0" fontId="16" fillId="15" borderId="13" xfId="0" applyFont="1" applyFill="1" applyBorder="1" applyAlignment="1">
      <alignment horizontal="center"/>
    </xf>
    <xf numFmtId="0" fontId="16" fillId="15" borderId="14" xfId="0" applyFont="1" applyFill="1" applyBorder="1" applyAlignment="1">
      <alignment horizontal="center"/>
    </xf>
    <xf numFmtId="0" fontId="16" fillId="15" borderId="1" xfId="0" applyFont="1" applyFill="1" applyBorder="1" applyAlignment="1">
      <alignment horizontal="center"/>
    </xf>
    <xf numFmtId="0" fontId="8" fillId="15" borderId="6" xfId="0" applyFont="1" applyFill="1" applyBorder="1" applyAlignment="1">
      <alignment horizontal="center"/>
    </xf>
    <xf numFmtId="0" fontId="8" fillId="15" borderId="7" xfId="0" applyFont="1" applyFill="1" applyBorder="1" applyAlignment="1">
      <alignment horizontal="center"/>
    </xf>
    <xf numFmtId="0" fontId="8" fillId="15" borderId="2" xfId="0" applyFont="1" applyFill="1" applyBorder="1" applyAlignment="1">
      <alignment horizontal="center"/>
    </xf>
    <xf numFmtId="0" fontId="10" fillId="0" borderId="0" xfId="0" applyFont="1" applyAlignment="1">
      <alignment horizontal="center"/>
    </xf>
    <xf numFmtId="0" fontId="11" fillId="3" borderId="0" xfId="0" applyFont="1" applyFill="1" applyAlignment="1">
      <alignment horizontal="center"/>
    </xf>
    <xf numFmtId="0" fontId="11" fillId="16" borderId="8" xfId="0" applyFont="1" applyFill="1" applyBorder="1" applyAlignment="1">
      <alignment horizontal="center"/>
    </xf>
    <xf numFmtId="0" fontId="11" fillId="16" borderId="9" xfId="0" applyFont="1" applyFill="1" applyBorder="1" applyAlignment="1">
      <alignment horizontal="center"/>
    </xf>
    <xf numFmtId="0" fontId="11" fillId="9" borderId="8" xfId="0" applyFont="1" applyFill="1" applyBorder="1" applyAlignment="1">
      <alignment horizontal="center"/>
    </xf>
    <xf numFmtId="0" fontId="11" fillId="9" borderId="9" xfId="0" applyFont="1" applyFill="1" applyBorder="1" applyAlignment="1">
      <alignment horizontal="center"/>
    </xf>
    <xf numFmtId="0" fontId="39" fillId="15" borderId="4" xfId="0" applyFont="1" applyFill="1" applyBorder="1" applyAlignment="1">
      <alignment horizontal="center"/>
    </xf>
    <xf numFmtId="0" fontId="39" fillId="15" borderId="0" xfId="0" applyFont="1" applyFill="1" applyBorder="1" applyAlignment="1">
      <alignment horizontal="center"/>
    </xf>
    <xf numFmtId="0" fontId="36" fillId="15" borderId="8" xfId="5" applyFont="1" applyFill="1" applyBorder="1" applyAlignment="1">
      <alignment horizontal="center"/>
    </xf>
    <xf numFmtId="0" fontId="36" fillId="15" borderId="15" xfId="5" applyFont="1" applyFill="1" applyBorder="1" applyAlignment="1">
      <alignment horizontal="center"/>
    </xf>
    <xf numFmtId="0" fontId="36" fillId="15" borderId="9" xfId="5" applyFont="1" applyFill="1" applyBorder="1" applyAlignment="1">
      <alignment horizontal="center"/>
    </xf>
    <xf numFmtId="0" fontId="38" fillId="15" borderId="4" xfId="0" applyFont="1" applyFill="1" applyBorder="1" applyAlignment="1">
      <alignment horizontal="center"/>
    </xf>
    <xf numFmtId="0" fontId="38" fillId="15" borderId="0" xfId="0" applyFont="1" applyFill="1" applyBorder="1" applyAlignment="1">
      <alignment horizontal="center"/>
    </xf>
    <xf numFmtId="0" fontId="43" fillId="15" borderId="8" xfId="5" applyFont="1" applyFill="1" applyBorder="1" applyAlignment="1">
      <alignment horizontal="center"/>
    </xf>
    <xf numFmtId="0" fontId="43" fillId="15" borderId="15" xfId="5" applyFont="1" applyFill="1" applyBorder="1" applyAlignment="1">
      <alignment horizontal="center"/>
    </xf>
    <xf numFmtId="0" fontId="43" fillId="15" borderId="9" xfId="5" applyFont="1" applyFill="1" applyBorder="1" applyAlignment="1">
      <alignment horizontal="center"/>
    </xf>
  </cellXfs>
  <cellStyles count="7">
    <cellStyle name="Comma 2" xfId="3" xr:uid="{00000000-0005-0000-0000-000000000000}"/>
    <cellStyle name="Currency 2" xfId="2" xr:uid="{00000000-0005-0000-0000-000001000000}"/>
    <cellStyle name="Currency 3" xfId="6" xr:uid="{00000000-0005-0000-0000-000002000000}"/>
    <cellStyle name="Normal" xfId="0" builtinId="0"/>
    <cellStyle name="Normal 2" xfId="1" xr:uid="{00000000-0005-0000-0000-000004000000}"/>
    <cellStyle name="Normal 3" xfId="4" xr:uid="{00000000-0005-0000-0000-000005000000}"/>
    <cellStyle name="Normal 4" xfId="5" xr:uid="{00000000-0005-0000-0000-000006000000}"/>
  </cellStyles>
  <dxfs count="130">
    <dxf>
      <fill>
        <patternFill>
          <bgColor rgb="FFFFFF00"/>
        </patternFill>
      </fill>
    </dxf>
    <dxf>
      <fill>
        <patternFill>
          <bgColor rgb="FFFFFF00"/>
        </patternFill>
      </fill>
    </dxf>
    <dxf>
      <fill>
        <patternFill>
          <bgColor rgb="FFFFFF00"/>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34"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34"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34"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 formatCode="0"/>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numFmt numFmtId="166" formatCode="m/d/yyyy"/>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none"/>
      </font>
      <fill>
        <patternFill patternType="none">
          <fgColor rgb="FF000000"/>
          <bgColor rgb="FFFFFFFF"/>
        </patternFill>
      </fill>
      <alignment horizontal="general" vertical="bottom" textRotation="0" wrapText="0" relativeIndent="0" justifyLastLine="0" shrinkToFit="0" readingOrder="0"/>
    </dxf>
    <dxf>
      <font>
        <b/>
        <strike val="0"/>
        <outline val="0"/>
        <shadow val="0"/>
        <u val="none"/>
        <vertAlign val="baseline"/>
        <sz val="1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34"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34"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34"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 formatCode="0"/>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numFmt numFmtId="166" formatCode="m/d/yyyy"/>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strike val="0"/>
        <outline val="0"/>
        <shadow val="0"/>
        <u val="none"/>
        <vertAlign val="baseline"/>
        <sz val="11"/>
        <name val="Calibri"/>
        <scheme val="minor"/>
      </font>
      <fill>
        <patternFill patternType="none">
          <fgColor indexed="64"/>
          <bgColor indexed="65"/>
        </patternFill>
      </fill>
      <alignment horizontal="center" vertical="bottom" textRotation="0" wrapText="1" indent="0" justifyLastLine="0" shrinkToFit="0" readingOrder="0"/>
    </dxf>
    <dxf>
      <font>
        <b val="0"/>
        <strike val="0"/>
        <outline val="0"/>
        <shadow val="0"/>
        <u val="none"/>
        <vertAlign val="baseline"/>
        <sz val="14"/>
        <color auto="1"/>
        <name val="Calibri"/>
        <scheme val="minor"/>
      </font>
      <numFmt numFmtId="32" formatCode="_(&quot;$&quot;* #,##0_);_(&quot;$&quot;* \(#,##0\);_(&quot;$&quot;* &quot;-&quot;_);_(@_)"/>
      <fill>
        <patternFill patternType="none">
          <fgColor indexed="64"/>
          <bgColor auto="1"/>
        </patternFill>
      </fill>
    </dxf>
    <dxf>
      <font>
        <b val="0"/>
        <i val="0"/>
        <strike val="0"/>
        <condense val="0"/>
        <extend val="0"/>
        <outline val="0"/>
        <shadow val="0"/>
        <u val="none"/>
        <vertAlign val="baseline"/>
        <sz val="14"/>
        <color auto="1"/>
        <name val="Calibri"/>
        <scheme val="minor"/>
      </font>
      <fill>
        <patternFill patternType="none">
          <fgColor indexed="64"/>
          <bgColor auto="1"/>
        </patternFill>
      </fill>
    </dxf>
    <dxf>
      <border outline="0">
        <top style="thin">
          <color rgb="FFFABF8F"/>
        </top>
      </border>
    </dxf>
    <dxf>
      <font>
        <b val="0"/>
        <strike val="0"/>
        <outline val="0"/>
        <shadow val="0"/>
        <u val="none"/>
        <vertAlign val="baseline"/>
        <sz val="14"/>
        <color auto="1"/>
        <name val="Calibri"/>
        <scheme val="none"/>
      </font>
      <fill>
        <patternFill patternType="none">
          <fgColor rgb="FF000000"/>
          <bgColor auto="1"/>
        </patternFill>
      </fill>
    </dxf>
    <dxf>
      <border outline="0">
        <bottom style="thin">
          <color rgb="FFFABF8F"/>
        </bottom>
      </border>
    </dxf>
    <dxf>
      <font>
        <b val="0"/>
        <strike val="0"/>
        <outline val="0"/>
        <shadow val="0"/>
        <u val="none"/>
        <vertAlign val="baseline"/>
        <sz val="14"/>
        <color auto="1"/>
        <name val="Calibri"/>
        <scheme val="minor"/>
      </font>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34"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34"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34"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 formatCode="0"/>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numFmt numFmtId="166" formatCode="m/d/yyyy"/>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strike val="0"/>
        <outline val="0"/>
        <shadow val="0"/>
        <u val="none"/>
        <vertAlign val="baseline"/>
        <sz val="11"/>
        <name val="Calibri"/>
        <scheme val="minor"/>
      </font>
      <fill>
        <patternFill patternType="none">
          <fgColor indexed="64"/>
          <bgColor indexed="65"/>
        </patternFill>
      </fill>
      <alignment horizontal="center" vertical="bottom" textRotation="0" wrapText="1" indent="0" justifyLastLine="0" shrinkToFit="0" readingOrder="0"/>
    </dxf>
    <dxf>
      <font>
        <b val="0"/>
        <strike val="0"/>
        <outline val="0"/>
        <shadow val="0"/>
        <u val="none"/>
        <vertAlign val="baseline"/>
        <sz val="14"/>
        <color auto="1"/>
        <name val="Calibri"/>
        <scheme val="minor"/>
      </font>
      <numFmt numFmtId="32" formatCode="_(&quot;$&quot;* #,##0_);_(&quot;$&quot;* \(#,##0\);_(&quot;$&quot;* &quot;-&quot;_);_(@_)"/>
      <fill>
        <patternFill patternType="none">
          <fgColor indexed="64"/>
          <bgColor auto="1"/>
        </patternFill>
      </fill>
    </dxf>
    <dxf>
      <font>
        <b val="0"/>
        <i val="0"/>
        <strike val="0"/>
        <condense val="0"/>
        <extend val="0"/>
        <outline val="0"/>
        <shadow val="0"/>
        <u val="none"/>
        <vertAlign val="baseline"/>
        <sz val="14"/>
        <color auto="1"/>
        <name val="Calibri"/>
        <scheme val="minor"/>
      </font>
      <fill>
        <patternFill patternType="none">
          <fgColor indexed="64"/>
          <bgColor auto="1"/>
        </patternFill>
      </fill>
    </dxf>
    <dxf>
      <border outline="0">
        <top style="thin">
          <color theme="9" tint="0.39997558519241921"/>
        </top>
      </border>
    </dxf>
    <dxf>
      <font>
        <b val="0"/>
        <strike val="0"/>
        <outline val="0"/>
        <shadow val="0"/>
        <u val="none"/>
        <vertAlign val="baseline"/>
        <sz val="14"/>
        <color auto="1"/>
        <name val="Calibri"/>
        <scheme val="minor"/>
      </font>
      <fill>
        <patternFill patternType="none">
          <fgColor indexed="64"/>
          <bgColor auto="1"/>
        </patternFill>
      </fill>
    </dxf>
    <dxf>
      <border outline="0">
        <bottom style="thin">
          <color theme="9" tint="0.39997558519241921"/>
        </bottom>
      </border>
    </dxf>
    <dxf>
      <font>
        <b val="0"/>
        <strike val="0"/>
        <outline val="0"/>
        <shadow val="0"/>
        <u val="none"/>
        <vertAlign val="baseline"/>
        <sz val="14"/>
        <color auto="1"/>
        <name val="Calibri"/>
        <scheme val="minor"/>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B01861"/>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18.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3.e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8</xdr:col>
      <xdr:colOff>523873</xdr:colOff>
      <xdr:row>5</xdr:row>
      <xdr:rowOff>171450</xdr:rowOff>
    </xdr:from>
    <xdr:to>
      <xdr:col>11</xdr:col>
      <xdr:colOff>200025</xdr:colOff>
      <xdr:row>9</xdr:row>
      <xdr:rowOff>190500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029198" y="1628775"/>
          <a:ext cx="2000252" cy="1019175"/>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rgbClr val="FF0000"/>
              </a:solidFill>
              <a:latin typeface="Arial" pitchFamily="34" charset="0"/>
              <a:cs typeface="Arial" pitchFamily="34" charset="0"/>
            </a:rPr>
            <a:t>Exact</a:t>
          </a:r>
          <a:r>
            <a:rPr lang="en-US" sz="1200" b="1">
              <a:latin typeface="Arial" pitchFamily="34" charset="0"/>
              <a:cs typeface="Arial" pitchFamily="34" charset="0"/>
            </a:rPr>
            <a:t> match required (the person's name must exac</a:t>
          </a:r>
          <a:r>
            <a:rPr lang="en-US" sz="1200" b="1" baseline="0">
              <a:latin typeface="Arial" pitchFamily="34" charset="0"/>
              <a:cs typeface="Arial" pitchFamily="34" charset="0"/>
            </a:rPr>
            <a:t>tly match a name in the phone book);</a:t>
          </a:r>
          <a:endParaRPr lang="en-US" sz="1200" b="1">
            <a:latin typeface="Arial" pitchFamily="34" charset="0"/>
            <a:cs typeface="Arial" pitchFamily="34" charset="0"/>
          </a:endParaRPr>
        </a:p>
        <a:p>
          <a:pPr algn="ctr"/>
          <a:r>
            <a:rPr lang="en-US" sz="1200" b="1">
              <a:solidFill>
                <a:srgbClr val="FF0000"/>
              </a:solidFill>
              <a:latin typeface="Arial" pitchFamily="34" charset="0"/>
              <a:cs typeface="Arial" pitchFamily="34" charset="0"/>
            </a:rPr>
            <a:t>exact-match</a:t>
          </a:r>
          <a:r>
            <a:rPr lang="en-US" sz="1200" b="1" baseline="0">
              <a:solidFill>
                <a:srgbClr val="FF0000"/>
              </a:solidFill>
              <a:latin typeface="Arial" pitchFamily="34" charset="0"/>
              <a:cs typeface="Arial" pitchFamily="34" charset="0"/>
            </a:rPr>
            <a:t> lookup</a:t>
          </a:r>
          <a:endParaRPr lang="en-US" sz="1200" b="1">
            <a:latin typeface="Arial" pitchFamily="34" charset="0"/>
            <a:cs typeface="Arial" pitchFamily="34" charset="0"/>
          </a:endParaRPr>
        </a:p>
      </xdr:txBody>
    </xdr:sp>
    <xdr:clientData/>
  </xdr:twoCellAnchor>
  <xdr:twoCellAnchor>
    <xdr:from>
      <xdr:col>7</xdr:col>
      <xdr:colOff>257172</xdr:colOff>
      <xdr:row>11</xdr:row>
      <xdr:rowOff>133352</xdr:rowOff>
    </xdr:from>
    <xdr:to>
      <xdr:col>11</xdr:col>
      <xdr:colOff>209549</xdr:colOff>
      <xdr:row>15</xdr:row>
      <xdr:rowOff>180975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158612" y="2792732"/>
          <a:ext cx="2931797" cy="1114423"/>
        </a:xfrm>
        <a:prstGeom prst="rect">
          <a:avLst/>
        </a:prstGeom>
        <a:solidFill>
          <a:srgbClr val="FFFF00"/>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solidFill>
                <a:srgbClr val="FF0000"/>
              </a:solidFill>
              <a:latin typeface="Arial" pitchFamily="34" charset="0"/>
              <a:cs typeface="Arial" pitchFamily="34" charset="0"/>
            </a:rPr>
            <a:t>Exact </a:t>
          </a:r>
          <a:r>
            <a:rPr lang="en-US" sz="1200" b="1">
              <a:solidFill>
                <a:sysClr val="windowText" lastClr="000000"/>
              </a:solidFill>
              <a:latin typeface="Arial" pitchFamily="34" charset="0"/>
              <a:cs typeface="Arial" pitchFamily="34" charset="0"/>
            </a:rPr>
            <a:t>match </a:t>
          </a:r>
          <a:r>
            <a:rPr lang="en-US" sz="1200" b="1">
              <a:solidFill>
                <a:srgbClr val="FF0000"/>
              </a:solidFill>
              <a:latin typeface="Arial" pitchFamily="34" charset="0"/>
              <a:cs typeface="Arial" pitchFamily="34" charset="0"/>
            </a:rPr>
            <a:t>not</a:t>
          </a:r>
          <a:r>
            <a:rPr lang="en-US" sz="1200" b="1">
              <a:solidFill>
                <a:sysClr val="windowText" lastClr="000000"/>
              </a:solidFill>
              <a:latin typeface="Arial" pitchFamily="34" charset="0"/>
              <a:cs typeface="Arial" pitchFamily="34" charset="0"/>
            </a:rPr>
            <a:t> required</a:t>
          </a:r>
          <a:r>
            <a:rPr lang="en-US" sz="1200" b="1" baseline="0">
              <a:solidFill>
                <a:sysClr val="windowText" lastClr="000000"/>
              </a:solidFill>
              <a:latin typeface="Arial" pitchFamily="34" charset="0"/>
              <a:cs typeface="Arial" pitchFamily="34" charset="0"/>
            </a:rPr>
            <a:t> </a:t>
          </a:r>
          <a:br>
            <a:rPr lang="en-US" sz="1200" b="1" baseline="0">
              <a:solidFill>
                <a:sysClr val="windowText" lastClr="000000"/>
              </a:solidFill>
              <a:latin typeface="Arial" pitchFamily="34" charset="0"/>
              <a:cs typeface="Arial" pitchFamily="34" charset="0"/>
            </a:rPr>
          </a:br>
          <a:r>
            <a:rPr lang="en-US" sz="1200" b="1" baseline="0">
              <a:latin typeface="Arial" pitchFamily="34" charset="0"/>
              <a:cs typeface="Arial" pitchFamily="34" charset="0"/>
            </a:rPr>
            <a:t>(find the </a:t>
          </a:r>
          <a:r>
            <a:rPr lang="en-US" sz="1200" b="1" i="1" baseline="0">
              <a:solidFill>
                <a:srgbClr val="FF0000"/>
              </a:solidFill>
              <a:latin typeface="Arial" pitchFamily="34" charset="0"/>
              <a:cs typeface="Arial" pitchFamily="34" charset="0"/>
            </a:rPr>
            <a:t>interval</a:t>
          </a:r>
          <a:r>
            <a:rPr lang="en-US" sz="1200" b="1" baseline="0">
              <a:solidFill>
                <a:srgbClr val="FF0000"/>
              </a:solidFill>
              <a:latin typeface="Arial" pitchFamily="34" charset="0"/>
              <a:cs typeface="Arial" pitchFamily="34" charset="0"/>
            </a:rPr>
            <a:t> </a:t>
          </a:r>
          <a:br>
            <a:rPr lang="en-US" sz="1200" b="1" baseline="0">
              <a:solidFill>
                <a:srgbClr val="FF0000"/>
              </a:solidFill>
              <a:latin typeface="Arial" pitchFamily="34" charset="0"/>
              <a:cs typeface="Arial" pitchFamily="34" charset="0"/>
            </a:rPr>
          </a:br>
          <a:r>
            <a:rPr lang="en-US" sz="1200" b="1" baseline="0">
              <a:latin typeface="Arial" pitchFamily="34" charset="0"/>
              <a:cs typeface="Arial" pitchFamily="34" charset="0"/>
            </a:rPr>
            <a:t>into which the score falls); </a:t>
          </a:r>
          <a:br>
            <a:rPr lang="en-US" sz="1200" b="1" baseline="0">
              <a:latin typeface="Arial" pitchFamily="34" charset="0"/>
              <a:cs typeface="Arial" pitchFamily="34" charset="0"/>
            </a:rPr>
          </a:br>
          <a:r>
            <a:rPr lang="en-US" sz="1200" b="1" baseline="0">
              <a:latin typeface="Arial" pitchFamily="34" charset="0"/>
              <a:cs typeface="Arial" pitchFamily="34" charset="0"/>
            </a:rPr>
            <a:t>this is an </a:t>
          </a:r>
          <a:r>
            <a:rPr lang="en-US" sz="1200" b="1" baseline="0">
              <a:solidFill>
                <a:srgbClr val="FF0000"/>
              </a:solidFill>
              <a:latin typeface="Arial" pitchFamily="34" charset="0"/>
              <a:cs typeface="Arial" pitchFamily="34" charset="0"/>
            </a:rPr>
            <a:t>interval lookup</a:t>
          </a:r>
          <a:r>
            <a:rPr lang="en-US" sz="1200" b="1" baseline="0">
              <a:solidFill>
                <a:sysClr val="windowText" lastClr="000000"/>
              </a:solidFill>
              <a:latin typeface="Arial" pitchFamily="34" charset="0"/>
              <a:cs typeface="Arial" pitchFamily="34" charset="0"/>
            </a:rPr>
            <a:t>, sometimes called an </a:t>
          </a:r>
          <a:r>
            <a:rPr lang="en-US" sz="1200" b="1" baseline="0">
              <a:solidFill>
                <a:srgbClr val="FF0000"/>
              </a:solidFill>
              <a:latin typeface="Arial" pitchFamily="34" charset="0"/>
              <a:cs typeface="Arial" pitchFamily="34" charset="0"/>
            </a:rPr>
            <a:t>approximate match lookup</a:t>
          </a:r>
          <a:r>
            <a:rPr lang="en-US" sz="1200" b="1" baseline="0">
              <a:latin typeface="Arial" pitchFamily="34" charset="0"/>
              <a:cs typeface="Arial" pitchFamily="34" charset="0"/>
            </a:rPr>
            <a:t>)</a:t>
          </a:r>
          <a:endParaRPr lang="en-US" sz="1200" b="1">
            <a:latin typeface="Arial" pitchFamily="34" charset="0"/>
            <a:cs typeface="Arial" pitchFamily="34" charset="0"/>
          </a:endParaRPr>
        </a:p>
      </xdr:txBody>
    </xdr:sp>
    <xdr:clientData/>
  </xdr:twoCellAnchor>
  <xdr:twoCellAnchor editAs="oneCell">
    <xdr:from>
      <xdr:col>0</xdr:col>
      <xdr:colOff>238125</xdr:colOff>
      <xdr:row>33</xdr:row>
      <xdr:rowOff>196215</xdr:rowOff>
    </xdr:from>
    <xdr:to>
      <xdr:col>11</xdr:col>
      <xdr:colOff>447675</xdr:colOff>
      <xdr:row>48</xdr:row>
      <xdr:rowOff>99060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8883015"/>
          <a:ext cx="7090410" cy="2539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5</xdr:col>
      <xdr:colOff>590550</xdr:colOff>
      <xdr:row>14</xdr:row>
      <xdr:rowOff>222885</xdr:rowOff>
    </xdr:from>
    <xdr:to>
      <xdr:col>7</xdr:col>
      <xdr:colOff>259080</xdr:colOff>
      <xdr:row>16</xdr:row>
      <xdr:rowOff>30480</xdr:rowOff>
    </xdr:to>
    <xdr:sp macro="" textlink="">
      <xdr:nvSpPr>
        <xdr:cNvPr id="49153" name="Text Box 1">
          <a:extLst>
            <a:ext uri="{FF2B5EF4-FFF2-40B4-BE49-F238E27FC236}">
              <a16:creationId xmlns:a16="http://schemas.microsoft.com/office/drawing/2014/main" id="{00000000-0008-0000-0900-000001C00000}"/>
            </a:ext>
          </a:extLst>
        </xdr:cNvPr>
        <xdr:cNvSpPr txBox="1">
          <a:spLocks noChangeArrowheads="1"/>
        </xdr:cNvSpPr>
      </xdr:nvSpPr>
      <xdr:spPr bwMode="auto">
        <a:xfrm>
          <a:off x="4522470" y="3179445"/>
          <a:ext cx="2000250" cy="257175"/>
        </a:xfrm>
        <a:prstGeom prst="rect">
          <a:avLst/>
        </a:prstGeom>
        <a:solidFill>
          <a:srgbClr val="CCFFCC"/>
        </a:solidFill>
        <a:ln w="9525">
          <a:solidFill>
            <a:srgbClr val="000000"/>
          </a:solidFill>
          <a:miter lim="800000"/>
          <a:headEnd/>
          <a:tailEnd/>
        </a:ln>
      </xdr:spPr>
      <xdr:txBody>
        <a:bodyPr vertOverflow="clip" wrap="square" lIns="27432" tIns="27432" rIns="0" bIns="0" anchor="t" upright="1"/>
        <a:lstStyle/>
        <a:p>
          <a:pPr algn="l" rtl="0">
            <a:defRPr sz="1000"/>
          </a:pPr>
          <a:r>
            <a:rPr lang="en-US" sz="1100" b="1" i="0" strike="noStrike">
              <a:solidFill>
                <a:srgbClr val="000000"/>
              </a:solidFill>
              <a:latin typeface="Arial"/>
              <a:cs typeface="Arial"/>
            </a:rPr>
            <a:t>The "Row index num" is 4</a:t>
          </a:r>
        </a:p>
      </xdr:txBody>
    </xdr:sp>
    <xdr:clientData/>
  </xdr:twoCellAnchor>
  <xdr:twoCellAnchor>
    <xdr:from>
      <xdr:col>1</xdr:col>
      <xdr:colOff>60961</xdr:colOff>
      <xdr:row>17</xdr:row>
      <xdr:rowOff>160020</xdr:rowOff>
    </xdr:from>
    <xdr:to>
      <xdr:col>7</xdr:col>
      <xdr:colOff>152401</xdr:colOff>
      <xdr:row>21</xdr:row>
      <xdr:rowOff>131445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716281" y="3741420"/>
          <a:ext cx="5699760" cy="672465"/>
        </a:xfrm>
        <a:prstGeom prst="rect">
          <a:avLst/>
        </a:prstGeom>
        <a:solidFill>
          <a:schemeClr val="bg2">
            <a:lumMod val="75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eaLnBrk="1" fontAlgn="base" hangingPunct="1"/>
          <a:r>
            <a:rPr lang="en-US" sz="1400" b="1">
              <a:solidFill>
                <a:srgbClr val="FF0000"/>
              </a:solidFill>
              <a:effectLst/>
              <a:latin typeface="+mn-lt"/>
              <a:ea typeface="+mn-ea"/>
              <a:cs typeface="+mn-cs"/>
            </a:rPr>
            <a:t>HLOOKUP(lookup_value, table_array, row_index_num, range_lookup) </a:t>
          </a:r>
          <a:r>
            <a:rPr lang="en-US" sz="1400" b="1">
              <a:solidFill>
                <a:schemeClr val="dk1"/>
              </a:solidFill>
              <a:effectLst/>
              <a:latin typeface="+mn-lt"/>
              <a:ea typeface="+mn-ea"/>
              <a:cs typeface="+mn-cs"/>
            </a:rPr>
            <a:t>looks up a value by testing for a criterion across a row.</a:t>
          </a:r>
          <a:endParaRPr lang="en-US" sz="1400" b="1">
            <a:effectLst/>
          </a:endParaRPr>
        </a:p>
      </xdr:txBody>
    </xdr:sp>
    <xdr:clientData/>
  </xdr:twoCellAnchor>
  <xdr:twoCellAnchor editAs="oneCell">
    <xdr:from>
      <xdr:col>1</xdr:col>
      <xdr:colOff>47625</xdr:colOff>
      <xdr:row>22</xdr:row>
      <xdr:rowOff>104775</xdr:rowOff>
    </xdr:from>
    <xdr:to>
      <xdr:col>10</xdr:col>
      <xdr:colOff>416107</xdr:colOff>
      <xdr:row>44</xdr:row>
      <xdr:rowOff>123825</xdr:rowOff>
    </xdr:to>
    <xdr:pic>
      <xdr:nvPicPr>
        <xdr:cNvPr id="4" name="Picture 3" descr="Table5-5">
          <a:extLst>
            <a:ext uri="{FF2B5EF4-FFF2-40B4-BE49-F238E27FC236}">
              <a16:creationId xmlns:a16="http://schemas.microsoft.com/office/drawing/2014/main" id="{00000000-0008-0000-0900-000004000000}"/>
            </a:ext>
          </a:extLst>
        </xdr:cNvPr>
        <xdr:cNvPicPr>
          <a:picLocks noChangeAspect="1" noChangeArrowheads="1"/>
        </xdr:cNvPicPr>
      </xdr:nvPicPr>
      <xdr:blipFill rotWithShape="1">
        <a:blip xmlns:r="http://schemas.openxmlformats.org/officeDocument/2006/relationships" r:embed="rId1"/>
        <a:srcRect t="8074"/>
        <a:stretch/>
      </xdr:blipFill>
      <xdr:spPr bwMode="auto">
        <a:xfrm>
          <a:off x="685800" y="4533900"/>
          <a:ext cx="7645582" cy="358140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584200</xdr:colOff>
          <xdr:row>3</xdr:row>
          <xdr:rowOff>76200</xdr:rowOff>
        </xdr:from>
        <xdr:to>
          <xdr:col>6</xdr:col>
          <xdr:colOff>139700</xdr:colOff>
          <xdr:row>26</xdr:row>
          <xdr:rowOff>76200</xdr:rowOff>
        </xdr:to>
        <xdr:sp macro="" textlink="">
          <xdr:nvSpPr>
            <xdr:cNvPr id="13314" name="Object 2" hidden="1">
              <a:extLst>
                <a:ext uri="{63B3BB69-23CF-44E3-9099-C40C66FF867C}">
                  <a14:compatExt spid="_x0000_s13314"/>
                </a:ext>
                <a:ext uri="{FF2B5EF4-FFF2-40B4-BE49-F238E27FC236}">
                  <a16:creationId xmlns:a16="http://schemas.microsoft.com/office/drawing/2014/main" id="{00000000-0008-0000-0A00-00000234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495300</xdr:colOff>
          <xdr:row>11</xdr:row>
          <xdr:rowOff>114300</xdr:rowOff>
        </xdr:from>
        <xdr:to>
          <xdr:col>9</xdr:col>
          <xdr:colOff>406400</xdr:colOff>
          <xdr:row>35</xdr:row>
          <xdr:rowOff>76200</xdr:rowOff>
        </xdr:to>
        <xdr:sp macro="" textlink="">
          <xdr:nvSpPr>
            <xdr:cNvPr id="44033" name="Object 1" hidden="1">
              <a:extLst>
                <a:ext uri="{63B3BB69-23CF-44E3-9099-C40C66FF867C}">
                  <a14:compatExt spid="_x0000_s44033"/>
                </a:ext>
                <a:ext uri="{FF2B5EF4-FFF2-40B4-BE49-F238E27FC236}">
                  <a16:creationId xmlns:a16="http://schemas.microsoft.com/office/drawing/2014/main" id="{00000000-0008-0000-0B00-000001AC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2</xdr:col>
      <xdr:colOff>507999</xdr:colOff>
      <xdr:row>2</xdr:row>
      <xdr:rowOff>105834</xdr:rowOff>
    </xdr:from>
    <xdr:to>
      <xdr:col>9</xdr:col>
      <xdr:colOff>539750</xdr:colOff>
      <xdr:row>9</xdr:row>
      <xdr:rowOff>74083</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1598082" y="603251"/>
          <a:ext cx="5069418" cy="1079499"/>
        </a:xfrm>
        <a:prstGeom prst="rect">
          <a:avLst/>
        </a:prstGeom>
        <a:solidFill>
          <a:schemeClr val="accent3">
            <a:lumMod val="40000"/>
            <a:lumOff val="6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400" b="1"/>
            <a:t>This notation</a:t>
          </a:r>
          <a:r>
            <a:rPr lang="en-US" sz="1400" b="1" baseline="0"/>
            <a:t> </a:t>
          </a:r>
          <a:r>
            <a:rPr lang="en-US" sz="1400" b="1"/>
            <a:t>has this meaning:</a:t>
          </a:r>
        </a:p>
        <a:p>
          <a:r>
            <a:rPr lang="en-US" sz="1400" b="1">
              <a:solidFill>
                <a:srgbClr val="FF0000"/>
              </a:solidFill>
            </a:rPr>
            <a:t>lookup</a:t>
          </a:r>
          <a:r>
            <a:rPr lang="en-US" sz="1400" b="1" baseline="0">
              <a:solidFill>
                <a:srgbClr val="FF0000"/>
              </a:solidFill>
            </a:rPr>
            <a:t> values that fall into the first interval are &gt;= 0 but &lt; 30;</a:t>
          </a:r>
        </a:p>
        <a:p>
          <a:r>
            <a:rPr lang="en-US" sz="1400" b="1">
              <a:solidFill>
                <a:srgbClr val="FF0000"/>
              </a:solidFill>
            </a:rPr>
            <a:t>lookup</a:t>
          </a:r>
          <a:r>
            <a:rPr lang="en-US" sz="1400" b="1" baseline="0">
              <a:solidFill>
                <a:srgbClr val="FF0000"/>
              </a:solidFill>
            </a:rPr>
            <a:t> values that fall into the second interval are &gt;= 30 but &lt;50;</a:t>
          </a:r>
        </a:p>
        <a:p>
          <a:r>
            <a:rPr lang="en-US" sz="1400" b="1" baseline="0">
              <a:solidFill>
                <a:srgbClr val="FF0000"/>
              </a:solidFill>
            </a:rPr>
            <a:t>and so on.</a:t>
          </a:r>
        </a:p>
        <a:p>
          <a:r>
            <a:rPr lang="en-US" sz="1400" b="1" baseline="0">
              <a:solidFill>
                <a:srgbClr val="FF0000"/>
              </a:solidFill>
            </a:rPr>
            <a:t> </a:t>
          </a:r>
          <a:endParaRPr lang="en-US" sz="1400" b="1">
            <a:solidFill>
              <a:srgbClr val="FF0000"/>
            </a:solidFill>
          </a:endParaRPr>
        </a:p>
      </xdr:txBody>
    </xdr:sp>
    <xdr:clientData/>
  </xdr:twoCellAnchor>
  <xdr:twoCellAnchor>
    <xdr:from>
      <xdr:col>4</xdr:col>
      <xdr:colOff>476250</xdr:colOff>
      <xdr:row>7</xdr:row>
      <xdr:rowOff>31751</xdr:rowOff>
    </xdr:from>
    <xdr:to>
      <xdr:col>4</xdr:col>
      <xdr:colOff>793752</xdr:colOff>
      <xdr:row>17</xdr:row>
      <xdr:rowOff>10583</xdr:rowOff>
    </xdr:to>
    <xdr:cxnSp macro="">
      <xdr:nvCxnSpPr>
        <xdr:cNvPr id="4" name="Straight Arrow Connector 3">
          <a:extLst>
            <a:ext uri="{FF2B5EF4-FFF2-40B4-BE49-F238E27FC236}">
              <a16:creationId xmlns:a16="http://schemas.microsoft.com/office/drawing/2014/main" id="{00000000-0008-0000-0B00-000004000000}"/>
            </a:ext>
          </a:extLst>
        </xdr:cNvPr>
        <xdr:cNvCxnSpPr/>
      </xdr:nvCxnSpPr>
      <xdr:spPr bwMode="auto">
        <a:xfrm flipH="1">
          <a:off x="3598333" y="1322918"/>
          <a:ext cx="317502" cy="1566332"/>
        </a:xfrm>
        <a:prstGeom prst="straightConnector1">
          <a:avLst/>
        </a:prstGeom>
        <a:solidFill>
          <a:srgbClr val="FFFFFF"/>
        </a:solidFill>
        <a:ln w="57150" cap="flat" cmpd="sng" algn="ctr">
          <a:solidFill>
            <a:srgbClr val="FF0000"/>
          </a:solidFill>
          <a:prstDash val="solid"/>
          <a:round/>
          <a:headEnd type="none" w="med" len="med"/>
          <a:tailEnd type="arrow"/>
        </a:ln>
        <a:effectLst/>
      </xdr:spPr>
    </xdr:cxnSp>
    <xdr:clientData/>
  </xdr:twoCellAnchor>
  <xdr:twoCellAnchor>
    <xdr:from>
      <xdr:col>4</xdr:col>
      <xdr:colOff>10584</xdr:colOff>
      <xdr:row>17</xdr:row>
      <xdr:rowOff>10583</xdr:rowOff>
    </xdr:from>
    <xdr:to>
      <xdr:col>4</xdr:col>
      <xdr:colOff>666750</xdr:colOff>
      <xdr:row>19</xdr:row>
      <xdr:rowOff>127000</xdr:rowOff>
    </xdr:to>
    <xdr:sp macro="" textlink="">
      <xdr:nvSpPr>
        <xdr:cNvPr id="8" name="Rectangle 7">
          <a:extLst>
            <a:ext uri="{FF2B5EF4-FFF2-40B4-BE49-F238E27FC236}">
              <a16:creationId xmlns:a16="http://schemas.microsoft.com/office/drawing/2014/main" id="{00000000-0008-0000-0B00-000008000000}"/>
            </a:ext>
          </a:extLst>
        </xdr:cNvPr>
        <xdr:cNvSpPr/>
      </xdr:nvSpPr>
      <xdr:spPr bwMode="auto">
        <a:xfrm>
          <a:off x="3132667" y="2889250"/>
          <a:ext cx="656166" cy="433917"/>
        </a:xfrm>
        <a:prstGeom prst="rect">
          <a:avLst/>
        </a:prstGeom>
        <a:noFill/>
        <a:ln w="57150" cap="flat" cmpd="sng" algn="ctr">
          <a:solidFill>
            <a:srgbClr val="FF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2</xdr:col>
      <xdr:colOff>190498</xdr:colOff>
      <xdr:row>37</xdr:row>
      <xdr:rowOff>74083</xdr:rowOff>
    </xdr:from>
    <xdr:to>
      <xdr:col>10</xdr:col>
      <xdr:colOff>84665</xdr:colOff>
      <xdr:row>48</xdr:row>
      <xdr:rowOff>31750</xdr:rowOff>
    </xdr:to>
    <xdr:sp macro="" textlink="">
      <xdr:nvSpPr>
        <xdr:cNvPr id="11" name="TextBox 10">
          <a:extLst>
            <a:ext uri="{FF2B5EF4-FFF2-40B4-BE49-F238E27FC236}">
              <a16:creationId xmlns:a16="http://schemas.microsoft.com/office/drawing/2014/main" id="{00000000-0008-0000-0B00-00000B000000}"/>
            </a:ext>
          </a:extLst>
        </xdr:cNvPr>
        <xdr:cNvSpPr txBox="1"/>
      </xdr:nvSpPr>
      <xdr:spPr>
        <a:xfrm>
          <a:off x="1280581" y="6127750"/>
          <a:ext cx="5545667" cy="1703917"/>
        </a:xfrm>
        <a:prstGeom prst="rect">
          <a:avLst/>
        </a:prstGeom>
        <a:solidFill>
          <a:schemeClr val="bg2">
            <a:lumMod val="9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baseline="0"/>
            <a:t>The </a:t>
          </a:r>
          <a:r>
            <a:rPr lang="en-US" sz="1400" b="1" baseline="0">
              <a:solidFill>
                <a:srgbClr val="FF0000"/>
              </a:solidFill>
            </a:rPr>
            <a:t>compare values </a:t>
          </a:r>
          <a:r>
            <a:rPr lang="en-US" sz="1400" b="1" baseline="0"/>
            <a:t>in the corresponding lookup table are listed below. Note that the compare values are single numbers, e.g., </a:t>
          </a:r>
          <a:r>
            <a:rPr lang="en-US" sz="1400" b="1" baseline="0">
              <a:solidFill>
                <a:srgbClr val="FF0000"/>
              </a:solidFill>
            </a:rPr>
            <a:t>0</a:t>
          </a:r>
          <a:r>
            <a:rPr lang="en-US" sz="1400" b="1" baseline="0"/>
            <a:t>, not </a:t>
          </a:r>
          <a:r>
            <a:rPr lang="en-US" sz="1400" b="1" baseline="0">
              <a:solidFill>
                <a:srgbClr val="FF0000"/>
              </a:solidFill>
            </a:rPr>
            <a:t>0 - &lt; 30</a:t>
          </a:r>
          <a:r>
            <a:rPr lang="en-US" sz="1400" b="1" baseline="0">
              <a:solidFill>
                <a:schemeClr val="dk1"/>
              </a:solidFill>
            </a:rPr>
            <a:t>; and </a:t>
          </a:r>
          <a:r>
            <a:rPr lang="en-US" sz="1400" b="1" baseline="0">
              <a:solidFill>
                <a:srgbClr val="FF0000"/>
              </a:solidFill>
            </a:rPr>
            <a:t>30</a:t>
          </a:r>
          <a:r>
            <a:rPr lang="en-US" sz="1400" b="1" baseline="0">
              <a:solidFill>
                <a:sysClr val="windowText" lastClr="000000"/>
              </a:solidFill>
            </a:rPr>
            <a:t>, not </a:t>
          </a:r>
          <a:r>
            <a:rPr lang="en-US" sz="1400" b="1" baseline="0">
              <a:solidFill>
                <a:srgbClr val="FF0000"/>
              </a:solidFill>
            </a:rPr>
            <a:t>30 - &lt; 50</a:t>
          </a:r>
          <a:r>
            <a:rPr lang="en-US" sz="1400" b="1" baseline="0">
              <a:solidFill>
                <a:sysClr val="windowText" lastClr="000000"/>
              </a:solidFill>
            </a:rPr>
            <a:t>; etc.</a:t>
          </a:r>
          <a:endParaRPr lang="en-US" sz="1400" b="1" baseline="0"/>
        </a:p>
        <a:p>
          <a:endParaRPr lang="en-US" sz="1400" b="1" baseline="0"/>
        </a:p>
        <a:p>
          <a:r>
            <a:rPr lang="en-US" sz="1400" b="1" baseline="0"/>
            <a:t>(Each compare value is the </a:t>
          </a:r>
          <a:r>
            <a:rPr lang="en-US" sz="1400" b="1" baseline="0">
              <a:solidFill>
                <a:srgbClr val="FF0000"/>
              </a:solidFill>
            </a:rPr>
            <a:t>inclusive starting point </a:t>
          </a:r>
          <a:r>
            <a:rPr lang="en-US" sz="1400" b="1" baseline="0"/>
            <a:t>of an interval that extends </a:t>
          </a:r>
          <a:r>
            <a:rPr lang="en-US" sz="1400" b="1" baseline="0">
              <a:solidFill>
                <a:srgbClr val="FF0000"/>
              </a:solidFill>
            </a:rPr>
            <a:t>up to but excludes </a:t>
          </a:r>
          <a:r>
            <a:rPr lang="en-US" sz="1400" b="1" baseline="0"/>
            <a:t>the next compare value.  The next compare value is the inclusive starting point of the next interval, etc.)</a:t>
          </a:r>
          <a:endParaRPr lang="en-US" sz="1400" b="1"/>
        </a:p>
      </xdr:txBody>
    </xdr:sp>
    <xdr:clientData/>
  </xdr:twoCellAnchor>
  <xdr:twoCellAnchor>
    <xdr:from>
      <xdr:col>6</xdr:col>
      <xdr:colOff>328082</xdr:colOff>
      <xdr:row>55</xdr:row>
      <xdr:rowOff>148168</xdr:rowOff>
    </xdr:from>
    <xdr:to>
      <xdr:col>11</xdr:col>
      <xdr:colOff>222249</xdr:colOff>
      <xdr:row>58</xdr:row>
      <xdr:rowOff>63500</xdr:rowOff>
    </xdr:to>
    <xdr:sp macro="" textlink="">
      <xdr:nvSpPr>
        <xdr:cNvPr id="12" name="TextBox 11">
          <a:extLst>
            <a:ext uri="{FF2B5EF4-FFF2-40B4-BE49-F238E27FC236}">
              <a16:creationId xmlns:a16="http://schemas.microsoft.com/office/drawing/2014/main" id="{00000000-0008-0000-0B00-00000C000000}"/>
            </a:ext>
          </a:extLst>
        </xdr:cNvPr>
        <xdr:cNvSpPr txBox="1"/>
      </xdr:nvSpPr>
      <xdr:spPr>
        <a:xfrm>
          <a:off x="4677832" y="9059335"/>
          <a:ext cx="2899834" cy="582082"/>
        </a:xfrm>
        <a:prstGeom prst="rect">
          <a:avLst/>
        </a:prstGeom>
        <a:solidFill>
          <a:srgbClr val="B018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chemeClr val="bg1"/>
              </a:solidFill>
            </a:rPr>
            <a:t>The last compare value starts an interval that </a:t>
          </a:r>
          <a:r>
            <a:rPr lang="en-US" sz="1400" b="1">
              <a:solidFill>
                <a:srgbClr val="FFFF00"/>
              </a:solidFill>
            </a:rPr>
            <a:t>has no upper bound</a:t>
          </a:r>
          <a:r>
            <a:rPr lang="en-US" sz="1400" b="1" baseline="0">
              <a:solidFill>
                <a:srgbClr val="FFFF00"/>
              </a:solidFill>
            </a:rPr>
            <a:t> </a:t>
          </a:r>
          <a:r>
            <a:rPr lang="en-US" sz="1400" b="1" baseline="0">
              <a:solidFill>
                <a:schemeClr val="bg1"/>
              </a:solidFill>
            </a:rPr>
            <a:t>(!)</a:t>
          </a:r>
          <a:endParaRPr lang="en-US" sz="1400" b="1">
            <a:solidFill>
              <a:schemeClr val="bg1"/>
            </a:solidFill>
          </a:endParaRPr>
        </a:p>
      </xdr:txBody>
    </xdr:sp>
    <xdr:clientData/>
  </xdr:twoCellAnchor>
  <xdr:twoCellAnchor>
    <xdr:from>
      <xdr:col>4</xdr:col>
      <xdr:colOff>613833</xdr:colOff>
      <xdr:row>56</xdr:row>
      <xdr:rowOff>127000</xdr:rowOff>
    </xdr:from>
    <xdr:to>
      <xdr:col>6</xdr:col>
      <xdr:colOff>338665</xdr:colOff>
      <xdr:row>56</xdr:row>
      <xdr:rowOff>142876</xdr:rowOff>
    </xdr:to>
    <xdr:cxnSp macro="">
      <xdr:nvCxnSpPr>
        <xdr:cNvPr id="13" name="Straight Arrow Connector 12">
          <a:extLst>
            <a:ext uri="{FF2B5EF4-FFF2-40B4-BE49-F238E27FC236}">
              <a16:creationId xmlns:a16="http://schemas.microsoft.com/office/drawing/2014/main" id="{00000000-0008-0000-0B00-00000D000000}"/>
            </a:ext>
          </a:extLst>
        </xdr:cNvPr>
        <xdr:cNvCxnSpPr/>
      </xdr:nvCxnSpPr>
      <xdr:spPr bwMode="auto">
        <a:xfrm flipH="1" flipV="1">
          <a:off x="3735916" y="9292167"/>
          <a:ext cx="952499" cy="15876"/>
        </a:xfrm>
        <a:prstGeom prst="straightConnector1">
          <a:avLst/>
        </a:prstGeom>
        <a:solidFill>
          <a:srgbClr val="FFFFFF"/>
        </a:solidFill>
        <a:ln w="57150" cap="flat" cmpd="sng" algn="ctr">
          <a:solidFill>
            <a:sysClr val="windowText" lastClr="000000"/>
          </a:solidFill>
          <a:prstDash val="solid"/>
          <a:round/>
          <a:headEnd type="none" w="med" len="med"/>
          <a:tailEnd type="arrow"/>
        </a:ln>
        <a:effectLst/>
      </xdr:spPr>
    </xdr:cxnSp>
    <xdr:clientData/>
  </xdr:twoCellAnchor>
  <xdr:twoCellAnchor>
    <xdr:from>
      <xdr:col>2</xdr:col>
      <xdr:colOff>391583</xdr:colOff>
      <xdr:row>60</xdr:row>
      <xdr:rowOff>127002</xdr:rowOff>
    </xdr:from>
    <xdr:to>
      <xdr:col>10</xdr:col>
      <xdr:colOff>116417</xdr:colOff>
      <xdr:row>83</xdr:row>
      <xdr:rowOff>105833</xdr:rowOff>
    </xdr:to>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481666" y="10022419"/>
          <a:ext cx="5376334" cy="3630081"/>
        </a:xfrm>
        <a:prstGeom prst="rect">
          <a:avLst/>
        </a:prstGeom>
        <a:solidFill>
          <a:schemeClr val="accent3">
            <a:lumMod val="40000"/>
            <a:lumOff val="6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t>When</a:t>
          </a:r>
          <a:r>
            <a:rPr lang="en-US" sz="1400" b="1" baseline="0"/>
            <a:t> a lookup value falls into an interval, from which row in the lookup table is a value then retrieved by the VLOOKUP function?</a:t>
          </a:r>
        </a:p>
        <a:p>
          <a:r>
            <a:rPr lang="en-US" sz="1400" b="1" baseline="0"/>
            <a:t> </a:t>
          </a:r>
        </a:p>
        <a:p>
          <a:r>
            <a:rPr lang="en-US" sz="1400" b="1" baseline="0"/>
            <a:t>Answer: the row that </a:t>
          </a:r>
          <a:r>
            <a:rPr lang="en-US" sz="1400" b="1" baseline="0">
              <a:solidFill>
                <a:srgbClr val="FF0000"/>
              </a:solidFill>
            </a:rPr>
            <a:t>starts</a:t>
          </a:r>
          <a:r>
            <a:rPr lang="en-US" sz="1400" b="1" baseline="0"/>
            <a:t> the interval.</a:t>
          </a:r>
        </a:p>
        <a:p>
          <a:r>
            <a:rPr lang="en-US" sz="1400" b="1" baseline="0"/>
            <a:t> </a:t>
          </a:r>
        </a:p>
        <a:p>
          <a:r>
            <a:rPr lang="en-US" sz="1400" b="1" baseline="0"/>
            <a:t>Examples for the compare values above:</a:t>
          </a:r>
        </a:p>
        <a:p>
          <a:r>
            <a:rPr lang="en-US" sz="1400" b="1" baseline="0"/>
            <a:t>         Lookup Value    Which Interval?     Retrieve from which Row?</a:t>
          </a:r>
        </a:p>
        <a:p>
          <a:r>
            <a:rPr lang="en-US" sz="1400" b="1" baseline="0"/>
            <a:t>                   0                         the 1st                     The "0" row</a:t>
          </a:r>
        </a:p>
        <a:p>
          <a:r>
            <a:rPr lang="en-US" sz="1400" b="1" baseline="0"/>
            <a:t>                  12                        the 1st                     The "0" row</a:t>
          </a:r>
        </a:p>
        <a:p>
          <a:r>
            <a:rPr lang="en-US" sz="1400" b="1" baseline="0"/>
            <a:t>                  29                        the 1st                     The "0" row</a:t>
          </a:r>
        </a:p>
        <a:p>
          <a:r>
            <a:rPr lang="en-US" sz="1400" b="1" baseline="0"/>
            <a:t>                  30                        the 2nd                    The "30" row</a:t>
          </a:r>
        </a:p>
        <a:p>
          <a:r>
            <a:rPr lang="en-US" sz="1400" b="1" baseline="0"/>
            <a:t>                  49                        the 2nd                    The "30" row</a:t>
          </a:r>
        </a:p>
        <a:p>
          <a:r>
            <a:rPr lang="en-US" sz="1400" b="1" baseline="0"/>
            <a:t>                  50                        the 3rd                     The "50" row</a:t>
          </a:r>
        </a:p>
        <a:p>
          <a:endParaRPr lang="en-US" sz="1400" b="1" baseline="0"/>
        </a:p>
        <a:p>
          <a:r>
            <a:rPr lang="en-US" sz="1400" b="1" baseline="0"/>
            <a:t>and so on...</a:t>
          </a:r>
          <a:endParaRPr lang="en-US" sz="1400" b="1"/>
        </a:p>
      </xdr:txBody>
    </xdr:sp>
    <xdr:clientData/>
  </xdr:twoCellAnchor>
  <xdr:twoCellAnchor>
    <xdr:from>
      <xdr:col>6</xdr:col>
      <xdr:colOff>349249</xdr:colOff>
      <xdr:row>49</xdr:row>
      <xdr:rowOff>74084</xdr:rowOff>
    </xdr:from>
    <xdr:to>
      <xdr:col>11</xdr:col>
      <xdr:colOff>243416</xdr:colOff>
      <xdr:row>53</xdr:row>
      <xdr:rowOff>169333</xdr:rowOff>
    </xdr:to>
    <xdr:sp macro="" textlink="">
      <xdr:nvSpPr>
        <xdr:cNvPr id="10" name="TextBox 9">
          <a:extLst>
            <a:ext uri="{FF2B5EF4-FFF2-40B4-BE49-F238E27FC236}">
              <a16:creationId xmlns:a16="http://schemas.microsoft.com/office/drawing/2014/main" id="{00000000-0008-0000-0B00-00000A000000}"/>
            </a:ext>
          </a:extLst>
        </xdr:cNvPr>
        <xdr:cNvSpPr txBox="1"/>
      </xdr:nvSpPr>
      <xdr:spPr>
        <a:xfrm>
          <a:off x="4698999" y="7715251"/>
          <a:ext cx="2899834" cy="1015999"/>
        </a:xfrm>
        <a:prstGeom prst="rect">
          <a:avLst/>
        </a:prstGeom>
        <a:solidFill>
          <a:srgbClr val="B01861"/>
        </a:solidFill>
        <a:ln w="38100"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chemeClr val="bg1"/>
              </a:solidFill>
            </a:rPr>
            <a:t>The first compare value is the lower bound for the first interval. Lookup values </a:t>
          </a:r>
          <a:r>
            <a:rPr lang="en-US" sz="1400" b="1">
              <a:solidFill>
                <a:srgbClr val="FFFF00"/>
              </a:solidFill>
            </a:rPr>
            <a:t>less than </a:t>
          </a:r>
          <a:r>
            <a:rPr lang="en-US" sz="1400" b="1">
              <a:solidFill>
                <a:schemeClr val="bg1"/>
              </a:solidFill>
            </a:rPr>
            <a:t>the first compare value result in an error message.</a:t>
          </a:r>
        </a:p>
      </xdr:txBody>
    </xdr:sp>
    <xdr:clientData/>
  </xdr:twoCellAnchor>
  <xdr:twoCellAnchor>
    <xdr:from>
      <xdr:col>4</xdr:col>
      <xdr:colOff>635000</xdr:colOff>
      <xdr:row>50</xdr:row>
      <xdr:rowOff>148167</xdr:rowOff>
    </xdr:from>
    <xdr:to>
      <xdr:col>6</xdr:col>
      <xdr:colOff>359832</xdr:colOff>
      <xdr:row>50</xdr:row>
      <xdr:rowOff>164043</xdr:rowOff>
    </xdr:to>
    <xdr:cxnSp macro="">
      <xdr:nvCxnSpPr>
        <xdr:cNvPr id="14" name="Straight Arrow Connector 13">
          <a:extLst>
            <a:ext uri="{FF2B5EF4-FFF2-40B4-BE49-F238E27FC236}">
              <a16:creationId xmlns:a16="http://schemas.microsoft.com/office/drawing/2014/main" id="{00000000-0008-0000-0B00-00000E000000}"/>
            </a:ext>
          </a:extLst>
        </xdr:cNvPr>
        <xdr:cNvCxnSpPr/>
      </xdr:nvCxnSpPr>
      <xdr:spPr bwMode="auto">
        <a:xfrm flipH="1" flipV="1">
          <a:off x="3757083" y="7948084"/>
          <a:ext cx="952499" cy="15876"/>
        </a:xfrm>
        <a:prstGeom prst="straightConnector1">
          <a:avLst/>
        </a:prstGeom>
        <a:solidFill>
          <a:srgbClr val="FFFFFF"/>
        </a:solidFill>
        <a:ln w="57150" cap="flat" cmpd="sng" algn="ctr">
          <a:solidFill>
            <a:sysClr val="windowText" lastClr="000000"/>
          </a:solidFill>
          <a:prstDash val="solid"/>
          <a:round/>
          <a:headEnd type="none" w="med" len="med"/>
          <a:tailEnd type="arrow"/>
        </a:ln>
        <a:effectLst/>
      </xdr:spPr>
    </xdr:cxnSp>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2</xdr:row>
          <xdr:rowOff>114300</xdr:rowOff>
        </xdr:from>
        <xdr:to>
          <xdr:col>7</xdr:col>
          <xdr:colOff>330200</xdr:colOff>
          <xdr:row>20</xdr:row>
          <xdr:rowOff>152400</xdr:rowOff>
        </xdr:to>
        <xdr:sp macro="" textlink="">
          <xdr:nvSpPr>
            <xdr:cNvPr id="71681" name="Object 1" hidden="1">
              <a:extLst>
                <a:ext uri="{63B3BB69-23CF-44E3-9099-C40C66FF867C}">
                  <a14:compatExt spid="_x0000_s71681"/>
                </a:ext>
                <a:ext uri="{FF2B5EF4-FFF2-40B4-BE49-F238E27FC236}">
                  <a16:creationId xmlns:a16="http://schemas.microsoft.com/office/drawing/2014/main" id="{00000000-0008-0000-0C00-0000011801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11</xdr:col>
      <xdr:colOff>318135</xdr:colOff>
      <xdr:row>5</xdr:row>
      <xdr:rowOff>160020</xdr:rowOff>
    </xdr:from>
    <xdr:to>
      <xdr:col>20</xdr:col>
      <xdr:colOff>571500</xdr:colOff>
      <xdr:row>10</xdr:row>
      <xdr:rowOff>72391</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7762875" y="1150620"/>
          <a:ext cx="5876925" cy="872491"/>
        </a:xfrm>
        <a:prstGeom prst="rect">
          <a:avLst/>
        </a:prstGeom>
        <a:solidFill>
          <a:schemeClr val="bg2">
            <a:lumMod val="9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400" b="1">
              <a:solidFill>
                <a:srgbClr val="FF0000"/>
              </a:solidFill>
              <a:effectLst/>
              <a:latin typeface="+mn-lt"/>
              <a:ea typeface="+mn-ea"/>
              <a:cs typeface="+mn-cs"/>
            </a:rPr>
            <a:t>=VLOOKUP(lookup_value, table_array, col_index_num, range_lookup) </a:t>
          </a:r>
          <a:r>
            <a:rPr lang="en-US" sz="1400" b="1">
              <a:solidFill>
                <a:schemeClr val="dk1"/>
              </a:solidFill>
              <a:effectLst/>
              <a:latin typeface="+mn-lt"/>
              <a:ea typeface="+mn-ea"/>
              <a:cs typeface="+mn-cs"/>
            </a:rPr>
            <a:t>searches for a matching value in the leftmost column of the table, and then retrieves the value in the same row but in another column that you specify.</a:t>
          </a:r>
          <a:endParaRPr lang="en-US" sz="1400" b="1">
            <a:effectLst/>
          </a:endParaRPr>
        </a:p>
      </xdr:txBody>
    </xdr:sp>
    <xdr:clientData/>
  </xdr:twoCellAnchor>
  <xdr:twoCellAnchor editAs="oneCell">
    <xdr:from>
      <xdr:col>11</xdr:col>
      <xdr:colOff>289560</xdr:colOff>
      <xdr:row>11</xdr:row>
      <xdr:rowOff>47626</xdr:rowOff>
    </xdr:from>
    <xdr:to>
      <xdr:col>23</xdr:col>
      <xdr:colOff>555905</xdr:colOff>
      <xdr:row>27</xdr:row>
      <xdr:rowOff>34291</xdr:rowOff>
    </xdr:to>
    <xdr:pic>
      <xdr:nvPicPr>
        <xdr:cNvPr id="5" name="Picture 4">
          <a:extLst>
            <a:ext uri="{FF2B5EF4-FFF2-40B4-BE49-F238E27FC236}">
              <a16:creationId xmlns:a16="http://schemas.microsoft.com/office/drawing/2014/main" id="{00000000-0008-0000-0C00-000005000000}"/>
            </a:ext>
          </a:extLst>
        </xdr:cNvPr>
        <xdr:cNvPicPr>
          <a:picLocks noChangeAspect="1" noChangeArrowheads="1"/>
        </xdr:cNvPicPr>
      </xdr:nvPicPr>
      <xdr:blipFill rotWithShape="1">
        <a:blip xmlns:r="http://schemas.openxmlformats.org/officeDocument/2006/relationships" r:embed="rId1"/>
        <a:srcRect l="1260" t="11518" r="2402" b="2621"/>
        <a:stretch/>
      </xdr:blipFill>
      <xdr:spPr bwMode="auto">
        <a:xfrm>
          <a:off x="7734300" y="2219326"/>
          <a:ext cx="7764425" cy="3499485"/>
        </a:xfrm>
        <a:prstGeom prst="rect">
          <a:avLst/>
        </a:prstGeom>
        <a:noFill/>
        <a:ln w="9525">
          <a:noFill/>
          <a:miter lim="800000"/>
          <a:headEnd/>
          <a:tailEnd/>
        </a:ln>
      </xdr:spPr>
    </xdr:pic>
    <xdr:clientData/>
  </xdr:twoCellAnchor>
  <xdr:twoCellAnchor>
    <xdr:from>
      <xdr:col>13</xdr:col>
      <xdr:colOff>510540</xdr:colOff>
      <xdr:row>20</xdr:row>
      <xdr:rowOff>198120</xdr:rowOff>
    </xdr:from>
    <xdr:to>
      <xdr:col>23</xdr:col>
      <xdr:colOff>518160</xdr:colOff>
      <xdr:row>25</xdr:row>
      <xdr:rowOff>60960</xdr:rowOff>
    </xdr:to>
    <xdr:sp macro="" textlink="">
      <xdr:nvSpPr>
        <xdr:cNvPr id="6" name="Rectangle 2">
          <a:extLst>
            <a:ext uri="{FF2B5EF4-FFF2-40B4-BE49-F238E27FC236}">
              <a16:creationId xmlns:a16="http://schemas.microsoft.com/office/drawing/2014/main" id="{00000000-0008-0000-0C00-000006000000}"/>
            </a:ext>
          </a:extLst>
        </xdr:cNvPr>
        <xdr:cNvSpPr>
          <a:spLocks noChangeArrowheads="1"/>
        </xdr:cNvSpPr>
      </xdr:nvSpPr>
      <xdr:spPr bwMode="auto">
        <a:xfrm>
          <a:off x="9204960" y="4328160"/>
          <a:ext cx="6256020" cy="967740"/>
        </a:xfrm>
        <a:prstGeom prst="rect">
          <a:avLst/>
        </a:prstGeom>
        <a:solidFill>
          <a:srgbClr val="FFFFFF">
            <a:alpha val="0"/>
          </a:srgbClr>
        </a:solidFill>
        <a:ln w="50800">
          <a:solidFill>
            <a:srgbClr val="FF0000"/>
          </a:solidFill>
          <a:miter lim="800000"/>
          <a:headEnd/>
          <a:tailEnd/>
        </a:ln>
      </xdr:spPr>
    </xdr:sp>
    <xdr:clientData/>
  </xdr:twoCellAnchor>
</xdr:wsDr>
</file>

<file path=xl/drawings/drawing1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190500</xdr:colOff>
          <xdr:row>2</xdr:row>
          <xdr:rowOff>114300</xdr:rowOff>
        </xdr:from>
        <xdr:to>
          <xdr:col>7</xdr:col>
          <xdr:colOff>330200</xdr:colOff>
          <xdr:row>20</xdr:row>
          <xdr:rowOff>152400</xdr:rowOff>
        </xdr:to>
        <xdr:sp macro="" textlink="">
          <xdr:nvSpPr>
            <xdr:cNvPr id="88065" name="Object 1" hidden="1">
              <a:extLst>
                <a:ext uri="{63B3BB69-23CF-44E3-9099-C40C66FF867C}">
                  <a14:compatExt spid="_x0000_s88065"/>
                </a:ext>
                <a:ext uri="{FF2B5EF4-FFF2-40B4-BE49-F238E27FC236}">
                  <a16:creationId xmlns:a16="http://schemas.microsoft.com/office/drawing/2014/main" id="{00000000-0008-0000-0D00-0000015801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7</xdr:col>
      <xdr:colOff>539749</xdr:colOff>
      <xdr:row>24</xdr:row>
      <xdr:rowOff>211668</xdr:rowOff>
    </xdr:from>
    <xdr:to>
      <xdr:col>10</xdr:col>
      <xdr:colOff>127000</xdr:colOff>
      <xdr:row>27</xdr:row>
      <xdr:rowOff>43268</xdr:rowOff>
    </xdr:to>
    <xdr:sp macro="" textlink="">
      <xdr:nvSpPr>
        <xdr:cNvPr id="4" name="Rectangle 2">
          <a:extLst>
            <a:ext uri="{FF2B5EF4-FFF2-40B4-BE49-F238E27FC236}">
              <a16:creationId xmlns:a16="http://schemas.microsoft.com/office/drawing/2014/main" id="{00000000-0008-0000-0D00-000004000000}"/>
            </a:ext>
          </a:extLst>
        </xdr:cNvPr>
        <xdr:cNvSpPr>
          <a:spLocks noChangeArrowheads="1"/>
        </xdr:cNvSpPr>
      </xdr:nvSpPr>
      <xdr:spPr bwMode="auto">
        <a:xfrm>
          <a:off x="5355166" y="5365751"/>
          <a:ext cx="1428751" cy="540684"/>
        </a:xfrm>
        <a:prstGeom prst="rect">
          <a:avLst/>
        </a:prstGeom>
        <a:solidFill>
          <a:srgbClr val="FFFFFF">
            <a:alpha val="0"/>
          </a:srgbClr>
        </a:solidFill>
        <a:ln w="50800">
          <a:solidFill>
            <a:srgbClr val="FF0000"/>
          </a:solidFill>
          <a:miter lim="800000"/>
          <a:headEnd/>
          <a:tailEnd/>
        </a:ln>
      </xdr:spPr>
    </xdr:sp>
    <xdr:clientData/>
  </xdr:twoCellAnchor>
  <xdr:twoCellAnchor>
    <xdr:from>
      <xdr:col>1</xdr:col>
      <xdr:colOff>392641</xdr:colOff>
      <xdr:row>22</xdr:row>
      <xdr:rowOff>130174</xdr:rowOff>
    </xdr:from>
    <xdr:to>
      <xdr:col>6</xdr:col>
      <xdr:colOff>339725</xdr:colOff>
      <xdr:row>40</xdr:row>
      <xdr:rowOff>190500</xdr:rowOff>
    </xdr:to>
    <xdr:sp macro="" textlink="">
      <xdr:nvSpPr>
        <xdr:cNvPr id="5" name="Text Box 3">
          <a:extLst>
            <a:ext uri="{FF2B5EF4-FFF2-40B4-BE49-F238E27FC236}">
              <a16:creationId xmlns:a16="http://schemas.microsoft.com/office/drawing/2014/main" id="{00000000-0008-0000-0D00-000005000000}"/>
            </a:ext>
          </a:extLst>
        </xdr:cNvPr>
        <xdr:cNvSpPr txBox="1">
          <a:spLocks noChangeArrowheads="1"/>
        </xdr:cNvSpPr>
      </xdr:nvSpPr>
      <xdr:spPr bwMode="auto">
        <a:xfrm>
          <a:off x="697441" y="4787899"/>
          <a:ext cx="3899959" cy="3803651"/>
        </a:xfrm>
        <a:prstGeom prst="rect">
          <a:avLst/>
        </a:prstGeom>
        <a:solidFill>
          <a:srgbClr val="FFFF99"/>
        </a:solidFill>
        <a:ln w="38100">
          <a:solidFill>
            <a:srgbClr val="000000"/>
          </a:solidFill>
          <a:miter lim="800000"/>
          <a:headEnd/>
          <a:tailEnd/>
        </a:ln>
      </xdr:spPr>
      <xdr:txBody>
        <a:bodyPr vertOverflow="clip" wrap="square" lIns="27432" tIns="27432" rIns="0" bIns="0" anchor="t" upright="1"/>
        <a:lstStyle/>
        <a:p>
          <a:pPr algn="l" rtl="0">
            <a:defRPr sz="1000"/>
          </a:pPr>
          <a:r>
            <a:rPr lang="en-US" sz="1400" b="1" i="0" strike="noStrike">
              <a:solidFill>
                <a:srgbClr val="000000"/>
              </a:solidFill>
              <a:latin typeface="+mn-lt"/>
              <a:cs typeface="Arial"/>
            </a:rPr>
            <a:t>If a lookup value is </a:t>
          </a:r>
          <a:r>
            <a:rPr lang="en-US" sz="1400" b="1" i="0" strike="noStrike">
              <a:solidFill>
                <a:srgbClr val="FF0000"/>
              </a:solidFill>
              <a:latin typeface="+mn-lt"/>
              <a:cs typeface="Arial"/>
            </a:rPr>
            <a:t>less than the first compare value</a:t>
          </a:r>
          <a:r>
            <a:rPr lang="en-US" sz="1400" b="1" i="0" strike="noStrike">
              <a:solidFill>
                <a:srgbClr val="000000"/>
              </a:solidFill>
              <a:latin typeface="+mn-lt"/>
              <a:cs typeface="Arial"/>
            </a:rPr>
            <a:t>, a</a:t>
          </a:r>
          <a:r>
            <a:rPr lang="en-US" sz="1400" b="1" i="0" strike="noStrike" baseline="0">
              <a:solidFill>
                <a:srgbClr val="000000"/>
              </a:solidFill>
              <a:latin typeface="+mn-lt"/>
              <a:cs typeface="Arial"/>
            </a:rPr>
            <a:t> #N/A </a:t>
          </a:r>
          <a:r>
            <a:rPr lang="en-US" sz="1400" b="1" i="0" strike="noStrike">
              <a:solidFill>
                <a:srgbClr val="000000"/>
              </a:solidFill>
              <a:latin typeface="+mn-lt"/>
              <a:cs typeface="Arial"/>
            </a:rPr>
            <a:t>error message results,</a:t>
          </a:r>
          <a:r>
            <a:rPr lang="en-US" sz="1400" b="1" i="0" strike="noStrike" baseline="0">
              <a:solidFill>
                <a:srgbClr val="000000"/>
              </a:solidFill>
              <a:latin typeface="+mn-lt"/>
              <a:cs typeface="Arial"/>
            </a:rPr>
            <a:t> as shown here.</a:t>
          </a:r>
          <a:endParaRPr lang="en-US" sz="1400" b="1" i="0" strike="noStrike">
            <a:solidFill>
              <a:srgbClr val="000000"/>
            </a:solidFill>
            <a:latin typeface="+mn-lt"/>
            <a:cs typeface="Arial"/>
          </a:endParaRPr>
        </a:p>
        <a:p>
          <a:pPr algn="l" rtl="0">
            <a:defRPr sz="1000"/>
          </a:pPr>
          <a:endParaRPr lang="en-US" sz="1400" b="1" i="0" strike="noStrike">
            <a:solidFill>
              <a:srgbClr val="000000"/>
            </a:solidFill>
            <a:latin typeface="+mn-lt"/>
            <a:cs typeface="Arial"/>
          </a:endParaRPr>
        </a:p>
        <a:p>
          <a:pPr algn="l" rtl="0">
            <a:defRPr sz="1000"/>
          </a:pPr>
          <a:r>
            <a:rPr lang="en-US" sz="1400" b="1" i="0" strike="noStrike">
              <a:solidFill>
                <a:srgbClr val="000000"/>
              </a:solidFill>
              <a:latin typeface="+mn-lt"/>
              <a:cs typeface="Arial"/>
            </a:rPr>
            <a:t>But</a:t>
          </a:r>
          <a:r>
            <a:rPr lang="en-US" sz="1400" b="1" i="0" strike="noStrike" baseline="0">
              <a:solidFill>
                <a:srgbClr val="000000"/>
              </a:solidFill>
              <a:latin typeface="+mn-lt"/>
              <a:cs typeface="Arial"/>
            </a:rPr>
            <a:t> lookup values </a:t>
          </a:r>
          <a:r>
            <a:rPr lang="en-US" sz="1400" b="1" i="0" strike="noStrike" baseline="0">
              <a:solidFill>
                <a:srgbClr val="FF0000"/>
              </a:solidFill>
              <a:latin typeface="+mn-lt"/>
              <a:cs typeface="Arial"/>
            </a:rPr>
            <a:t>greater than the last compare value</a:t>
          </a:r>
          <a:r>
            <a:rPr lang="en-US" sz="1400" b="1" i="0" strike="noStrike" baseline="0">
              <a:solidFill>
                <a:srgbClr val="000000"/>
              </a:solidFill>
              <a:latin typeface="+mn-lt"/>
              <a:cs typeface="Arial"/>
            </a:rPr>
            <a:t> simply fall into the last interval in the lookup table. (The interval has no upper limit.) And so a score of 105, although perhaps not possible, does not have special attention called to it.</a:t>
          </a:r>
          <a:endParaRPr lang="en-US" sz="1400" b="1" i="0" strike="noStrike" baseline="0">
            <a:solidFill>
              <a:srgbClr val="FF0000"/>
            </a:solidFill>
            <a:latin typeface="+mn-lt"/>
            <a:cs typeface="Arial"/>
          </a:endParaRPr>
        </a:p>
        <a:p>
          <a:pPr algn="l" rtl="0">
            <a:defRPr sz="1000"/>
          </a:pPr>
          <a:endParaRPr lang="en-US" sz="1400" b="1" i="0" strike="noStrike" baseline="0">
            <a:solidFill>
              <a:srgbClr val="000000"/>
            </a:solidFill>
            <a:latin typeface="+mn-lt"/>
            <a:cs typeface="Arial"/>
          </a:endParaRPr>
        </a:p>
        <a:p>
          <a:pPr algn="l" rtl="0">
            <a:defRPr sz="1000"/>
          </a:pPr>
          <a:r>
            <a:rPr lang="en-US" sz="1400" b="1" i="0" strike="noStrike" baseline="0">
              <a:solidFill>
                <a:srgbClr val="000000"/>
              </a:solidFill>
              <a:latin typeface="+mn-lt"/>
              <a:cs typeface="Arial"/>
            </a:rPr>
            <a:t>To modify this situation, you can add another row to the lookup table, using a compare value of 101. The value 101 then starts an interval that continues indefinitely. Any lookup value falling into that interval will display whatever is stored in column 2 of the "101 row" in the lookup table. What's stored there could be user-composed text. </a:t>
          </a:r>
        </a:p>
        <a:p>
          <a:pPr algn="l" rtl="0">
            <a:defRPr sz="1000"/>
          </a:pPr>
          <a:endParaRPr lang="en-US" sz="1400" b="1" i="0" strike="noStrike" baseline="0">
            <a:solidFill>
              <a:srgbClr val="000000"/>
            </a:solidFill>
            <a:latin typeface="+mn-lt"/>
            <a:cs typeface="Arial"/>
          </a:endParaRPr>
        </a:p>
        <a:p>
          <a:pPr algn="r" rtl="0">
            <a:defRPr sz="1000"/>
          </a:pPr>
          <a:r>
            <a:rPr lang="en-US" sz="1400" b="1" i="0" strike="noStrike" baseline="0">
              <a:solidFill>
                <a:srgbClr val="000000"/>
              </a:solidFill>
              <a:latin typeface="+mn-lt"/>
              <a:cs typeface="Arial"/>
            </a:rPr>
            <a:t>.</a:t>
          </a:r>
        </a:p>
      </xdr:txBody>
    </xdr:sp>
    <xdr:clientData/>
  </xdr:twoCellAnchor>
  <xdr:twoCellAnchor>
    <xdr:from>
      <xdr:col>6</xdr:col>
      <xdr:colOff>314325</xdr:colOff>
      <xdr:row>24</xdr:row>
      <xdr:rowOff>57150</xdr:rowOff>
    </xdr:from>
    <xdr:to>
      <xdr:col>7</xdr:col>
      <xdr:colOff>518160</xdr:colOff>
      <xdr:row>25</xdr:row>
      <xdr:rowOff>53340</xdr:rowOff>
    </xdr:to>
    <xdr:cxnSp macro="">
      <xdr:nvCxnSpPr>
        <xdr:cNvPr id="6" name="Straight Arrow Connector 5">
          <a:extLst>
            <a:ext uri="{FF2B5EF4-FFF2-40B4-BE49-F238E27FC236}">
              <a16:creationId xmlns:a16="http://schemas.microsoft.com/office/drawing/2014/main" id="{00000000-0008-0000-0D00-000006000000}"/>
            </a:ext>
          </a:extLst>
        </xdr:cNvPr>
        <xdr:cNvCxnSpPr/>
      </xdr:nvCxnSpPr>
      <xdr:spPr bwMode="auto">
        <a:xfrm>
          <a:off x="4688205" y="5071110"/>
          <a:ext cx="775335" cy="217170"/>
        </a:xfrm>
        <a:prstGeom prst="straightConnector1">
          <a:avLst/>
        </a:prstGeom>
        <a:solidFill>
          <a:srgbClr val="FFFFFF"/>
        </a:solidFill>
        <a:ln w="76200" cap="flat" cmpd="sng" algn="ctr">
          <a:solidFill>
            <a:srgbClr val="FF0000"/>
          </a:solidFill>
          <a:prstDash val="solid"/>
          <a:round/>
          <a:headEnd type="none" w="med" len="med"/>
          <a:tailEnd type="arrow"/>
        </a:ln>
        <a:effectLst/>
      </xdr:spPr>
    </xdr:cxnSp>
    <xdr:clientData/>
  </xdr:twoCellAnchor>
  <xdr:twoCellAnchor>
    <xdr:from>
      <xdr:col>7</xdr:col>
      <xdr:colOff>538690</xdr:colOff>
      <xdr:row>56</xdr:row>
      <xdr:rowOff>1</xdr:rowOff>
    </xdr:from>
    <xdr:to>
      <xdr:col>10</xdr:col>
      <xdr:colOff>125941</xdr:colOff>
      <xdr:row>57</xdr:row>
      <xdr:rowOff>29634</xdr:rowOff>
    </xdr:to>
    <xdr:sp macro="" textlink="">
      <xdr:nvSpPr>
        <xdr:cNvPr id="9" name="Rectangle 2">
          <a:extLst>
            <a:ext uri="{FF2B5EF4-FFF2-40B4-BE49-F238E27FC236}">
              <a16:creationId xmlns:a16="http://schemas.microsoft.com/office/drawing/2014/main" id="{00000000-0008-0000-0D00-000009000000}"/>
            </a:ext>
          </a:extLst>
        </xdr:cNvPr>
        <xdr:cNvSpPr>
          <a:spLocks noChangeArrowheads="1"/>
        </xdr:cNvSpPr>
      </xdr:nvSpPr>
      <xdr:spPr bwMode="auto">
        <a:xfrm>
          <a:off x="5348815" y="11763376"/>
          <a:ext cx="1416051" cy="267758"/>
        </a:xfrm>
        <a:prstGeom prst="rect">
          <a:avLst/>
        </a:prstGeom>
        <a:solidFill>
          <a:srgbClr val="FFFFFF">
            <a:alpha val="0"/>
          </a:srgbClr>
        </a:solidFill>
        <a:ln w="50800">
          <a:solidFill>
            <a:srgbClr val="FF0000"/>
          </a:solidFill>
          <a:miter lim="800000"/>
          <a:headEnd/>
          <a:tailEnd/>
        </a:ln>
      </xdr:spPr>
    </xdr:sp>
    <xdr:clientData/>
  </xdr:twoCellAnchor>
  <xdr:twoCellAnchor>
    <xdr:from>
      <xdr:col>6</xdr:col>
      <xdr:colOff>89959</xdr:colOff>
      <xdr:row>38</xdr:row>
      <xdr:rowOff>96308</xdr:rowOff>
    </xdr:from>
    <xdr:to>
      <xdr:col>7</xdr:col>
      <xdr:colOff>587375</xdr:colOff>
      <xdr:row>41</xdr:row>
      <xdr:rowOff>101600</xdr:rowOff>
    </xdr:to>
    <xdr:cxnSp macro="">
      <xdr:nvCxnSpPr>
        <xdr:cNvPr id="10" name="Straight Arrow Connector 9">
          <a:extLst>
            <a:ext uri="{FF2B5EF4-FFF2-40B4-BE49-F238E27FC236}">
              <a16:creationId xmlns:a16="http://schemas.microsoft.com/office/drawing/2014/main" id="{00000000-0008-0000-0D00-00000A000000}"/>
            </a:ext>
          </a:extLst>
        </xdr:cNvPr>
        <xdr:cNvCxnSpPr/>
      </xdr:nvCxnSpPr>
      <xdr:spPr bwMode="auto">
        <a:xfrm>
          <a:off x="4347634" y="8040158"/>
          <a:ext cx="1049866" cy="700617"/>
        </a:xfrm>
        <a:prstGeom prst="straightConnector1">
          <a:avLst/>
        </a:prstGeom>
        <a:solidFill>
          <a:srgbClr val="FFFFFF"/>
        </a:solidFill>
        <a:ln w="76200" cap="flat" cmpd="sng" algn="ctr">
          <a:solidFill>
            <a:srgbClr val="FF0000"/>
          </a:solidFill>
          <a:prstDash val="solid"/>
          <a:round/>
          <a:headEnd type="none" w="med" len="med"/>
          <a:tailEnd type="arrow"/>
        </a:ln>
        <a:effectLst/>
      </xdr:spPr>
    </xdr:cxnSp>
    <xdr:clientData/>
  </xdr:twoCellAnchor>
  <xdr:twoCellAnchor>
    <xdr:from>
      <xdr:col>6</xdr:col>
      <xdr:colOff>365760</xdr:colOff>
      <xdr:row>27</xdr:row>
      <xdr:rowOff>38100</xdr:rowOff>
    </xdr:from>
    <xdr:to>
      <xdr:col>7</xdr:col>
      <xdr:colOff>548640</xdr:colOff>
      <xdr:row>29</xdr:row>
      <xdr:rowOff>91440</xdr:rowOff>
    </xdr:to>
    <xdr:cxnSp macro="">
      <xdr:nvCxnSpPr>
        <xdr:cNvPr id="11" name="Straight Arrow Connector 10">
          <a:extLst>
            <a:ext uri="{FF2B5EF4-FFF2-40B4-BE49-F238E27FC236}">
              <a16:creationId xmlns:a16="http://schemas.microsoft.com/office/drawing/2014/main" id="{00000000-0008-0000-0D00-00000B000000}"/>
            </a:ext>
          </a:extLst>
        </xdr:cNvPr>
        <xdr:cNvCxnSpPr/>
      </xdr:nvCxnSpPr>
      <xdr:spPr bwMode="auto">
        <a:xfrm flipV="1">
          <a:off x="4739640" y="5722620"/>
          <a:ext cx="754380" cy="388620"/>
        </a:xfrm>
        <a:prstGeom prst="straightConnector1">
          <a:avLst/>
        </a:prstGeom>
        <a:solidFill>
          <a:srgbClr val="FFFFFF"/>
        </a:solidFill>
        <a:ln w="76200" cap="flat" cmpd="sng" algn="ctr">
          <a:solidFill>
            <a:srgbClr val="FF0000"/>
          </a:solidFill>
          <a:prstDash val="solid"/>
          <a:round/>
          <a:headEnd type="none" w="med" len="med"/>
          <a:tailEnd type="arrow"/>
        </a:ln>
        <a:effec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363855</xdr:colOff>
      <xdr:row>1</xdr:row>
      <xdr:rowOff>15240</xdr:rowOff>
    </xdr:from>
    <xdr:to>
      <xdr:col>10</xdr:col>
      <xdr:colOff>144780</xdr:colOff>
      <xdr:row>11</xdr:row>
      <xdr:rowOff>22860</xdr:rowOff>
    </xdr:to>
    <xdr:sp macro="" textlink="">
      <xdr:nvSpPr>
        <xdr:cNvPr id="2" name="TextBox 1">
          <a:extLst>
            <a:ext uri="{FF2B5EF4-FFF2-40B4-BE49-F238E27FC236}">
              <a16:creationId xmlns:a16="http://schemas.microsoft.com/office/drawing/2014/main" id="{00000000-0008-0000-0E00-000002000000}"/>
            </a:ext>
          </a:extLst>
        </xdr:cNvPr>
        <xdr:cNvSpPr txBox="1"/>
      </xdr:nvSpPr>
      <xdr:spPr>
        <a:xfrm>
          <a:off x="363855" y="182880"/>
          <a:ext cx="5876925" cy="1684020"/>
        </a:xfrm>
        <a:prstGeom prst="rect">
          <a:avLst/>
        </a:prstGeom>
        <a:solidFill>
          <a:schemeClr val="bg2">
            <a:lumMod val="9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rtl="0" eaLnBrk="1" fontAlgn="base" hangingPunct="1"/>
          <a:r>
            <a:rPr lang="en-US" sz="1400" b="1">
              <a:solidFill>
                <a:sysClr val="windowText" lastClr="000000"/>
              </a:solidFill>
              <a:effectLst/>
              <a:latin typeface="+mn-lt"/>
              <a:ea typeface="+mn-ea"/>
              <a:cs typeface="+mn-cs"/>
            </a:rPr>
            <a:t>In addition to VLOOKUP and HLOOKUP, we can use LOOKUP function:</a:t>
          </a:r>
        </a:p>
        <a:p>
          <a:pPr rtl="0" eaLnBrk="1" fontAlgn="base" hangingPunct="1"/>
          <a:r>
            <a:rPr lang="en-US" sz="1400" b="1">
              <a:solidFill>
                <a:srgbClr val="FF0000"/>
              </a:solidFill>
              <a:effectLst/>
              <a:latin typeface="+mn-lt"/>
              <a:ea typeface="+mn-ea"/>
              <a:cs typeface="+mn-cs"/>
            </a:rPr>
            <a:t>LOOKUP(lookup_value, lookup_vector, result_vector)</a:t>
          </a:r>
        </a:p>
        <a:p>
          <a:pPr rtl="0" eaLnBrk="1" fontAlgn="base" hangingPunct="1"/>
          <a:r>
            <a:rPr lang="en-US" sz="1400" b="1">
              <a:solidFill>
                <a:schemeClr val="dk1"/>
              </a:solidFill>
              <a:effectLst/>
              <a:latin typeface="+mn-lt"/>
              <a:ea typeface="+mn-ea"/>
              <a:cs typeface="+mn-cs"/>
            </a:rPr>
            <a:t>retrieve data from a lookup table with a vertical or horizontal orientation.</a:t>
          </a:r>
        </a:p>
        <a:p>
          <a:pPr rtl="0" eaLnBrk="1" fontAlgn="base" hangingPunct="1"/>
          <a:endParaRPr lang="en-US" sz="1400" b="1">
            <a:solidFill>
              <a:schemeClr val="dk1"/>
            </a:solidFill>
            <a:effectLst/>
            <a:latin typeface="+mn-lt"/>
            <a:ea typeface="+mn-ea"/>
            <a:cs typeface="+mn-cs"/>
          </a:endParaRPr>
        </a:p>
        <a:p>
          <a:pPr rtl="0" eaLnBrk="1" fontAlgn="base" hangingPunct="1"/>
          <a:r>
            <a:rPr lang="en-US" sz="1400" b="1">
              <a:effectLst/>
            </a:rPr>
            <a:t>Typically,</a:t>
          </a:r>
          <a:r>
            <a:rPr lang="en-US" sz="1400" b="1" baseline="0">
              <a:effectLst/>
            </a:rPr>
            <a:t> we use LOOKUP function when the lookup range is not in the first column of a table if using VLOOKUP or not in the first row of a table if using HLOOKUP.</a:t>
          </a:r>
          <a:endParaRPr lang="en-US" sz="1400" b="1">
            <a:effectLst/>
          </a:endParaRPr>
        </a:p>
      </xdr:txBody>
    </xdr:sp>
    <xdr:clientData/>
  </xdr:twoCellAnchor>
  <xdr:twoCellAnchor editAs="oneCell">
    <xdr:from>
      <xdr:col>0</xdr:col>
      <xdr:colOff>320040</xdr:colOff>
      <xdr:row>11</xdr:row>
      <xdr:rowOff>83820</xdr:rowOff>
    </xdr:from>
    <xdr:to>
      <xdr:col>12</xdr:col>
      <xdr:colOff>99907</xdr:colOff>
      <xdr:row>23</xdr:row>
      <xdr:rowOff>10166</xdr:rowOff>
    </xdr:to>
    <xdr:pic>
      <xdr:nvPicPr>
        <xdr:cNvPr id="4" name="Picture 3">
          <a:extLst>
            <a:ext uri="{FF2B5EF4-FFF2-40B4-BE49-F238E27FC236}">
              <a16:creationId xmlns:a16="http://schemas.microsoft.com/office/drawing/2014/main" id="{00000000-0008-0000-0E00-000004000000}"/>
            </a:ext>
          </a:extLst>
        </xdr:cNvPr>
        <xdr:cNvPicPr>
          <a:picLocks noChangeAspect="1" noChangeArrowheads="1"/>
        </xdr:cNvPicPr>
      </xdr:nvPicPr>
      <xdr:blipFill rotWithShape="1">
        <a:blip xmlns:r="http://schemas.openxmlformats.org/officeDocument/2006/relationships" r:embed="rId1"/>
        <a:srcRect l="2206" t="18519" r="2009" b="5051"/>
        <a:stretch/>
      </xdr:blipFill>
      <xdr:spPr bwMode="auto">
        <a:xfrm>
          <a:off x="320040" y="1927860"/>
          <a:ext cx="7137400" cy="1938026"/>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200025</xdr:colOff>
      <xdr:row>5</xdr:row>
      <xdr:rowOff>142875</xdr:rowOff>
    </xdr:from>
    <xdr:to>
      <xdr:col>11</xdr:col>
      <xdr:colOff>533400</xdr:colOff>
      <xdr:row>23</xdr:row>
      <xdr:rowOff>0</xdr:rowOff>
    </xdr:to>
    <xdr:pic>
      <xdr:nvPicPr>
        <xdr:cNvPr id="2" name="Picture 1">
          <a:extLst>
            <a:ext uri="{FF2B5EF4-FFF2-40B4-BE49-F238E27FC236}">
              <a16:creationId xmlns:a16="http://schemas.microsoft.com/office/drawing/2014/main" id="{00000000-0008-0000-0F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9907"/>
        <a:stretch/>
      </xdr:blipFill>
      <xdr:spPr bwMode="auto">
        <a:xfrm>
          <a:off x="200025" y="1123950"/>
          <a:ext cx="7381875" cy="2771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228598</xdr:colOff>
      <xdr:row>28</xdr:row>
      <xdr:rowOff>38101</xdr:rowOff>
    </xdr:from>
    <xdr:to>
      <xdr:col>11</xdr:col>
      <xdr:colOff>561975</xdr:colOff>
      <xdr:row>30</xdr:row>
      <xdr:rowOff>200025</xdr:rowOff>
    </xdr:to>
    <xdr:sp macro="" textlink="">
      <xdr:nvSpPr>
        <xdr:cNvPr id="3" name="TextBox 2">
          <a:extLst>
            <a:ext uri="{FF2B5EF4-FFF2-40B4-BE49-F238E27FC236}">
              <a16:creationId xmlns:a16="http://schemas.microsoft.com/office/drawing/2014/main" id="{00000000-0008-0000-0F00-000003000000}"/>
            </a:ext>
          </a:extLst>
        </xdr:cNvPr>
        <xdr:cNvSpPr txBox="1"/>
      </xdr:nvSpPr>
      <xdr:spPr>
        <a:xfrm>
          <a:off x="4838698" y="5353051"/>
          <a:ext cx="2771777" cy="638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You can </a:t>
          </a:r>
          <a:r>
            <a:rPr lang="en-US" sz="1400" b="1" baseline="0"/>
            <a:t>verify the name of this Excel Table via its contextual tab.</a:t>
          </a:r>
          <a:endParaRPr lang="en-US" sz="1400" b="1"/>
        </a:p>
      </xdr:txBody>
    </xdr:sp>
    <xdr:clientData/>
  </xdr:twoCellAnchor>
  <xdr:twoCellAnchor>
    <xdr:from>
      <xdr:col>5</xdr:col>
      <xdr:colOff>923925</xdr:colOff>
      <xdr:row>29</xdr:row>
      <xdr:rowOff>114300</xdr:rowOff>
    </xdr:from>
    <xdr:to>
      <xdr:col>7</xdr:col>
      <xdr:colOff>228598</xdr:colOff>
      <xdr:row>29</xdr:row>
      <xdr:rowOff>119063</xdr:rowOff>
    </xdr:to>
    <xdr:cxnSp macro="">
      <xdr:nvCxnSpPr>
        <xdr:cNvPr id="5" name="Straight Arrow Connector 4">
          <a:extLst>
            <a:ext uri="{FF2B5EF4-FFF2-40B4-BE49-F238E27FC236}">
              <a16:creationId xmlns:a16="http://schemas.microsoft.com/office/drawing/2014/main" id="{00000000-0008-0000-0F00-000005000000}"/>
            </a:ext>
          </a:extLst>
        </xdr:cNvPr>
        <xdr:cNvCxnSpPr>
          <a:stCxn id="3" idx="1"/>
        </xdr:cNvCxnSpPr>
      </xdr:nvCxnSpPr>
      <xdr:spPr bwMode="auto">
        <a:xfrm flipH="1" flipV="1">
          <a:off x="3971925" y="5667375"/>
          <a:ext cx="866773" cy="4763"/>
        </a:xfrm>
        <a:prstGeom prst="straightConnector1">
          <a:avLst/>
        </a:prstGeom>
        <a:solidFill>
          <a:srgbClr val="FFFFFF"/>
        </a:solidFill>
        <a:ln w="57150" cap="flat" cmpd="sng" algn="ctr">
          <a:solidFill>
            <a:sysClr val="windowText" lastClr="000000"/>
          </a:solidFill>
          <a:prstDash val="solid"/>
          <a:round/>
          <a:headEnd type="none" w="med" len="med"/>
          <a:tailEnd type="arrow"/>
        </a:ln>
        <a:effectLst/>
      </xdr:spPr>
    </xdr:cxnSp>
    <xdr:clientData/>
  </xdr:twoCellAnchor>
  <xdr:twoCellAnchor>
    <xdr:from>
      <xdr:col>2</xdr:col>
      <xdr:colOff>171450</xdr:colOff>
      <xdr:row>35</xdr:row>
      <xdr:rowOff>28574</xdr:rowOff>
    </xdr:from>
    <xdr:to>
      <xdr:col>12</xdr:col>
      <xdr:colOff>304800</xdr:colOff>
      <xdr:row>43</xdr:row>
      <xdr:rowOff>47625</xdr:rowOff>
    </xdr:to>
    <xdr:sp macro="" textlink="">
      <xdr:nvSpPr>
        <xdr:cNvPr id="7" name="TextBox 6">
          <a:extLst>
            <a:ext uri="{FF2B5EF4-FFF2-40B4-BE49-F238E27FC236}">
              <a16:creationId xmlns:a16="http://schemas.microsoft.com/office/drawing/2014/main" id="{00000000-0008-0000-0F00-000007000000}"/>
            </a:ext>
          </a:extLst>
        </xdr:cNvPr>
        <xdr:cNvSpPr txBox="1"/>
      </xdr:nvSpPr>
      <xdr:spPr>
        <a:xfrm>
          <a:off x="1390650" y="6857999"/>
          <a:ext cx="6572250" cy="131445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Remember that the</a:t>
          </a:r>
          <a:r>
            <a:rPr lang="en-US" sz="1400" b="1" baseline="0"/>
            <a:t> name of an Excel Table</a:t>
          </a:r>
          <a:r>
            <a:rPr lang="en-US" sz="1400" b="1"/>
            <a:t> is</a:t>
          </a:r>
          <a:r>
            <a:rPr lang="en-US" sz="1400" b="1" baseline="0"/>
            <a:t> only a name for the </a:t>
          </a:r>
          <a:r>
            <a:rPr lang="en-US" sz="1400" b="1" i="1" baseline="0">
              <a:solidFill>
                <a:srgbClr val="C00000"/>
              </a:solidFill>
            </a:rPr>
            <a:t>records</a:t>
          </a:r>
          <a:r>
            <a:rPr lang="en-US" sz="1400" b="1" baseline="0">
              <a:solidFill>
                <a:srgbClr val="C00000"/>
              </a:solidFill>
            </a:rPr>
            <a:t> </a:t>
          </a:r>
          <a:r>
            <a:rPr lang="en-US" sz="1400" b="1" baseline="0"/>
            <a:t>in the Excel Table, as illustrated below</a:t>
          </a:r>
          <a:r>
            <a:rPr lang="en-US" sz="1400" b="1"/>
            <a:t>. (The Header Row is not included.) </a:t>
          </a:r>
        </a:p>
        <a:p>
          <a:endParaRPr lang="en-US" sz="1400" b="1"/>
        </a:p>
        <a:p>
          <a:r>
            <a:rPr lang="en-US" sz="1400" b="1" baseline="0"/>
            <a:t>This means that if the values in the leftmost field of an Excel Table make sense as compare values, an Excel Table's name can be used as the name of the lookup table. </a:t>
          </a:r>
          <a:endParaRPr lang="en-US" sz="1400" b="1"/>
        </a:p>
        <a:p>
          <a:endParaRPr lang="en-US" sz="1300" b="1"/>
        </a:p>
      </xdr:txBody>
    </xdr:sp>
    <xdr:clientData/>
  </xdr:twoCellAnchor>
  <xdr:twoCellAnchor editAs="oneCell">
    <xdr:from>
      <xdr:col>2</xdr:col>
      <xdr:colOff>85725</xdr:colOff>
      <xdr:row>45</xdr:row>
      <xdr:rowOff>66675</xdr:rowOff>
    </xdr:from>
    <xdr:to>
      <xdr:col>13</xdr:col>
      <xdr:colOff>104775</xdr:colOff>
      <xdr:row>60</xdr:row>
      <xdr:rowOff>19050</xdr:rowOff>
    </xdr:to>
    <xdr:pic>
      <xdr:nvPicPr>
        <xdr:cNvPr id="13" name="Picture 12">
          <a:extLst>
            <a:ext uri="{FF2B5EF4-FFF2-40B4-BE49-F238E27FC236}">
              <a16:creationId xmlns:a16="http://schemas.microsoft.com/office/drawing/2014/main" id="{00000000-0008-0000-0F00-00000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04925" y="8839200"/>
          <a:ext cx="7067550" cy="2381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95250</xdr:colOff>
      <xdr:row>11</xdr:row>
      <xdr:rowOff>123825</xdr:rowOff>
    </xdr:from>
    <xdr:to>
      <xdr:col>6</xdr:col>
      <xdr:colOff>219075</xdr:colOff>
      <xdr:row>19</xdr:row>
      <xdr:rowOff>19051</xdr:rowOff>
    </xdr:to>
    <xdr:sp macro="" textlink="">
      <xdr:nvSpPr>
        <xdr:cNvPr id="14" name="TextBox 13">
          <a:extLst>
            <a:ext uri="{FF2B5EF4-FFF2-40B4-BE49-F238E27FC236}">
              <a16:creationId xmlns:a16="http://schemas.microsoft.com/office/drawing/2014/main" id="{00000000-0008-0000-0F00-00000E000000}"/>
            </a:ext>
          </a:extLst>
        </xdr:cNvPr>
        <xdr:cNvSpPr txBox="1"/>
      </xdr:nvSpPr>
      <xdr:spPr>
        <a:xfrm>
          <a:off x="1924050" y="2076450"/>
          <a:ext cx="2295525" cy="1190626"/>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This lookup table is</a:t>
          </a:r>
          <a:r>
            <a:rPr lang="en-US" sz="1600" b="1" baseline="0"/>
            <a:t> an Excel Table named </a:t>
          </a:r>
          <a:r>
            <a:rPr lang="en-US" sz="1600" b="1" baseline="0">
              <a:solidFill>
                <a:srgbClr val="FF0000"/>
              </a:solidFill>
            </a:rPr>
            <a:t>HealthPlanRates, which is shown below.</a:t>
          </a:r>
          <a:endParaRPr lang="en-US" sz="1600" b="1">
            <a:solidFill>
              <a:srgbClr val="FF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18</xdr:col>
      <xdr:colOff>352425</xdr:colOff>
      <xdr:row>7</xdr:row>
      <xdr:rowOff>127000</xdr:rowOff>
    </xdr:from>
    <xdr:to>
      <xdr:col>27</xdr:col>
      <xdr:colOff>779463</xdr:colOff>
      <xdr:row>16</xdr:row>
      <xdr:rowOff>7620</xdr:rowOff>
    </xdr:to>
    <xdr:sp macro="" textlink="">
      <xdr:nvSpPr>
        <xdr:cNvPr id="2" name="TextBox 1">
          <a:extLst>
            <a:ext uri="{FF2B5EF4-FFF2-40B4-BE49-F238E27FC236}">
              <a16:creationId xmlns:a16="http://schemas.microsoft.com/office/drawing/2014/main" id="{00000000-0008-0000-1000-000002000000}"/>
            </a:ext>
          </a:extLst>
        </xdr:cNvPr>
        <xdr:cNvSpPr txBox="1"/>
      </xdr:nvSpPr>
      <xdr:spPr>
        <a:xfrm>
          <a:off x="11523345" y="1955800"/>
          <a:ext cx="7406958" cy="1526540"/>
        </a:xfrm>
        <a:prstGeom prst="rect">
          <a:avLst/>
        </a:prstGeom>
        <a:solidFill>
          <a:srgbClr val="FFFF00"/>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400" b="1">
              <a:solidFill>
                <a:schemeClr val="dk1"/>
              </a:solidFill>
              <a:effectLst/>
              <a:latin typeface="Arial" pitchFamily="34" charset="0"/>
              <a:ea typeface="+mn-ea"/>
              <a:cs typeface="Arial" pitchFamily="34" charset="0"/>
            </a:rPr>
            <a:t>Here, the Health Cost </a:t>
          </a:r>
          <a:r>
            <a:rPr lang="en-US" sz="1400" b="1" baseline="0">
              <a:solidFill>
                <a:schemeClr val="dk1"/>
              </a:solidFill>
              <a:effectLst/>
              <a:latin typeface="Arial" pitchFamily="34" charset="0"/>
              <a:ea typeface="+mn-ea"/>
              <a:cs typeface="Arial" pitchFamily="34" charset="0"/>
            </a:rPr>
            <a:t>formula takes this form in the Health Cost field:</a:t>
          </a:r>
          <a:endParaRPr lang="en-US" sz="1400">
            <a:effectLst/>
            <a:latin typeface="Arial" pitchFamily="34" charset="0"/>
            <a:cs typeface="Arial" pitchFamily="34" charset="0"/>
          </a:endParaRPr>
        </a:p>
        <a:p>
          <a:pPr algn="ctr"/>
          <a:endParaRPr lang="en-US" sz="1400" b="1" baseline="0">
            <a:latin typeface="Arial" pitchFamily="34" charset="0"/>
            <a:cs typeface="Arial" pitchFamily="34" charset="0"/>
          </a:endParaRPr>
        </a:p>
        <a:p>
          <a:pPr algn="ctr"/>
          <a:r>
            <a:rPr lang="en-US" sz="1400" b="1">
              <a:solidFill>
                <a:srgbClr val="FF0000"/>
              </a:solidFill>
              <a:latin typeface="Arial" pitchFamily="34" charset="0"/>
              <a:cs typeface="Arial" pitchFamily="34" charset="0"/>
            </a:rPr>
            <a:t>=IFERROR(VLOOKUP([@[Health</a:t>
          </a:r>
          <a:r>
            <a:rPr lang="en-US" sz="1400" b="1" baseline="0">
              <a:solidFill>
                <a:srgbClr val="FF0000"/>
              </a:solidFill>
              <a:latin typeface="Arial" pitchFamily="34" charset="0"/>
              <a:cs typeface="Arial" pitchFamily="34" charset="0"/>
            </a:rPr>
            <a:t> Plan]]</a:t>
          </a:r>
          <a:r>
            <a:rPr lang="en-US" sz="1400" b="1">
              <a:solidFill>
                <a:srgbClr val="FF0000"/>
              </a:solidFill>
              <a:latin typeface="Arial" pitchFamily="34" charset="0"/>
              <a:cs typeface="Arial" pitchFamily="34" charset="0"/>
            </a:rPr>
            <a:t>,HealthPlanRates,2,FALSE)*12,"Invalid code")</a:t>
          </a:r>
        </a:p>
        <a:p>
          <a:pPr algn="ctr"/>
          <a:endParaRPr lang="en-US" sz="1400" b="1">
            <a:solidFill>
              <a:sysClr val="windowText" lastClr="000000"/>
            </a:solidFill>
            <a:latin typeface="Arial" pitchFamily="34" charset="0"/>
            <a:cs typeface="Arial" pitchFamily="34" charset="0"/>
          </a:endParaRPr>
        </a:p>
        <a:p>
          <a:pPr algn="ctr"/>
          <a:r>
            <a:rPr lang="en-US" sz="1400" b="1">
              <a:solidFill>
                <a:sysClr val="windowText" lastClr="000000"/>
              </a:solidFill>
              <a:latin typeface="Arial" pitchFamily="34" charset="0"/>
              <a:cs typeface="Arial" pitchFamily="34" charset="0"/>
            </a:rPr>
            <a:t>Note that table "HealthPlanRates" is in worksheet "VLOOKUP #1 at Talent Tracs" and the scope of this table is workbook.</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6</xdr:col>
      <xdr:colOff>19050</xdr:colOff>
      <xdr:row>47</xdr:row>
      <xdr:rowOff>161925</xdr:rowOff>
    </xdr:from>
    <xdr:to>
      <xdr:col>7</xdr:col>
      <xdr:colOff>247649</xdr:colOff>
      <xdr:row>47</xdr:row>
      <xdr:rowOff>166688</xdr:rowOff>
    </xdr:to>
    <xdr:cxnSp macro="">
      <xdr:nvCxnSpPr>
        <xdr:cNvPr id="4" name="Straight Arrow Connector 3">
          <a:extLst>
            <a:ext uri="{FF2B5EF4-FFF2-40B4-BE49-F238E27FC236}">
              <a16:creationId xmlns:a16="http://schemas.microsoft.com/office/drawing/2014/main" id="{00000000-0008-0000-1100-000004000000}"/>
            </a:ext>
          </a:extLst>
        </xdr:cNvPr>
        <xdr:cNvCxnSpPr/>
      </xdr:nvCxnSpPr>
      <xdr:spPr bwMode="auto">
        <a:xfrm flipH="1" flipV="1">
          <a:off x="4324350" y="8791575"/>
          <a:ext cx="838199" cy="4763"/>
        </a:xfrm>
        <a:prstGeom prst="straightConnector1">
          <a:avLst/>
        </a:prstGeom>
        <a:solidFill>
          <a:srgbClr val="FFFFFF"/>
        </a:solidFill>
        <a:ln w="57150" cap="flat" cmpd="sng" algn="ctr">
          <a:solidFill>
            <a:sysClr val="windowText" lastClr="000000"/>
          </a:solidFill>
          <a:prstDash val="solid"/>
          <a:round/>
          <a:headEnd type="none" w="med" len="med"/>
          <a:tailEnd type="arrow"/>
        </a:ln>
        <a:effectLst/>
      </xdr:spPr>
    </xdr:cxnSp>
    <xdr:clientData/>
  </xdr:twoCellAnchor>
  <xdr:twoCellAnchor editAs="oneCell">
    <xdr:from>
      <xdr:col>2</xdr:col>
      <xdr:colOff>409575</xdr:colOff>
      <xdr:row>5</xdr:row>
      <xdr:rowOff>133350</xdr:rowOff>
    </xdr:from>
    <xdr:to>
      <xdr:col>9</xdr:col>
      <xdr:colOff>400050</xdr:colOff>
      <xdr:row>18</xdr:row>
      <xdr:rowOff>85725</xdr:rowOff>
    </xdr:to>
    <xdr:pic>
      <xdr:nvPicPr>
        <xdr:cNvPr id="6" name="Picture 5">
          <a:extLst>
            <a:ext uri="{FF2B5EF4-FFF2-40B4-BE49-F238E27FC236}">
              <a16:creationId xmlns:a16="http://schemas.microsoft.com/office/drawing/2014/main" id="{00000000-0008-0000-1100-000006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3253"/>
        <a:stretch/>
      </xdr:blipFill>
      <xdr:spPr bwMode="auto">
        <a:xfrm>
          <a:off x="1628775" y="1247775"/>
          <a:ext cx="4905375" cy="2057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485775</xdr:colOff>
      <xdr:row>25</xdr:row>
      <xdr:rowOff>66675</xdr:rowOff>
    </xdr:from>
    <xdr:to>
      <xdr:col>11</xdr:col>
      <xdr:colOff>542925</xdr:colOff>
      <xdr:row>41</xdr:row>
      <xdr:rowOff>85725</xdr:rowOff>
    </xdr:to>
    <xdr:pic>
      <xdr:nvPicPr>
        <xdr:cNvPr id="7" name="Picture 6">
          <a:extLst>
            <a:ext uri="{FF2B5EF4-FFF2-40B4-BE49-F238E27FC236}">
              <a16:creationId xmlns:a16="http://schemas.microsoft.com/office/drawing/2014/main" id="{00000000-0008-0000-1100-000007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9868"/>
        <a:stretch/>
      </xdr:blipFill>
      <xdr:spPr bwMode="auto">
        <a:xfrm>
          <a:off x="485775" y="4419600"/>
          <a:ext cx="7410450" cy="2609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104775</xdr:colOff>
      <xdr:row>18</xdr:row>
      <xdr:rowOff>95249</xdr:rowOff>
    </xdr:from>
    <xdr:to>
      <xdr:col>8</xdr:col>
      <xdr:colOff>190500</xdr:colOff>
      <xdr:row>23</xdr:row>
      <xdr:rowOff>95249</xdr:rowOff>
    </xdr:to>
    <xdr:sp macro="" textlink="">
      <xdr:nvSpPr>
        <xdr:cNvPr id="8" name="Down Arrow 7">
          <a:extLst>
            <a:ext uri="{FF2B5EF4-FFF2-40B4-BE49-F238E27FC236}">
              <a16:creationId xmlns:a16="http://schemas.microsoft.com/office/drawing/2014/main" id="{00000000-0008-0000-1100-000008000000}"/>
            </a:ext>
          </a:extLst>
        </xdr:cNvPr>
        <xdr:cNvSpPr/>
      </xdr:nvSpPr>
      <xdr:spPr bwMode="auto">
        <a:xfrm>
          <a:off x="5019675" y="3314699"/>
          <a:ext cx="695325" cy="809625"/>
        </a:xfrm>
        <a:prstGeom prst="downArrow">
          <a:avLst/>
        </a:prstGeom>
        <a:solidFill>
          <a:schemeClr val="tx1"/>
        </a:solidFill>
        <a:ln w="9525"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19050</xdr:colOff>
      <xdr:row>30</xdr:row>
      <xdr:rowOff>47625</xdr:rowOff>
    </xdr:from>
    <xdr:to>
      <xdr:col>5</xdr:col>
      <xdr:colOff>942975</xdr:colOff>
      <xdr:row>37</xdr:row>
      <xdr:rowOff>22860</xdr:rowOff>
    </xdr:to>
    <xdr:sp macro="" textlink="">
      <xdr:nvSpPr>
        <xdr:cNvPr id="9" name="TextBox 8">
          <a:extLst>
            <a:ext uri="{FF2B5EF4-FFF2-40B4-BE49-F238E27FC236}">
              <a16:creationId xmlns:a16="http://schemas.microsoft.com/office/drawing/2014/main" id="{00000000-0008-0000-1100-000009000000}"/>
            </a:ext>
          </a:extLst>
        </xdr:cNvPr>
        <xdr:cNvSpPr txBox="1"/>
      </xdr:nvSpPr>
      <xdr:spPr>
        <a:xfrm>
          <a:off x="1893570" y="5366385"/>
          <a:ext cx="2333625" cy="114871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This lookup table is</a:t>
          </a:r>
          <a:r>
            <a:rPr lang="en-US" sz="1600" b="1" baseline="0"/>
            <a:t> an Excel Table named </a:t>
          </a:r>
          <a:r>
            <a:rPr lang="en-US" sz="1600" b="1" baseline="0">
              <a:solidFill>
                <a:srgbClr val="FF0000"/>
              </a:solidFill>
            </a:rPr>
            <a:t>Recognition</a:t>
          </a:r>
          <a:r>
            <a:rPr lang="en-US" sz="1600" b="1" baseline="0">
              <a:solidFill>
                <a:sysClr val="windowText" lastClr="000000"/>
              </a:solidFill>
            </a:rPr>
            <a:t>, as shown below.</a:t>
          </a:r>
          <a:endParaRPr lang="en-US" sz="1600" b="1">
            <a:solidFill>
              <a:sysClr val="windowText" lastClr="000000"/>
            </a:solidFill>
          </a:endParaRPr>
        </a:p>
      </xdr:txBody>
    </xdr:sp>
    <xdr:clientData/>
  </xdr:twoCellAnchor>
  <xdr:twoCellAnchor>
    <xdr:from>
      <xdr:col>7</xdr:col>
      <xdr:colOff>247650</xdr:colOff>
      <xdr:row>46</xdr:row>
      <xdr:rowOff>95250</xdr:rowOff>
    </xdr:from>
    <xdr:to>
      <xdr:col>11</xdr:col>
      <xdr:colOff>581027</xdr:colOff>
      <xdr:row>49</xdr:row>
      <xdr:rowOff>19049</xdr:rowOff>
    </xdr:to>
    <xdr:sp macro="" textlink="">
      <xdr:nvSpPr>
        <xdr:cNvPr id="10" name="TextBox 9">
          <a:extLst>
            <a:ext uri="{FF2B5EF4-FFF2-40B4-BE49-F238E27FC236}">
              <a16:creationId xmlns:a16="http://schemas.microsoft.com/office/drawing/2014/main" id="{00000000-0008-0000-1100-00000A000000}"/>
            </a:ext>
          </a:extLst>
        </xdr:cNvPr>
        <xdr:cNvSpPr txBox="1"/>
      </xdr:nvSpPr>
      <xdr:spPr>
        <a:xfrm>
          <a:off x="5162550" y="8162925"/>
          <a:ext cx="2771777" cy="6381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You can </a:t>
          </a:r>
          <a:r>
            <a:rPr lang="en-US" sz="1400" b="1" baseline="0"/>
            <a:t>verify the name of this Excel Table via its contextual tab.</a:t>
          </a:r>
          <a:endParaRPr lang="en-US" sz="1400" b="1"/>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19</xdr:col>
      <xdr:colOff>461328</xdr:colOff>
      <xdr:row>11</xdr:row>
      <xdr:rowOff>6985</xdr:rowOff>
    </xdr:from>
    <xdr:to>
      <xdr:col>26</xdr:col>
      <xdr:colOff>85725</xdr:colOff>
      <xdr:row>18</xdr:row>
      <xdr:rowOff>91440</xdr:rowOff>
    </xdr:to>
    <xdr:sp macro="" textlink="">
      <xdr:nvSpPr>
        <xdr:cNvPr id="2" name="TextBox 1">
          <a:extLst>
            <a:ext uri="{FF2B5EF4-FFF2-40B4-BE49-F238E27FC236}">
              <a16:creationId xmlns:a16="http://schemas.microsoft.com/office/drawing/2014/main" id="{00000000-0008-0000-1200-000002000000}"/>
            </a:ext>
          </a:extLst>
        </xdr:cNvPr>
        <xdr:cNvSpPr txBox="1"/>
      </xdr:nvSpPr>
      <xdr:spPr>
        <a:xfrm>
          <a:off x="12104688" y="2635885"/>
          <a:ext cx="5354637" cy="1364615"/>
        </a:xfrm>
        <a:prstGeom prst="rect">
          <a:avLst/>
        </a:prstGeom>
        <a:solidFill>
          <a:srgbClr val="FFFF00"/>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latin typeface="Arial" pitchFamily="34" charset="0"/>
              <a:cs typeface="Arial" pitchFamily="34" charset="0"/>
            </a:rPr>
            <a:t>Here, the </a:t>
          </a:r>
          <a:r>
            <a:rPr lang="en-US" sz="1400" b="1">
              <a:solidFill>
                <a:srgbClr val="FF0000"/>
              </a:solidFill>
              <a:latin typeface="Arial" pitchFamily="34" charset="0"/>
              <a:cs typeface="Arial" pitchFamily="34" charset="0"/>
            </a:rPr>
            <a:t>Award </a:t>
          </a:r>
          <a:r>
            <a:rPr lang="en-US" sz="1400" b="1" baseline="0">
              <a:latin typeface="Arial" pitchFamily="34" charset="0"/>
              <a:cs typeface="Arial" pitchFamily="34" charset="0"/>
            </a:rPr>
            <a:t>formula takes this form in the Award field:</a:t>
          </a:r>
        </a:p>
        <a:p>
          <a:pPr algn="ctr"/>
          <a:r>
            <a:rPr lang="en-US" sz="1400" b="1" baseline="0">
              <a:solidFill>
                <a:srgbClr val="FF0000"/>
              </a:solidFill>
              <a:latin typeface="Arial" pitchFamily="34" charset="0"/>
              <a:cs typeface="Arial" pitchFamily="34" charset="0"/>
            </a:rPr>
            <a:t>=VLOOKUP([@[Years Service]],Recognition,2,TRUE)</a:t>
          </a:r>
        </a:p>
        <a:p>
          <a:pPr algn="ctr"/>
          <a:endParaRPr lang="en-US" sz="1400" b="1" baseline="0">
            <a:solidFill>
              <a:srgbClr val="FF0000"/>
            </a:solidFill>
            <a:latin typeface="Arial" pitchFamily="34" charset="0"/>
            <a:cs typeface="Arial" pitchFamily="34" charset="0"/>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effectLst/>
              <a:latin typeface="+mn-lt"/>
              <a:ea typeface="+mn-ea"/>
              <a:cs typeface="+mn-cs"/>
            </a:rPr>
            <a:t>Note that table "Recognition" is in worksheet "VLOOKUP #2 at Talent Tracs" and the scope of this table is workbook.</a:t>
          </a:r>
          <a:endParaRPr lang="en-US" sz="1400">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742950</xdr:colOff>
      <xdr:row>35</xdr:row>
      <xdr:rowOff>9525</xdr:rowOff>
    </xdr:from>
    <xdr:to>
      <xdr:col>1</xdr:col>
      <xdr:colOff>742950</xdr:colOff>
      <xdr:row>37</xdr:row>
      <xdr:rowOff>0</xdr:rowOff>
    </xdr:to>
    <xdr:sp macro="" textlink="">
      <xdr:nvSpPr>
        <xdr:cNvPr id="12289" name="Line 1">
          <a:extLst>
            <a:ext uri="{FF2B5EF4-FFF2-40B4-BE49-F238E27FC236}">
              <a16:creationId xmlns:a16="http://schemas.microsoft.com/office/drawing/2014/main" id="{00000000-0008-0000-0100-000001300000}"/>
            </a:ext>
          </a:extLst>
        </xdr:cNvPr>
        <xdr:cNvSpPr>
          <a:spLocks noChangeShapeType="1"/>
        </xdr:cNvSpPr>
      </xdr:nvSpPr>
      <xdr:spPr bwMode="auto">
        <a:xfrm flipV="1">
          <a:off x="1047750" y="5505450"/>
          <a:ext cx="0" cy="361950"/>
        </a:xfrm>
        <a:prstGeom prst="line">
          <a:avLst/>
        </a:prstGeom>
        <a:noFill/>
        <a:ln w="50800">
          <a:solidFill>
            <a:srgbClr val="FF0000"/>
          </a:solidFill>
          <a:round/>
          <a:headEnd/>
          <a:tailEnd type="triangle" w="med" len="med"/>
        </a:ln>
        <a:effectLst/>
      </xdr:spPr>
    </xdr:sp>
    <xdr:clientData/>
  </xdr:twoCellAnchor>
  <xdr:twoCellAnchor>
    <xdr:from>
      <xdr:col>4</xdr:col>
      <xdr:colOff>314325</xdr:colOff>
      <xdr:row>19</xdr:row>
      <xdr:rowOff>209549</xdr:rowOff>
    </xdr:from>
    <xdr:to>
      <xdr:col>8</xdr:col>
      <xdr:colOff>190500</xdr:colOff>
      <xdr:row>29</xdr:row>
      <xdr:rowOff>85725</xdr:rowOff>
    </xdr:to>
    <xdr:sp macro="" textlink="">
      <xdr:nvSpPr>
        <xdr:cNvPr id="12291" name="Text Box 3">
          <a:extLst>
            <a:ext uri="{FF2B5EF4-FFF2-40B4-BE49-F238E27FC236}">
              <a16:creationId xmlns:a16="http://schemas.microsoft.com/office/drawing/2014/main" id="{00000000-0008-0000-0100-000003300000}"/>
            </a:ext>
          </a:extLst>
        </xdr:cNvPr>
        <xdr:cNvSpPr txBox="1">
          <a:spLocks noChangeArrowheads="1"/>
        </xdr:cNvSpPr>
      </xdr:nvSpPr>
      <xdr:spPr bwMode="auto">
        <a:xfrm>
          <a:off x="3514725" y="5410199"/>
          <a:ext cx="2933700" cy="1885951"/>
        </a:xfrm>
        <a:prstGeom prst="rect">
          <a:avLst/>
        </a:prstGeom>
        <a:solidFill>
          <a:srgbClr val="B01861"/>
        </a:solidFill>
        <a:ln w="9525">
          <a:solidFill>
            <a:srgbClr val="000000"/>
          </a:solidFill>
          <a:miter lim="800000"/>
          <a:headEnd/>
          <a:tailEnd/>
        </a:ln>
        <a:effectLst/>
      </xdr:spPr>
      <xdr:txBody>
        <a:bodyPr vertOverflow="clip" wrap="square" lIns="36576" tIns="27432" rIns="36576" bIns="0" anchor="t" upright="1"/>
        <a:lstStyle/>
        <a:p>
          <a:pPr algn="ctr" rtl="0">
            <a:defRPr sz="1000"/>
          </a:pPr>
          <a:r>
            <a:rPr lang="en-US" sz="1200" b="1" i="0" strike="noStrike">
              <a:solidFill>
                <a:srgbClr val="FFFFFF"/>
              </a:solidFill>
              <a:latin typeface="Arial"/>
              <a:cs typeface="Arial"/>
            </a:rPr>
            <a:t>A miniature "phone book"</a:t>
          </a:r>
        </a:p>
        <a:p>
          <a:pPr algn="ctr" rtl="0">
            <a:defRPr sz="1000"/>
          </a:pPr>
          <a:endParaRPr lang="en-US" sz="1200" b="1" i="0" strike="noStrike">
            <a:solidFill>
              <a:srgbClr val="FFFFFF"/>
            </a:solidFill>
            <a:latin typeface="Arial"/>
            <a:cs typeface="Arial"/>
          </a:endParaRPr>
        </a:p>
        <a:p>
          <a:pPr algn="l" rtl="0">
            <a:defRPr sz="1000"/>
          </a:pPr>
          <a:r>
            <a:rPr lang="en-US" sz="1200" b="1" i="0" strike="noStrike">
              <a:solidFill>
                <a:srgbClr val="FFFFFF"/>
              </a:solidFill>
              <a:latin typeface="Arial"/>
              <a:cs typeface="Arial"/>
            </a:rPr>
            <a:t>Here we have a collection of</a:t>
          </a:r>
          <a:r>
            <a:rPr lang="en-US" sz="1200" b="1" i="0" strike="noStrike" baseline="0">
              <a:solidFill>
                <a:srgbClr val="FFFFFF"/>
              </a:solidFill>
              <a:latin typeface="Arial"/>
              <a:cs typeface="Arial"/>
            </a:rPr>
            <a:t> </a:t>
          </a:r>
          <a:r>
            <a:rPr lang="en-US" sz="1200" b="1" i="0" strike="noStrike">
              <a:solidFill>
                <a:srgbClr val="FFFFFF"/>
              </a:solidFill>
              <a:latin typeface="Arial"/>
              <a:cs typeface="Arial"/>
            </a:rPr>
            <a:t>two-field records, without field names.</a:t>
          </a:r>
          <a:r>
            <a:rPr lang="en-US" sz="1200" b="1" i="0" strike="noStrike" baseline="0">
              <a:solidFill>
                <a:srgbClr val="FFFFFF"/>
              </a:solidFill>
              <a:latin typeface="Arial"/>
              <a:cs typeface="Arial"/>
            </a:rPr>
            <a:t> </a:t>
          </a:r>
          <a:r>
            <a:rPr lang="en-US" sz="1200" b="1" i="0" strike="noStrike">
              <a:solidFill>
                <a:srgbClr val="FFFFFF"/>
              </a:solidFill>
              <a:latin typeface="Arial"/>
              <a:cs typeface="Arial"/>
            </a:rPr>
            <a:t> In</a:t>
          </a:r>
          <a:r>
            <a:rPr lang="en-US" sz="1200" b="1" i="0" strike="noStrike" baseline="0">
              <a:solidFill>
                <a:srgbClr val="FFFFFF"/>
              </a:solidFill>
              <a:latin typeface="Arial"/>
              <a:cs typeface="Arial"/>
            </a:rPr>
            <a:t> </a:t>
          </a:r>
          <a:r>
            <a:rPr lang="en-US" sz="1200" b="1" i="0" strike="noStrike">
              <a:solidFill>
                <a:srgbClr val="FFFFFF"/>
              </a:solidFill>
              <a:latin typeface="Arial"/>
              <a:cs typeface="Arial"/>
            </a:rPr>
            <a:t>general, however, a vertical</a:t>
          </a:r>
          <a:r>
            <a:rPr lang="en-US" sz="1200" b="1" i="0" strike="noStrike" baseline="0">
              <a:solidFill>
                <a:srgbClr val="FFFFFF"/>
              </a:solidFill>
              <a:latin typeface="Arial"/>
              <a:cs typeface="Arial"/>
            </a:rPr>
            <a:t> lookup table can consist of any number of columns, and the "result column" for a given lookup can be the second column in the lookup table, or the third column, etc.</a:t>
          </a:r>
          <a:endParaRPr lang="en-US" sz="1200" b="1" i="0" strike="noStrike">
            <a:solidFill>
              <a:srgbClr val="FFFFFF"/>
            </a:solidFill>
            <a:latin typeface="Arial"/>
            <a:cs typeface="Arial"/>
          </a:endParaRPr>
        </a:p>
        <a:p>
          <a:pPr algn="ctr" rtl="0">
            <a:defRPr sz="1000"/>
          </a:pPr>
          <a:endParaRPr lang="en-US" sz="1200" b="1" i="0" strike="noStrike">
            <a:solidFill>
              <a:srgbClr val="FFFFFF"/>
            </a:solidFill>
            <a:latin typeface="Arial"/>
            <a:cs typeface="Arial"/>
          </a:endParaRPr>
        </a:p>
      </xdr:txBody>
    </xdr:sp>
    <xdr:clientData/>
  </xdr:twoCellAnchor>
  <xdr:twoCellAnchor>
    <xdr:from>
      <xdr:col>2</xdr:col>
      <xdr:colOff>1162048</xdr:colOff>
      <xdr:row>20</xdr:row>
      <xdr:rowOff>114299</xdr:rowOff>
    </xdr:from>
    <xdr:to>
      <xdr:col>4</xdr:col>
      <xdr:colOff>333374</xdr:colOff>
      <xdr:row>20</xdr:row>
      <xdr:rowOff>123825</xdr:rowOff>
    </xdr:to>
    <xdr:sp macro="" textlink="">
      <xdr:nvSpPr>
        <xdr:cNvPr id="12292" name="Line 4">
          <a:extLst>
            <a:ext uri="{FF2B5EF4-FFF2-40B4-BE49-F238E27FC236}">
              <a16:creationId xmlns:a16="http://schemas.microsoft.com/office/drawing/2014/main" id="{00000000-0008-0000-0100-000004300000}"/>
            </a:ext>
          </a:extLst>
        </xdr:cNvPr>
        <xdr:cNvSpPr>
          <a:spLocks noChangeShapeType="1"/>
        </xdr:cNvSpPr>
      </xdr:nvSpPr>
      <xdr:spPr bwMode="auto">
        <a:xfrm flipH="1" flipV="1">
          <a:off x="2943223" y="1847849"/>
          <a:ext cx="590551" cy="9526"/>
        </a:xfrm>
        <a:prstGeom prst="line">
          <a:avLst/>
        </a:prstGeom>
        <a:noFill/>
        <a:ln w="50800">
          <a:solidFill>
            <a:srgbClr val="000000"/>
          </a:solidFill>
          <a:round/>
          <a:headEnd/>
          <a:tailEnd type="triangle" w="med" len="med"/>
        </a:ln>
      </xdr:spPr>
    </xdr:sp>
    <xdr:clientData/>
  </xdr:twoCellAnchor>
  <xdr:twoCellAnchor>
    <xdr:from>
      <xdr:col>1</xdr:col>
      <xdr:colOff>704056</xdr:colOff>
      <xdr:row>17</xdr:row>
      <xdr:rowOff>200819</xdr:rowOff>
    </xdr:from>
    <xdr:to>
      <xdr:col>1</xdr:col>
      <xdr:colOff>705644</xdr:colOff>
      <xdr:row>20</xdr:row>
      <xdr:rowOff>794</xdr:rowOff>
    </xdr:to>
    <xdr:cxnSp macro="">
      <xdr:nvCxnSpPr>
        <xdr:cNvPr id="6" name="Straight Arrow Connector 5">
          <a:extLst>
            <a:ext uri="{FF2B5EF4-FFF2-40B4-BE49-F238E27FC236}">
              <a16:creationId xmlns:a16="http://schemas.microsoft.com/office/drawing/2014/main" id="{00000000-0008-0000-0100-000006000000}"/>
            </a:ext>
          </a:extLst>
        </xdr:cNvPr>
        <xdr:cNvCxnSpPr/>
      </xdr:nvCxnSpPr>
      <xdr:spPr bwMode="auto">
        <a:xfrm rot="5400000">
          <a:off x="800100" y="1724025"/>
          <a:ext cx="419100" cy="1588"/>
        </a:xfrm>
        <a:prstGeom prst="straightConnector1">
          <a:avLst/>
        </a:prstGeom>
        <a:solidFill>
          <a:srgbClr val="FFFFFF"/>
        </a:solidFill>
        <a:ln w="57150" cap="flat" cmpd="sng" algn="ctr">
          <a:solidFill>
            <a:srgbClr val="000000"/>
          </a:solidFill>
          <a:prstDash val="solid"/>
          <a:round/>
          <a:headEnd type="none" w="med" len="med"/>
          <a:tailEnd type="arrow"/>
        </a:ln>
        <a:effectLst/>
      </xdr:spPr>
    </xdr:cxnSp>
    <xdr:clientData/>
  </xdr:twoCellAnchor>
  <xdr:twoCellAnchor>
    <xdr:from>
      <xdr:col>2</xdr:col>
      <xdr:colOff>589756</xdr:colOff>
      <xdr:row>17</xdr:row>
      <xdr:rowOff>191294</xdr:rowOff>
    </xdr:from>
    <xdr:to>
      <xdr:col>2</xdr:col>
      <xdr:colOff>591344</xdr:colOff>
      <xdr:row>19</xdr:row>
      <xdr:rowOff>200819</xdr:rowOff>
    </xdr:to>
    <xdr:cxnSp macro="">
      <xdr:nvCxnSpPr>
        <xdr:cNvPr id="7" name="Straight Arrow Connector 6">
          <a:extLst>
            <a:ext uri="{FF2B5EF4-FFF2-40B4-BE49-F238E27FC236}">
              <a16:creationId xmlns:a16="http://schemas.microsoft.com/office/drawing/2014/main" id="{00000000-0008-0000-0100-000007000000}"/>
            </a:ext>
          </a:extLst>
        </xdr:cNvPr>
        <xdr:cNvCxnSpPr/>
      </xdr:nvCxnSpPr>
      <xdr:spPr bwMode="auto">
        <a:xfrm rot="5400000">
          <a:off x="2162175" y="1714500"/>
          <a:ext cx="419100" cy="1588"/>
        </a:xfrm>
        <a:prstGeom prst="straightConnector1">
          <a:avLst/>
        </a:prstGeom>
        <a:solidFill>
          <a:srgbClr val="FFFFFF"/>
        </a:solidFill>
        <a:ln w="57150" cap="flat" cmpd="sng" algn="ctr">
          <a:solidFill>
            <a:srgbClr val="000000"/>
          </a:solidFill>
          <a:prstDash val="solid"/>
          <a:round/>
          <a:headEnd type="none" w="med" len="med"/>
          <a:tailEnd type="arrow"/>
        </a:ln>
        <a:effectLst/>
      </xdr:spPr>
    </xdr:cxnSp>
    <xdr:clientData/>
  </xdr:twoCellAnchor>
  <xdr:twoCellAnchor>
    <xdr:from>
      <xdr:col>0</xdr:col>
      <xdr:colOff>171450</xdr:colOff>
      <xdr:row>2</xdr:row>
      <xdr:rowOff>190497</xdr:rowOff>
    </xdr:from>
    <xdr:to>
      <xdr:col>6</xdr:col>
      <xdr:colOff>762000</xdr:colOff>
      <xdr:row>4</xdr:row>
      <xdr:rowOff>171450</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171450" y="723897"/>
          <a:ext cx="5848350" cy="571503"/>
        </a:xfrm>
        <a:prstGeom prst="rect">
          <a:avLst/>
        </a:prstGeom>
        <a:solidFill>
          <a:schemeClr val="accent6">
            <a:lumMod val="40000"/>
            <a:lumOff val="60000"/>
          </a:schemeClr>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i="0" u="none" strike="noStrike">
              <a:solidFill>
                <a:schemeClr val="dk1"/>
              </a:solidFill>
              <a:latin typeface="+mn-lt"/>
              <a:ea typeface="+mn-ea"/>
              <a:cs typeface="+mn-cs"/>
            </a:rPr>
            <a:t>In a </a:t>
          </a:r>
          <a:r>
            <a:rPr lang="en-US" sz="1400" b="1" i="1" u="none" strike="noStrike">
              <a:solidFill>
                <a:srgbClr val="FF0000"/>
              </a:solidFill>
              <a:latin typeface="+mn-lt"/>
              <a:ea typeface="+mn-ea"/>
              <a:cs typeface="+mn-cs"/>
            </a:rPr>
            <a:t>vertical</a:t>
          </a:r>
          <a:r>
            <a:rPr lang="en-US" sz="1400" b="1" i="0" u="none" strike="noStrike">
              <a:solidFill>
                <a:srgbClr val="FF0000"/>
              </a:solidFill>
              <a:latin typeface="+mn-lt"/>
              <a:ea typeface="+mn-ea"/>
              <a:cs typeface="+mn-cs"/>
            </a:rPr>
            <a:t> lookup table</a:t>
          </a:r>
          <a:r>
            <a:rPr lang="en-US" sz="1400" b="1" i="0" u="none" strike="noStrike">
              <a:solidFill>
                <a:schemeClr val="dk1"/>
              </a:solidFill>
              <a:latin typeface="+mn-lt"/>
              <a:ea typeface="+mn-ea"/>
              <a:cs typeface="+mn-cs"/>
            </a:rPr>
            <a:t>, the lookup table's</a:t>
          </a:r>
          <a:r>
            <a:rPr lang="en-US" sz="1400"/>
            <a:t> </a:t>
          </a:r>
          <a:r>
            <a:rPr lang="en-US" sz="1400" b="1" i="0" u="none" strike="noStrike">
              <a:solidFill>
                <a:srgbClr val="FF0000"/>
              </a:solidFill>
              <a:latin typeface="+mn-lt"/>
              <a:ea typeface="+mn-ea"/>
              <a:cs typeface="+mn-cs"/>
            </a:rPr>
            <a:t>compare values</a:t>
          </a:r>
          <a:r>
            <a:rPr lang="en-US" sz="1400" b="1" i="0" u="none" strike="noStrike">
              <a:solidFill>
                <a:schemeClr val="dk1"/>
              </a:solidFill>
              <a:latin typeface="+mn-lt"/>
              <a:ea typeface="+mn-ea"/>
              <a:cs typeface="+mn-cs"/>
            </a:rPr>
            <a:t> are listed in the</a:t>
          </a:r>
          <a:r>
            <a:rPr lang="en-US" sz="1400" b="1" i="0" u="none" strike="noStrike" baseline="0">
              <a:solidFill>
                <a:schemeClr val="dk1"/>
              </a:solidFill>
              <a:latin typeface="+mn-lt"/>
              <a:ea typeface="+mn-ea"/>
              <a:cs typeface="+mn-cs"/>
            </a:rPr>
            <a:t> leftmost</a:t>
          </a:r>
          <a:r>
            <a:rPr lang="en-US" sz="1400" b="1" i="0" u="none" strike="noStrike">
              <a:solidFill>
                <a:schemeClr val="dk1"/>
              </a:solidFill>
              <a:latin typeface="+mn-lt"/>
              <a:ea typeface="+mn-ea"/>
              <a:cs typeface="+mn-cs"/>
            </a:rPr>
            <a:t> </a:t>
          </a:r>
          <a:r>
            <a:rPr lang="en-US" sz="1400" b="1" i="1" u="none" strike="noStrike">
              <a:solidFill>
                <a:srgbClr val="FF0000"/>
              </a:solidFill>
              <a:latin typeface="+mn-lt"/>
              <a:ea typeface="+mn-ea"/>
              <a:cs typeface="+mn-cs"/>
            </a:rPr>
            <a:t>column</a:t>
          </a:r>
          <a:r>
            <a:rPr lang="en-US" sz="1400" b="1" i="0" u="none" strike="noStrike" baseline="0">
              <a:solidFill>
                <a:srgbClr val="FF0000"/>
              </a:solidFill>
              <a:latin typeface="+mn-lt"/>
              <a:ea typeface="+mn-ea"/>
              <a:cs typeface="+mn-cs"/>
            </a:rPr>
            <a:t> </a:t>
          </a:r>
          <a:r>
            <a:rPr lang="en-US" sz="1400" b="1" i="0" u="none" strike="noStrike" baseline="0">
              <a:solidFill>
                <a:schemeClr val="dk1"/>
              </a:solidFill>
              <a:latin typeface="+mn-lt"/>
              <a:ea typeface="+mn-ea"/>
              <a:cs typeface="+mn-cs"/>
            </a:rPr>
            <a:t>of the table (in other words, in a </a:t>
          </a:r>
          <a:r>
            <a:rPr lang="en-US" sz="1400" b="1" i="1" u="none" strike="noStrike" baseline="0">
              <a:solidFill>
                <a:srgbClr val="FF0000"/>
              </a:solidFill>
              <a:latin typeface="+mn-lt"/>
              <a:ea typeface="+mn-ea"/>
              <a:cs typeface="+mn-cs"/>
            </a:rPr>
            <a:t>vertical</a:t>
          </a:r>
          <a:r>
            <a:rPr lang="en-US" sz="1400" b="1" i="0" u="none" strike="noStrike" baseline="0">
              <a:solidFill>
                <a:schemeClr val="dk1"/>
              </a:solidFill>
              <a:latin typeface="+mn-lt"/>
              <a:ea typeface="+mn-ea"/>
              <a:cs typeface="+mn-cs"/>
            </a:rPr>
            <a:t> list; see below).</a:t>
          </a:r>
          <a:endParaRPr lang="en-US" sz="1400" b="1" i="0" u="none" strike="noStrike">
            <a:solidFill>
              <a:schemeClr val="dk1"/>
            </a:solidFill>
            <a:latin typeface="+mn-lt"/>
            <a:ea typeface="+mn-ea"/>
            <a:cs typeface="+mn-cs"/>
          </a:endParaRPr>
        </a:p>
        <a:p>
          <a:endParaRPr lang="en-US" sz="1400" b="1" i="0" u="none" strike="noStrike">
            <a:solidFill>
              <a:schemeClr val="dk1"/>
            </a:solidFill>
            <a:latin typeface="+mn-lt"/>
            <a:ea typeface="+mn-ea"/>
            <a:cs typeface="+mn-cs"/>
          </a:endParaRPr>
        </a:p>
      </xdr:txBody>
    </xdr:sp>
    <xdr:clientData/>
  </xdr:twoCellAnchor>
  <xdr:twoCellAnchor>
    <xdr:from>
      <xdr:col>0</xdr:col>
      <xdr:colOff>190500</xdr:colOff>
      <xdr:row>5</xdr:row>
      <xdr:rowOff>104772</xdr:rowOff>
    </xdr:from>
    <xdr:to>
      <xdr:col>6</xdr:col>
      <xdr:colOff>781050</xdr:colOff>
      <xdr:row>14</xdr:row>
      <xdr:rowOff>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90500" y="1523997"/>
          <a:ext cx="5848350" cy="2552703"/>
        </a:xfrm>
        <a:prstGeom prst="rect">
          <a:avLst/>
        </a:prstGeom>
        <a:solidFill>
          <a:schemeClr val="bg1">
            <a:lumMod val="85000"/>
          </a:schemeClr>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i="0" u="none" strike="noStrike">
              <a:solidFill>
                <a:schemeClr val="dk1"/>
              </a:solidFill>
              <a:latin typeface="+mn-lt"/>
              <a:ea typeface="+mn-ea"/>
              <a:cs typeface="+mn-cs"/>
            </a:rPr>
            <a:t>During</a:t>
          </a:r>
          <a:r>
            <a:rPr lang="en-US" sz="1400" b="1" i="0" u="none" strike="noStrike" baseline="0">
              <a:solidFill>
                <a:schemeClr val="dk1"/>
              </a:solidFill>
              <a:latin typeface="+mn-lt"/>
              <a:ea typeface="+mn-ea"/>
              <a:cs typeface="+mn-cs"/>
            </a:rPr>
            <a:t> an "</a:t>
          </a:r>
          <a:r>
            <a:rPr lang="en-US" sz="1400" b="1" i="0" u="none" strike="noStrike" baseline="0">
              <a:solidFill>
                <a:srgbClr val="FF0000"/>
              </a:solidFill>
              <a:latin typeface="+mn-lt"/>
              <a:ea typeface="+mn-ea"/>
              <a:cs typeface="+mn-cs"/>
            </a:rPr>
            <a:t>exact match is required</a:t>
          </a:r>
          <a:r>
            <a:rPr lang="en-US" sz="1400" b="1" i="0" u="none" strike="noStrike" baseline="0">
              <a:solidFill>
                <a:sysClr val="windowText" lastClr="000000"/>
              </a:solidFill>
              <a:latin typeface="+mn-lt"/>
              <a:ea typeface="+mn-ea"/>
              <a:cs typeface="+mn-cs"/>
            </a:rPr>
            <a:t>"</a:t>
          </a:r>
          <a:r>
            <a:rPr lang="en-US" sz="1400" b="1" i="0" u="none" strike="noStrike" baseline="0">
              <a:solidFill>
                <a:srgbClr val="FF0000"/>
              </a:solidFill>
              <a:latin typeface="+mn-lt"/>
              <a:ea typeface="+mn-ea"/>
              <a:cs typeface="+mn-cs"/>
            </a:rPr>
            <a:t> </a:t>
          </a:r>
          <a:r>
            <a:rPr lang="en-US" sz="1400" b="1" i="0" u="none" strike="noStrike" baseline="0">
              <a:solidFill>
                <a:schemeClr val="dk1"/>
              </a:solidFill>
              <a:latin typeface="+mn-lt"/>
              <a:ea typeface="+mn-ea"/>
              <a:cs typeface="+mn-cs"/>
            </a:rPr>
            <a:t>table lookup, compare values are tested by the lookup function as follows, top-down, in the phone book example:</a:t>
          </a:r>
          <a:endParaRPr lang="en-US" sz="1400" b="1" i="0" u="none" strike="noStrike">
            <a:solidFill>
              <a:schemeClr val="dk1"/>
            </a:solidFill>
            <a:latin typeface="+mn-lt"/>
            <a:ea typeface="+mn-ea"/>
            <a:cs typeface="+mn-cs"/>
          </a:endParaRPr>
        </a:p>
        <a:p>
          <a:endParaRPr lang="en-US" sz="1400" b="1" i="0" u="none" strike="noStrike">
            <a:solidFill>
              <a:schemeClr val="dk1"/>
            </a:solidFill>
            <a:latin typeface="+mn-lt"/>
            <a:ea typeface="+mn-ea"/>
            <a:cs typeface="+mn-cs"/>
          </a:endParaRPr>
        </a:p>
        <a:p>
          <a:pPr lvl="1"/>
          <a:r>
            <a:rPr lang="en-US" sz="1400" b="1" i="0" u="none" strike="noStrike">
              <a:solidFill>
                <a:schemeClr val="dk1"/>
              </a:solidFill>
              <a:latin typeface="+mn-lt"/>
              <a:ea typeface="+mn-ea"/>
              <a:cs typeface="+mn-cs"/>
            </a:rPr>
            <a:t>"Does my friend's name match the </a:t>
          </a:r>
          <a:r>
            <a:rPr lang="en-US" sz="1400" b="1" i="0" u="none" strike="noStrike">
              <a:solidFill>
                <a:srgbClr val="FF0000"/>
              </a:solidFill>
              <a:latin typeface="+mn-lt"/>
              <a:ea typeface="+mn-ea"/>
              <a:cs typeface="+mn-cs"/>
            </a:rPr>
            <a:t>first</a:t>
          </a:r>
          <a:r>
            <a:rPr lang="en-US" sz="1400" b="1" i="0" u="none" strike="noStrike">
              <a:solidFill>
                <a:schemeClr val="dk1"/>
              </a:solidFill>
              <a:latin typeface="+mn-lt"/>
              <a:ea typeface="+mn-ea"/>
              <a:cs typeface="+mn-cs"/>
            </a:rPr>
            <a:t> compare value</a:t>
          </a:r>
          <a:r>
            <a:rPr lang="en-US" sz="1400" b="1" i="0" u="none" strike="noStrike" baseline="0">
              <a:solidFill>
                <a:schemeClr val="dk1"/>
              </a:solidFill>
              <a:latin typeface="+mn-lt"/>
              <a:ea typeface="+mn-ea"/>
              <a:cs typeface="+mn-cs"/>
            </a:rPr>
            <a:t>?"</a:t>
          </a:r>
          <a:endParaRPr lang="en-US" sz="1400"/>
        </a:p>
        <a:p>
          <a:endParaRPr lang="en-US" sz="1400" b="1" i="0" u="none" strike="noStrike">
            <a:solidFill>
              <a:schemeClr val="dk1"/>
            </a:solidFill>
            <a:latin typeface="+mn-lt"/>
            <a:ea typeface="+mn-ea"/>
            <a:cs typeface="+mn-cs"/>
          </a:endParaRPr>
        </a:p>
        <a:p>
          <a:pPr lvl="2"/>
          <a:r>
            <a:rPr lang="en-US" sz="1400" b="1" i="0" u="none" strike="noStrike">
              <a:solidFill>
                <a:schemeClr val="dk1"/>
              </a:solidFill>
              <a:latin typeface="+mn-lt"/>
              <a:ea typeface="+mn-ea"/>
              <a:cs typeface="+mn-cs"/>
            </a:rPr>
            <a:t>"If not, does it match the </a:t>
          </a:r>
          <a:r>
            <a:rPr lang="en-US" sz="1400" b="1" i="0" u="none" strike="noStrike">
              <a:solidFill>
                <a:srgbClr val="FF0000"/>
              </a:solidFill>
              <a:latin typeface="+mn-lt"/>
              <a:ea typeface="+mn-ea"/>
              <a:cs typeface="+mn-cs"/>
            </a:rPr>
            <a:t>second</a:t>
          </a:r>
          <a:r>
            <a:rPr lang="en-US" sz="1400" b="1" i="0" u="none" strike="noStrike">
              <a:solidFill>
                <a:schemeClr val="dk1"/>
              </a:solidFill>
              <a:latin typeface="+mn-lt"/>
              <a:ea typeface="+mn-ea"/>
              <a:cs typeface="+mn-cs"/>
            </a:rPr>
            <a:t> compare value</a:t>
          </a:r>
          <a:r>
            <a:rPr lang="en-US" sz="1400" b="1" i="0" u="none" strike="noStrike" baseline="0">
              <a:solidFill>
                <a:schemeClr val="dk1"/>
              </a:solidFill>
              <a:latin typeface="+mn-lt"/>
              <a:ea typeface="+mn-ea"/>
              <a:cs typeface="+mn-cs"/>
            </a:rPr>
            <a:t>?"</a:t>
          </a:r>
        </a:p>
        <a:p>
          <a:pPr lvl="1"/>
          <a:endParaRPr lang="en-US" sz="1400" b="1" i="0" u="none" strike="noStrike" baseline="0">
            <a:solidFill>
              <a:schemeClr val="dk1"/>
            </a:solidFill>
            <a:latin typeface="+mn-lt"/>
            <a:ea typeface="+mn-ea"/>
            <a:cs typeface="+mn-cs"/>
          </a:endParaRPr>
        </a:p>
        <a:p>
          <a:pPr marL="1371600" marR="0" lvl="3" indent="0" defTabSz="914400" eaLnBrk="1" fontAlgn="auto" latinLnBrk="0" hangingPunct="1">
            <a:lnSpc>
              <a:spcPct val="100000"/>
            </a:lnSpc>
            <a:spcBef>
              <a:spcPts val="0"/>
            </a:spcBef>
            <a:spcAft>
              <a:spcPts val="0"/>
            </a:spcAft>
            <a:buClrTx/>
            <a:buSzTx/>
            <a:buFontTx/>
            <a:buNone/>
            <a:tabLst/>
            <a:defRPr/>
          </a:pPr>
          <a:r>
            <a:rPr lang="en-US" sz="1400" b="1" i="0" u="none" strike="noStrike">
              <a:solidFill>
                <a:schemeClr val="dk1"/>
              </a:solidFill>
              <a:latin typeface="+mn-lt"/>
              <a:ea typeface="+mn-ea"/>
              <a:cs typeface="+mn-cs"/>
            </a:rPr>
            <a:t>"If not, does it match the </a:t>
          </a:r>
          <a:r>
            <a:rPr lang="en-US" sz="1400" b="1" i="0" u="none" strike="noStrike">
              <a:solidFill>
                <a:srgbClr val="FF0000"/>
              </a:solidFill>
              <a:latin typeface="+mn-lt"/>
              <a:ea typeface="+mn-ea"/>
              <a:cs typeface="+mn-cs"/>
            </a:rPr>
            <a:t>third</a:t>
          </a:r>
          <a:r>
            <a:rPr lang="en-US" sz="1400" b="1" i="0" u="none" strike="noStrike" baseline="0">
              <a:solidFill>
                <a:schemeClr val="dk1"/>
              </a:solidFill>
              <a:latin typeface="+mn-lt"/>
              <a:ea typeface="+mn-ea"/>
              <a:cs typeface="+mn-cs"/>
            </a:rPr>
            <a:t> </a:t>
          </a:r>
          <a:r>
            <a:rPr lang="en-US" sz="1400" b="1" i="0" u="none" strike="noStrike">
              <a:solidFill>
                <a:schemeClr val="dk1"/>
              </a:solidFill>
              <a:latin typeface="+mn-lt"/>
              <a:ea typeface="+mn-ea"/>
              <a:cs typeface="+mn-cs"/>
            </a:rPr>
            <a:t>compare value?"</a:t>
          </a:r>
        </a:p>
        <a:p>
          <a:endParaRPr lang="en-US" sz="1400" b="1" i="0" u="none" strike="noStrike">
            <a:solidFill>
              <a:schemeClr val="dk1"/>
            </a:solidFill>
            <a:latin typeface="+mn-lt"/>
            <a:ea typeface="+mn-ea"/>
            <a:cs typeface="+mn-cs"/>
          </a:endParaRPr>
        </a:p>
        <a:p>
          <a:pPr lvl="1"/>
          <a:r>
            <a:rPr lang="en-US" sz="1400" b="1" i="0" u="none" strike="noStrike">
              <a:solidFill>
                <a:schemeClr val="dk1"/>
              </a:solidFill>
              <a:latin typeface="+mn-lt"/>
              <a:ea typeface="+mn-ea"/>
              <a:cs typeface="+mn-cs"/>
            </a:rPr>
            <a:t>And</a:t>
          </a:r>
          <a:r>
            <a:rPr lang="en-US" sz="1400" b="1" i="0" u="none" strike="noStrike" baseline="0">
              <a:solidFill>
                <a:schemeClr val="dk1"/>
              </a:solidFill>
              <a:latin typeface="+mn-lt"/>
              <a:ea typeface="+mn-ea"/>
              <a:cs typeface="+mn-cs"/>
            </a:rPr>
            <a:t> so on, until a match is found (</a:t>
          </a:r>
          <a:r>
            <a:rPr lang="en-US" sz="1400" b="1" i="0" u="none" strike="noStrike" baseline="0">
              <a:solidFill>
                <a:srgbClr val="00B050"/>
              </a:solidFill>
              <a:latin typeface="+mn-lt"/>
              <a:ea typeface="+mn-ea"/>
              <a:cs typeface="+mn-cs"/>
            </a:rPr>
            <a:t>success!</a:t>
          </a:r>
          <a:r>
            <a:rPr lang="en-US" sz="1400" b="1" i="0" u="none" strike="noStrike" baseline="0">
              <a:solidFill>
                <a:schemeClr val="dk1"/>
              </a:solidFill>
              <a:latin typeface="+mn-lt"/>
              <a:ea typeface="+mn-ea"/>
              <a:cs typeface="+mn-cs"/>
            </a:rPr>
            <a:t>) or the end of the table is reached (</a:t>
          </a:r>
          <a:r>
            <a:rPr lang="en-US" sz="1400" b="1" i="0" u="none" strike="noStrike" baseline="0">
              <a:solidFill>
                <a:srgbClr val="FF0000"/>
              </a:solidFill>
              <a:latin typeface="+mn-lt"/>
              <a:ea typeface="+mn-ea"/>
              <a:cs typeface="+mn-cs"/>
            </a:rPr>
            <a:t>error message!</a:t>
          </a:r>
          <a:r>
            <a:rPr lang="en-US" sz="1400" b="1" i="0" u="none" strike="noStrike" baseline="0">
              <a:solidFill>
                <a:schemeClr val="dk1"/>
              </a:solidFill>
              <a:latin typeface="+mn-lt"/>
              <a:ea typeface="+mn-ea"/>
              <a:cs typeface="+mn-cs"/>
            </a:rPr>
            <a:t>), whichever comes first.</a:t>
          </a:r>
          <a:endParaRPr lang="en-US"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685007</xdr:colOff>
      <xdr:row>9</xdr:row>
      <xdr:rowOff>793</xdr:rowOff>
    </xdr:from>
    <xdr:to>
      <xdr:col>1</xdr:col>
      <xdr:colOff>686595</xdr:colOff>
      <xdr:row>11</xdr:row>
      <xdr:rowOff>38893</xdr:rowOff>
    </xdr:to>
    <xdr:cxnSp macro="">
      <xdr:nvCxnSpPr>
        <xdr:cNvPr id="2" name="Straight Arrow Connector 1">
          <a:extLst>
            <a:ext uri="{FF2B5EF4-FFF2-40B4-BE49-F238E27FC236}">
              <a16:creationId xmlns:a16="http://schemas.microsoft.com/office/drawing/2014/main" id="{00000000-0008-0000-0200-000002000000}"/>
            </a:ext>
          </a:extLst>
        </xdr:cNvPr>
        <xdr:cNvCxnSpPr/>
      </xdr:nvCxnSpPr>
      <xdr:spPr bwMode="auto">
        <a:xfrm rot="5400000">
          <a:off x="766763" y="2414587"/>
          <a:ext cx="447675" cy="1588"/>
        </a:xfrm>
        <a:prstGeom prst="straightConnector1">
          <a:avLst/>
        </a:prstGeom>
        <a:solidFill>
          <a:srgbClr val="FFFFFF"/>
        </a:solidFill>
        <a:ln w="57150" cap="flat" cmpd="sng" algn="ctr">
          <a:solidFill>
            <a:srgbClr val="000000"/>
          </a:solidFill>
          <a:prstDash val="solid"/>
          <a:round/>
          <a:headEnd type="none" w="med" len="med"/>
          <a:tailEnd type="arrow"/>
        </a:ln>
        <a:effectLst/>
      </xdr:spPr>
    </xdr:cxnSp>
    <xdr:clientData/>
  </xdr:twoCellAnchor>
  <xdr:twoCellAnchor>
    <xdr:from>
      <xdr:col>2</xdr:col>
      <xdr:colOff>542131</xdr:colOff>
      <xdr:row>9</xdr:row>
      <xdr:rowOff>794</xdr:rowOff>
    </xdr:from>
    <xdr:to>
      <xdr:col>2</xdr:col>
      <xdr:colOff>543719</xdr:colOff>
      <xdr:row>11</xdr:row>
      <xdr:rowOff>29369</xdr:rowOff>
    </xdr:to>
    <xdr:cxnSp macro="">
      <xdr:nvCxnSpPr>
        <xdr:cNvPr id="3" name="Straight Arrow Connector 2">
          <a:extLst>
            <a:ext uri="{FF2B5EF4-FFF2-40B4-BE49-F238E27FC236}">
              <a16:creationId xmlns:a16="http://schemas.microsoft.com/office/drawing/2014/main" id="{00000000-0008-0000-0200-000003000000}"/>
            </a:ext>
          </a:extLst>
        </xdr:cNvPr>
        <xdr:cNvCxnSpPr/>
      </xdr:nvCxnSpPr>
      <xdr:spPr bwMode="auto">
        <a:xfrm rot="5400000">
          <a:off x="2105025" y="2409825"/>
          <a:ext cx="438150" cy="1588"/>
        </a:xfrm>
        <a:prstGeom prst="straightConnector1">
          <a:avLst/>
        </a:prstGeom>
        <a:solidFill>
          <a:srgbClr val="FFFFFF"/>
        </a:solidFill>
        <a:ln w="57150" cap="flat" cmpd="sng" algn="ctr">
          <a:solidFill>
            <a:srgbClr val="000000"/>
          </a:solidFill>
          <a:prstDash val="solid"/>
          <a:round/>
          <a:headEnd type="none" w="med" len="med"/>
          <a:tailEnd type="arrow"/>
        </a:ln>
        <a:effectLst/>
      </xdr:spPr>
    </xdr:cxnSp>
    <xdr:clientData/>
  </xdr:twoCellAnchor>
  <xdr:twoCellAnchor>
    <xdr:from>
      <xdr:col>3</xdr:col>
      <xdr:colOff>171450</xdr:colOff>
      <xdr:row>22</xdr:row>
      <xdr:rowOff>85725</xdr:rowOff>
    </xdr:from>
    <xdr:to>
      <xdr:col>6</xdr:col>
      <xdr:colOff>581024</xdr:colOff>
      <xdr:row>29</xdr:row>
      <xdr:rowOff>30481</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3234690" y="4764405"/>
          <a:ext cx="2748914" cy="1217296"/>
        </a:xfrm>
        <a:prstGeom prst="rect">
          <a:avLst/>
        </a:prstGeom>
        <a:solidFill>
          <a:schemeClr val="bg2">
            <a:lumMod val="9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300" b="1"/>
            <a:t>When building the lookup formula in Cell F19, use </a:t>
          </a:r>
          <a:r>
            <a:rPr lang="en-US" sz="1300" b="1">
              <a:solidFill>
                <a:srgbClr val="FF0000"/>
              </a:solidFill>
            </a:rPr>
            <a:t>absolute references</a:t>
          </a:r>
          <a:r>
            <a:rPr lang="en-US" sz="1300" b="1"/>
            <a:t> for the table_array. The fill handle can then</a:t>
          </a:r>
          <a:r>
            <a:rPr lang="en-US" sz="1300" b="1" baseline="0"/>
            <a:t> be used to copy the formula into Cells F20 and F21 correctly.</a:t>
          </a:r>
          <a:endParaRPr lang="en-US" sz="1300" b="1"/>
        </a:p>
      </xdr:txBody>
    </xdr:sp>
    <xdr:clientData/>
  </xdr:twoCellAnchor>
  <xdr:twoCellAnchor>
    <xdr:from>
      <xdr:col>9</xdr:col>
      <xdr:colOff>228600</xdr:colOff>
      <xdr:row>6</xdr:row>
      <xdr:rowOff>28574</xdr:rowOff>
    </xdr:from>
    <xdr:to>
      <xdr:col>19</xdr:col>
      <xdr:colOff>9525</xdr:colOff>
      <xdr:row>10</xdr:row>
      <xdr:rowOff>123825</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753225" y="1533524"/>
          <a:ext cx="5876925" cy="876301"/>
        </a:xfrm>
        <a:prstGeom prst="rect">
          <a:avLst/>
        </a:prstGeom>
        <a:solidFill>
          <a:schemeClr val="bg2">
            <a:lumMod val="9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400" b="1">
              <a:solidFill>
                <a:srgbClr val="FF0000"/>
              </a:solidFill>
              <a:effectLst/>
              <a:latin typeface="+mn-lt"/>
              <a:ea typeface="+mn-ea"/>
              <a:cs typeface="+mn-cs"/>
            </a:rPr>
            <a:t>VLOOKUP(lookup_value, table_array, col_index_num, range_lookup) </a:t>
          </a:r>
          <a:r>
            <a:rPr lang="en-US" sz="1400" b="1">
              <a:solidFill>
                <a:schemeClr val="dk1"/>
              </a:solidFill>
              <a:effectLst/>
              <a:latin typeface="+mn-lt"/>
              <a:ea typeface="+mn-ea"/>
              <a:cs typeface="+mn-cs"/>
            </a:rPr>
            <a:t>searches for a matching value in the leftmost column of the table, and then retrieves the value in the same row but in another column that you specify.</a:t>
          </a:r>
          <a:endParaRPr lang="en-US" sz="1400" b="1">
            <a:effectLst/>
          </a:endParaRPr>
        </a:p>
      </xdr:txBody>
    </xdr:sp>
    <xdr:clientData/>
  </xdr:twoCellAnchor>
  <xdr:twoCellAnchor editAs="oneCell">
    <xdr:from>
      <xdr:col>9</xdr:col>
      <xdr:colOff>212725</xdr:colOff>
      <xdr:row>11</xdr:row>
      <xdr:rowOff>50800</xdr:rowOff>
    </xdr:from>
    <xdr:to>
      <xdr:col>22</xdr:col>
      <xdr:colOff>52350</xdr:colOff>
      <xdr:row>29</xdr:row>
      <xdr:rowOff>98425</xdr:rowOff>
    </xdr:to>
    <xdr:pic>
      <xdr:nvPicPr>
        <xdr:cNvPr id="6" name="Picture 5">
          <a:extLst>
            <a:ext uri="{FF2B5EF4-FFF2-40B4-BE49-F238E27FC236}">
              <a16:creationId xmlns:a16="http://schemas.microsoft.com/office/drawing/2014/main" id="{00000000-0008-0000-0200-000006000000}"/>
            </a:ext>
          </a:extLst>
        </xdr:cNvPr>
        <xdr:cNvPicPr>
          <a:picLocks noChangeAspect="1" noChangeArrowheads="1"/>
        </xdr:cNvPicPr>
      </xdr:nvPicPr>
      <xdr:blipFill rotWithShape="1">
        <a:blip xmlns:r="http://schemas.openxmlformats.org/officeDocument/2006/relationships" r:embed="rId1"/>
        <a:srcRect l="1260" t="11518" r="2402" b="2621"/>
        <a:stretch/>
      </xdr:blipFill>
      <xdr:spPr bwMode="auto">
        <a:xfrm>
          <a:off x="7019925" y="2533650"/>
          <a:ext cx="7846975" cy="3444875"/>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266700</xdr:colOff>
      <xdr:row>115</xdr:row>
      <xdr:rowOff>152400</xdr:rowOff>
    </xdr:from>
    <xdr:to>
      <xdr:col>8</xdr:col>
      <xdr:colOff>323137</xdr:colOff>
      <xdr:row>135</xdr:row>
      <xdr:rowOff>75805</xdr:rowOff>
    </xdr:to>
    <xdr:pic>
      <xdr:nvPicPr>
        <xdr:cNvPr id="9" name="Picture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266700" y="19682460"/>
          <a:ext cx="5862877" cy="3276205"/>
        </a:xfrm>
        <a:prstGeom prst="rect">
          <a:avLst/>
        </a:prstGeom>
      </xdr:spPr>
    </xdr:pic>
    <xdr:clientData/>
  </xdr:twoCellAnchor>
  <xdr:twoCellAnchor editAs="oneCell">
    <xdr:from>
      <xdr:col>0</xdr:col>
      <xdr:colOff>257175</xdr:colOff>
      <xdr:row>95</xdr:row>
      <xdr:rowOff>66675</xdr:rowOff>
    </xdr:from>
    <xdr:to>
      <xdr:col>8</xdr:col>
      <xdr:colOff>342183</xdr:colOff>
      <xdr:row>115</xdr:row>
      <xdr:rowOff>2779</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57175" y="15725775"/>
          <a:ext cx="5733333" cy="3171429"/>
        </a:xfrm>
        <a:prstGeom prst="rect">
          <a:avLst/>
        </a:prstGeom>
      </xdr:spPr>
    </xdr:pic>
    <xdr:clientData/>
  </xdr:twoCellAnchor>
  <xdr:twoCellAnchor editAs="oneCell">
    <xdr:from>
      <xdr:col>0</xdr:col>
      <xdr:colOff>133350</xdr:colOff>
      <xdr:row>55</xdr:row>
      <xdr:rowOff>47625</xdr:rowOff>
    </xdr:from>
    <xdr:to>
      <xdr:col>8</xdr:col>
      <xdr:colOff>199311</xdr:colOff>
      <xdr:row>74</xdr:row>
      <xdr:rowOff>132955</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stretch>
          <a:fillRect/>
        </a:stretch>
      </xdr:blipFill>
      <xdr:spPr>
        <a:xfrm>
          <a:off x="133350" y="9229725"/>
          <a:ext cx="5714286" cy="3161905"/>
        </a:xfrm>
        <a:prstGeom prst="rect">
          <a:avLst/>
        </a:prstGeom>
      </xdr:spPr>
    </xdr:pic>
    <xdr:clientData/>
  </xdr:twoCellAnchor>
  <xdr:twoCellAnchor editAs="oneCell">
    <xdr:from>
      <xdr:col>0</xdr:col>
      <xdr:colOff>142875</xdr:colOff>
      <xdr:row>26</xdr:row>
      <xdr:rowOff>114300</xdr:rowOff>
    </xdr:from>
    <xdr:to>
      <xdr:col>8</xdr:col>
      <xdr:colOff>256455</xdr:colOff>
      <xdr:row>46</xdr:row>
      <xdr:rowOff>9133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4"/>
        <a:stretch>
          <a:fillRect/>
        </a:stretch>
      </xdr:blipFill>
      <xdr:spPr>
        <a:xfrm>
          <a:off x="142875" y="4600575"/>
          <a:ext cx="5761905" cy="3133333"/>
        </a:xfrm>
        <a:prstGeom prst="rect">
          <a:avLst/>
        </a:prstGeom>
      </xdr:spPr>
    </xdr:pic>
    <xdr:clientData/>
  </xdr:twoCellAnchor>
  <xdr:twoCellAnchor editAs="oneCell">
    <xdr:from>
      <xdr:col>1</xdr:col>
      <xdr:colOff>647700</xdr:colOff>
      <xdr:row>3</xdr:row>
      <xdr:rowOff>114300</xdr:rowOff>
    </xdr:from>
    <xdr:to>
      <xdr:col>5</xdr:col>
      <xdr:colOff>856739</xdr:colOff>
      <xdr:row>25</xdr:row>
      <xdr:rowOff>94807</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5"/>
        <a:stretch>
          <a:fillRect/>
        </a:stretch>
      </xdr:blipFill>
      <xdr:spPr>
        <a:xfrm>
          <a:off x="952500" y="876300"/>
          <a:ext cx="4085714" cy="3542857"/>
        </a:xfrm>
        <a:prstGeom prst="rect">
          <a:avLst/>
        </a:prstGeom>
      </xdr:spPr>
    </xdr:pic>
    <xdr:clientData/>
  </xdr:twoCellAnchor>
  <xdr:twoCellAnchor>
    <xdr:from>
      <xdr:col>1</xdr:col>
      <xdr:colOff>923925</xdr:colOff>
      <xdr:row>38</xdr:row>
      <xdr:rowOff>0</xdr:rowOff>
    </xdr:from>
    <xdr:to>
      <xdr:col>8</xdr:col>
      <xdr:colOff>228600</xdr:colOff>
      <xdr:row>40</xdr:row>
      <xdr:rowOff>160020</xdr:rowOff>
    </xdr:to>
    <xdr:sp macro="" textlink="">
      <xdr:nvSpPr>
        <xdr:cNvPr id="47112" name="Oval 8">
          <a:extLst>
            <a:ext uri="{FF2B5EF4-FFF2-40B4-BE49-F238E27FC236}">
              <a16:creationId xmlns:a16="http://schemas.microsoft.com/office/drawing/2014/main" id="{00000000-0008-0000-0300-000008B80000}"/>
            </a:ext>
          </a:extLst>
        </xdr:cNvPr>
        <xdr:cNvSpPr>
          <a:spLocks noChangeArrowheads="1"/>
        </xdr:cNvSpPr>
      </xdr:nvSpPr>
      <xdr:spPr bwMode="auto">
        <a:xfrm>
          <a:off x="1236345" y="6621780"/>
          <a:ext cx="4798695" cy="495300"/>
        </a:xfrm>
        <a:prstGeom prst="ellipse">
          <a:avLst/>
        </a:prstGeom>
        <a:noFill/>
        <a:ln w="50800">
          <a:solidFill>
            <a:srgbClr val="FF0000"/>
          </a:solidFill>
          <a:round/>
          <a:headEnd/>
          <a:tailEnd/>
        </a:ln>
      </xdr:spPr>
    </xdr:sp>
    <xdr:clientData/>
  </xdr:twoCellAnchor>
  <xdr:twoCellAnchor>
    <xdr:from>
      <xdr:col>1</xdr:col>
      <xdr:colOff>581025</xdr:colOff>
      <xdr:row>29</xdr:row>
      <xdr:rowOff>9525</xdr:rowOff>
    </xdr:from>
    <xdr:to>
      <xdr:col>1</xdr:col>
      <xdr:colOff>1457325</xdr:colOff>
      <xdr:row>31</xdr:row>
      <xdr:rowOff>66675</xdr:rowOff>
    </xdr:to>
    <xdr:sp macro="" textlink="">
      <xdr:nvSpPr>
        <xdr:cNvPr id="47113" name="Oval 9">
          <a:extLst>
            <a:ext uri="{FF2B5EF4-FFF2-40B4-BE49-F238E27FC236}">
              <a16:creationId xmlns:a16="http://schemas.microsoft.com/office/drawing/2014/main" id="{00000000-0008-0000-0300-000009B80000}"/>
            </a:ext>
          </a:extLst>
        </xdr:cNvPr>
        <xdr:cNvSpPr>
          <a:spLocks noChangeArrowheads="1"/>
        </xdr:cNvSpPr>
      </xdr:nvSpPr>
      <xdr:spPr bwMode="auto">
        <a:xfrm>
          <a:off x="885825" y="5095875"/>
          <a:ext cx="876300" cy="381000"/>
        </a:xfrm>
        <a:prstGeom prst="ellipse">
          <a:avLst/>
        </a:prstGeom>
        <a:noFill/>
        <a:ln w="50800">
          <a:solidFill>
            <a:srgbClr val="FF0000"/>
          </a:solidFill>
          <a:round/>
          <a:headEnd/>
          <a:tailEnd/>
        </a:ln>
      </xdr:spPr>
    </xdr:sp>
    <xdr:clientData/>
  </xdr:twoCellAnchor>
  <xdr:twoCellAnchor>
    <xdr:from>
      <xdr:col>2</xdr:col>
      <xdr:colOff>314325</xdr:colOff>
      <xdr:row>8</xdr:row>
      <xdr:rowOff>19050</xdr:rowOff>
    </xdr:from>
    <xdr:to>
      <xdr:col>4</xdr:col>
      <xdr:colOff>285750</xdr:colOff>
      <xdr:row>10</xdr:row>
      <xdr:rowOff>133350</xdr:rowOff>
    </xdr:to>
    <xdr:sp macro="" textlink="">
      <xdr:nvSpPr>
        <xdr:cNvPr id="47114" name="Oval 10">
          <a:extLst>
            <a:ext uri="{FF2B5EF4-FFF2-40B4-BE49-F238E27FC236}">
              <a16:creationId xmlns:a16="http://schemas.microsoft.com/office/drawing/2014/main" id="{00000000-0008-0000-0300-00000AB80000}"/>
            </a:ext>
          </a:extLst>
        </xdr:cNvPr>
        <xdr:cNvSpPr>
          <a:spLocks noChangeArrowheads="1"/>
        </xdr:cNvSpPr>
      </xdr:nvSpPr>
      <xdr:spPr bwMode="auto">
        <a:xfrm>
          <a:off x="2095500" y="1514475"/>
          <a:ext cx="1228725" cy="438150"/>
        </a:xfrm>
        <a:prstGeom prst="ellipse">
          <a:avLst/>
        </a:prstGeom>
        <a:noFill/>
        <a:ln w="50800">
          <a:solidFill>
            <a:srgbClr val="FF0000"/>
          </a:solidFill>
          <a:round/>
          <a:headEnd/>
          <a:tailEnd/>
        </a:ln>
      </xdr:spPr>
    </xdr:sp>
    <xdr:clientData/>
  </xdr:twoCellAnchor>
  <xdr:twoCellAnchor>
    <xdr:from>
      <xdr:col>1</xdr:col>
      <xdr:colOff>781050</xdr:colOff>
      <xdr:row>16</xdr:row>
      <xdr:rowOff>28575</xdr:rowOff>
    </xdr:from>
    <xdr:to>
      <xdr:col>1</xdr:col>
      <xdr:colOff>1390650</xdr:colOff>
      <xdr:row>17</xdr:row>
      <xdr:rowOff>123825</xdr:rowOff>
    </xdr:to>
    <xdr:sp macro="" textlink="">
      <xdr:nvSpPr>
        <xdr:cNvPr id="47115" name="Oval 11">
          <a:extLst>
            <a:ext uri="{FF2B5EF4-FFF2-40B4-BE49-F238E27FC236}">
              <a16:creationId xmlns:a16="http://schemas.microsoft.com/office/drawing/2014/main" id="{00000000-0008-0000-0300-00000BB80000}"/>
            </a:ext>
          </a:extLst>
        </xdr:cNvPr>
        <xdr:cNvSpPr>
          <a:spLocks noChangeArrowheads="1"/>
        </xdr:cNvSpPr>
      </xdr:nvSpPr>
      <xdr:spPr bwMode="auto">
        <a:xfrm>
          <a:off x="1085850" y="2819400"/>
          <a:ext cx="609600" cy="257175"/>
        </a:xfrm>
        <a:prstGeom prst="ellipse">
          <a:avLst/>
        </a:prstGeom>
        <a:noFill/>
        <a:ln w="50800">
          <a:solidFill>
            <a:srgbClr val="FF0000"/>
          </a:solidFill>
          <a:round/>
          <a:headEnd/>
          <a:tailEnd/>
        </a:ln>
      </xdr:spPr>
    </xdr:sp>
    <xdr:clientData/>
  </xdr:twoCellAnchor>
  <xdr:twoCellAnchor>
    <xdr:from>
      <xdr:col>1</xdr:col>
      <xdr:colOff>733425</xdr:colOff>
      <xdr:row>17</xdr:row>
      <xdr:rowOff>85725</xdr:rowOff>
    </xdr:from>
    <xdr:to>
      <xdr:col>5</xdr:col>
      <xdr:colOff>762000</xdr:colOff>
      <xdr:row>21</xdr:row>
      <xdr:rowOff>47625</xdr:rowOff>
    </xdr:to>
    <xdr:sp macro="" textlink="">
      <xdr:nvSpPr>
        <xdr:cNvPr id="47116" name="Rectangle 12">
          <a:extLst>
            <a:ext uri="{FF2B5EF4-FFF2-40B4-BE49-F238E27FC236}">
              <a16:creationId xmlns:a16="http://schemas.microsoft.com/office/drawing/2014/main" id="{00000000-0008-0000-0300-00000CB80000}"/>
            </a:ext>
          </a:extLst>
        </xdr:cNvPr>
        <xdr:cNvSpPr>
          <a:spLocks noChangeArrowheads="1"/>
        </xdr:cNvSpPr>
      </xdr:nvSpPr>
      <xdr:spPr bwMode="auto">
        <a:xfrm>
          <a:off x="1038225" y="3114675"/>
          <a:ext cx="3905250" cy="609600"/>
        </a:xfrm>
        <a:prstGeom prst="rect">
          <a:avLst/>
        </a:prstGeom>
        <a:solidFill>
          <a:srgbClr val="FFFFFF">
            <a:alpha val="0"/>
          </a:srgbClr>
        </a:solidFill>
        <a:ln w="50800">
          <a:solidFill>
            <a:srgbClr val="FF0000"/>
          </a:solidFill>
          <a:miter lim="800000"/>
          <a:headEnd/>
          <a:tailEnd/>
        </a:ln>
      </xdr:spPr>
    </xdr:sp>
    <xdr:clientData/>
  </xdr:twoCellAnchor>
  <xdr:twoCellAnchor>
    <xdr:from>
      <xdr:col>1</xdr:col>
      <xdr:colOff>666750</xdr:colOff>
      <xdr:row>59</xdr:row>
      <xdr:rowOff>66675</xdr:rowOff>
    </xdr:from>
    <xdr:to>
      <xdr:col>2</xdr:col>
      <xdr:colOff>66675</xdr:colOff>
      <xdr:row>61</xdr:row>
      <xdr:rowOff>123825</xdr:rowOff>
    </xdr:to>
    <xdr:sp macro="" textlink="">
      <xdr:nvSpPr>
        <xdr:cNvPr id="47118" name="Oval 14">
          <a:extLst>
            <a:ext uri="{FF2B5EF4-FFF2-40B4-BE49-F238E27FC236}">
              <a16:creationId xmlns:a16="http://schemas.microsoft.com/office/drawing/2014/main" id="{00000000-0008-0000-0300-00000EB80000}"/>
            </a:ext>
          </a:extLst>
        </xdr:cNvPr>
        <xdr:cNvSpPr>
          <a:spLocks noChangeArrowheads="1"/>
        </xdr:cNvSpPr>
      </xdr:nvSpPr>
      <xdr:spPr bwMode="auto">
        <a:xfrm>
          <a:off x="971550" y="8524875"/>
          <a:ext cx="876300" cy="381000"/>
        </a:xfrm>
        <a:prstGeom prst="ellipse">
          <a:avLst/>
        </a:prstGeom>
        <a:noFill/>
        <a:ln w="50800">
          <a:solidFill>
            <a:srgbClr val="FF0000"/>
          </a:solidFill>
          <a:round/>
          <a:headEnd/>
          <a:tailEnd/>
        </a:ln>
      </xdr:spPr>
    </xdr:sp>
    <xdr:clientData/>
  </xdr:twoCellAnchor>
  <xdr:twoCellAnchor>
    <xdr:from>
      <xdr:col>1</xdr:col>
      <xdr:colOff>1000125</xdr:colOff>
      <xdr:row>66</xdr:row>
      <xdr:rowOff>9525</xdr:rowOff>
    </xdr:from>
    <xdr:to>
      <xdr:col>8</xdr:col>
      <xdr:colOff>66675</xdr:colOff>
      <xdr:row>69</xdr:row>
      <xdr:rowOff>152400</xdr:rowOff>
    </xdr:to>
    <xdr:sp macro="" textlink="">
      <xdr:nvSpPr>
        <xdr:cNvPr id="47119" name="Oval 15">
          <a:extLst>
            <a:ext uri="{FF2B5EF4-FFF2-40B4-BE49-F238E27FC236}">
              <a16:creationId xmlns:a16="http://schemas.microsoft.com/office/drawing/2014/main" id="{00000000-0008-0000-0300-00000FB80000}"/>
            </a:ext>
          </a:extLst>
        </xdr:cNvPr>
        <xdr:cNvSpPr>
          <a:spLocks noChangeArrowheads="1"/>
        </xdr:cNvSpPr>
      </xdr:nvSpPr>
      <xdr:spPr bwMode="auto">
        <a:xfrm>
          <a:off x="1304925" y="10972800"/>
          <a:ext cx="4410075" cy="628650"/>
        </a:xfrm>
        <a:prstGeom prst="ellipse">
          <a:avLst/>
        </a:prstGeom>
        <a:noFill/>
        <a:ln w="50800">
          <a:solidFill>
            <a:srgbClr val="FF0000"/>
          </a:solidFill>
          <a:round/>
          <a:headEnd/>
          <a:tailEnd/>
        </a:ln>
      </xdr:spPr>
    </xdr:sp>
    <xdr:clientData/>
  </xdr:twoCellAnchor>
  <xdr:twoCellAnchor>
    <xdr:from>
      <xdr:col>1</xdr:col>
      <xdr:colOff>685800</xdr:colOff>
      <xdr:row>106</xdr:row>
      <xdr:rowOff>66675</xdr:rowOff>
    </xdr:from>
    <xdr:to>
      <xdr:col>8</xdr:col>
      <xdr:colOff>314325</xdr:colOff>
      <xdr:row>109</xdr:row>
      <xdr:rowOff>152399</xdr:rowOff>
    </xdr:to>
    <xdr:sp macro="" textlink="">
      <xdr:nvSpPr>
        <xdr:cNvPr id="47121" name="Oval 17">
          <a:extLst>
            <a:ext uri="{FF2B5EF4-FFF2-40B4-BE49-F238E27FC236}">
              <a16:creationId xmlns:a16="http://schemas.microsoft.com/office/drawing/2014/main" id="{00000000-0008-0000-0300-000011B80000}"/>
            </a:ext>
          </a:extLst>
        </xdr:cNvPr>
        <xdr:cNvSpPr>
          <a:spLocks noChangeArrowheads="1"/>
        </xdr:cNvSpPr>
      </xdr:nvSpPr>
      <xdr:spPr bwMode="auto">
        <a:xfrm>
          <a:off x="990600" y="17506950"/>
          <a:ext cx="4972050" cy="571499"/>
        </a:xfrm>
        <a:prstGeom prst="ellipse">
          <a:avLst/>
        </a:prstGeom>
        <a:noFill/>
        <a:ln w="50800">
          <a:solidFill>
            <a:srgbClr val="FF0000"/>
          </a:solidFill>
          <a:round/>
          <a:headEnd/>
          <a:tailEnd/>
        </a:ln>
      </xdr:spPr>
    </xdr:sp>
    <xdr:clientData/>
  </xdr:twoCellAnchor>
  <xdr:twoCellAnchor>
    <xdr:from>
      <xdr:col>1</xdr:col>
      <xdr:colOff>314325</xdr:colOff>
      <xdr:row>100</xdr:row>
      <xdr:rowOff>123825</xdr:rowOff>
    </xdr:from>
    <xdr:to>
      <xdr:col>2</xdr:col>
      <xdr:colOff>285750</xdr:colOff>
      <xdr:row>103</xdr:row>
      <xdr:rowOff>19050</xdr:rowOff>
    </xdr:to>
    <xdr:sp macro="" textlink="">
      <xdr:nvSpPr>
        <xdr:cNvPr id="47122" name="Oval 18">
          <a:extLst>
            <a:ext uri="{FF2B5EF4-FFF2-40B4-BE49-F238E27FC236}">
              <a16:creationId xmlns:a16="http://schemas.microsoft.com/office/drawing/2014/main" id="{00000000-0008-0000-0300-000012B80000}"/>
            </a:ext>
          </a:extLst>
        </xdr:cNvPr>
        <xdr:cNvSpPr>
          <a:spLocks noChangeArrowheads="1"/>
        </xdr:cNvSpPr>
      </xdr:nvSpPr>
      <xdr:spPr bwMode="auto">
        <a:xfrm>
          <a:off x="619125" y="16592550"/>
          <a:ext cx="1447800" cy="381000"/>
        </a:xfrm>
        <a:prstGeom prst="ellipse">
          <a:avLst/>
        </a:prstGeom>
        <a:noFill/>
        <a:ln w="50800">
          <a:solidFill>
            <a:srgbClr val="FF0000"/>
          </a:solidFill>
          <a:round/>
          <a:headEnd/>
          <a:tailEnd/>
        </a:ln>
      </xdr:spPr>
    </xdr:sp>
    <xdr:clientData/>
  </xdr:twoCellAnchor>
  <xdr:twoCellAnchor>
    <xdr:from>
      <xdr:col>1</xdr:col>
      <xdr:colOff>693420</xdr:colOff>
      <xdr:row>122</xdr:row>
      <xdr:rowOff>160020</xdr:rowOff>
    </xdr:from>
    <xdr:to>
      <xdr:col>2</xdr:col>
      <xdr:colOff>93345</xdr:colOff>
      <xdr:row>124</xdr:row>
      <xdr:rowOff>150495</xdr:rowOff>
    </xdr:to>
    <xdr:sp macro="" textlink="">
      <xdr:nvSpPr>
        <xdr:cNvPr id="47124" name="Oval 20">
          <a:extLst>
            <a:ext uri="{FF2B5EF4-FFF2-40B4-BE49-F238E27FC236}">
              <a16:creationId xmlns:a16="http://schemas.microsoft.com/office/drawing/2014/main" id="{00000000-0008-0000-0300-000014B80000}"/>
            </a:ext>
          </a:extLst>
        </xdr:cNvPr>
        <xdr:cNvSpPr>
          <a:spLocks noChangeArrowheads="1"/>
        </xdr:cNvSpPr>
      </xdr:nvSpPr>
      <xdr:spPr bwMode="auto">
        <a:xfrm>
          <a:off x="1005840" y="20863560"/>
          <a:ext cx="916305" cy="325755"/>
        </a:xfrm>
        <a:prstGeom prst="ellipse">
          <a:avLst/>
        </a:prstGeom>
        <a:noFill/>
        <a:ln w="50800">
          <a:solidFill>
            <a:srgbClr val="FF0000"/>
          </a:solidFill>
          <a:round/>
          <a:headEnd/>
          <a:tailEnd/>
        </a:ln>
      </xdr:spPr>
    </xdr:sp>
    <xdr:clientData/>
  </xdr:twoCellAnchor>
  <xdr:twoCellAnchor>
    <xdr:from>
      <xdr:col>1</xdr:col>
      <xdr:colOff>914400</xdr:colOff>
      <xdr:row>126</xdr:row>
      <xdr:rowOff>114300</xdr:rowOff>
    </xdr:from>
    <xdr:to>
      <xdr:col>8</xdr:col>
      <xdr:colOff>304800</xdr:colOff>
      <xdr:row>131</xdr:row>
      <xdr:rowOff>47625</xdr:rowOff>
    </xdr:to>
    <xdr:sp macro="" textlink="">
      <xdr:nvSpPr>
        <xdr:cNvPr id="47125" name="Oval 21">
          <a:extLst>
            <a:ext uri="{FF2B5EF4-FFF2-40B4-BE49-F238E27FC236}">
              <a16:creationId xmlns:a16="http://schemas.microsoft.com/office/drawing/2014/main" id="{00000000-0008-0000-0300-000015B80000}"/>
            </a:ext>
          </a:extLst>
        </xdr:cNvPr>
        <xdr:cNvSpPr>
          <a:spLocks noChangeArrowheads="1"/>
        </xdr:cNvSpPr>
      </xdr:nvSpPr>
      <xdr:spPr bwMode="auto">
        <a:xfrm>
          <a:off x="1219200" y="20793075"/>
          <a:ext cx="4733925" cy="742950"/>
        </a:xfrm>
        <a:prstGeom prst="ellipse">
          <a:avLst/>
        </a:prstGeom>
        <a:noFill/>
        <a:ln w="50800">
          <a:solidFill>
            <a:srgbClr val="FF0000"/>
          </a:solidFill>
          <a:round/>
          <a:headEnd/>
          <a:tailEnd/>
        </a:ln>
      </xdr:spPr>
    </xdr:sp>
    <xdr:clientData/>
  </xdr:twoCellAnchor>
  <xdr:twoCellAnchor>
    <xdr:from>
      <xdr:col>2</xdr:col>
      <xdr:colOff>533401</xdr:colOff>
      <xdr:row>107</xdr:row>
      <xdr:rowOff>76201</xdr:rowOff>
    </xdr:from>
    <xdr:to>
      <xdr:col>4</xdr:col>
      <xdr:colOff>1066801</xdr:colOff>
      <xdr:row>108</xdr:row>
      <xdr:rowOff>95250</xdr:rowOff>
    </xdr:to>
    <xdr:sp macro="" textlink="">
      <xdr:nvSpPr>
        <xdr:cNvPr id="47128" name="Rectangle 24">
          <a:extLst>
            <a:ext uri="{FF2B5EF4-FFF2-40B4-BE49-F238E27FC236}">
              <a16:creationId xmlns:a16="http://schemas.microsoft.com/office/drawing/2014/main" id="{00000000-0008-0000-0300-000018B80000}"/>
            </a:ext>
          </a:extLst>
        </xdr:cNvPr>
        <xdr:cNvSpPr>
          <a:spLocks noChangeArrowheads="1"/>
        </xdr:cNvSpPr>
      </xdr:nvSpPr>
      <xdr:spPr bwMode="auto">
        <a:xfrm>
          <a:off x="2314576" y="17678401"/>
          <a:ext cx="1790700" cy="180974"/>
        </a:xfrm>
        <a:prstGeom prst="rect">
          <a:avLst/>
        </a:prstGeom>
        <a:noFill/>
        <a:ln w="50800" algn="ctr">
          <a:solidFill>
            <a:srgbClr val="FF0000"/>
          </a:solidFill>
          <a:miter lim="800000"/>
          <a:headEnd/>
          <a:tailEnd/>
        </a:ln>
        <a:effectLst/>
      </xdr:spPr>
    </xdr:sp>
    <xdr:clientData/>
  </xdr:twoCellAnchor>
  <xdr:twoCellAnchor>
    <xdr:from>
      <xdr:col>4</xdr:col>
      <xdr:colOff>217170</xdr:colOff>
      <xdr:row>128</xdr:row>
      <xdr:rowOff>123824</xdr:rowOff>
    </xdr:from>
    <xdr:to>
      <xdr:col>6</xdr:col>
      <xdr:colOff>502920</xdr:colOff>
      <xdr:row>129</xdr:row>
      <xdr:rowOff>160020</xdr:rowOff>
    </xdr:to>
    <xdr:sp macro="" textlink="">
      <xdr:nvSpPr>
        <xdr:cNvPr id="47129" name="Rectangle 25">
          <a:extLst>
            <a:ext uri="{FF2B5EF4-FFF2-40B4-BE49-F238E27FC236}">
              <a16:creationId xmlns:a16="http://schemas.microsoft.com/office/drawing/2014/main" id="{00000000-0008-0000-0300-000019B80000}"/>
            </a:ext>
          </a:extLst>
        </xdr:cNvPr>
        <xdr:cNvSpPr>
          <a:spLocks noChangeArrowheads="1"/>
        </xdr:cNvSpPr>
      </xdr:nvSpPr>
      <xdr:spPr bwMode="auto">
        <a:xfrm>
          <a:off x="3341370" y="21833204"/>
          <a:ext cx="2396490" cy="203836"/>
        </a:xfrm>
        <a:prstGeom prst="rect">
          <a:avLst/>
        </a:prstGeom>
        <a:noFill/>
        <a:ln w="50800" algn="ctr">
          <a:solidFill>
            <a:srgbClr val="FF0000"/>
          </a:solidFill>
          <a:miter lim="800000"/>
          <a:headEnd/>
          <a:tailEnd/>
        </a:ln>
        <a:effectLst/>
      </xdr:spPr>
    </xdr:sp>
    <xdr:clientData/>
  </xdr:twoCellAnchor>
  <xdr:twoCellAnchor>
    <xdr:from>
      <xdr:col>5</xdr:col>
      <xdr:colOff>285750</xdr:colOff>
      <xdr:row>54</xdr:row>
      <xdr:rowOff>144780</xdr:rowOff>
    </xdr:from>
    <xdr:to>
      <xdr:col>10</xdr:col>
      <xdr:colOff>571500</xdr:colOff>
      <xdr:row>60</xdr:row>
      <xdr:rowOff>152400</xdr:rowOff>
    </xdr:to>
    <xdr:sp macro="" textlink="">
      <xdr:nvSpPr>
        <xdr:cNvPr id="47132" name="Text Box 28">
          <a:extLst>
            <a:ext uri="{FF2B5EF4-FFF2-40B4-BE49-F238E27FC236}">
              <a16:creationId xmlns:a16="http://schemas.microsoft.com/office/drawing/2014/main" id="{00000000-0008-0000-0300-00001CB80000}"/>
            </a:ext>
          </a:extLst>
        </xdr:cNvPr>
        <xdr:cNvSpPr txBox="1">
          <a:spLocks noChangeArrowheads="1"/>
        </xdr:cNvSpPr>
      </xdr:nvSpPr>
      <xdr:spPr bwMode="auto">
        <a:xfrm>
          <a:off x="4583430" y="9448800"/>
          <a:ext cx="3044190" cy="1013460"/>
        </a:xfrm>
        <a:prstGeom prst="rect">
          <a:avLst/>
        </a:prstGeom>
        <a:solidFill>
          <a:srgbClr val="B01861"/>
        </a:solidFill>
        <a:ln w="9525">
          <a:solidFill>
            <a:srgbClr val="000000"/>
          </a:solidFill>
          <a:miter lim="800000"/>
          <a:headEnd/>
          <a:tailEnd/>
        </a:ln>
      </xdr:spPr>
      <xdr:txBody>
        <a:bodyPr vertOverflow="clip" wrap="square" lIns="27432" tIns="27432" rIns="0" bIns="0" anchor="t" upright="1"/>
        <a:lstStyle/>
        <a:p>
          <a:pPr algn="l" rtl="0">
            <a:defRPr sz="1000"/>
          </a:pPr>
          <a:endParaRPr lang="en-US" sz="1200" b="1" i="0" strike="noStrike">
            <a:solidFill>
              <a:srgbClr val="000000"/>
            </a:solidFill>
            <a:latin typeface="Arial"/>
            <a:cs typeface="Arial"/>
          </a:endParaRPr>
        </a:p>
        <a:p>
          <a:pPr algn="l" rtl="0">
            <a:defRPr sz="1000"/>
          </a:pPr>
          <a:r>
            <a:rPr lang="en-US" sz="1200" b="1" i="0" strike="noStrike">
              <a:solidFill>
                <a:schemeClr val="bg1"/>
              </a:solidFill>
              <a:latin typeface="Arial"/>
              <a:cs typeface="Arial"/>
            </a:rPr>
            <a:t>The name of an Excel Table would be acceptable here,</a:t>
          </a:r>
          <a:r>
            <a:rPr lang="en-US" sz="1200" b="1" i="0" strike="noStrike" baseline="0">
              <a:solidFill>
                <a:schemeClr val="bg1"/>
              </a:solidFill>
              <a:latin typeface="Arial"/>
              <a:cs typeface="Arial"/>
            </a:rPr>
            <a:t> assuming that the </a:t>
          </a:r>
          <a:r>
            <a:rPr lang="en-US" sz="1200" b="1" i="0" strike="noStrike" baseline="0">
              <a:solidFill>
                <a:srgbClr val="FFFF00"/>
              </a:solidFill>
              <a:latin typeface="Arial"/>
              <a:cs typeface="Arial"/>
            </a:rPr>
            <a:t>leftmost</a:t>
          </a:r>
          <a:r>
            <a:rPr lang="en-US" sz="1200" b="1" i="0" strike="noStrike" baseline="0">
              <a:solidFill>
                <a:schemeClr val="bg1"/>
              </a:solidFill>
              <a:latin typeface="Arial"/>
              <a:cs typeface="Arial"/>
            </a:rPr>
            <a:t> field in the Excel Table consists of compare values.)</a:t>
          </a:r>
          <a:endParaRPr lang="en-US" sz="1200" b="1" i="0" strike="noStrike">
            <a:solidFill>
              <a:schemeClr val="bg1"/>
            </a:solidFill>
            <a:latin typeface="Arial"/>
            <a:cs typeface="Arial"/>
          </a:endParaRPr>
        </a:p>
        <a:p>
          <a:pPr algn="l" rtl="0">
            <a:defRPr sz="1000"/>
          </a:pPr>
          <a:endParaRPr lang="en-US" sz="1200" b="1" i="0" strike="noStrike">
            <a:solidFill>
              <a:srgbClr val="000000"/>
            </a:solidFill>
            <a:latin typeface="Arial"/>
            <a:cs typeface="Arial"/>
          </a:endParaRPr>
        </a:p>
      </xdr:txBody>
    </xdr:sp>
    <xdr:clientData/>
  </xdr:twoCellAnchor>
  <xdr:twoCellAnchor>
    <xdr:from>
      <xdr:col>1</xdr:col>
      <xdr:colOff>142875</xdr:colOff>
      <xdr:row>75</xdr:row>
      <xdr:rowOff>76198</xdr:rowOff>
    </xdr:from>
    <xdr:to>
      <xdr:col>8</xdr:col>
      <xdr:colOff>95250</xdr:colOff>
      <xdr:row>94</xdr:row>
      <xdr:rowOff>6349</xdr:rowOff>
    </xdr:to>
    <xdr:sp macro="" textlink="">
      <xdr:nvSpPr>
        <xdr:cNvPr id="47133" name="Text Box 29">
          <a:extLst>
            <a:ext uri="{FF2B5EF4-FFF2-40B4-BE49-F238E27FC236}">
              <a16:creationId xmlns:a16="http://schemas.microsoft.com/office/drawing/2014/main" id="{00000000-0008-0000-0300-00001DB80000}"/>
            </a:ext>
          </a:extLst>
        </xdr:cNvPr>
        <xdr:cNvSpPr txBox="1">
          <a:spLocks noChangeArrowheads="1"/>
        </xdr:cNvSpPr>
      </xdr:nvSpPr>
      <xdr:spPr bwMode="auto">
        <a:xfrm>
          <a:off x="460375" y="12255498"/>
          <a:ext cx="5553075" cy="2946401"/>
        </a:xfrm>
        <a:prstGeom prst="rect">
          <a:avLst/>
        </a:prstGeom>
        <a:solidFill>
          <a:srgbClr val="B01861"/>
        </a:solidFill>
        <a:ln w="38100">
          <a:solidFill>
            <a:srgbClr val="000000"/>
          </a:solidFill>
          <a:miter lim="800000"/>
          <a:headEnd/>
          <a:tailEnd/>
        </a:ln>
      </xdr:spPr>
      <xdr:txBody>
        <a:bodyPr vertOverflow="clip" wrap="square" lIns="27432" tIns="27432" rIns="0" bIns="0" anchor="t" upright="1"/>
        <a:lstStyle/>
        <a:p>
          <a:pPr algn="ctr" rtl="0">
            <a:defRPr sz="1000"/>
          </a:pPr>
          <a:r>
            <a:rPr lang="en-US" sz="1200" b="1" i="0" strike="noStrike">
              <a:solidFill>
                <a:schemeClr val="bg1"/>
              </a:solidFill>
              <a:latin typeface="Arial"/>
              <a:cs typeface="Arial"/>
            </a:rPr>
            <a:t>Must the </a:t>
          </a:r>
          <a:r>
            <a:rPr lang="en-US" sz="1200" b="1" i="0" strike="noStrike">
              <a:solidFill>
                <a:srgbClr val="FFFF00"/>
              </a:solidFill>
              <a:latin typeface="Arial"/>
              <a:cs typeface="Arial"/>
            </a:rPr>
            <a:t>compare values </a:t>
          </a:r>
          <a:r>
            <a:rPr lang="en-US" sz="1200" b="1" i="0" strike="noStrike">
              <a:solidFill>
                <a:schemeClr val="bg1"/>
              </a:solidFill>
              <a:latin typeface="Arial"/>
              <a:cs typeface="Arial"/>
            </a:rPr>
            <a:t>be in ascending order?</a:t>
          </a:r>
        </a:p>
        <a:p>
          <a:pPr algn="l" rtl="0">
            <a:defRPr sz="1000"/>
          </a:pPr>
          <a:endParaRPr lang="en-US" sz="1200" b="1" i="0" strike="noStrike">
            <a:solidFill>
              <a:schemeClr val="bg1"/>
            </a:solidFill>
            <a:latin typeface="Arial"/>
            <a:cs typeface="Arial"/>
          </a:endParaRPr>
        </a:p>
        <a:p>
          <a:pPr algn="ctr" rtl="0">
            <a:defRPr sz="1000"/>
          </a:pPr>
          <a:r>
            <a:rPr lang="en-US" sz="1200" b="1" i="0" strike="noStrike">
              <a:solidFill>
                <a:schemeClr val="bg1"/>
              </a:solidFill>
              <a:latin typeface="Arial"/>
              <a:cs typeface="Arial"/>
            </a:rPr>
            <a:t>It all depends (but it's </a:t>
          </a:r>
          <a:r>
            <a:rPr lang="en-US" sz="1200" b="1" i="0" strike="noStrike">
              <a:solidFill>
                <a:srgbClr val="FFFF00"/>
              </a:solidFill>
              <a:latin typeface="Arial"/>
              <a:cs typeface="Arial"/>
            </a:rPr>
            <a:t>always OK </a:t>
          </a:r>
          <a:r>
            <a:rPr lang="en-US" sz="1200" b="1" i="0" strike="noStrike">
              <a:solidFill>
                <a:schemeClr val="bg1"/>
              </a:solidFill>
              <a:latin typeface="Arial"/>
              <a:cs typeface="Arial"/>
            </a:rPr>
            <a:t>to have them in ascending order!).</a:t>
          </a:r>
        </a:p>
        <a:p>
          <a:pPr algn="l" rtl="0">
            <a:defRPr sz="1000"/>
          </a:pPr>
          <a:endParaRPr lang="en-US" sz="1200" b="1" i="0" strike="noStrike">
            <a:solidFill>
              <a:schemeClr val="bg1"/>
            </a:solidFill>
            <a:latin typeface="Arial"/>
            <a:cs typeface="Arial"/>
          </a:endParaRPr>
        </a:p>
        <a:p>
          <a:pPr algn="l" rtl="0">
            <a:defRPr sz="1000"/>
          </a:pPr>
          <a:r>
            <a:rPr lang="en-US" sz="1200" b="1" i="0" strike="noStrike">
              <a:solidFill>
                <a:schemeClr val="bg1"/>
              </a:solidFill>
              <a:latin typeface="Arial"/>
              <a:cs typeface="Arial"/>
            </a:rPr>
            <a:t>When looking for an </a:t>
          </a:r>
          <a:r>
            <a:rPr lang="en-US" sz="1200" b="1" i="1" strike="noStrike">
              <a:solidFill>
                <a:srgbClr val="FFFF00"/>
              </a:solidFill>
              <a:latin typeface="Arial"/>
              <a:cs typeface="Arial"/>
            </a:rPr>
            <a:t>exact</a:t>
          </a:r>
          <a:r>
            <a:rPr lang="en-US" sz="1200" b="1" i="0" strike="noStrike">
              <a:solidFill>
                <a:schemeClr val="bg1"/>
              </a:solidFill>
              <a:latin typeface="Arial"/>
              <a:cs typeface="Arial"/>
            </a:rPr>
            <a:t> match, the compare values </a:t>
          </a:r>
          <a:r>
            <a:rPr lang="en-US" sz="1200" b="1" i="0" strike="noStrike">
              <a:solidFill>
                <a:srgbClr val="FFFF00"/>
              </a:solidFill>
              <a:latin typeface="Arial"/>
              <a:cs typeface="Arial"/>
            </a:rPr>
            <a:t>do not have to be</a:t>
          </a:r>
        </a:p>
        <a:p>
          <a:pPr algn="l" rtl="0">
            <a:defRPr sz="1000"/>
          </a:pPr>
          <a:r>
            <a:rPr lang="en-US" sz="1200" b="1" i="0" strike="noStrike">
              <a:solidFill>
                <a:schemeClr val="bg1"/>
              </a:solidFill>
              <a:latin typeface="Arial"/>
              <a:cs typeface="Arial"/>
            </a:rPr>
            <a:t>in ascending order.</a:t>
          </a:r>
        </a:p>
        <a:p>
          <a:pPr algn="l" rtl="0">
            <a:defRPr sz="1000"/>
          </a:pPr>
          <a:endParaRPr lang="en-US" sz="1200" b="1" i="0" strike="noStrike">
            <a:solidFill>
              <a:schemeClr val="bg1"/>
            </a:solidFill>
            <a:latin typeface="Arial"/>
            <a:cs typeface="Arial"/>
          </a:endParaRPr>
        </a:p>
        <a:p>
          <a:pPr algn="l" rtl="0">
            <a:defRPr sz="1000"/>
          </a:pPr>
          <a:r>
            <a:rPr lang="en-US" sz="1200" b="1" i="0" strike="noStrike">
              <a:solidFill>
                <a:schemeClr val="bg1"/>
              </a:solidFill>
              <a:latin typeface="Arial"/>
              <a:cs typeface="Arial"/>
            </a:rPr>
            <a:t>When looking for the </a:t>
          </a:r>
          <a:r>
            <a:rPr lang="en-US" sz="1200" b="1" i="0" strike="noStrike">
              <a:solidFill>
                <a:srgbClr val="FFFF00"/>
              </a:solidFill>
              <a:latin typeface="Arial"/>
              <a:cs typeface="Arial"/>
            </a:rPr>
            <a:t>interval in </a:t>
          </a:r>
          <a:r>
            <a:rPr lang="en-US" sz="1200" b="1" i="0" strike="noStrike">
              <a:solidFill>
                <a:schemeClr val="bg1"/>
              </a:solidFill>
              <a:latin typeface="Arial"/>
              <a:cs typeface="Arial"/>
            </a:rPr>
            <a:t>which the lookup value falls, however, the compare values </a:t>
          </a:r>
          <a:r>
            <a:rPr lang="en-US" sz="1200" b="1" i="0" strike="noStrike">
              <a:solidFill>
                <a:srgbClr val="FFFF00"/>
              </a:solidFill>
              <a:latin typeface="Arial"/>
              <a:cs typeface="Arial"/>
            </a:rPr>
            <a:t>must be </a:t>
          </a:r>
          <a:r>
            <a:rPr lang="en-US" sz="1200" b="1" i="0" strike="noStrike">
              <a:solidFill>
                <a:schemeClr val="bg1"/>
              </a:solidFill>
              <a:latin typeface="Arial"/>
              <a:cs typeface="Arial"/>
            </a:rPr>
            <a:t>in ascending order or an incorrect result might occur.</a:t>
          </a:r>
        </a:p>
        <a:p>
          <a:pPr algn="l" rtl="0">
            <a:defRPr sz="1000"/>
          </a:pPr>
          <a:endParaRPr lang="en-US" sz="1200" b="1" i="0" strike="noStrike">
            <a:solidFill>
              <a:schemeClr val="bg1"/>
            </a:solidFill>
            <a:latin typeface="Arial"/>
            <a:cs typeface="Arial"/>
          </a:endParaRPr>
        </a:p>
        <a:p>
          <a:pPr algn="l" rtl="0">
            <a:defRPr sz="1000"/>
          </a:pPr>
          <a:r>
            <a:rPr lang="en-US" sz="1200" b="1" i="0" strike="noStrike">
              <a:solidFill>
                <a:schemeClr val="bg1"/>
              </a:solidFill>
              <a:latin typeface="Arial"/>
              <a:cs typeface="Arial"/>
            </a:rPr>
            <a:t>Does the software test for ascending order? No. It assumes you know what you are doing.</a:t>
          </a:r>
        </a:p>
        <a:p>
          <a:pPr algn="l" rtl="0">
            <a:defRPr sz="1000"/>
          </a:pPr>
          <a:endParaRPr lang="en-US" sz="1200" b="1" i="0" strike="noStrike">
            <a:solidFill>
              <a:schemeClr val="bg1"/>
            </a:solidFill>
            <a:latin typeface="Arial"/>
            <a:cs typeface="Arial"/>
          </a:endParaRPr>
        </a:p>
        <a:p>
          <a:pPr algn="ctr" rtl="0">
            <a:defRPr sz="1000"/>
          </a:pPr>
          <a:r>
            <a:rPr lang="en-US" sz="1200" b="1" i="0" strike="noStrike">
              <a:solidFill>
                <a:schemeClr val="bg1"/>
              </a:solidFill>
              <a:latin typeface="Arial"/>
              <a:cs typeface="Arial"/>
            </a:rPr>
            <a:t>Rule of Thumb</a:t>
          </a:r>
          <a:endParaRPr lang="en-US" sz="1200" b="1" i="0" strike="noStrike" baseline="0">
            <a:solidFill>
              <a:schemeClr val="bg1"/>
            </a:solidFill>
            <a:latin typeface="Arial"/>
            <a:cs typeface="Arial"/>
          </a:endParaRPr>
        </a:p>
        <a:p>
          <a:pPr algn="ctr" rtl="0">
            <a:defRPr sz="1000"/>
          </a:pPr>
          <a:r>
            <a:rPr lang="en-US" sz="1200" b="1" i="0" strike="noStrike" baseline="0">
              <a:solidFill>
                <a:srgbClr val="FFFF00"/>
              </a:solidFill>
              <a:latin typeface="Arial"/>
              <a:cs typeface="Arial"/>
            </a:rPr>
            <a:t>play it safe; always put the compare values in ascending order.</a:t>
          </a:r>
          <a:endParaRPr lang="en-US" sz="1200" b="1" i="0" strike="noStrike">
            <a:solidFill>
              <a:srgbClr val="FFFF00"/>
            </a:solidFill>
            <a:latin typeface="Arial"/>
            <a:cs typeface="Arial"/>
          </a:endParaRPr>
        </a:p>
        <a:p>
          <a:pPr algn="l" rtl="0">
            <a:defRPr sz="1000"/>
          </a:pPr>
          <a:endParaRPr lang="en-US" sz="1100" b="1" i="0" strike="noStrike">
            <a:solidFill>
              <a:schemeClr val="bg1"/>
            </a:solidFill>
            <a:latin typeface="Arial"/>
            <a:cs typeface="Arial"/>
          </a:endParaRPr>
        </a:p>
        <a:p>
          <a:pPr algn="l" rtl="0">
            <a:defRPr sz="1000"/>
          </a:pPr>
          <a:r>
            <a:rPr lang="en-US" sz="1100" b="1" i="0" strike="noStrike">
              <a:solidFill>
                <a:schemeClr val="bg1"/>
              </a:solidFill>
              <a:latin typeface="Arial"/>
              <a:cs typeface="Arial"/>
            </a:rPr>
            <a:t> </a:t>
          </a:r>
        </a:p>
        <a:p>
          <a:pPr algn="l" rtl="0">
            <a:defRPr sz="1000"/>
          </a:pPr>
          <a:endParaRPr lang="en-US" sz="1100" b="1" i="0" strike="noStrike">
            <a:solidFill>
              <a:schemeClr val="bg1"/>
            </a:solidFill>
            <a:latin typeface="Arial"/>
            <a:cs typeface="Arial"/>
          </a:endParaRPr>
        </a:p>
      </xdr:txBody>
    </xdr:sp>
    <xdr:clientData/>
  </xdr:twoCellAnchor>
  <xdr:twoCellAnchor>
    <xdr:from>
      <xdr:col>5</xdr:col>
      <xdr:colOff>276225</xdr:colOff>
      <xdr:row>120</xdr:row>
      <xdr:rowOff>0</xdr:rowOff>
    </xdr:from>
    <xdr:to>
      <xdr:col>9</xdr:col>
      <xdr:colOff>447675</xdr:colOff>
      <xdr:row>124</xdr:row>
      <xdr:rowOff>47625</xdr:rowOff>
    </xdr:to>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4457700" y="18526125"/>
          <a:ext cx="2247900" cy="695325"/>
        </a:xfrm>
        <a:prstGeom prst="rect">
          <a:avLst/>
        </a:prstGeom>
        <a:solidFill>
          <a:srgbClr val="B01861"/>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200" b="1">
              <a:solidFill>
                <a:schemeClr val="bg1"/>
              </a:solidFill>
            </a:rPr>
            <a:t>Defaults</a:t>
          </a:r>
          <a:r>
            <a:rPr lang="en-US" sz="1200" b="1" baseline="0">
              <a:solidFill>
                <a:schemeClr val="bg1"/>
              </a:solidFill>
            </a:rPr>
            <a:t> to an </a:t>
          </a:r>
          <a:r>
            <a:rPr lang="en-US" sz="1200" b="1" baseline="0">
              <a:solidFill>
                <a:srgbClr val="FFFF00"/>
              </a:solidFill>
            </a:rPr>
            <a:t>interval</a:t>
          </a:r>
          <a:r>
            <a:rPr lang="en-US" sz="1200" b="1" baseline="0">
              <a:solidFill>
                <a:schemeClr val="bg1"/>
              </a:solidFill>
            </a:rPr>
            <a:t> lookup; key in </a:t>
          </a:r>
          <a:r>
            <a:rPr lang="en-US" sz="1200" b="1" baseline="0">
              <a:solidFill>
                <a:srgbClr val="FFFF00"/>
              </a:solidFill>
            </a:rPr>
            <a:t>FALSE</a:t>
          </a:r>
          <a:r>
            <a:rPr lang="en-US" sz="1200" b="1" baseline="0">
              <a:solidFill>
                <a:schemeClr val="bg1"/>
              </a:solidFill>
            </a:rPr>
            <a:t> as the value if an </a:t>
          </a:r>
          <a:r>
            <a:rPr lang="en-US" sz="1200" b="1" baseline="0">
              <a:solidFill>
                <a:srgbClr val="FFFF00"/>
              </a:solidFill>
            </a:rPr>
            <a:t>exact</a:t>
          </a:r>
          <a:r>
            <a:rPr lang="en-US" sz="1200" b="1" baseline="0">
              <a:solidFill>
                <a:schemeClr val="bg1"/>
              </a:solidFill>
            </a:rPr>
            <a:t> match is needed</a:t>
          </a:r>
          <a:endParaRPr lang="en-US" sz="1200" b="1">
            <a:solidFill>
              <a:schemeClr val="bg1"/>
            </a:solidFill>
          </a:endParaRPr>
        </a:p>
      </xdr:txBody>
    </xdr:sp>
    <xdr:clientData/>
  </xdr:twoCellAnchor>
  <xdr:twoCellAnchor>
    <xdr:from>
      <xdr:col>3</xdr:col>
      <xdr:colOff>209550</xdr:colOff>
      <xdr:row>122</xdr:row>
      <xdr:rowOff>23813</xdr:rowOff>
    </xdr:from>
    <xdr:to>
      <xdr:col>5</xdr:col>
      <xdr:colOff>276225</xdr:colOff>
      <xdr:row>123</xdr:row>
      <xdr:rowOff>114300</xdr:rowOff>
    </xdr:to>
    <xdr:cxnSp macro="">
      <xdr:nvCxnSpPr>
        <xdr:cNvPr id="24" name="Straight Arrow Connector 23">
          <a:extLst>
            <a:ext uri="{FF2B5EF4-FFF2-40B4-BE49-F238E27FC236}">
              <a16:creationId xmlns:a16="http://schemas.microsoft.com/office/drawing/2014/main" id="{00000000-0008-0000-0300-000018000000}"/>
            </a:ext>
          </a:extLst>
        </xdr:cNvPr>
        <xdr:cNvCxnSpPr>
          <a:stCxn id="22" idx="1"/>
        </xdr:cNvCxnSpPr>
      </xdr:nvCxnSpPr>
      <xdr:spPr bwMode="auto">
        <a:xfrm rot="10800000" flipV="1">
          <a:off x="3028950" y="18873788"/>
          <a:ext cx="1428750" cy="252412"/>
        </a:xfrm>
        <a:prstGeom prst="straightConnector1">
          <a:avLst/>
        </a:prstGeom>
        <a:solidFill>
          <a:srgbClr val="FFFFFF"/>
        </a:solidFill>
        <a:ln w="57150" cap="flat" cmpd="sng" algn="ctr">
          <a:solidFill>
            <a:srgbClr val="000000"/>
          </a:solidFill>
          <a:prstDash val="solid"/>
          <a:round/>
          <a:headEnd type="none" w="med" len="med"/>
          <a:tailEnd type="arrow"/>
        </a:ln>
        <a:effectLst/>
      </xdr:spPr>
    </xdr:cxnSp>
    <xdr:clientData/>
  </xdr:twoCellAnchor>
  <xdr:twoCellAnchor>
    <xdr:from>
      <xdr:col>8</xdr:col>
      <xdr:colOff>114298</xdr:colOff>
      <xdr:row>63</xdr:row>
      <xdr:rowOff>123826</xdr:rowOff>
    </xdr:from>
    <xdr:to>
      <xdr:col>12</xdr:col>
      <xdr:colOff>457200</xdr:colOff>
      <xdr:row>73</xdr:row>
      <xdr:rowOff>0</xdr:rowOff>
    </xdr:to>
    <xdr:sp macro="" textlink="">
      <xdr:nvSpPr>
        <xdr:cNvPr id="25" name="Text Box 28">
          <a:extLst>
            <a:ext uri="{FF2B5EF4-FFF2-40B4-BE49-F238E27FC236}">
              <a16:creationId xmlns:a16="http://schemas.microsoft.com/office/drawing/2014/main" id="{00000000-0008-0000-0300-000019000000}"/>
            </a:ext>
          </a:extLst>
        </xdr:cNvPr>
        <xdr:cNvSpPr txBox="1">
          <a:spLocks noChangeArrowheads="1"/>
        </xdr:cNvSpPr>
      </xdr:nvSpPr>
      <xdr:spPr bwMode="auto">
        <a:xfrm>
          <a:off x="5762623" y="10601326"/>
          <a:ext cx="2781302" cy="1495424"/>
        </a:xfrm>
        <a:prstGeom prst="rect">
          <a:avLst/>
        </a:prstGeom>
        <a:solidFill>
          <a:srgbClr val="FFFFCC"/>
        </a:solidFill>
        <a:ln w="9525">
          <a:solidFill>
            <a:srgbClr val="000000"/>
          </a:solidFill>
          <a:miter lim="800000"/>
          <a:headEnd/>
          <a:tailEnd/>
        </a:ln>
      </xdr:spPr>
      <xdr:txBody>
        <a:bodyPr vertOverflow="clip" wrap="square" lIns="27432" tIns="27432" rIns="0" bIns="0" anchor="t" upright="1"/>
        <a:lstStyle/>
        <a:p>
          <a:pPr algn="l" rtl="0">
            <a:defRPr sz="1000"/>
          </a:pPr>
          <a:r>
            <a:rPr lang="en-US" sz="1200" b="1" i="0" strike="noStrike">
              <a:solidFill>
                <a:srgbClr val="000000"/>
              </a:solidFill>
              <a:latin typeface="Arial"/>
              <a:cs typeface="Arial"/>
            </a:rPr>
            <a:t>If</a:t>
          </a:r>
          <a:r>
            <a:rPr lang="en-US" sz="1200" b="1" i="0" strike="noStrike" baseline="0">
              <a:solidFill>
                <a:srgbClr val="000000"/>
              </a:solidFill>
              <a:latin typeface="Arial"/>
              <a:cs typeface="Arial"/>
            </a:rPr>
            <a:t> the VLOOKUP formula  you are building is to be propagated into other cells, use absolute references </a:t>
          </a:r>
          <a:br>
            <a:rPr lang="en-US" sz="1200" b="1" i="0" strike="noStrike" baseline="0">
              <a:solidFill>
                <a:srgbClr val="000000"/>
              </a:solidFill>
              <a:latin typeface="Arial"/>
              <a:cs typeface="Arial"/>
            </a:rPr>
          </a:br>
          <a:r>
            <a:rPr lang="en-US" sz="1200" b="1" i="0" strike="noStrike" baseline="0">
              <a:solidFill>
                <a:srgbClr val="000000"/>
              </a:solidFill>
              <a:latin typeface="Arial"/>
              <a:cs typeface="Arial"/>
            </a:rPr>
            <a:t>(or equivalent) for the</a:t>
          </a:r>
          <a:r>
            <a:rPr lang="en-US" sz="1200" b="1" i="0" strike="noStrike" baseline="0">
              <a:solidFill>
                <a:sysClr val="windowText" lastClr="000000"/>
              </a:solidFill>
              <a:latin typeface="Arial"/>
              <a:cs typeface="Arial"/>
            </a:rPr>
            <a:t>Table_array</a:t>
          </a:r>
          <a:r>
            <a:rPr lang="en-US" sz="1200" b="1" i="0" strike="noStrike" baseline="0">
              <a:solidFill>
                <a:srgbClr val="000000"/>
              </a:solidFill>
              <a:latin typeface="Arial"/>
              <a:cs typeface="Arial"/>
            </a:rPr>
            <a:t>.</a:t>
          </a:r>
        </a:p>
        <a:p>
          <a:pPr algn="l" rtl="0">
            <a:defRPr sz="1000"/>
          </a:pPr>
          <a:endParaRPr lang="en-US" sz="1200" b="1" i="0" strike="noStrike" baseline="0">
            <a:solidFill>
              <a:srgbClr val="FFFFCC"/>
            </a:solidFill>
            <a:latin typeface="Arial"/>
            <a:cs typeface="Arial"/>
          </a:endParaRPr>
        </a:p>
        <a:p>
          <a:pPr algn="l" rtl="0">
            <a:defRPr sz="1000"/>
          </a:pPr>
          <a:r>
            <a:rPr lang="en-US" sz="1200" b="1" i="0" strike="noStrike" baseline="0">
              <a:solidFill>
                <a:srgbClr val="000000"/>
              </a:solidFill>
              <a:latin typeface="Arial"/>
              <a:cs typeface="Arial"/>
            </a:rPr>
            <a:t>"Equivalent" could be the name of an Excel Table, or it could be a user-defined name for the Lookup Table)</a:t>
          </a:r>
          <a:endParaRPr lang="en-US" sz="1200" b="1" i="0" strike="noStrike">
            <a:solidFill>
              <a:srgbClr val="000000"/>
            </a:solidFill>
            <a:latin typeface="Arial"/>
            <a:cs typeface="Arial"/>
          </a:endParaRPr>
        </a:p>
      </xdr:txBody>
    </xdr:sp>
    <xdr:clientData/>
  </xdr:twoCellAnchor>
  <xdr:twoCellAnchor>
    <xdr:from>
      <xdr:col>0</xdr:col>
      <xdr:colOff>123825</xdr:colOff>
      <xdr:row>40</xdr:row>
      <xdr:rowOff>152400</xdr:rowOff>
    </xdr:from>
    <xdr:to>
      <xdr:col>2</xdr:col>
      <xdr:colOff>142875</xdr:colOff>
      <xdr:row>53</xdr:row>
      <xdr:rowOff>142875</xdr:rowOff>
    </xdr:to>
    <xdr:sp macro="" textlink="">
      <xdr:nvSpPr>
        <xdr:cNvPr id="26" name="Rectangle 7">
          <a:extLst>
            <a:ext uri="{FF2B5EF4-FFF2-40B4-BE49-F238E27FC236}">
              <a16:creationId xmlns:a16="http://schemas.microsoft.com/office/drawing/2014/main" id="{00000000-0008-0000-0300-00001A000000}"/>
            </a:ext>
          </a:extLst>
        </xdr:cNvPr>
        <xdr:cNvSpPr>
          <a:spLocks noChangeArrowheads="1"/>
        </xdr:cNvSpPr>
      </xdr:nvSpPr>
      <xdr:spPr bwMode="auto">
        <a:xfrm>
          <a:off x="123825" y="6905625"/>
          <a:ext cx="1800225" cy="2095500"/>
        </a:xfrm>
        <a:prstGeom prst="rect">
          <a:avLst/>
        </a:prstGeom>
        <a:solidFill>
          <a:srgbClr val="FFFFC0"/>
        </a:solidFill>
        <a:ln w="9525">
          <a:solidFill>
            <a:srgbClr val="000000"/>
          </a:solidFill>
          <a:miter lim="800000"/>
          <a:headEnd/>
          <a:tailEnd/>
        </a:ln>
      </xdr:spPr>
      <xdr:txBody>
        <a:bodyPr vertOverflow="clip" wrap="square" lIns="27432" tIns="22860" rIns="27432" bIns="0" anchor="t" upright="1"/>
        <a:lstStyle/>
        <a:p>
          <a:pPr algn="ctr" rtl="0">
            <a:defRPr sz="1000"/>
          </a:pPr>
          <a:r>
            <a:rPr lang="en-US" sz="1200" b="1" i="0" strike="noStrike">
              <a:solidFill>
                <a:srgbClr val="000000"/>
              </a:solidFill>
              <a:latin typeface="Arial"/>
              <a:cs typeface="Arial"/>
            </a:rPr>
            <a:t>Boldface labels indicate arguments for which values must be supplied </a:t>
          </a:r>
          <a:r>
            <a:rPr lang="en-US" sz="1200" b="1" i="0" strike="noStrike">
              <a:solidFill>
                <a:srgbClr val="FF0000"/>
              </a:solidFill>
              <a:latin typeface="Arial"/>
              <a:cs typeface="Arial"/>
            </a:rPr>
            <a:t>explicitly</a:t>
          </a:r>
        </a:p>
        <a:p>
          <a:pPr algn="ctr" rtl="0">
            <a:defRPr sz="1000"/>
          </a:pPr>
          <a:r>
            <a:rPr lang="en-US" sz="1200" b="1" i="0" strike="noStrike">
              <a:solidFill>
                <a:srgbClr val="000000"/>
              </a:solidFill>
              <a:latin typeface="Arial"/>
              <a:cs typeface="Arial"/>
            </a:rPr>
            <a:t> </a:t>
          </a:r>
        </a:p>
        <a:p>
          <a:pPr algn="ctr" rtl="0">
            <a:defRPr sz="1000"/>
          </a:pPr>
          <a:r>
            <a:rPr lang="en-US" sz="1200" b="1" i="0" strike="noStrike">
              <a:solidFill>
                <a:srgbClr val="000000"/>
              </a:solidFill>
              <a:latin typeface="Arial"/>
              <a:cs typeface="Arial"/>
            </a:rPr>
            <a:t>Non-bolded labels indicate arguments for which a </a:t>
          </a:r>
          <a:r>
            <a:rPr lang="en-US" sz="1200" b="1" i="0" strike="noStrike">
              <a:solidFill>
                <a:srgbClr val="FF0000"/>
              </a:solidFill>
              <a:latin typeface="Arial"/>
              <a:cs typeface="Arial"/>
            </a:rPr>
            <a:t>default value </a:t>
          </a:r>
          <a:r>
            <a:rPr lang="en-US" sz="1200" b="1" i="0" strike="noStrike">
              <a:solidFill>
                <a:srgbClr val="000000"/>
              </a:solidFill>
              <a:latin typeface="Arial"/>
              <a:cs typeface="Arial"/>
            </a:rPr>
            <a:t>will be in effect if </a:t>
          </a:r>
          <a:r>
            <a:rPr lang="en-US" sz="1200" b="1" i="0" strike="noStrike" baseline="0">
              <a:solidFill>
                <a:srgbClr val="000000"/>
              </a:solidFill>
              <a:latin typeface="Arial"/>
              <a:cs typeface="Arial"/>
            </a:rPr>
            <a:t>there is no</a:t>
          </a:r>
          <a:r>
            <a:rPr lang="en-US" sz="1200" b="1" i="0" strike="noStrike">
              <a:solidFill>
                <a:srgbClr val="000000"/>
              </a:solidFill>
              <a:latin typeface="Arial"/>
              <a:cs typeface="Arial"/>
            </a:rPr>
            <a:t> value supplied explicitly</a:t>
          </a:r>
        </a:p>
      </xdr:txBody>
    </xdr:sp>
    <xdr:clientData/>
  </xdr:twoCellAnchor>
  <xdr:twoCellAnchor>
    <xdr:from>
      <xdr:col>1</xdr:col>
      <xdr:colOff>390525</xdr:colOff>
      <xdr:row>29</xdr:row>
      <xdr:rowOff>85725</xdr:rowOff>
    </xdr:from>
    <xdr:to>
      <xdr:col>1</xdr:col>
      <xdr:colOff>571500</xdr:colOff>
      <xdr:row>34</xdr:row>
      <xdr:rowOff>142875</xdr:rowOff>
    </xdr:to>
    <xdr:sp macro="" textlink="">
      <xdr:nvSpPr>
        <xdr:cNvPr id="4" name="Left Brace 3">
          <a:extLst>
            <a:ext uri="{FF2B5EF4-FFF2-40B4-BE49-F238E27FC236}">
              <a16:creationId xmlns:a16="http://schemas.microsoft.com/office/drawing/2014/main" id="{00000000-0008-0000-0300-000004000000}"/>
            </a:ext>
          </a:extLst>
        </xdr:cNvPr>
        <xdr:cNvSpPr/>
      </xdr:nvSpPr>
      <xdr:spPr bwMode="auto">
        <a:xfrm>
          <a:off x="695325" y="5057775"/>
          <a:ext cx="180975" cy="866775"/>
        </a:xfrm>
        <a:prstGeom prst="leftBrace">
          <a:avLst/>
        </a:prstGeom>
        <a:noFill/>
        <a:ln w="38100" cap="flat" cmpd="sng" algn="ctr">
          <a:solidFill>
            <a:sysClr val="windowText" lastClr="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1</xdr:col>
      <xdr:colOff>47625</xdr:colOff>
      <xdr:row>32</xdr:row>
      <xdr:rowOff>19050</xdr:rowOff>
    </xdr:from>
    <xdr:to>
      <xdr:col>1</xdr:col>
      <xdr:colOff>47625</xdr:colOff>
      <xdr:row>41</xdr:row>
      <xdr:rowOff>0</xdr:rowOff>
    </xdr:to>
    <xdr:cxnSp macro="">
      <xdr:nvCxnSpPr>
        <xdr:cNvPr id="6" name="Straight Arrow Connector 5">
          <a:extLst>
            <a:ext uri="{FF2B5EF4-FFF2-40B4-BE49-F238E27FC236}">
              <a16:creationId xmlns:a16="http://schemas.microsoft.com/office/drawing/2014/main" id="{00000000-0008-0000-0300-000006000000}"/>
            </a:ext>
          </a:extLst>
        </xdr:cNvPr>
        <xdr:cNvCxnSpPr/>
      </xdr:nvCxnSpPr>
      <xdr:spPr bwMode="auto">
        <a:xfrm flipV="1">
          <a:off x="352425" y="5476875"/>
          <a:ext cx="0" cy="1438275"/>
        </a:xfrm>
        <a:prstGeom prst="straightConnector1">
          <a:avLst/>
        </a:prstGeom>
        <a:solidFill>
          <a:srgbClr val="FFFFFF"/>
        </a:solidFill>
        <a:ln w="38100" cap="flat" cmpd="sng" algn="ctr">
          <a:solidFill>
            <a:sysClr val="windowText" lastClr="000000"/>
          </a:solidFill>
          <a:prstDash val="solid"/>
          <a:round/>
          <a:headEnd type="none" w="med" len="med"/>
          <a:tailEnd type="none" w="med" len="med"/>
        </a:ln>
        <a:effectLst/>
      </xdr:spPr>
    </xdr:cxnSp>
    <xdr:clientData/>
  </xdr:twoCellAnchor>
  <xdr:twoCellAnchor>
    <xdr:from>
      <xdr:col>1</xdr:col>
      <xdr:colOff>38100</xdr:colOff>
      <xdr:row>32</xdr:row>
      <xdr:rowOff>28575</xdr:rowOff>
    </xdr:from>
    <xdr:to>
      <xdr:col>1</xdr:col>
      <xdr:colOff>285750</xdr:colOff>
      <xdr:row>32</xdr:row>
      <xdr:rowOff>28575</xdr:rowOff>
    </xdr:to>
    <xdr:cxnSp macro="">
      <xdr:nvCxnSpPr>
        <xdr:cNvPr id="8" name="Straight Arrow Connector 7">
          <a:extLst>
            <a:ext uri="{FF2B5EF4-FFF2-40B4-BE49-F238E27FC236}">
              <a16:creationId xmlns:a16="http://schemas.microsoft.com/office/drawing/2014/main" id="{00000000-0008-0000-0300-000008000000}"/>
            </a:ext>
          </a:extLst>
        </xdr:cNvPr>
        <xdr:cNvCxnSpPr/>
      </xdr:nvCxnSpPr>
      <xdr:spPr bwMode="auto">
        <a:xfrm>
          <a:off x="342900" y="5486400"/>
          <a:ext cx="247650" cy="0"/>
        </a:xfrm>
        <a:prstGeom prst="straightConnector1">
          <a:avLst/>
        </a:prstGeom>
        <a:solidFill>
          <a:srgbClr val="FFFFFF"/>
        </a:solidFill>
        <a:ln w="38100" cap="flat" cmpd="sng" algn="ctr">
          <a:solidFill>
            <a:sysClr val="windowText" lastClr="000000"/>
          </a:solidFill>
          <a:prstDash val="solid"/>
          <a:round/>
          <a:headEnd type="none" w="med" len="med"/>
          <a:tailEnd type="arrow"/>
        </a:ln>
        <a:effectLst/>
      </xdr:spPr>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656431</xdr:colOff>
      <xdr:row>12</xdr:row>
      <xdr:rowOff>797</xdr:rowOff>
    </xdr:from>
    <xdr:to>
      <xdr:col>1</xdr:col>
      <xdr:colOff>658019</xdr:colOff>
      <xdr:row>14</xdr:row>
      <xdr:rowOff>48420</xdr:rowOff>
    </xdr:to>
    <xdr:cxnSp macro="">
      <xdr:nvCxnSpPr>
        <xdr:cNvPr id="2" name="Straight Arrow Connector 1">
          <a:extLst>
            <a:ext uri="{FF2B5EF4-FFF2-40B4-BE49-F238E27FC236}">
              <a16:creationId xmlns:a16="http://schemas.microsoft.com/office/drawing/2014/main" id="{00000000-0008-0000-0400-000002000000}"/>
            </a:ext>
          </a:extLst>
        </xdr:cNvPr>
        <xdr:cNvCxnSpPr/>
      </xdr:nvCxnSpPr>
      <xdr:spPr bwMode="auto">
        <a:xfrm rot="5400000">
          <a:off x="771526" y="2381252"/>
          <a:ext cx="380998" cy="1588"/>
        </a:xfrm>
        <a:prstGeom prst="straightConnector1">
          <a:avLst/>
        </a:prstGeom>
        <a:solidFill>
          <a:srgbClr val="FFFFFF"/>
        </a:solidFill>
        <a:ln w="57150" cap="flat" cmpd="sng" algn="ctr">
          <a:solidFill>
            <a:srgbClr val="000000"/>
          </a:solidFill>
          <a:prstDash val="solid"/>
          <a:round/>
          <a:headEnd type="none" w="med" len="med"/>
          <a:tailEnd type="arrow"/>
        </a:ln>
        <a:effectLst/>
      </xdr:spPr>
    </xdr:cxnSp>
    <xdr:clientData/>
  </xdr:twoCellAnchor>
  <xdr:twoCellAnchor>
    <xdr:from>
      <xdr:col>2</xdr:col>
      <xdr:colOff>569912</xdr:colOff>
      <xdr:row>12</xdr:row>
      <xdr:rowOff>794</xdr:rowOff>
    </xdr:from>
    <xdr:to>
      <xdr:col>2</xdr:col>
      <xdr:colOff>571500</xdr:colOff>
      <xdr:row>14</xdr:row>
      <xdr:rowOff>20639</xdr:rowOff>
    </xdr:to>
    <xdr:cxnSp macro="">
      <xdr:nvCxnSpPr>
        <xdr:cNvPr id="4" name="Straight Arrow Connector 3">
          <a:extLst>
            <a:ext uri="{FF2B5EF4-FFF2-40B4-BE49-F238E27FC236}">
              <a16:creationId xmlns:a16="http://schemas.microsoft.com/office/drawing/2014/main" id="{00000000-0008-0000-0400-000004000000}"/>
            </a:ext>
          </a:extLst>
        </xdr:cNvPr>
        <xdr:cNvCxnSpPr/>
      </xdr:nvCxnSpPr>
      <xdr:spPr bwMode="auto">
        <a:xfrm rot="5400000">
          <a:off x="2175271" y="2367360"/>
          <a:ext cx="353220" cy="1588"/>
        </a:xfrm>
        <a:prstGeom prst="straightConnector1">
          <a:avLst/>
        </a:prstGeom>
        <a:solidFill>
          <a:srgbClr val="FFFFFF"/>
        </a:solidFill>
        <a:ln w="57150" cap="flat" cmpd="sng" algn="ctr">
          <a:solidFill>
            <a:srgbClr val="000000"/>
          </a:solidFill>
          <a:prstDash val="solid"/>
          <a:round/>
          <a:headEnd type="none" w="med" len="med"/>
          <a:tailEnd type="arrow"/>
        </a:ln>
        <a:effectLst/>
      </xdr:spPr>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85725</xdr:colOff>
      <xdr:row>2</xdr:row>
      <xdr:rowOff>152400</xdr:rowOff>
    </xdr:from>
    <xdr:to>
      <xdr:col>10</xdr:col>
      <xdr:colOff>0</xdr:colOff>
      <xdr:row>21</xdr:row>
      <xdr:rowOff>19050</xdr:rowOff>
    </xdr:to>
    <xdr:pic>
      <xdr:nvPicPr>
        <xdr:cNvPr id="37889" name="Picture 1">
          <a:extLst>
            <a:ext uri="{FF2B5EF4-FFF2-40B4-BE49-F238E27FC236}">
              <a16:creationId xmlns:a16="http://schemas.microsoft.com/office/drawing/2014/main" id="{00000000-0008-0000-0500-000001940000}"/>
            </a:ext>
          </a:extLst>
        </xdr:cNvPr>
        <xdr:cNvPicPr>
          <a:picLocks noChangeAspect="1" noChangeArrowheads="1"/>
        </xdr:cNvPicPr>
      </xdr:nvPicPr>
      <xdr:blipFill>
        <a:blip xmlns:r="http://schemas.openxmlformats.org/officeDocument/2006/relationships" r:embed="rId1" cstate="print"/>
        <a:srcRect l="661" t="8163"/>
        <a:stretch>
          <a:fillRect/>
        </a:stretch>
      </xdr:blipFill>
      <xdr:spPr bwMode="auto">
        <a:xfrm>
          <a:off x="85725" y="990600"/>
          <a:ext cx="6543675" cy="2943225"/>
        </a:xfrm>
        <a:prstGeom prst="rect">
          <a:avLst/>
        </a:prstGeom>
        <a:noFill/>
        <a:ln w="1">
          <a:noFill/>
          <a:miter lim="800000"/>
          <a:headEnd/>
          <a:tailEnd/>
        </a:ln>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161925</xdr:colOff>
      <xdr:row>33</xdr:row>
      <xdr:rowOff>152400</xdr:rowOff>
    </xdr:from>
    <xdr:to>
      <xdr:col>6</xdr:col>
      <xdr:colOff>418480</xdr:colOff>
      <xdr:row>50</xdr:row>
      <xdr:rowOff>18723</xdr:rowOff>
    </xdr:to>
    <xdr:pic>
      <xdr:nvPicPr>
        <xdr:cNvPr id="6" name="Picture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1"/>
        <a:stretch>
          <a:fillRect/>
        </a:stretch>
      </xdr:blipFill>
      <xdr:spPr>
        <a:xfrm>
          <a:off x="771525" y="5810250"/>
          <a:ext cx="4961905" cy="2619048"/>
        </a:xfrm>
        <a:prstGeom prst="rect">
          <a:avLst/>
        </a:prstGeom>
        <a:ln w="50800">
          <a:solidFill>
            <a:schemeClr val="tx1"/>
          </a:solidFill>
        </a:ln>
      </xdr:spPr>
    </xdr:pic>
    <xdr:clientData/>
  </xdr:twoCellAnchor>
  <xdr:twoCellAnchor editAs="oneCell">
    <xdr:from>
      <xdr:col>1</xdr:col>
      <xdr:colOff>171450</xdr:colOff>
      <xdr:row>14</xdr:row>
      <xdr:rowOff>114300</xdr:rowOff>
    </xdr:from>
    <xdr:to>
      <xdr:col>6</xdr:col>
      <xdr:colOff>447052</xdr:colOff>
      <xdr:row>30</xdr:row>
      <xdr:rowOff>133024</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781050" y="2695575"/>
          <a:ext cx="4980952" cy="2609524"/>
        </a:xfrm>
        <a:prstGeom prst="rect">
          <a:avLst/>
        </a:prstGeom>
        <a:ln w="50800">
          <a:solidFill>
            <a:schemeClr val="tx1"/>
          </a:solidFill>
        </a:ln>
      </xdr:spPr>
    </xdr:pic>
    <xdr:clientData/>
  </xdr:twoCellAnchor>
  <xdr:twoCellAnchor>
    <xdr:from>
      <xdr:col>0</xdr:col>
      <xdr:colOff>200025</xdr:colOff>
      <xdr:row>3</xdr:row>
      <xdr:rowOff>85725</xdr:rowOff>
    </xdr:from>
    <xdr:to>
      <xdr:col>8</xdr:col>
      <xdr:colOff>0</xdr:colOff>
      <xdr:row>11</xdr:row>
      <xdr:rowOff>66675</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200025" y="885825"/>
          <a:ext cx="6677025"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200" b="1">
              <a:latin typeface="Arial" pitchFamily="34" charset="0"/>
              <a:cs typeface="Arial" pitchFamily="34" charset="0"/>
            </a:rPr>
            <a:t>The </a:t>
          </a:r>
          <a:r>
            <a:rPr lang="en-US" sz="1200" b="1">
              <a:solidFill>
                <a:srgbClr val="FF0000"/>
              </a:solidFill>
              <a:latin typeface="Arial" pitchFamily="34" charset="0"/>
              <a:cs typeface="Arial" pitchFamily="34" charset="0"/>
            </a:rPr>
            <a:t>IFERROR</a:t>
          </a:r>
          <a:r>
            <a:rPr lang="en-US" sz="1200" b="1">
              <a:latin typeface="Arial" pitchFamily="34" charset="0"/>
              <a:cs typeface="Arial" pitchFamily="34" charset="0"/>
            </a:rPr>
            <a:t> function is used to determine if attempted</a:t>
          </a:r>
          <a:r>
            <a:rPr lang="en-US" sz="1200" b="1" baseline="0">
              <a:latin typeface="Arial" pitchFamily="34" charset="0"/>
              <a:cs typeface="Arial" pitchFamily="34" charset="0"/>
            </a:rPr>
            <a:t> evaluation of the formula in a cell results in an error code (an error message) and</a:t>
          </a:r>
          <a:r>
            <a:rPr lang="en-US" sz="1200" b="1">
              <a:latin typeface="Arial" pitchFamily="34" charset="0"/>
              <a:cs typeface="Arial" pitchFamily="34" charset="0"/>
            </a:rPr>
            <a:t>, if it does, displays a</a:t>
          </a:r>
          <a:r>
            <a:rPr lang="en-US" sz="1200" b="1" baseline="0">
              <a:latin typeface="Arial" pitchFamily="34" charset="0"/>
              <a:cs typeface="Arial" pitchFamily="34" charset="0"/>
            </a:rPr>
            <a:t> message of the </a:t>
          </a:r>
          <a:r>
            <a:rPr lang="en-US" sz="1200" b="1" baseline="0">
              <a:solidFill>
                <a:srgbClr val="FF0000"/>
              </a:solidFill>
              <a:latin typeface="Arial" pitchFamily="34" charset="0"/>
              <a:cs typeface="Arial" pitchFamily="34" charset="0"/>
            </a:rPr>
            <a:t>user's</a:t>
          </a:r>
          <a:r>
            <a:rPr lang="en-US" sz="1200" b="1" baseline="0">
              <a:latin typeface="Arial" pitchFamily="34" charset="0"/>
              <a:cs typeface="Arial" pitchFamily="34" charset="0"/>
            </a:rPr>
            <a:t> design in the cell rather than the default error code.</a:t>
          </a:r>
        </a:p>
        <a:p>
          <a:pPr algn="l"/>
          <a:endParaRPr lang="en-US" sz="1200" b="1" baseline="0">
            <a:latin typeface="Arial" pitchFamily="34" charset="0"/>
            <a:cs typeface="Arial" pitchFamily="34" charset="0"/>
          </a:endParaRPr>
        </a:p>
        <a:p>
          <a:pPr algn="l"/>
          <a:r>
            <a:rPr lang="en-US" sz="1200" b="1" baseline="0">
              <a:latin typeface="Arial" pitchFamily="34" charset="0"/>
              <a:cs typeface="Arial" pitchFamily="34" charset="0"/>
            </a:rPr>
            <a:t>(A message of the user's design can be more user-friendly and meaningful than a default error code, such as #N/A, for example.)</a:t>
          </a:r>
          <a:endParaRPr lang="en-US" sz="1200" b="1">
            <a:latin typeface="Arial" pitchFamily="34" charset="0"/>
            <a:cs typeface="Arial" pitchFamily="34" charset="0"/>
          </a:endParaRPr>
        </a:p>
      </xdr:txBody>
    </xdr:sp>
    <xdr:clientData/>
  </xdr:twoCellAnchor>
  <xdr:twoCellAnchor>
    <xdr:from>
      <xdr:col>4</xdr:col>
      <xdr:colOff>1162049</xdr:colOff>
      <xdr:row>14</xdr:row>
      <xdr:rowOff>76202</xdr:rowOff>
    </xdr:from>
    <xdr:to>
      <xdr:col>8</xdr:col>
      <xdr:colOff>276224</xdr:colOff>
      <xdr:row>17</xdr:row>
      <xdr:rowOff>83820</xdr:rowOff>
    </xdr:to>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4720589" y="2697482"/>
          <a:ext cx="2345055" cy="510538"/>
        </a:xfrm>
        <a:prstGeom prst="rect">
          <a:avLst/>
        </a:prstGeom>
        <a:solidFill>
          <a:srgbClr val="FFFF00"/>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latin typeface="Arial" pitchFamily="34" charset="0"/>
              <a:cs typeface="Arial" pitchFamily="34" charset="0"/>
            </a:rPr>
            <a:t>The first </a:t>
          </a:r>
          <a:r>
            <a:rPr lang="en-US" sz="1100" b="1">
              <a:solidFill>
                <a:srgbClr val="FF0000"/>
              </a:solidFill>
              <a:latin typeface="Arial" pitchFamily="34" charset="0"/>
              <a:cs typeface="Arial" pitchFamily="34" charset="0"/>
            </a:rPr>
            <a:t>IFERROR</a:t>
          </a:r>
          <a:r>
            <a:rPr lang="en-US" sz="1100" b="1">
              <a:latin typeface="Arial" pitchFamily="34" charset="0"/>
              <a:cs typeface="Arial" pitchFamily="34" charset="0"/>
            </a:rPr>
            <a:t> argument is the formula to be evaluated</a:t>
          </a:r>
        </a:p>
      </xdr:txBody>
    </xdr:sp>
    <xdr:clientData/>
  </xdr:twoCellAnchor>
  <xdr:twoCellAnchor>
    <xdr:from>
      <xdr:col>2</xdr:col>
      <xdr:colOff>590551</xdr:colOff>
      <xdr:row>15</xdr:row>
      <xdr:rowOff>163831</xdr:rowOff>
    </xdr:from>
    <xdr:to>
      <xdr:col>4</xdr:col>
      <xdr:colOff>1162049</xdr:colOff>
      <xdr:row>18</xdr:row>
      <xdr:rowOff>47625</xdr:rowOff>
    </xdr:to>
    <xdr:cxnSp macro="">
      <xdr:nvCxnSpPr>
        <xdr:cNvPr id="9" name="Straight Arrow Connector 8">
          <a:extLst>
            <a:ext uri="{FF2B5EF4-FFF2-40B4-BE49-F238E27FC236}">
              <a16:creationId xmlns:a16="http://schemas.microsoft.com/office/drawing/2014/main" id="{00000000-0008-0000-0600-000009000000}"/>
            </a:ext>
          </a:extLst>
        </xdr:cNvPr>
        <xdr:cNvCxnSpPr>
          <a:stCxn id="7" idx="1"/>
        </xdr:cNvCxnSpPr>
      </xdr:nvCxnSpPr>
      <xdr:spPr bwMode="auto">
        <a:xfrm flipH="1">
          <a:off x="2769871" y="2952751"/>
          <a:ext cx="1950718" cy="386714"/>
        </a:xfrm>
        <a:prstGeom prst="straightConnector1">
          <a:avLst/>
        </a:prstGeom>
        <a:solidFill>
          <a:srgbClr val="FFFFFF"/>
        </a:solidFill>
        <a:ln w="57150" cap="flat" cmpd="sng" algn="ctr">
          <a:solidFill>
            <a:sysClr val="windowText" lastClr="000000"/>
          </a:solidFill>
          <a:prstDash val="solid"/>
          <a:round/>
          <a:headEnd type="none" w="med" len="med"/>
          <a:tailEnd type="arrow"/>
        </a:ln>
        <a:effectLst/>
      </xdr:spPr>
    </xdr:cxnSp>
    <xdr:clientData/>
  </xdr:twoCellAnchor>
  <xdr:twoCellAnchor>
    <xdr:from>
      <xdr:col>0</xdr:col>
      <xdr:colOff>114300</xdr:colOff>
      <xdr:row>23</xdr:row>
      <xdr:rowOff>38100</xdr:rowOff>
    </xdr:from>
    <xdr:to>
      <xdr:col>3</xdr:col>
      <xdr:colOff>533400</xdr:colOff>
      <xdr:row>28</xdr:row>
      <xdr:rowOff>114301</xdr:rowOff>
    </xdr:to>
    <xdr:sp macro="" textlink="">
      <xdr:nvSpPr>
        <xdr:cNvPr id="10" name="TextBox 9">
          <a:extLst>
            <a:ext uri="{FF2B5EF4-FFF2-40B4-BE49-F238E27FC236}">
              <a16:creationId xmlns:a16="http://schemas.microsoft.com/office/drawing/2014/main" id="{00000000-0008-0000-0600-00000A000000}"/>
            </a:ext>
          </a:extLst>
        </xdr:cNvPr>
        <xdr:cNvSpPr txBox="1"/>
      </xdr:nvSpPr>
      <xdr:spPr>
        <a:xfrm>
          <a:off x="114300" y="4076700"/>
          <a:ext cx="3276600" cy="885826"/>
        </a:xfrm>
        <a:prstGeom prst="rect">
          <a:avLst/>
        </a:prstGeom>
        <a:solidFill>
          <a:srgbClr val="FFFF00"/>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latin typeface="Arial" pitchFamily="34" charset="0"/>
              <a:cs typeface="Arial" pitchFamily="34" charset="0"/>
            </a:rPr>
            <a:t>The second </a:t>
          </a:r>
          <a:r>
            <a:rPr lang="en-US" sz="1100" b="1">
              <a:solidFill>
                <a:srgbClr val="FF0000"/>
              </a:solidFill>
              <a:latin typeface="Arial" pitchFamily="34" charset="0"/>
              <a:cs typeface="Arial" pitchFamily="34" charset="0"/>
            </a:rPr>
            <a:t>IFERROR</a:t>
          </a:r>
          <a:r>
            <a:rPr lang="en-US" sz="1100" b="1">
              <a:latin typeface="Arial" pitchFamily="34" charset="0"/>
              <a:cs typeface="Arial" pitchFamily="34" charset="0"/>
            </a:rPr>
            <a:t> argument is the message to be displayed if attempted evaluation of the formula in the first</a:t>
          </a:r>
          <a:r>
            <a:rPr lang="en-US" sz="1100" b="1" baseline="0">
              <a:latin typeface="Arial" pitchFamily="34" charset="0"/>
              <a:cs typeface="Arial" pitchFamily="34" charset="0"/>
            </a:rPr>
            <a:t> </a:t>
          </a:r>
          <a:r>
            <a:rPr lang="en-US" sz="1100" b="1">
              <a:latin typeface="Arial" pitchFamily="34" charset="0"/>
              <a:cs typeface="Arial" pitchFamily="34" charset="0"/>
            </a:rPr>
            <a:t>argument produces </a:t>
          </a:r>
          <a:r>
            <a:rPr lang="en-US" sz="1100" b="1" baseline="0">
              <a:latin typeface="Arial" pitchFamily="34" charset="0"/>
              <a:cs typeface="Arial" pitchFamily="34" charset="0"/>
            </a:rPr>
            <a:t>an error code.</a:t>
          </a:r>
          <a:r>
            <a:rPr lang="en-US" sz="1100" b="1">
              <a:latin typeface="Arial" pitchFamily="34" charset="0"/>
              <a:cs typeface="Arial" pitchFamily="34" charset="0"/>
            </a:rPr>
            <a:t> </a:t>
          </a:r>
        </a:p>
      </xdr:txBody>
    </xdr:sp>
    <xdr:clientData/>
  </xdr:twoCellAnchor>
  <xdr:twoCellAnchor>
    <xdr:from>
      <xdr:col>1</xdr:col>
      <xdr:colOff>1171575</xdr:colOff>
      <xdr:row>19</xdr:row>
      <xdr:rowOff>123825</xdr:rowOff>
    </xdr:from>
    <xdr:to>
      <xdr:col>2</xdr:col>
      <xdr:colOff>342900</xdr:colOff>
      <xdr:row>23</xdr:row>
      <xdr:rowOff>19050</xdr:rowOff>
    </xdr:to>
    <xdr:cxnSp macro="">
      <xdr:nvCxnSpPr>
        <xdr:cNvPr id="11" name="Straight Arrow Connector 10">
          <a:extLst>
            <a:ext uri="{FF2B5EF4-FFF2-40B4-BE49-F238E27FC236}">
              <a16:creationId xmlns:a16="http://schemas.microsoft.com/office/drawing/2014/main" id="{00000000-0008-0000-0600-00000B000000}"/>
            </a:ext>
          </a:extLst>
        </xdr:cNvPr>
        <xdr:cNvCxnSpPr/>
      </xdr:nvCxnSpPr>
      <xdr:spPr bwMode="auto">
        <a:xfrm flipV="1">
          <a:off x="1781175" y="3514725"/>
          <a:ext cx="685800" cy="542925"/>
        </a:xfrm>
        <a:prstGeom prst="straightConnector1">
          <a:avLst/>
        </a:prstGeom>
        <a:solidFill>
          <a:srgbClr val="FFFFFF"/>
        </a:solidFill>
        <a:ln w="57150" cap="flat" cmpd="sng" algn="ctr">
          <a:solidFill>
            <a:sysClr val="windowText" lastClr="000000"/>
          </a:solidFill>
          <a:prstDash val="solid"/>
          <a:round/>
          <a:headEnd type="none" w="med" len="med"/>
          <a:tailEnd type="arrow"/>
        </a:ln>
        <a:effectLst/>
      </xdr:spPr>
    </xdr:cxnSp>
    <xdr:clientData/>
  </xdr:twoCellAnchor>
  <xdr:twoCellAnchor>
    <xdr:from>
      <xdr:col>1</xdr:col>
      <xdr:colOff>1457325</xdr:colOff>
      <xdr:row>33</xdr:row>
      <xdr:rowOff>19050</xdr:rowOff>
    </xdr:from>
    <xdr:to>
      <xdr:col>8</xdr:col>
      <xdr:colOff>47625</xdr:colOff>
      <xdr:row>35</xdr:row>
      <xdr:rowOff>19050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066925" y="5676900"/>
          <a:ext cx="4591050" cy="323850"/>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300" b="1"/>
            <a:t>Use of the </a:t>
          </a:r>
          <a:r>
            <a:rPr lang="en-US" sz="1300" b="1">
              <a:solidFill>
                <a:srgbClr val="FFFF00"/>
              </a:solidFill>
            </a:rPr>
            <a:t>IFERROR</a:t>
          </a:r>
          <a:r>
            <a:rPr lang="en-US" sz="1300" b="1"/>
            <a:t> Function</a:t>
          </a:r>
          <a:r>
            <a:rPr lang="en-US" sz="1300" b="1" baseline="0"/>
            <a:t> </a:t>
          </a:r>
          <a:r>
            <a:rPr lang="en-US" sz="1300" b="1"/>
            <a:t>in the Phone</a:t>
          </a:r>
          <a:r>
            <a:rPr lang="en-US" sz="1300" b="1" baseline="0"/>
            <a:t> Book Example</a:t>
          </a:r>
          <a:endParaRPr lang="en-US" sz="13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419100</xdr:colOff>
      <xdr:row>15</xdr:row>
      <xdr:rowOff>0</xdr:rowOff>
    </xdr:from>
    <xdr:to>
      <xdr:col>7</xdr:col>
      <xdr:colOff>123825</xdr:colOff>
      <xdr:row>16</xdr:row>
      <xdr:rowOff>28575</xdr:rowOff>
    </xdr:to>
    <xdr:sp macro="" textlink="">
      <xdr:nvSpPr>
        <xdr:cNvPr id="2" name="Text Box 1">
          <a:extLst>
            <a:ext uri="{FF2B5EF4-FFF2-40B4-BE49-F238E27FC236}">
              <a16:creationId xmlns:a16="http://schemas.microsoft.com/office/drawing/2014/main" id="{00000000-0008-0000-0700-000002000000}"/>
            </a:ext>
          </a:extLst>
        </xdr:cNvPr>
        <xdr:cNvSpPr txBox="1">
          <a:spLocks noChangeArrowheads="1"/>
        </xdr:cNvSpPr>
      </xdr:nvSpPr>
      <xdr:spPr bwMode="auto">
        <a:xfrm>
          <a:off x="3876675" y="3181350"/>
          <a:ext cx="1762125" cy="266700"/>
        </a:xfrm>
        <a:prstGeom prst="rect">
          <a:avLst/>
        </a:prstGeom>
        <a:solidFill>
          <a:srgbClr val="CCFFCC"/>
        </a:solidFill>
        <a:ln w="9525">
          <a:solidFill>
            <a:srgbClr val="000000"/>
          </a:solidFill>
          <a:miter lim="800000"/>
          <a:headEnd/>
          <a:tailEnd/>
        </a:ln>
      </xdr:spPr>
      <xdr:txBody>
        <a:bodyPr vertOverflow="clip" wrap="square" lIns="27432" tIns="27432" rIns="0" bIns="0" anchor="t" upright="1"/>
        <a:lstStyle/>
        <a:p>
          <a:pPr algn="l" rtl="0">
            <a:defRPr sz="1000"/>
          </a:pPr>
          <a:r>
            <a:rPr lang="en-US" sz="1100" b="1" i="0" strike="noStrike">
              <a:solidFill>
                <a:srgbClr val="000000"/>
              </a:solidFill>
              <a:latin typeface="Arial"/>
              <a:cs typeface="Arial"/>
            </a:rPr>
            <a:t>The "Col index num" is 4</a:t>
          </a:r>
        </a:p>
      </xdr:txBody>
    </xdr:sp>
    <xdr:clientData/>
  </xdr:twoCellAnchor>
  <xdr:twoCellAnchor>
    <xdr:from>
      <xdr:col>3</xdr:col>
      <xdr:colOff>266700</xdr:colOff>
      <xdr:row>24</xdr:row>
      <xdr:rowOff>190500</xdr:rowOff>
    </xdr:from>
    <xdr:to>
      <xdr:col>4</xdr:col>
      <xdr:colOff>1038225</xdr:colOff>
      <xdr:row>25</xdr:row>
      <xdr:rowOff>219075</xdr:rowOff>
    </xdr:to>
    <xdr:sp macro="" textlink="">
      <xdr:nvSpPr>
        <xdr:cNvPr id="3" name="Text Box 2">
          <a:extLst>
            <a:ext uri="{FF2B5EF4-FFF2-40B4-BE49-F238E27FC236}">
              <a16:creationId xmlns:a16="http://schemas.microsoft.com/office/drawing/2014/main" id="{00000000-0008-0000-0700-000003000000}"/>
            </a:ext>
          </a:extLst>
        </xdr:cNvPr>
        <xdr:cNvSpPr txBox="1">
          <a:spLocks noChangeArrowheads="1"/>
        </xdr:cNvSpPr>
      </xdr:nvSpPr>
      <xdr:spPr bwMode="auto">
        <a:xfrm>
          <a:off x="2733675" y="5457825"/>
          <a:ext cx="1762125" cy="266700"/>
        </a:xfrm>
        <a:prstGeom prst="rect">
          <a:avLst/>
        </a:prstGeom>
        <a:solidFill>
          <a:srgbClr val="CCFFCC"/>
        </a:solidFill>
        <a:ln w="9525">
          <a:solidFill>
            <a:srgbClr val="000000"/>
          </a:solidFill>
          <a:miter lim="800000"/>
          <a:headEnd/>
          <a:tailEnd/>
        </a:ln>
      </xdr:spPr>
      <xdr:txBody>
        <a:bodyPr vertOverflow="clip" wrap="square" lIns="27432" tIns="27432" rIns="0" bIns="0" anchor="t" upright="1"/>
        <a:lstStyle/>
        <a:p>
          <a:pPr algn="l" rtl="0">
            <a:defRPr sz="1000"/>
          </a:pPr>
          <a:r>
            <a:rPr lang="en-US" sz="1100" b="1" i="0" strike="noStrike">
              <a:solidFill>
                <a:srgbClr val="000000"/>
              </a:solidFill>
              <a:latin typeface="Arial"/>
              <a:cs typeface="Arial"/>
            </a:rPr>
            <a:t>The "Col index num" is 2</a:t>
          </a:r>
        </a:p>
      </xdr:txBody>
    </xdr:sp>
    <xdr:clientData/>
  </xdr:twoCellAnchor>
  <xdr:twoCellAnchor>
    <xdr:from>
      <xdr:col>3</xdr:col>
      <xdr:colOff>219075</xdr:colOff>
      <xdr:row>19</xdr:row>
      <xdr:rowOff>228600</xdr:rowOff>
    </xdr:from>
    <xdr:to>
      <xdr:col>4</xdr:col>
      <xdr:colOff>990600</xdr:colOff>
      <xdr:row>21</xdr:row>
      <xdr:rowOff>19050</xdr:rowOff>
    </xdr:to>
    <xdr:sp macro="" textlink="">
      <xdr:nvSpPr>
        <xdr:cNvPr id="4" name="Text Box 4">
          <a:extLst>
            <a:ext uri="{FF2B5EF4-FFF2-40B4-BE49-F238E27FC236}">
              <a16:creationId xmlns:a16="http://schemas.microsoft.com/office/drawing/2014/main" id="{00000000-0008-0000-0700-000004000000}"/>
            </a:ext>
          </a:extLst>
        </xdr:cNvPr>
        <xdr:cNvSpPr txBox="1">
          <a:spLocks noChangeArrowheads="1"/>
        </xdr:cNvSpPr>
      </xdr:nvSpPr>
      <xdr:spPr bwMode="auto">
        <a:xfrm>
          <a:off x="2686050" y="4333875"/>
          <a:ext cx="1762125" cy="266700"/>
        </a:xfrm>
        <a:prstGeom prst="rect">
          <a:avLst/>
        </a:prstGeom>
        <a:solidFill>
          <a:srgbClr val="CCFFCC"/>
        </a:solidFill>
        <a:ln w="9525">
          <a:solidFill>
            <a:srgbClr val="000000"/>
          </a:solidFill>
          <a:miter lim="800000"/>
          <a:headEnd/>
          <a:tailEnd/>
        </a:ln>
      </xdr:spPr>
      <xdr:txBody>
        <a:bodyPr vertOverflow="clip" wrap="square" lIns="27432" tIns="27432" rIns="0" bIns="0" anchor="t" upright="1"/>
        <a:lstStyle/>
        <a:p>
          <a:pPr algn="l" rtl="0">
            <a:defRPr sz="1000"/>
          </a:pPr>
          <a:r>
            <a:rPr lang="en-US" sz="1100" b="1" i="0" strike="noStrike">
              <a:solidFill>
                <a:srgbClr val="000000"/>
              </a:solidFill>
              <a:latin typeface="Arial"/>
              <a:cs typeface="Arial"/>
            </a:rPr>
            <a:t>The "Col index num" is 3</a:t>
          </a:r>
        </a:p>
      </xdr:txBody>
    </xdr:sp>
    <xdr:clientData/>
  </xdr:twoCellAnchor>
  <xdr:twoCellAnchor>
    <xdr:from>
      <xdr:col>0</xdr:col>
      <xdr:colOff>247650</xdr:colOff>
      <xdr:row>17</xdr:row>
      <xdr:rowOff>0</xdr:rowOff>
    </xdr:from>
    <xdr:to>
      <xdr:col>7</xdr:col>
      <xdr:colOff>371475</xdr:colOff>
      <xdr:row>17</xdr:row>
      <xdr:rowOff>0</xdr:rowOff>
    </xdr:to>
    <xdr:sp macro="" textlink="">
      <xdr:nvSpPr>
        <xdr:cNvPr id="5" name="Line 5">
          <a:extLst>
            <a:ext uri="{FF2B5EF4-FFF2-40B4-BE49-F238E27FC236}">
              <a16:creationId xmlns:a16="http://schemas.microsoft.com/office/drawing/2014/main" id="{00000000-0008-0000-0700-000005000000}"/>
            </a:ext>
          </a:extLst>
        </xdr:cNvPr>
        <xdr:cNvSpPr>
          <a:spLocks noChangeShapeType="1"/>
        </xdr:cNvSpPr>
      </xdr:nvSpPr>
      <xdr:spPr bwMode="auto">
        <a:xfrm>
          <a:off x="247650" y="3648075"/>
          <a:ext cx="5638800" cy="0"/>
        </a:xfrm>
        <a:prstGeom prst="line">
          <a:avLst/>
        </a:prstGeom>
        <a:noFill/>
        <a:ln w="50800">
          <a:solidFill>
            <a:srgbClr val="000000"/>
          </a:solidFill>
          <a:round/>
          <a:headEnd/>
          <a:tailEnd/>
        </a:ln>
      </xdr:spPr>
    </xdr:sp>
    <xdr:clientData/>
  </xdr:twoCellAnchor>
  <xdr:twoCellAnchor>
    <xdr:from>
      <xdr:col>0</xdr:col>
      <xdr:colOff>285750</xdr:colOff>
      <xdr:row>21</xdr:row>
      <xdr:rowOff>219075</xdr:rowOff>
    </xdr:from>
    <xdr:to>
      <xdr:col>7</xdr:col>
      <xdr:colOff>409575</xdr:colOff>
      <xdr:row>21</xdr:row>
      <xdr:rowOff>219075</xdr:rowOff>
    </xdr:to>
    <xdr:sp macro="" textlink="">
      <xdr:nvSpPr>
        <xdr:cNvPr id="6" name="Line 6">
          <a:extLst>
            <a:ext uri="{FF2B5EF4-FFF2-40B4-BE49-F238E27FC236}">
              <a16:creationId xmlns:a16="http://schemas.microsoft.com/office/drawing/2014/main" id="{00000000-0008-0000-0700-000006000000}"/>
            </a:ext>
          </a:extLst>
        </xdr:cNvPr>
        <xdr:cNvSpPr>
          <a:spLocks noChangeShapeType="1"/>
        </xdr:cNvSpPr>
      </xdr:nvSpPr>
      <xdr:spPr bwMode="auto">
        <a:xfrm>
          <a:off x="285750" y="4800600"/>
          <a:ext cx="5638800" cy="0"/>
        </a:xfrm>
        <a:prstGeom prst="line">
          <a:avLst/>
        </a:prstGeom>
        <a:noFill/>
        <a:ln w="50800">
          <a:solidFill>
            <a:srgbClr val="000000"/>
          </a:solidFill>
          <a:round/>
          <a:headEnd/>
          <a:tailEnd/>
        </a:ln>
      </xdr:spPr>
    </xdr:sp>
    <xdr:clientData/>
  </xdr:twoCellAnchor>
  <xdr:twoCellAnchor>
    <xdr:from>
      <xdr:col>0</xdr:col>
      <xdr:colOff>333375</xdr:colOff>
      <xdr:row>26</xdr:row>
      <xdr:rowOff>190500</xdr:rowOff>
    </xdr:from>
    <xdr:to>
      <xdr:col>7</xdr:col>
      <xdr:colOff>457200</xdr:colOff>
      <xdr:row>26</xdr:row>
      <xdr:rowOff>190500</xdr:rowOff>
    </xdr:to>
    <xdr:sp macro="" textlink="">
      <xdr:nvSpPr>
        <xdr:cNvPr id="7" name="Line 7">
          <a:extLst>
            <a:ext uri="{FF2B5EF4-FFF2-40B4-BE49-F238E27FC236}">
              <a16:creationId xmlns:a16="http://schemas.microsoft.com/office/drawing/2014/main" id="{00000000-0008-0000-0700-000007000000}"/>
            </a:ext>
          </a:extLst>
        </xdr:cNvPr>
        <xdr:cNvSpPr>
          <a:spLocks noChangeShapeType="1"/>
        </xdr:cNvSpPr>
      </xdr:nvSpPr>
      <xdr:spPr bwMode="auto">
        <a:xfrm>
          <a:off x="333375" y="5934075"/>
          <a:ext cx="5638800" cy="0"/>
        </a:xfrm>
        <a:prstGeom prst="line">
          <a:avLst/>
        </a:prstGeom>
        <a:noFill/>
        <a:ln w="50800">
          <a:solidFill>
            <a:srgbClr val="000000"/>
          </a:solidFill>
          <a:round/>
          <a:headEnd/>
          <a:tailEnd/>
        </a:ln>
      </xdr:spPr>
    </xdr:sp>
    <xdr:clientData/>
  </xdr:twoCellAnchor>
  <xdr:twoCellAnchor>
    <xdr:from>
      <xdr:col>0</xdr:col>
      <xdr:colOff>371475</xdr:colOff>
      <xdr:row>33</xdr:row>
      <xdr:rowOff>66675</xdr:rowOff>
    </xdr:from>
    <xdr:to>
      <xdr:col>7</xdr:col>
      <xdr:colOff>495300</xdr:colOff>
      <xdr:row>33</xdr:row>
      <xdr:rowOff>66675</xdr:rowOff>
    </xdr:to>
    <xdr:sp macro="" textlink="">
      <xdr:nvSpPr>
        <xdr:cNvPr id="8" name="Line 8">
          <a:extLst>
            <a:ext uri="{FF2B5EF4-FFF2-40B4-BE49-F238E27FC236}">
              <a16:creationId xmlns:a16="http://schemas.microsoft.com/office/drawing/2014/main" id="{00000000-0008-0000-0700-000008000000}"/>
            </a:ext>
          </a:extLst>
        </xdr:cNvPr>
        <xdr:cNvSpPr>
          <a:spLocks noChangeShapeType="1"/>
        </xdr:cNvSpPr>
      </xdr:nvSpPr>
      <xdr:spPr bwMode="auto">
        <a:xfrm>
          <a:off x="371475" y="7229475"/>
          <a:ext cx="5638800" cy="0"/>
        </a:xfrm>
        <a:prstGeom prst="line">
          <a:avLst/>
        </a:prstGeom>
        <a:noFill/>
        <a:ln w="50800">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419100</xdr:colOff>
      <xdr:row>15</xdr:row>
      <xdr:rowOff>0</xdr:rowOff>
    </xdr:from>
    <xdr:to>
      <xdr:col>7</xdr:col>
      <xdr:colOff>123825</xdr:colOff>
      <xdr:row>16</xdr:row>
      <xdr:rowOff>28575</xdr:rowOff>
    </xdr:to>
    <xdr:sp macro="" textlink="">
      <xdr:nvSpPr>
        <xdr:cNvPr id="48129" name="Text Box 1">
          <a:extLst>
            <a:ext uri="{FF2B5EF4-FFF2-40B4-BE49-F238E27FC236}">
              <a16:creationId xmlns:a16="http://schemas.microsoft.com/office/drawing/2014/main" id="{00000000-0008-0000-0800-000001BC0000}"/>
            </a:ext>
          </a:extLst>
        </xdr:cNvPr>
        <xdr:cNvSpPr txBox="1">
          <a:spLocks noChangeArrowheads="1"/>
        </xdr:cNvSpPr>
      </xdr:nvSpPr>
      <xdr:spPr bwMode="auto">
        <a:xfrm>
          <a:off x="3876675" y="2838450"/>
          <a:ext cx="1762125" cy="266700"/>
        </a:xfrm>
        <a:prstGeom prst="rect">
          <a:avLst/>
        </a:prstGeom>
        <a:solidFill>
          <a:srgbClr val="CCFFCC"/>
        </a:solidFill>
        <a:ln w="9525">
          <a:solidFill>
            <a:srgbClr val="000000"/>
          </a:solidFill>
          <a:miter lim="800000"/>
          <a:headEnd/>
          <a:tailEnd/>
        </a:ln>
      </xdr:spPr>
      <xdr:txBody>
        <a:bodyPr vertOverflow="clip" wrap="square" lIns="27432" tIns="27432" rIns="0" bIns="0" anchor="t" upright="1"/>
        <a:lstStyle/>
        <a:p>
          <a:pPr algn="l" rtl="0">
            <a:defRPr sz="1000"/>
          </a:pPr>
          <a:r>
            <a:rPr lang="en-US" sz="1100" b="1" i="0" strike="noStrike">
              <a:solidFill>
                <a:srgbClr val="000000"/>
              </a:solidFill>
              <a:latin typeface="Arial"/>
              <a:cs typeface="Arial"/>
            </a:rPr>
            <a:t>The "Col index num" is 4</a:t>
          </a:r>
        </a:p>
      </xdr:txBody>
    </xdr:sp>
    <xdr:clientData/>
  </xdr:twoCellAnchor>
  <xdr:twoCellAnchor>
    <xdr:from>
      <xdr:col>3</xdr:col>
      <xdr:colOff>266700</xdr:colOff>
      <xdr:row>24</xdr:row>
      <xdr:rowOff>190500</xdr:rowOff>
    </xdr:from>
    <xdr:to>
      <xdr:col>4</xdr:col>
      <xdr:colOff>1038225</xdr:colOff>
      <xdr:row>25</xdr:row>
      <xdr:rowOff>219075</xdr:rowOff>
    </xdr:to>
    <xdr:sp macro="" textlink="">
      <xdr:nvSpPr>
        <xdr:cNvPr id="48130" name="Text Box 2">
          <a:extLst>
            <a:ext uri="{FF2B5EF4-FFF2-40B4-BE49-F238E27FC236}">
              <a16:creationId xmlns:a16="http://schemas.microsoft.com/office/drawing/2014/main" id="{00000000-0008-0000-0800-000002BC0000}"/>
            </a:ext>
          </a:extLst>
        </xdr:cNvPr>
        <xdr:cNvSpPr txBox="1">
          <a:spLocks noChangeArrowheads="1"/>
        </xdr:cNvSpPr>
      </xdr:nvSpPr>
      <xdr:spPr bwMode="auto">
        <a:xfrm>
          <a:off x="2733675" y="5114925"/>
          <a:ext cx="1762125" cy="266700"/>
        </a:xfrm>
        <a:prstGeom prst="rect">
          <a:avLst/>
        </a:prstGeom>
        <a:solidFill>
          <a:srgbClr val="CCFFCC"/>
        </a:solidFill>
        <a:ln w="9525">
          <a:solidFill>
            <a:srgbClr val="000000"/>
          </a:solidFill>
          <a:miter lim="800000"/>
          <a:headEnd/>
          <a:tailEnd/>
        </a:ln>
      </xdr:spPr>
      <xdr:txBody>
        <a:bodyPr vertOverflow="clip" wrap="square" lIns="27432" tIns="27432" rIns="0" bIns="0" anchor="t" upright="1"/>
        <a:lstStyle/>
        <a:p>
          <a:pPr algn="l" rtl="0">
            <a:defRPr sz="1000"/>
          </a:pPr>
          <a:r>
            <a:rPr lang="en-US" sz="1100" b="1" i="0" strike="noStrike">
              <a:solidFill>
                <a:srgbClr val="000000"/>
              </a:solidFill>
              <a:latin typeface="Arial"/>
              <a:cs typeface="Arial"/>
            </a:rPr>
            <a:t>The "Col index num" is 2</a:t>
          </a:r>
        </a:p>
      </xdr:txBody>
    </xdr:sp>
    <xdr:clientData/>
  </xdr:twoCellAnchor>
  <xdr:twoCellAnchor>
    <xdr:from>
      <xdr:col>3</xdr:col>
      <xdr:colOff>219075</xdr:colOff>
      <xdr:row>19</xdr:row>
      <xdr:rowOff>228600</xdr:rowOff>
    </xdr:from>
    <xdr:to>
      <xdr:col>4</xdr:col>
      <xdr:colOff>990600</xdr:colOff>
      <xdr:row>21</xdr:row>
      <xdr:rowOff>19050</xdr:rowOff>
    </xdr:to>
    <xdr:sp macro="" textlink="">
      <xdr:nvSpPr>
        <xdr:cNvPr id="48132" name="Text Box 4">
          <a:extLst>
            <a:ext uri="{FF2B5EF4-FFF2-40B4-BE49-F238E27FC236}">
              <a16:creationId xmlns:a16="http://schemas.microsoft.com/office/drawing/2014/main" id="{00000000-0008-0000-0800-000004BC0000}"/>
            </a:ext>
          </a:extLst>
        </xdr:cNvPr>
        <xdr:cNvSpPr txBox="1">
          <a:spLocks noChangeArrowheads="1"/>
        </xdr:cNvSpPr>
      </xdr:nvSpPr>
      <xdr:spPr bwMode="auto">
        <a:xfrm>
          <a:off x="2686050" y="3990975"/>
          <a:ext cx="1762125" cy="266700"/>
        </a:xfrm>
        <a:prstGeom prst="rect">
          <a:avLst/>
        </a:prstGeom>
        <a:solidFill>
          <a:srgbClr val="CCFFCC"/>
        </a:solidFill>
        <a:ln w="9525">
          <a:solidFill>
            <a:srgbClr val="000000"/>
          </a:solidFill>
          <a:miter lim="800000"/>
          <a:headEnd/>
          <a:tailEnd/>
        </a:ln>
      </xdr:spPr>
      <xdr:txBody>
        <a:bodyPr vertOverflow="clip" wrap="square" lIns="27432" tIns="27432" rIns="0" bIns="0" anchor="t" upright="1"/>
        <a:lstStyle/>
        <a:p>
          <a:pPr algn="l" rtl="0">
            <a:defRPr sz="1000"/>
          </a:pPr>
          <a:r>
            <a:rPr lang="en-US" sz="1100" b="1" i="0" strike="noStrike">
              <a:solidFill>
                <a:srgbClr val="000000"/>
              </a:solidFill>
              <a:latin typeface="Arial"/>
              <a:cs typeface="Arial"/>
            </a:rPr>
            <a:t>The "Col index num" is 3</a:t>
          </a:r>
        </a:p>
      </xdr:txBody>
    </xdr:sp>
    <xdr:clientData/>
  </xdr:twoCellAnchor>
  <xdr:twoCellAnchor>
    <xdr:from>
      <xdr:col>0</xdr:col>
      <xdr:colOff>247650</xdr:colOff>
      <xdr:row>17</xdr:row>
      <xdr:rowOff>0</xdr:rowOff>
    </xdr:from>
    <xdr:to>
      <xdr:col>7</xdr:col>
      <xdr:colOff>371475</xdr:colOff>
      <xdr:row>17</xdr:row>
      <xdr:rowOff>0</xdr:rowOff>
    </xdr:to>
    <xdr:sp macro="" textlink="">
      <xdr:nvSpPr>
        <xdr:cNvPr id="48133" name="Line 5">
          <a:extLst>
            <a:ext uri="{FF2B5EF4-FFF2-40B4-BE49-F238E27FC236}">
              <a16:creationId xmlns:a16="http://schemas.microsoft.com/office/drawing/2014/main" id="{00000000-0008-0000-0800-000005BC0000}"/>
            </a:ext>
          </a:extLst>
        </xdr:cNvPr>
        <xdr:cNvSpPr>
          <a:spLocks noChangeShapeType="1"/>
        </xdr:cNvSpPr>
      </xdr:nvSpPr>
      <xdr:spPr bwMode="auto">
        <a:xfrm>
          <a:off x="247650" y="3305175"/>
          <a:ext cx="5638800" cy="0"/>
        </a:xfrm>
        <a:prstGeom prst="line">
          <a:avLst/>
        </a:prstGeom>
        <a:noFill/>
        <a:ln w="50800">
          <a:solidFill>
            <a:srgbClr val="000000"/>
          </a:solidFill>
          <a:round/>
          <a:headEnd/>
          <a:tailEnd/>
        </a:ln>
      </xdr:spPr>
    </xdr:sp>
    <xdr:clientData/>
  </xdr:twoCellAnchor>
  <xdr:twoCellAnchor>
    <xdr:from>
      <xdr:col>0</xdr:col>
      <xdr:colOff>285750</xdr:colOff>
      <xdr:row>21</xdr:row>
      <xdr:rowOff>219075</xdr:rowOff>
    </xdr:from>
    <xdr:to>
      <xdr:col>7</xdr:col>
      <xdr:colOff>409575</xdr:colOff>
      <xdr:row>21</xdr:row>
      <xdr:rowOff>219075</xdr:rowOff>
    </xdr:to>
    <xdr:sp macro="" textlink="">
      <xdr:nvSpPr>
        <xdr:cNvPr id="48134" name="Line 6">
          <a:extLst>
            <a:ext uri="{FF2B5EF4-FFF2-40B4-BE49-F238E27FC236}">
              <a16:creationId xmlns:a16="http://schemas.microsoft.com/office/drawing/2014/main" id="{00000000-0008-0000-0800-000006BC0000}"/>
            </a:ext>
          </a:extLst>
        </xdr:cNvPr>
        <xdr:cNvSpPr>
          <a:spLocks noChangeShapeType="1"/>
        </xdr:cNvSpPr>
      </xdr:nvSpPr>
      <xdr:spPr bwMode="auto">
        <a:xfrm>
          <a:off x="285750" y="4457700"/>
          <a:ext cx="5638800" cy="0"/>
        </a:xfrm>
        <a:prstGeom prst="line">
          <a:avLst/>
        </a:prstGeom>
        <a:noFill/>
        <a:ln w="50800">
          <a:solidFill>
            <a:srgbClr val="000000"/>
          </a:solidFill>
          <a:round/>
          <a:headEnd/>
          <a:tailEnd/>
        </a:ln>
      </xdr:spPr>
    </xdr:sp>
    <xdr:clientData/>
  </xdr:twoCellAnchor>
  <xdr:twoCellAnchor>
    <xdr:from>
      <xdr:col>0</xdr:col>
      <xdr:colOff>333375</xdr:colOff>
      <xdr:row>26</xdr:row>
      <xdr:rowOff>190500</xdr:rowOff>
    </xdr:from>
    <xdr:to>
      <xdr:col>7</xdr:col>
      <xdr:colOff>457200</xdr:colOff>
      <xdr:row>26</xdr:row>
      <xdr:rowOff>190500</xdr:rowOff>
    </xdr:to>
    <xdr:sp macro="" textlink="">
      <xdr:nvSpPr>
        <xdr:cNvPr id="48135" name="Line 7">
          <a:extLst>
            <a:ext uri="{FF2B5EF4-FFF2-40B4-BE49-F238E27FC236}">
              <a16:creationId xmlns:a16="http://schemas.microsoft.com/office/drawing/2014/main" id="{00000000-0008-0000-0800-000007BC0000}"/>
            </a:ext>
          </a:extLst>
        </xdr:cNvPr>
        <xdr:cNvSpPr>
          <a:spLocks noChangeShapeType="1"/>
        </xdr:cNvSpPr>
      </xdr:nvSpPr>
      <xdr:spPr bwMode="auto">
        <a:xfrm>
          <a:off x="333375" y="5591175"/>
          <a:ext cx="5638800" cy="0"/>
        </a:xfrm>
        <a:prstGeom prst="line">
          <a:avLst/>
        </a:prstGeom>
        <a:noFill/>
        <a:ln w="50800">
          <a:solidFill>
            <a:srgbClr val="000000"/>
          </a:solidFill>
          <a:round/>
          <a:headEnd/>
          <a:tailEnd/>
        </a:ln>
      </xdr:spPr>
    </xdr:sp>
    <xdr:clientData/>
  </xdr:twoCellAnchor>
  <xdr:twoCellAnchor>
    <xdr:from>
      <xdr:col>0</xdr:col>
      <xdr:colOff>371475</xdr:colOff>
      <xdr:row>33</xdr:row>
      <xdr:rowOff>66675</xdr:rowOff>
    </xdr:from>
    <xdr:to>
      <xdr:col>7</xdr:col>
      <xdr:colOff>495300</xdr:colOff>
      <xdr:row>33</xdr:row>
      <xdr:rowOff>66675</xdr:rowOff>
    </xdr:to>
    <xdr:sp macro="" textlink="">
      <xdr:nvSpPr>
        <xdr:cNvPr id="48136" name="Line 8">
          <a:extLst>
            <a:ext uri="{FF2B5EF4-FFF2-40B4-BE49-F238E27FC236}">
              <a16:creationId xmlns:a16="http://schemas.microsoft.com/office/drawing/2014/main" id="{00000000-0008-0000-0800-000008BC0000}"/>
            </a:ext>
          </a:extLst>
        </xdr:cNvPr>
        <xdr:cNvSpPr>
          <a:spLocks noChangeShapeType="1"/>
        </xdr:cNvSpPr>
      </xdr:nvSpPr>
      <xdr:spPr bwMode="auto">
        <a:xfrm>
          <a:off x="371475" y="6886575"/>
          <a:ext cx="5638800" cy="0"/>
        </a:xfrm>
        <a:prstGeom prst="line">
          <a:avLst/>
        </a:prstGeom>
        <a:noFill/>
        <a:ln w="50800">
          <a:solidFill>
            <a:srgbClr val="000000"/>
          </a:solidFill>
          <a:round/>
          <a:headEnd/>
          <a:tailEnd/>
        </a:ln>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HealthPlanRates" displayName="HealthPlanRates" ref="E28:F33" totalsRowShown="0" headerRowDxfId="129" dataDxfId="127" headerRowBorderDxfId="128" tableBorderDxfId="126">
  <tableColumns count="2">
    <tableColumn id="1" xr3:uid="{00000000-0010-0000-0000-000001000000}" name="Plan" dataDxfId="125"/>
    <tableColumn id="2" xr3:uid="{00000000-0010-0000-0000-000002000000}" name="Monthly_x000a_Premium" dataDxfId="1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Employee" displayName="Employee" ref="A3:R103" headerRowDxfId="123" dataDxfId="122">
  <tableColumns count="18">
    <tableColumn id="1" xr3:uid="{00000000-0010-0000-0100-000001000000}" name="Emp ID" totalsRowLabel="Total" dataDxfId="121" totalsRowDxfId="120"/>
    <tableColumn id="2" xr3:uid="{00000000-0010-0000-0100-000002000000}" name="Last Name" dataDxfId="119" totalsRowDxfId="118"/>
    <tableColumn id="15" xr3:uid="{00000000-0010-0000-0100-00000F000000}" name="Hire Date" dataDxfId="117"/>
    <tableColumn id="4" xr3:uid="{00000000-0010-0000-0100-000004000000}" name="Birth Date" dataDxfId="116" totalsRowDxfId="115"/>
    <tableColumn id="5" xr3:uid="{00000000-0010-0000-0100-000005000000}" name="Sex" dataDxfId="114" totalsRowDxfId="113"/>
    <tableColumn id="6" xr3:uid="{00000000-0010-0000-0100-000006000000}" name="Location" dataDxfId="112" totalsRowDxfId="111"/>
    <tableColumn id="7" xr3:uid="{00000000-0010-0000-0100-000007000000}" name="Job Status" dataDxfId="110" totalsRowDxfId="109"/>
    <tableColumn id="8" xr3:uid="{00000000-0010-0000-0100-000008000000}" name="Add Life Ins" dataDxfId="108" totalsRowDxfId="107"/>
    <tableColumn id="9" xr3:uid="{00000000-0010-0000-0100-000009000000}" name="Pay Grade" dataDxfId="106" totalsRowDxfId="105"/>
    <tableColumn id="10" xr3:uid="{00000000-0010-0000-0100-00000A000000}" name="Pay Type" dataDxfId="104" totalsRowDxfId="103"/>
    <tableColumn id="11" xr3:uid="{00000000-0010-0000-0100-00000B000000}" name="Annual Salary" dataDxfId="102" totalsRowDxfId="101"/>
    <tableColumn id="12" xr3:uid="{00000000-0010-0000-0100-00000C000000}" name="Health Plan" dataDxfId="100" totalsRowDxfId="99"/>
    <tableColumn id="13" xr3:uid="{00000000-0010-0000-0100-00000D000000}" name="Years Service" totalsRowFunction="sum" dataDxfId="98" totalsRowDxfId="97">
      <calculatedColumnFormula>DATEDIF(C4,$AA$3,"y")</calculatedColumnFormula>
    </tableColumn>
    <tableColumn id="3" xr3:uid="{00000000-0010-0000-0100-000003000000}" name="Life Ins Premium" dataDxfId="96" totalsRowDxfId="95">
      <calculatedColumnFormula>IF(H4="Y",K4*0.001,0)</calculatedColumnFormula>
    </tableColumn>
    <tableColumn id="14" xr3:uid="{00000000-0010-0000-0100-00000E000000}" name="401(k)" dataDxfId="94" totalsRowDxfId="93">
      <calculatedColumnFormula>IF(AND(G4="FT",M4&gt;=1),K4*0.03,0)</calculatedColumnFormula>
    </tableColumn>
    <tableColumn id="16" xr3:uid="{00000000-0010-0000-0100-000010000000}" name="Salary Increase" dataDxfId="92" totalsRowDxfId="91">
      <calculatedColumnFormula>IF(OR(Employee[[#This Row],[Location]]="Home",Employee[[#This Row],[Job Status]]="FT"),Employee[[#This Row],[Annual Salary]]*0.04,Employee[[#This Row],[Annual Salary]]*0.025)</calculatedColumnFormula>
    </tableColumn>
    <tableColumn id="17" xr3:uid="{00000000-0010-0000-0100-000011000000}" name="Bonus" dataDxfId="90" totalsRowDxfId="89">
      <calculatedColumnFormula>IF(Employee[[#This Row],[Pay Grade]]=1,$X$4,IF(Employee[[#This Row],[Pay Grade]]=2,$X$5,$X$6))</calculatedColumnFormula>
    </tableColumn>
    <tableColumn id="18" xr3:uid="{00000000-0010-0000-0100-000012000000}" name="Health Cost" dataDxfId="88" totalsRowDxfId="8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Recognition" displayName="Recognition" ref="E46:F51" totalsRowShown="0" headerRowDxfId="86" dataDxfId="84" headerRowBorderDxfId="85" tableBorderDxfId="83">
  <tableColumns count="2">
    <tableColumn id="1" xr3:uid="{00000000-0010-0000-0200-000001000000}" name="Years of_x000a_Service" dataDxfId="82"/>
    <tableColumn id="2" xr3:uid="{00000000-0010-0000-0200-000002000000}" name="Recognition_x000a_Award" dataDxfId="8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mployee5" displayName="Employee5" ref="A3:S103" headerRowDxfId="80" dataDxfId="79">
  <tableColumns count="19">
    <tableColumn id="1" xr3:uid="{00000000-0010-0000-0300-000001000000}" name="Emp ID" totalsRowLabel="Total" dataDxfId="78" totalsRowDxfId="77"/>
    <tableColumn id="2" xr3:uid="{00000000-0010-0000-0300-000002000000}" name="Last Name" dataDxfId="76" totalsRowDxfId="75"/>
    <tableColumn id="15" xr3:uid="{00000000-0010-0000-0300-00000F000000}" name="Hire Date" dataDxfId="74"/>
    <tableColumn id="4" xr3:uid="{00000000-0010-0000-0300-000004000000}" name="Birth Date" dataDxfId="73" totalsRowDxfId="72"/>
    <tableColumn id="5" xr3:uid="{00000000-0010-0000-0300-000005000000}" name="Sex" dataDxfId="71" totalsRowDxfId="70"/>
    <tableColumn id="6" xr3:uid="{00000000-0010-0000-0300-000006000000}" name="Location" dataDxfId="69" totalsRowDxfId="68"/>
    <tableColumn id="7" xr3:uid="{00000000-0010-0000-0300-000007000000}" name="Job Status" dataDxfId="67" totalsRowDxfId="66"/>
    <tableColumn id="8" xr3:uid="{00000000-0010-0000-0300-000008000000}" name="Add Life Ins" dataDxfId="65" totalsRowDxfId="64"/>
    <tableColumn id="9" xr3:uid="{00000000-0010-0000-0300-000009000000}" name="Pay Grade" dataDxfId="63" totalsRowDxfId="62"/>
    <tableColumn id="10" xr3:uid="{00000000-0010-0000-0300-00000A000000}" name="Pay Type" dataDxfId="61" totalsRowDxfId="60"/>
    <tableColumn id="11" xr3:uid="{00000000-0010-0000-0300-00000B000000}" name="Annual Salary" dataDxfId="59" totalsRowDxfId="58"/>
    <tableColumn id="12" xr3:uid="{00000000-0010-0000-0300-00000C000000}" name="Health Plan" dataDxfId="57" totalsRowDxfId="56"/>
    <tableColumn id="13" xr3:uid="{00000000-0010-0000-0300-00000D000000}" name="Years Service" totalsRowFunction="sum" dataDxfId="55" totalsRowDxfId="54">
      <calculatedColumnFormula>DATEDIF(C4,$AB$3,"y")</calculatedColumnFormula>
    </tableColumn>
    <tableColumn id="3" xr3:uid="{00000000-0010-0000-0300-000003000000}" name="Life Ins Premium" dataDxfId="53" totalsRowDxfId="52">
      <calculatedColumnFormula>IF(H4="Y",K4*0.001,0)</calculatedColumnFormula>
    </tableColumn>
    <tableColumn id="14" xr3:uid="{00000000-0010-0000-0300-00000E000000}" name="401(k)" dataDxfId="51" totalsRowDxfId="50">
      <calculatedColumnFormula>IF(AND(G4="FT",M4&gt;=1),K4*0.03,0)</calculatedColumnFormula>
    </tableColumn>
    <tableColumn id="16" xr3:uid="{00000000-0010-0000-0300-000010000000}" name="Salary Increase" dataDxfId="49" totalsRowDxfId="48">
      <calculatedColumnFormula>IF(OR(Employee5[[#This Row],[Location]]="Home",Employee5[[#This Row],[Job Status]]="FT"),Employee5[[#This Row],[Annual Salary]]*0.04,Employee5[[#This Row],[Annual Salary]]*0.025)</calculatedColumnFormula>
    </tableColumn>
    <tableColumn id="17" xr3:uid="{00000000-0010-0000-0300-000011000000}" name="Bonus" dataDxfId="47" totalsRowDxfId="46">
      <calculatedColumnFormula>IF(Employee5[[#This Row],[Pay Grade]]=1,$Y$4,IF(Employee5[[#This Row],[Pay Grade]]=2,$Y$5,$Y$6))</calculatedColumnFormula>
    </tableColumn>
    <tableColumn id="18" xr3:uid="{00000000-0010-0000-0300-000012000000}" name="Health Cost" dataDxfId="45" totalsRowDxfId="44">
      <calculatedColumnFormula>IFERROR(VLOOKUP(L4,HealthPlanRates[],2,FALSE)*12,"Invalid code")</calculatedColumnFormula>
    </tableColumn>
    <tableColumn id="19" xr3:uid="{00000000-0010-0000-0300-000013000000}" name="Award" dataDxfId="43" totalsRowDxfId="4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HiddenLookupTable" displayName="HiddenLookupTable" ref="A1:S101" headerRowDxfId="41" dataDxfId="40">
  <tableColumns count="19">
    <tableColumn id="1" xr3:uid="{00000000-0010-0000-0400-000001000000}" name="Emp ID" totalsRowLabel="Total" dataDxfId="39" totalsRowDxfId="38"/>
    <tableColumn id="2" xr3:uid="{00000000-0010-0000-0400-000002000000}" name="Last Name" dataDxfId="37" totalsRowDxfId="36"/>
    <tableColumn id="15" xr3:uid="{00000000-0010-0000-0400-00000F000000}" name="Hire Date" dataDxfId="35"/>
    <tableColumn id="4" xr3:uid="{00000000-0010-0000-0400-000004000000}" name="Birth Date" dataDxfId="34" totalsRowDxfId="33"/>
    <tableColumn id="5" xr3:uid="{00000000-0010-0000-0400-000005000000}" name="Sex" dataDxfId="32" totalsRowDxfId="31"/>
    <tableColumn id="6" xr3:uid="{00000000-0010-0000-0400-000006000000}" name="Location" dataDxfId="30" totalsRowDxfId="29"/>
    <tableColumn id="7" xr3:uid="{00000000-0010-0000-0400-000007000000}" name="Job Status" dataDxfId="28" totalsRowDxfId="27"/>
    <tableColumn id="8" xr3:uid="{00000000-0010-0000-0400-000008000000}" name="Add Life Ins" dataDxfId="26" totalsRowDxfId="25"/>
    <tableColumn id="9" xr3:uid="{00000000-0010-0000-0400-000009000000}" name="Pay Grade" dataDxfId="24" totalsRowDxfId="23"/>
    <tableColumn id="10" xr3:uid="{00000000-0010-0000-0400-00000A000000}" name="Pay Type" dataDxfId="22" totalsRowDxfId="21"/>
    <tableColumn id="11" xr3:uid="{00000000-0010-0000-0400-00000B000000}" name="Annual Salary" dataDxfId="20" totalsRowDxfId="19"/>
    <tableColumn id="12" xr3:uid="{00000000-0010-0000-0400-00000C000000}" name="Health Plan" dataDxfId="18" totalsRowDxfId="17"/>
    <tableColumn id="13" xr3:uid="{00000000-0010-0000-0400-00000D000000}" name="Years Service" totalsRowFunction="sum" dataDxfId="16" totalsRowDxfId="15">
      <calculatedColumnFormula>DATEDIF(C2,$AB$1,"y")</calculatedColumnFormula>
    </tableColumn>
    <tableColumn id="3" xr3:uid="{00000000-0010-0000-0400-000003000000}" name="Life Ins Premium" dataDxfId="14" totalsRowDxfId="13">
      <calculatedColumnFormula>IF(H2="Y",K2*0.001,0)</calculatedColumnFormula>
    </tableColumn>
    <tableColumn id="14" xr3:uid="{00000000-0010-0000-0400-00000E000000}" name="401(k)" dataDxfId="12" totalsRowDxfId="11">
      <calculatedColumnFormula>IF(AND(G2="FT",M2&gt;=1),K2*0.03,0)</calculatedColumnFormula>
    </tableColumn>
    <tableColumn id="16" xr3:uid="{00000000-0010-0000-0400-000010000000}" name="Salary Increase" dataDxfId="10" totalsRowDxfId="9">
      <calculatedColumnFormula>IF(OR(HiddenLookupTable[[#This Row],[Location]]="Home",HiddenLookupTable[[#This Row],[Job Status]]="FT"),HiddenLookupTable[[#This Row],[Annual Salary]]*0.04,HiddenLookupTable[[#This Row],[Annual Salary]]*0.025)</calculatedColumnFormula>
    </tableColumn>
    <tableColumn id="17" xr3:uid="{00000000-0010-0000-0400-000011000000}" name="Bonus" dataDxfId="8" totalsRowDxfId="7">
      <calculatedColumnFormula>IF(HiddenLookupTable[[#This Row],[Pay Grade]]=1,$Y$2,IF(HiddenLookupTable[[#This Row],[Pay Grade]]=2,$Y$3,$Y$4))</calculatedColumnFormula>
    </tableColumn>
    <tableColumn id="18" xr3:uid="{00000000-0010-0000-0400-000012000000}" name="Health Cost" dataDxfId="6" totalsRowDxfId="5">
      <calculatedColumnFormula>IFERROR(VLOOKUP(L2,HealthPlanRates[],2,FALSE)*12,"Invalid code")</calculatedColumnFormula>
    </tableColumn>
    <tableColumn id="19" xr3:uid="{00000000-0010-0000-0400-000013000000}" name="Award" dataDxfId="4" totalsRowDxfId="3">
      <calculatedColumnFormula>VLOOKUP(HiddenLookupTable[[#This Row],[Years Service]],Recognition[],2,TRUE)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1.xml"/><Relationship Id="rId1" Type="http://schemas.openxmlformats.org/officeDocument/2006/relationships/printerSettings" Target="../printerSettings/printerSettings8.bin"/><Relationship Id="rId5" Type="http://schemas.openxmlformats.org/officeDocument/2006/relationships/image" Target="../media/image12.emf"/><Relationship Id="rId4" Type="http://schemas.openxmlformats.org/officeDocument/2006/relationships/oleObject" Target="../embeddings/oleObject1.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2.xml"/><Relationship Id="rId1" Type="http://schemas.openxmlformats.org/officeDocument/2006/relationships/printerSettings" Target="../printerSettings/printerSettings9.bin"/><Relationship Id="rId5" Type="http://schemas.openxmlformats.org/officeDocument/2006/relationships/image" Target="../media/image13.emf"/><Relationship Id="rId4" Type="http://schemas.openxmlformats.org/officeDocument/2006/relationships/oleObject" Target="../embeddings/oleObject2.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3.xml"/><Relationship Id="rId1" Type="http://schemas.openxmlformats.org/officeDocument/2006/relationships/printerSettings" Target="../printerSettings/printerSettings10.bin"/><Relationship Id="rId5" Type="http://schemas.openxmlformats.org/officeDocument/2006/relationships/image" Target="../media/image13.emf"/><Relationship Id="rId4" Type="http://schemas.openxmlformats.org/officeDocument/2006/relationships/oleObject" Target="../embeddings/oleObject3.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4.xml"/><Relationship Id="rId1" Type="http://schemas.openxmlformats.org/officeDocument/2006/relationships/printerSettings" Target="../printerSettings/printerSettings11.bin"/><Relationship Id="rId5" Type="http://schemas.openxmlformats.org/officeDocument/2006/relationships/image" Target="../media/image13.emf"/><Relationship Id="rId4" Type="http://schemas.openxmlformats.org/officeDocument/2006/relationships/oleObject" Target="../embeddings/oleObject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9.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4"/>
  <sheetViews>
    <sheetView showGridLines="0" zoomScale="80" zoomScaleNormal="80" workbookViewId="0">
      <selection activeCell="M13" sqref="M13"/>
    </sheetView>
  </sheetViews>
  <sheetFormatPr defaultColWidth="8.81640625" defaultRowHeight="12.5" x14ac:dyDescent="0.25"/>
  <cols>
    <col min="1" max="1" width="3.453125" customWidth="1"/>
    <col min="9" max="9" width="15" customWidth="1"/>
    <col min="11" max="11" width="10.6328125" customWidth="1"/>
  </cols>
  <sheetData>
    <row r="1" spans="1:11" ht="25.5" thickBot="1" x14ac:dyDescent="0.55000000000000004">
      <c r="A1" s="177" t="s">
        <v>254</v>
      </c>
      <c r="B1" s="178"/>
      <c r="C1" s="178"/>
      <c r="D1" s="178"/>
      <c r="E1" s="178"/>
      <c r="F1" s="178"/>
      <c r="G1" s="178"/>
      <c r="H1" s="178"/>
      <c r="I1" s="178"/>
      <c r="J1" s="178"/>
      <c r="K1" s="179"/>
    </row>
    <row r="4" spans="1:11" ht="22.5" x14ac:dyDescent="0.45">
      <c r="B4" s="127" t="s">
        <v>274</v>
      </c>
      <c r="C4" s="128"/>
      <c r="D4" s="128"/>
      <c r="E4" s="128"/>
      <c r="F4" s="128"/>
      <c r="G4" s="128"/>
      <c r="H4" s="128"/>
      <c r="I4" s="128"/>
      <c r="J4" s="51"/>
    </row>
    <row r="5" spans="1:11" ht="18" customHeight="1" x14ac:dyDescent="0.5">
      <c r="B5" s="1"/>
      <c r="C5" s="1"/>
      <c r="D5" s="1"/>
      <c r="E5" s="1"/>
      <c r="F5" s="1"/>
      <c r="G5" s="1"/>
      <c r="H5" s="1"/>
      <c r="I5" s="1"/>
      <c r="J5" s="1"/>
      <c r="K5" s="49"/>
    </row>
    <row r="6" spans="1:11" ht="18" customHeight="1" x14ac:dyDescent="0.5">
      <c r="B6" s="1"/>
      <c r="C6" s="1"/>
      <c r="D6" s="1"/>
      <c r="E6" s="1"/>
      <c r="F6" s="1"/>
      <c r="G6" s="1"/>
      <c r="H6" s="1"/>
      <c r="I6" s="1"/>
      <c r="J6" s="1"/>
      <c r="K6" s="49"/>
    </row>
    <row r="7" spans="1:11" ht="20" x14ac:dyDescent="0.4">
      <c r="B7" s="130" t="s">
        <v>83</v>
      </c>
      <c r="C7" s="130"/>
      <c r="D7" s="130"/>
      <c r="E7" s="130"/>
      <c r="F7" s="130"/>
      <c r="G7" s="130"/>
      <c r="H7" s="130"/>
      <c r="I7" s="130"/>
      <c r="J7" s="50"/>
      <c r="K7" s="49"/>
    </row>
    <row r="8" spans="1:11" ht="20" x14ac:dyDescent="0.4">
      <c r="B8" s="130" t="s">
        <v>84</v>
      </c>
      <c r="C8" s="130"/>
      <c r="D8" s="130"/>
      <c r="E8" s="130"/>
      <c r="F8" s="130"/>
      <c r="G8" s="130"/>
      <c r="H8" s="130"/>
      <c r="I8" s="130"/>
      <c r="J8" s="50"/>
      <c r="K8" s="49"/>
    </row>
    <row r="9" spans="1:11" ht="20" x14ac:dyDescent="0.4">
      <c r="B9" s="131" t="s">
        <v>275</v>
      </c>
      <c r="C9" s="130"/>
      <c r="D9" s="130"/>
      <c r="E9" s="130"/>
      <c r="F9" s="130"/>
      <c r="G9" s="130"/>
      <c r="H9" s="130"/>
      <c r="I9" s="130"/>
      <c r="J9" s="50"/>
      <c r="K9" s="49"/>
    </row>
    <row r="10" spans="1:11" ht="18" customHeight="1" x14ac:dyDescent="0.4">
      <c r="B10" s="50"/>
      <c r="C10" s="50"/>
      <c r="D10" s="50"/>
      <c r="E10" s="50"/>
      <c r="F10" s="50"/>
      <c r="G10" s="50"/>
      <c r="H10" s="50"/>
      <c r="I10" s="50"/>
      <c r="J10" s="50"/>
      <c r="K10" s="49"/>
    </row>
    <row r="11" spans="1:11" ht="18" customHeight="1" x14ac:dyDescent="0.4">
      <c r="B11" s="50"/>
      <c r="C11" s="50"/>
      <c r="D11" s="50"/>
      <c r="E11" s="50"/>
      <c r="F11" s="50"/>
      <c r="G11" s="50"/>
      <c r="H11" s="50"/>
      <c r="I11" s="50"/>
      <c r="J11" s="50"/>
      <c r="K11" s="49"/>
    </row>
    <row r="12" spans="1:11" ht="20" x14ac:dyDescent="0.4">
      <c r="B12" s="129" t="s">
        <v>95</v>
      </c>
      <c r="C12" s="129"/>
      <c r="D12" s="129"/>
      <c r="E12" s="129"/>
      <c r="F12" s="129"/>
      <c r="G12" s="129"/>
      <c r="H12" s="129"/>
      <c r="I12" s="129"/>
      <c r="J12" s="50"/>
      <c r="K12" s="49"/>
    </row>
    <row r="13" spans="1:11" ht="20" x14ac:dyDescent="0.4">
      <c r="B13" s="129" t="s">
        <v>94</v>
      </c>
      <c r="C13" s="129"/>
      <c r="D13" s="129"/>
      <c r="E13" s="129"/>
      <c r="F13" s="129"/>
      <c r="G13" s="129"/>
      <c r="H13" s="129"/>
      <c r="I13" s="129"/>
      <c r="J13" s="50"/>
      <c r="K13" s="49"/>
    </row>
    <row r="14" spans="1:11" ht="20" x14ac:dyDescent="0.4">
      <c r="B14" s="135" t="s">
        <v>86</v>
      </c>
      <c r="C14" s="129"/>
      <c r="D14" s="129"/>
      <c r="E14" s="129"/>
      <c r="F14" s="129"/>
      <c r="G14" s="129"/>
      <c r="H14" s="129"/>
      <c r="I14" s="129"/>
      <c r="J14" s="50"/>
      <c r="K14" s="49"/>
    </row>
    <row r="15" spans="1:11" ht="20" x14ac:dyDescent="0.4">
      <c r="B15" s="136" t="s">
        <v>51</v>
      </c>
      <c r="C15" s="129"/>
      <c r="D15" s="129"/>
      <c r="E15" s="129"/>
      <c r="F15" s="129"/>
      <c r="G15" s="129"/>
      <c r="H15" s="129"/>
      <c r="I15" s="129"/>
      <c r="J15" s="50"/>
      <c r="K15" s="49"/>
    </row>
    <row r="16" spans="1:11" ht="20" x14ac:dyDescent="0.4">
      <c r="B16" s="136" t="s">
        <v>87</v>
      </c>
      <c r="C16" s="129"/>
      <c r="D16" s="129"/>
      <c r="E16" s="129"/>
      <c r="F16" s="129"/>
      <c r="G16" s="129"/>
      <c r="H16" s="129"/>
      <c r="I16" s="129"/>
      <c r="J16" s="50"/>
      <c r="K16" s="49"/>
    </row>
    <row r="17" spans="2:11" ht="20" x14ac:dyDescent="0.4">
      <c r="B17" s="137" t="s">
        <v>93</v>
      </c>
      <c r="C17" s="129"/>
      <c r="D17" s="129"/>
      <c r="E17" s="129"/>
      <c r="F17" s="129"/>
      <c r="G17" s="129"/>
      <c r="H17" s="129"/>
      <c r="I17" s="129"/>
      <c r="J17" s="50"/>
      <c r="K17" s="49"/>
    </row>
    <row r="18" spans="2:11" ht="18" customHeight="1" x14ac:dyDescent="0.4">
      <c r="B18" s="50"/>
      <c r="C18" s="50"/>
      <c r="D18" s="50"/>
      <c r="E18" s="50"/>
      <c r="F18" s="50"/>
      <c r="G18" s="50"/>
      <c r="H18" s="50"/>
      <c r="I18" s="50"/>
      <c r="J18" s="50"/>
      <c r="K18" s="49"/>
    </row>
    <row r="19" spans="2:11" ht="18" customHeight="1" x14ac:dyDescent="0.4">
      <c r="B19" s="50"/>
      <c r="C19" s="50"/>
      <c r="D19" s="50"/>
      <c r="E19" s="50"/>
      <c r="F19" s="50"/>
      <c r="G19" s="50"/>
      <c r="H19" s="50"/>
      <c r="I19" s="50"/>
      <c r="J19" s="50"/>
      <c r="K19" s="49"/>
    </row>
    <row r="20" spans="2:11" ht="23" x14ac:dyDescent="0.5">
      <c r="B20" s="132" t="s">
        <v>259</v>
      </c>
      <c r="C20" s="133"/>
      <c r="D20" s="133"/>
      <c r="E20" s="133"/>
      <c r="F20" s="133"/>
      <c r="G20" s="133"/>
      <c r="H20" s="133"/>
      <c r="I20" s="133"/>
      <c r="J20" s="51"/>
    </row>
    <row r="21" spans="2:11" ht="22.5" x14ac:dyDescent="0.45">
      <c r="B21" s="132" t="s">
        <v>260</v>
      </c>
      <c r="C21" s="134"/>
      <c r="D21" s="134"/>
      <c r="E21" s="134"/>
      <c r="F21" s="134"/>
      <c r="G21" s="134"/>
      <c r="H21" s="134"/>
      <c r="I21" s="134"/>
      <c r="J21" s="51"/>
    </row>
    <row r="22" spans="2:11" ht="22.5" x14ac:dyDescent="0.45">
      <c r="B22" s="132" t="s">
        <v>92</v>
      </c>
      <c r="C22" s="134"/>
      <c r="D22" s="134"/>
      <c r="E22" s="134"/>
      <c r="F22" s="134"/>
      <c r="G22" s="134"/>
      <c r="H22" s="134"/>
      <c r="I22" s="134"/>
      <c r="J22" s="51"/>
    </row>
    <row r="23" spans="2:11" ht="22.5" x14ac:dyDescent="0.45">
      <c r="B23" s="132" t="s">
        <v>255</v>
      </c>
      <c r="C23" s="134"/>
      <c r="D23" s="134"/>
      <c r="E23" s="134"/>
      <c r="F23" s="134"/>
      <c r="G23" s="134"/>
      <c r="H23" s="134"/>
      <c r="I23" s="134"/>
      <c r="J23" s="51"/>
    </row>
    <row r="24" spans="2:11" ht="22.5" x14ac:dyDescent="0.45">
      <c r="J24" s="51"/>
    </row>
    <row r="25" spans="2:11" ht="16.5" customHeight="1" x14ac:dyDescent="0.45">
      <c r="J25" s="51"/>
    </row>
    <row r="26" spans="2:11" ht="22.5" x14ac:dyDescent="0.45">
      <c r="B26" s="127" t="s">
        <v>98</v>
      </c>
      <c r="C26" s="128"/>
      <c r="D26" s="128"/>
      <c r="E26" s="128"/>
      <c r="F26" s="128"/>
      <c r="G26" s="128"/>
      <c r="H26" s="128"/>
      <c r="I26" s="128"/>
      <c r="J26" s="51"/>
    </row>
    <row r="27" spans="2:11" ht="22.5" x14ac:dyDescent="0.45">
      <c r="B27" s="127" t="s">
        <v>97</v>
      </c>
      <c r="C27" s="128"/>
      <c r="D27" s="128"/>
      <c r="E27" s="128"/>
      <c r="F27" s="128"/>
      <c r="G27" s="128"/>
      <c r="H27" s="128"/>
      <c r="I27" s="128"/>
      <c r="J27" s="51"/>
    </row>
    <row r="28" spans="2:11" ht="22.5" x14ac:dyDescent="0.45">
      <c r="B28" s="127" t="s">
        <v>96</v>
      </c>
      <c r="C28" s="128"/>
      <c r="D28" s="128"/>
      <c r="E28" s="128"/>
      <c r="F28" s="128"/>
      <c r="G28" s="128"/>
      <c r="H28" s="128"/>
      <c r="I28" s="128"/>
      <c r="J28" s="51"/>
    </row>
    <row r="29" spans="2:11" ht="22.5" x14ac:dyDescent="0.45">
      <c r="B29" s="127"/>
      <c r="C29" s="128"/>
      <c r="D29" s="128"/>
      <c r="E29" s="128"/>
      <c r="F29" s="128"/>
      <c r="G29" s="128"/>
      <c r="H29" s="128"/>
      <c r="I29" s="128"/>
      <c r="J29" s="51"/>
    </row>
    <row r="30" spans="2:11" ht="22.5" x14ac:dyDescent="0.45">
      <c r="B30" s="127" t="s">
        <v>265</v>
      </c>
      <c r="C30" s="128"/>
      <c r="D30" s="128"/>
      <c r="E30" s="128"/>
      <c r="F30" s="128"/>
      <c r="G30" s="128"/>
      <c r="H30" s="128"/>
      <c r="I30" s="128"/>
      <c r="J30" s="51"/>
    </row>
    <row r="31" spans="2:11" ht="22.5" x14ac:dyDescent="0.45">
      <c r="B31" s="127" t="s">
        <v>276</v>
      </c>
      <c r="C31" s="128"/>
      <c r="D31" s="128"/>
      <c r="E31" s="128"/>
      <c r="F31" s="128"/>
      <c r="G31" s="128"/>
      <c r="H31" s="128"/>
      <c r="I31" s="128"/>
    </row>
    <row r="32" spans="2:11" ht="22.5" x14ac:dyDescent="0.45">
      <c r="B32" s="127" t="s">
        <v>277</v>
      </c>
      <c r="C32" s="128"/>
      <c r="D32" s="128"/>
      <c r="E32" s="128"/>
      <c r="F32" s="128"/>
      <c r="G32" s="128"/>
      <c r="H32" s="128"/>
      <c r="I32" s="128"/>
    </row>
    <row r="33" spans="2:9" ht="22.5" x14ac:dyDescent="0.45">
      <c r="B33" s="127" t="s">
        <v>266</v>
      </c>
      <c r="C33" s="128"/>
      <c r="D33" s="128"/>
      <c r="E33" s="128"/>
      <c r="F33" s="128"/>
      <c r="G33" s="128"/>
      <c r="H33" s="128"/>
      <c r="I33" s="128"/>
    </row>
    <row r="34" spans="2:9" ht="22.5" x14ac:dyDescent="0.45">
      <c r="B34" s="119"/>
      <c r="C34" s="120"/>
      <c r="D34" s="120"/>
      <c r="E34" s="120"/>
      <c r="F34" s="120"/>
      <c r="G34" s="120"/>
      <c r="H34" s="120"/>
      <c r="I34" s="120"/>
    </row>
  </sheetData>
  <mergeCells count="1">
    <mergeCell ref="A1:K1"/>
  </mergeCells>
  <phoneticPr fontId="24" type="noConversion"/>
  <pageMargins left="0.75" right="0.75" top="1" bottom="1" header="0.5" footer="0.5"/>
  <pageSetup orientation="portrait" horizontalDpi="300"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1"/>
  <sheetViews>
    <sheetView showGridLines="0" workbookViewId="0">
      <selection activeCell="I21" sqref="I21"/>
    </sheetView>
  </sheetViews>
  <sheetFormatPr defaultColWidth="8.81640625" defaultRowHeight="12.5" x14ac:dyDescent="0.25"/>
  <cols>
    <col min="2" max="2" width="16.453125" customWidth="1"/>
    <col min="3" max="3" width="11.453125" customWidth="1"/>
    <col min="4" max="4" width="14.81640625" customWidth="1"/>
    <col min="5" max="5" width="18.453125" customWidth="1"/>
    <col min="7" max="7" width="3.1796875" customWidth="1"/>
  </cols>
  <sheetData>
    <row r="1" spans="1:8" ht="23" x14ac:dyDescent="0.5">
      <c r="A1" s="140" t="s">
        <v>287</v>
      </c>
      <c r="B1" s="141"/>
      <c r="C1" s="141"/>
      <c r="D1" s="141"/>
      <c r="E1" s="141"/>
      <c r="F1" s="141"/>
      <c r="G1" s="138"/>
      <c r="H1" s="24"/>
    </row>
    <row r="2" spans="1:8" ht="23.5" thickBot="1" x14ac:dyDescent="0.55000000000000004">
      <c r="A2" s="157" t="s">
        <v>288</v>
      </c>
      <c r="B2" s="144"/>
      <c r="C2" s="144"/>
      <c r="D2" s="144"/>
      <c r="E2" s="144"/>
      <c r="F2" s="144"/>
      <c r="G2" s="139"/>
      <c r="H2" s="24"/>
    </row>
    <row r="5" spans="1:8" ht="15.5" x14ac:dyDescent="0.35">
      <c r="B5" s="200" t="s">
        <v>77</v>
      </c>
      <c r="C5" s="200"/>
      <c r="D5" s="200"/>
      <c r="E5" s="200"/>
    </row>
    <row r="6" spans="1:8" ht="15.5" x14ac:dyDescent="0.35">
      <c r="B6" s="14" t="s">
        <v>1</v>
      </c>
      <c r="C6" s="14" t="s">
        <v>2</v>
      </c>
      <c r="D6" s="14" t="s">
        <v>32</v>
      </c>
      <c r="E6" s="14" t="s">
        <v>78</v>
      </c>
    </row>
    <row r="7" spans="1:8" ht="16" thickBot="1" x14ac:dyDescent="0.4">
      <c r="B7" s="62" t="s">
        <v>33</v>
      </c>
      <c r="C7" s="62" t="s">
        <v>34</v>
      </c>
      <c r="D7" s="63" t="s">
        <v>35</v>
      </c>
      <c r="E7" s="62" t="s">
        <v>36</v>
      </c>
    </row>
    <row r="8" spans="1:8" ht="16" thickBot="1" x14ac:dyDescent="0.4">
      <c r="B8" s="60">
        <v>14685</v>
      </c>
      <c r="C8" s="61">
        <v>2.75</v>
      </c>
      <c r="D8" s="25">
        <v>4.5</v>
      </c>
      <c r="E8" s="26" t="s">
        <v>37</v>
      </c>
    </row>
    <row r="9" spans="1:8" ht="15.5" x14ac:dyDescent="0.35">
      <c r="B9" s="27">
        <v>15237</v>
      </c>
      <c r="C9" s="28">
        <v>1.9</v>
      </c>
      <c r="D9" s="28">
        <v>3.8</v>
      </c>
      <c r="E9" s="29" t="s">
        <v>38</v>
      </c>
    </row>
    <row r="10" spans="1:8" ht="15.5" x14ac:dyDescent="0.35">
      <c r="B10" s="30">
        <v>16743</v>
      </c>
      <c r="C10" s="28">
        <v>3.9</v>
      </c>
      <c r="D10" s="28">
        <v>6.25</v>
      </c>
      <c r="E10" s="31" t="s">
        <v>39</v>
      </c>
    </row>
    <row r="11" spans="1:8" ht="15.5" x14ac:dyDescent="0.35">
      <c r="B11" s="27">
        <v>17663</v>
      </c>
      <c r="C11" s="28">
        <v>3.25</v>
      </c>
      <c r="D11" s="28">
        <v>5.95</v>
      </c>
      <c r="E11" s="29" t="s">
        <v>40</v>
      </c>
    </row>
    <row r="12" spans="1:8" ht="16" thickBot="1" x14ac:dyDescent="0.4">
      <c r="B12" s="58">
        <v>18659</v>
      </c>
      <c r="C12" s="32">
        <v>4.0999999999999996</v>
      </c>
      <c r="D12" s="59">
        <v>7.5</v>
      </c>
      <c r="E12" s="33" t="s">
        <v>41</v>
      </c>
    </row>
    <row r="14" spans="1:8" ht="18" x14ac:dyDescent="0.4">
      <c r="B14" s="201" t="s">
        <v>56</v>
      </c>
      <c r="C14" s="201"/>
      <c r="D14" s="201"/>
      <c r="E14" s="201"/>
    </row>
    <row r="15" spans="1:8" ht="18.5" thickBot="1" x14ac:dyDescent="0.45">
      <c r="B15" s="2"/>
      <c r="C15" s="2"/>
      <c r="D15" s="2"/>
      <c r="E15" s="2"/>
    </row>
    <row r="16" spans="1:8" ht="18.5" thickBot="1" x14ac:dyDescent="0.45">
      <c r="B16" s="41" t="s">
        <v>50</v>
      </c>
      <c r="C16" s="66" t="str">
        <f>VLOOKUP(16743,B8:E12,4,FALSE)</f>
        <v>Morning Delight</v>
      </c>
      <c r="D16" s="67"/>
      <c r="E16" s="3"/>
    </row>
    <row r="17" spans="2:6" ht="18" x14ac:dyDescent="0.4">
      <c r="B17" s="2"/>
      <c r="E17" s="3"/>
    </row>
    <row r="18" spans="2:6" ht="18" x14ac:dyDescent="0.4">
      <c r="B18" s="2"/>
      <c r="E18" s="3"/>
    </row>
    <row r="19" spans="2:6" ht="18" x14ac:dyDescent="0.4">
      <c r="B19" s="201" t="s">
        <v>57</v>
      </c>
      <c r="C19" s="201"/>
      <c r="D19" s="201"/>
      <c r="E19" s="201"/>
    </row>
    <row r="20" spans="2:6" ht="18.5" thickBot="1" x14ac:dyDescent="0.45">
      <c r="B20" s="2"/>
      <c r="E20" s="3"/>
    </row>
    <row r="21" spans="2:6" ht="18.5" thickBot="1" x14ac:dyDescent="0.45">
      <c r="B21" s="41" t="s">
        <v>50</v>
      </c>
      <c r="C21" s="68">
        <f>VLOOKUP(18659,B8:E12,3,FALSE)</f>
        <v>7.5</v>
      </c>
    </row>
    <row r="22" spans="2:6" ht="18" x14ac:dyDescent="0.4">
      <c r="B22" s="2"/>
    </row>
    <row r="23" spans="2:6" ht="17.5" x14ac:dyDescent="0.35">
      <c r="B23" s="34"/>
    </row>
    <row r="24" spans="2:6" ht="18" x14ac:dyDescent="0.4">
      <c r="B24" s="201" t="s">
        <v>61</v>
      </c>
      <c r="C24" s="201"/>
      <c r="D24" s="201"/>
      <c r="E24" s="201"/>
    </row>
    <row r="25" spans="2:6" ht="18.5" thickBot="1" x14ac:dyDescent="0.45">
      <c r="B25" s="2"/>
    </row>
    <row r="26" spans="2:6" ht="18.5" thickBot="1" x14ac:dyDescent="0.45">
      <c r="B26" s="41" t="s">
        <v>50</v>
      </c>
      <c r="C26" s="68">
        <f>VLOOKUP(14685,B8:E12,2,FALSE)</f>
        <v>2.75</v>
      </c>
    </row>
    <row r="27" spans="2:6" ht="18" x14ac:dyDescent="0.4">
      <c r="B27" s="2"/>
    </row>
    <row r="29" spans="2:6" ht="18" x14ac:dyDescent="0.4">
      <c r="B29" s="201" t="s">
        <v>73</v>
      </c>
      <c r="C29" s="201"/>
      <c r="D29" s="201"/>
      <c r="E29" s="201"/>
    </row>
    <row r="30" spans="2:6" ht="18.5" thickBot="1" x14ac:dyDescent="0.45">
      <c r="B30" s="2"/>
    </row>
    <row r="31" spans="2:6" ht="18.5" thickBot="1" x14ac:dyDescent="0.45">
      <c r="B31" s="41" t="s">
        <v>50</v>
      </c>
      <c r="C31" s="108" t="str">
        <f>IFERROR(VLOOKUP(14686,B8:E12,2,FALSE), "There is no such product code in the table!")</f>
        <v>There is no such product code in the table!</v>
      </c>
      <c r="D31" s="122"/>
      <c r="E31" s="122"/>
      <c r="F31" s="123"/>
    </row>
  </sheetData>
  <mergeCells count="5">
    <mergeCell ref="B5:E5"/>
    <mergeCell ref="B14:E14"/>
    <mergeCell ref="B19:E19"/>
    <mergeCell ref="B24:E24"/>
    <mergeCell ref="B29:E29"/>
  </mergeCells>
  <phoneticPr fontId="0" type="noConversion"/>
  <printOptions gridLinesSet="0"/>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8"/>
  <sheetViews>
    <sheetView showGridLines="0" workbookViewId="0">
      <selection activeCell="L18" sqref="L18"/>
    </sheetView>
  </sheetViews>
  <sheetFormatPr defaultColWidth="8.81640625" defaultRowHeight="12.5" x14ac:dyDescent="0.25"/>
  <cols>
    <col min="1" max="1" width="9.453125" customWidth="1"/>
    <col min="2" max="2" width="1.36328125" customWidth="1"/>
    <col min="3" max="3" width="14.6328125" customWidth="1"/>
    <col min="4" max="4" width="14.453125" customWidth="1"/>
    <col min="5" max="5" width="17.36328125" customWidth="1"/>
    <col min="6" max="6" width="16.6328125" customWidth="1"/>
    <col min="7" max="7" width="17.36328125" customWidth="1"/>
  </cols>
  <sheetData>
    <row r="1" spans="1:9" s="162" customFormat="1" ht="20" x14ac:dyDescent="0.4">
      <c r="A1" s="159" t="s">
        <v>289</v>
      </c>
      <c r="B1" s="160"/>
      <c r="C1" s="160"/>
      <c r="D1" s="160"/>
      <c r="E1" s="160"/>
      <c r="F1" s="160"/>
      <c r="G1" s="161"/>
    </row>
    <row r="2" spans="1:9" s="162" customFormat="1" ht="20" x14ac:dyDescent="0.4">
      <c r="A2" s="163" t="s">
        <v>290</v>
      </c>
      <c r="B2" s="164"/>
      <c r="C2" s="164"/>
      <c r="D2" s="164"/>
      <c r="E2" s="164"/>
      <c r="F2" s="164"/>
      <c r="G2" s="165"/>
    </row>
    <row r="3" spans="1:9" s="162" customFormat="1" ht="20.5" thickBot="1" x14ac:dyDescent="0.45">
      <c r="A3" s="166" t="s">
        <v>291</v>
      </c>
      <c r="B3" s="148"/>
      <c r="C3" s="148"/>
      <c r="D3" s="148"/>
      <c r="E3" s="148"/>
      <c r="F3" s="148"/>
      <c r="G3" s="167"/>
    </row>
    <row r="6" spans="1:9" ht="13" thickBot="1" x14ac:dyDescent="0.3"/>
    <row r="7" spans="1:9" ht="16" thickBot="1" x14ac:dyDescent="0.4">
      <c r="A7" s="14" t="s">
        <v>43</v>
      </c>
      <c r="C7" s="35">
        <v>14685</v>
      </c>
      <c r="D7" s="35">
        <v>15237</v>
      </c>
      <c r="E7" s="40">
        <v>16743</v>
      </c>
      <c r="F7" s="35">
        <v>17663</v>
      </c>
      <c r="G7" s="52">
        <v>18659</v>
      </c>
      <c r="H7" s="55" t="s">
        <v>52</v>
      </c>
    </row>
    <row r="8" spans="1:9" ht="16" thickBot="1" x14ac:dyDescent="0.4">
      <c r="A8" s="14" t="s">
        <v>44</v>
      </c>
      <c r="C8" s="36">
        <v>2.75</v>
      </c>
      <c r="D8" s="36">
        <v>1.9</v>
      </c>
      <c r="E8" s="36">
        <v>3.9</v>
      </c>
      <c r="F8" s="36">
        <v>3.25</v>
      </c>
      <c r="G8" s="53">
        <v>4.0999999999999996</v>
      </c>
      <c r="H8" s="56" t="s">
        <v>53</v>
      </c>
    </row>
    <row r="9" spans="1:9" ht="16" thickBot="1" x14ac:dyDescent="0.4">
      <c r="A9" s="14" t="s">
        <v>45</v>
      </c>
      <c r="C9" s="36">
        <v>4.5</v>
      </c>
      <c r="D9" s="36">
        <v>3.8</v>
      </c>
      <c r="E9" s="36">
        <v>6.25</v>
      </c>
      <c r="F9" s="36">
        <v>5.95</v>
      </c>
      <c r="G9" s="53">
        <v>7.5</v>
      </c>
      <c r="H9" s="56" t="s">
        <v>54</v>
      </c>
    </row>
    <row r="10" spans="1:9" ht="16" thickBot="1" x14ac:dyDescent="0.4">
      <c r="A10" s="14" t="s">
        <v>46</v>
      </c>
      <c r="C10" s="37" t="s">
        <v>37</v>
      </c>
      <c r="D10" s="38" t="s">
        <v>38</v>
      </c>
      <c r="E10" s="45" t="s">
        <v>39</v>
      </c>
      <c r="F10" s="39" t="s">
        <v>40</v>
      </c>
      <c r="G10" s="54" t="s">
        <v>41</v>
      </c>
      <c r="H10" s="57" t="s">
        <v>55</v>
      </c>
    </row>
    <row r="12" spans="1:9" ht="15.5" x14ac:dyDescent="0.35">
      <c r="C12" s="4"/>
      <c r="D12" s="4"/>
      <c r="E12" s="4"/>
      <c r="F12" s="4"/>
      <c r="G12" s="4"/>
    </row>
    <row r="13" spans="1:9" ht="18" x14ac:dyDescent="0.4">
      <c r="C13" s="201" t="s">
        <v>42</v>
      </c>
      <c r="D13" s="201"/>
      <c r="E13" s="201"/>
      <c r="F13" s="201"/>
      <c r="G13" s="201"/>
    </row>
    <row r="14" spans="1:9" ht="18.5" thickBot="1" x14ac:dyDescent="0.45">
      <c r="C14" s="2"/>
      <c r="D14" s="2"/>
      <c r="E14" s="2"/>
      <c r="F14" s="2"/>
    </row>
    <row r="15" spans="1:9" ht="18.5" thickBot="1" x14ac:dyDescent="0.45">
      <c r="C15" s="41" t="s">
        <v>50</v>
      </c>
      <c r="D15" s="202"/>
      <c r="E15" s="203"/>
      <c r="F15" s="3"/>
    </row>
    <row r="16" spans="1:9" ht="18" x14ac:dyDescent="0.4">
      <c r="C16" s="41" t="s">
        <v>283</v>
      </c>
      <c r="D16" s="4" t="s">
        <v>282</v>
      </c>
      <c r="E16" s="4"/>
      <c r="F16" s="4"/>
      <c r="G16" s="4"/>
      <c r="I16" s="4"/>
    </row>
    <row r="17" spans="3:7" ht="15.5" x14ac:dyDescent="0.35">
      <c r="C17" s="4"/>
      <c r="D17" s="4"/>
      <c r="E17" s="4"/>
      <c r="F17" s="4"/>
      <c r="G17" s="4"/>
    </row>
    <row r="18" spans="3:7" ht="15.5" x14ac:dyDescent="0.35">
      <c r="C18" s="4"/>
      <c r="D18" s="4"/>
      <c r="E18" s="4"/>
      <c r="F18" s="4"/>
      <c r="G18" s="4"/>
    </row>
  </sheetData>
  <mergeCells count="2">
    <mergeCell ref="D15:E15"/>
    <mergeCell ref="C13:G13"/>
  </mergeCells>
  <phoneticPr fontId="0" type="noConversion"/>
  <pageMargins left="0.75" right="0.75" top="1" bottom="1" header="0.5" footer="0.5"/>
  <headerFooter alignWithMargins="0">
    <oddHeader>&amp;A</oddHeader>
    <oddFooter>Page &amp;P</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38"/>
  <sheetViews>
    <sheetView showGridLines="0" workbookViewId="0">
      <selection activeCell="A19" sqref="A19"/>
    </sheetView>
  </sheetViews>
  <sheetFormatPr defaultColWidth="9.1796875" defaultRowHeight="12.5" x14ac:dyDescent="0.25"/>
  <cols>
    <col min="1" max="1" width="9.36328125" style="156" customWidth="1"/>
    <col min="2" max="2" width="14.453125" style="156" customWidth="1"/>
    <col min="3" max="3" width="18.81640625" style="156" customWidth="1"/>
    <col min="4" max="4" width="20" style="156" customWidth="1"/>
    <col min="5" max="5" width="14.453125" style="156" customWidth="1"/>
    <col min="6" max="6" width="4" style="156" customWidth="1"/>
    <col min="7" max="7" width="8.36328125" style="156" customWidth="1"/>
    <col min="8" max="16384" width="9.1796875" style="156"/>
  </cols>
  <sheetData>
    <row r="1" spans="1:8" ht="25" x14ac:dyDescent="0.5">
      <c r="A1" s="190" t="s">
        <v>292</v>
      </c>
      <c r="B1" s="191"/>
      <c r="C1" s="191"/>
      <c r="D1" s="191"/>
      <c r="E1" s="191"/>
      <c r="F1" s="191"/>
      <c r="G1" s="191"/>
      <c r="H1" s="192"/>
    </row>
    <row r="2" spans="1:8" ht="23.5" thickBot="1" x14ac:dyDescent="0.55000000000000004">
      <c r="A2" s="187" t="s">
        <v>82</v>
      </c>
      <c r="B2" s="188"/>
      <c r="C2" s="188"/>
      <c r="D2" s="188"/>
      <c r="E2" s="188"/>
      <c r="F2" s="188"/>
      <c r="G2" s="188"/>
      <c r="H2" s="189"/>
    </row>
    <row r="33" spans="2:7" ht="20" x14ac:dyDescent="0.4">
      <c r="B33" s="170" t="s">
        <v>58</v>
      </c>
      <c r="C33" s="168"/>
      <c r="D33" s="168"/>
      <c r="E33" s="168"/>
      <c r="F33" s="168"/>
      <c r="G33" s="168"/>
    </row>
    <row r="34" spans="2:7" ht="20" x14ac:dyDescent="0.4">
      <c r="B34" s="170" t="s">
        <v>60</v>
      </c>
      <c r="C34" s="168"/>
      <c r="D34" s="168"/>
      <c r="E34" s="168"/>
      <c r="F34" s="168"/>
      <c r="G34" s="168"/>
    </row>
    <row r="35" spans="2:7" ht="20" x14ac:dyDescent="0.4">
      <c r="B35" s="169" t="s">
        <v>47</v>
      </c>
      <c r="C35" s="168"/>
      <c r="D35" s="168"/>
      <c r="E35" s="168"/>
      <c r="F35" s="168"/>
      <c r="G35" s="168"/>
    </row>
    <row r="37" spans="2:7" ht="20" x14ac:dyDescent="0.4">
      <c r="B37" s="170" t="s">
        <v>48</v>
      </c>
      <c r="C37" s="168"/>
      <c r="D37" s="168"/>
      <c r="E37" s="168"/>
      <c r="F37" s="168"/>
      <c r="G37" s="168"/>
    </row>
    <row r="38" spans="2:7" ht="20" x14ac:dyDescent="0.4">
      <c r="B38" s="169" t="s">
        <v>72</v>
      </c>
      <c r="C38" s="168"/>
      <c r="D38" s="168"/>
      <c r="E38" s="168"/>
      <c r="F38" s="168"/>
      <c r="G38" s="168"/>
    </row>
  </sheetData>
  <mergeCells count="2">
    <mergeCell ref="A1:H1"/>
    <mergeCell ref="A2:H2"/>
  </mergeCells>
  <phoneticPr fontId="0" type="noConversion"/>
  <printOptions gridLinesSet="0"/>
  <pageMargins left="0.75" right="0.75" top="1" bottom="1" header="0.5" footer="0.5"/>
  <pageSetup orientation="portrait" horizontalDpi="300" verticalDpi="300" r:id="rId1"/>
  <headerFooter alignWithMargins="0">
    <oddHeader>&amp;A</oddHeader>
    <oddFooter>Page &amp;P</oddFooter>
  </headerFooter>
  <drawing r:id="rId2"/>
  <legacyDrawing r:id="rId3"/>
  <oleObjects>
    <mc:AlternateContent xmlns:mc="http://schemas.openxmlformats.org/markup-compatibility/2006">
      <mc:Choice Requires="x14">
        <oleObject progId="Paint.Picture" shapeId="13314" r:id="rId4">
          <objectPr defaultSize="0" r:id="rId5">
            <anchor moveWithCells="1">
              <from>
                <xdr:col>0</xdr:col>
                <xdr:colOff>584200</xdr:colOff>
                <xdr:row>3</xdr:row>
                <xdr:rowOff>76200</xdr:rowOff>
              </from>
              <to>
                <xdr:col>6</xdr:col>
                <xdr:colOff>139700</xdr:colOff>
                <xdr:row>26</xdr:row>
                <xdr:rowOff>76200</xdr:rowOff>
              </to>
            </anchor>
          </objectPr>
        </oleObject>
      </mc:Choice>
      <mc:Fallback>
        <oleObject progId="Paint.Picture" shapeId="13314"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7"/>
  <sheetViews>
    <sheetView showGridLines="0" zoomScaleNormal="100" workbookViewId="0">
      <selection activeCell="O44" sqref="O44"/>
    </sheetView>
  </sheetViews>
  <sheetFormatPr defaultColWidth="9.1796875" defaultRowHeight="12.5" x14ac:dyDescent="0.25"/>
  <cols>
    <col min="1" max="1" width="4.453125" style="156" customWidth="1"/>
    <col min="2" max="2" width="11.6328125" style="156" customWidth="1"/>
    <col min="3" max="3" width="10.453125" style="156" customWidth="1"/>
    <col min="4" max="4" width="20" style="156" customWidth="1"/>
    <col min="5" max="5" width="14.453125" style="156" customWidth="1"/>
    <col min="6" max="6" width="4" style="156" customWidth="1"/>
    <col min="7" max="7" width="8.36328125" style="156" customWidth="1"/>
    <col min="8" max="16384" width="9.1796875" style="156"/>
  </cols>
  <sheetData>
    <row r="1" spans="1:11" ht="25.5" thickBot="1" x14ac:dyDescent="0.55000000000000004">
      <c r="A1" s="177" t="s">
        <v>102</v>
      </c>
      <c r="B1" s="178"/>
      <c r="C1" s="178"/>
      <c r="D1" s="178"/>
      <c r="E1" s="178"/>
      <c r="F1" s="178"/>
      <c r="G1" s="178"/>
      <c r="H1" s="178"/>
      <c r="I1" s="178"/>
      <c r="J1" s="178"/>
      <c r="K1" s="179"/>
    </row>
    <row r="51" spans="5:5" ht="20" x14ac:dyDescent="0.4">
      <c r="E51" s="171">
        <v>0</v>
      </c>
    </row>
    <row r="52" spans="5:5" ht="20" x14ac:dyDescent="0.4">
      <c r="E52" s="171">
        <v>30</v>
      </c>
    </row>
    <row r="53" spans="5:5" ht="20" x14ac:dyDescent="0.4">
      <c r="E53" s="171">
        <v>50</v>
      </c>
    </row>
    <row r="54" spans="5:5" ht="20" x14ac:dyDescent="0.4">
      <c r="E54" s="171">
        <v>60</v>
      </c>
    </row>
    <row r="55" spans="5:5" ht="20" x14ac:dyDescent="0.4">
      <c r="E55" s="171">
        <v>70</v>
      </c>
    </row>
    <row r="56" spans="5:5" ht="20" x14ac:dyDescent="0.4">
      <c r="E56" s="171">
        <v>77</v>
      </c>
    </row>
    <row r="57" spans="5:5" ht="20" x14ac:dyDescent="0.4">
      <c r="E57" s="171">
        <v>84</v>
      </c>
    </row>
  </sheetData>
  <mergeCells count="1">
    <mergeCell ref="A1:K1"/>
  </mergeCells>
  <phoneticPr fontId="0" type="noConversion"/>
  <printOptions gridLinesSet="0"/>
  <pageMargins left="0.75" right="0.75" top="1" bottom="1" header="0.5" footer="0.5"/>
  <pageSetup orientation="portrait" horizontalDpi="300" verticalDpi="300" r:id="rId1"/>
  <headerFooter alignWithMargins="0">
    <oddHeader>&amp;A</oddHeader>
    <oddFooter>Page &amp;P</oddFooter>
  </headerFooter>
  <drawing r:id="rId2"/>
  <legacyDrawing r:id="rId3"/>
  <oleObjects>
    <mc:AlternateContent xmlns:mc="http://schemas.openxmlformats.org/markup-compatibility/2006">
      <mc:Choice Requires="x14">
        <oleObject progId="Paint.Picture" shapeId="44033" r:id="rId4">
          <objectPr defaultSize="0" autoPict="0" r:id="rId5">
            <anchor moveWithCells="1">
              <from>
                <xdr:col>2</xdr:col>
                <xdr:colOff>495300</xdr:colOff>
                <xdr:row>11</xdr:row>
                <xdr:rowOff>114300</xdr:rowOff>
              </from>
              <to>
                <xdr:col>9</xdr:col>
                <xdr:colOff>406400</xdr:colOff>
                <xdr:row>35</xdr:row>
                <xdr:rowOff>76200</xdr:rowOff>
              </to>
            </anchor>
          </objectPr>
        </oleObject>
      </mc:Choice>
      <mc:Fallback>
        <oleObject progId="Paint.Picture" shapeId="44033"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27"/>
  <sheetViews>
    <sheetView showGridLines="0" topLeftCell="A7" zoomScale="70" zoomScaleNormal="70" workbookViewId="0">
      <selection activeCell="K16" sqref="K16"/>
    </sheetView>
  </sheetViews>
  <sheetFormatPr defaultColWidth="9.1796875" defaultRowHeight="12.5" x14ac:dyDescent="0.25"/>
  <cols>
    <col min="1" max="1" width="4.453125" style="46" customWidth="1"/>
    <col min="2" max="2" width="11.6328125" style="46" customWidth="1"/>
    <col min="3" max="3" width="10.453125" style="46" customWidth="1"/>
    <col min="4" max="4" width="13.6328125" style="46" customWidth="1"/>
    <col min="5" max="5" width="14.453125" style="46" customWidth="1"/>
    <col min="6" max="6" width="9" style="46" customWidth="1"/>
    <col min="7" max="7" width="8.36328125" style="46" customWidth="1"/>
    <col min="8" max="16384" width="9.1796875" style="46"/>
  </cols>
  <sheetData>
    <row r="1" spans="1:11" ht="25.5" thickBot="1" x14ac:dyDescent="0.55000000000000004">
      <c r="A1" s="177" t="s">
        <v>103</v>
      </c>
      <c r="B1" s="178"/>
      <c r="C1" s="178"/>
      <c r="D1" s="178"/>
      <c r="E1" s="178"/>
      <c r="F1" s="178"/>
      <c r="G1" s="178"/>
      <c r="H1" s="178"/>
      <c r="I1" s="178"/>
      <c r="J1" s="178"/>
      <c r="K1" s="179"/>
    </row>
    <row r="8" spans="1:11" ht="13" thickBot="1" x14ac:dyDescent="0.3"/>
    <row r="9" spans="1:11" ht="18.5" thickBot="1" x14ac:dyDescent="0.45">
      <c r="I9" s="204" t="s">
        <v>68</v>
      </c>
      <c r="J9" s="205"/>
    </row>
    <row r="10" spans="1:11" ht="18" x14ac:dyDescent="0.4">
      <c r="I10" s="77">
        <v>0</v>
      </c>
      <c r="J10" s="78" t="s">
        <v>62</v>
      </c>
    </row>
    <row r="11" spans="1:11" ht="18" x14ac:dyDescent="0.4">
      <c r="I11" s="77">
        <v>30</v>
      </c>
      <c r="J11" s="78" t="s">
        <v>63</v>
      </c>
    </row>
    <row r="12" spans="1:11" ht="18" x14ac:dyDescent="0.4">
      <c r="I12" s="77">
        <v>50</v>
      </c>
      <c r="J12" s="78" t="s">
        <v>64</v>
      </c>
    </row>
    <row r="13" spans="1:11" ht="18" x14ac:dyDescent="0.4">
      <c r="I13" s="77">
        <v>60</v>
      </c>
      <c r="J13" s="78" t="s">
        <v>65</v>
      </c>
    </row>
    <row r="14" spans="1:11" ht="18" x14ac:dyDescent="0.4">
      <c r="I14" s="77">
        <v>70</v>
      </c>
      <c r="J14" s="78" t="s">
        <v>74</v>
      </c>
    </row>
    <row r="15" spans="1:11" ht="18" x14ac:dyDescent="0.4">
      <c r="I15" s="77">
        <v>77</v>
      </c>
      <c r="J15" s="78" t="s">
        <v>66</v>
      </c>
    </row>
    <row r="16" spans="1:11" ht="18.5" thickBot="1" x14ac:dyDescent="0.45">
      <c r="I16" s="79">
        <v>84</v>
      </c>
      <c r="J16" s="80" t="s">
        <v>67</v>
      </c>
    </row>
    <row r="17" spans="9:10" ht="13" thickBot="1" x14ac:dyDescent="0.3"/>
    <row r="18" spans="9:10" ht="18.5" thickBot="1" x14ac:dyDescent="0.45">
      <c r="I18" s="204" t="s">
        <v>69</v>
      </c>
      <c r="J18" s="205"/>
    </row>
    <row r="19" spans="9:10" ht="18" x14ac:dyDescent="0.4">
      <c r="I19" s="81">
        <v>85</v>
      </c>
      <c r="J19" s="109" t="str">
        <f>VLOOKUP(I19,$I$10:$J$16,2,TRUE)</f>
        <v>A</v>
      </c>
    </row>
    <row r="20" spans="9:10" ht="18" x14ac:dyDescent="0.4">
      <c r="I20" s="81">
        <v>50</v>
      </c>
      <c r="J20" s="109" t="str">
        <f t="shared" ref="J20:J27" si="0">VLOOKUP(I20,$I$10:$J$16,2,TRUE)</f>
        <v>C</v>
      </c>
    </row>
    <row r="21" spans="9:10" ht="18" x14ac:dyDescent="0.4">
      <c r="I21" s="81">
        <v>67</v>
      </c>
      <c r="J21" s="109" t="str">
        <f t="shared" si="0"/>
        <v>BC</v>
      </c>
    </row>
    <row r="22" spans="9:10" ht="18" x14ac:dyDescent="0.4">
      <c r="I22" s="81">
        <v>93</v>
      </c>
      <c r="J22" s="109" t="str">
        <f t="shared" si="0"/>
        <v>A</v>
      </c>
    </row>
    <row r="23" spans="9:10" ht="18" x14ac:dyDescent="0.4">
      <c r="I23" s="81">
        <v>48</v>
      </c>
      <c r="J23" s="109" t="str">
        <f t="shared" si="0"/>
        <v>D</v>
      </c>
    </row>
    <row r="24" spans="9:10" ht="18" x14ac:dyDescent="0.4">
      <c r="I24" s="81">
        <v>100</v>
      </c>
      <c r="J24" s="109" t="str">
        <f t="shared" si="0"/>
        <v>A</v>
      </c>
    </row>
    <row r="25" spans="9:10" ht="18" x14ac:dyDescent="0.4">
      <c r="I25" s="81">
        <v>72</v>
      </c>
      <c r="J25" s="109" t="str">
        <f t="shared" si="0"/>
        <v>B</v>
      </c>
    </row>
    <row r="26" spans="9:10" ht="18" x14ac:dyDescent="0.4">
      <c r="I26" s="106">
        <v>-5</v>
      </c>
      <c r="J26" s="109" t="e">
        <f t="shared" si="0"/>
        <v>#N/A</v>
      </c>
    </row>
    <row r="27" spans="9:10" ht="18.5" thickBot="1" x14ac:dyDescent="0.45">
      <c r="I27" s="107">
        <v>105</v>
      </c>
      <c r="J27" s="109" t="str">
        <f t="shared" si="0"/>
        <v>A</v>
      </c>
    </row>
  </sheetData>
  <mergeCells count="3">
    <mergeCell ref="A1:K1"/>
    <mergeCell ref="I9:J9"/>
    <mergeCell ref="I18:J18"/>
  </mergeCells>
  <printOptions gridLinesSet="0"/>
  <pageMargins left="0.75" right="0.75" top="1" bottom="1" header="0.5" footer="0.5"/>
  <pageSetup orientation="portrait" horizontalDpi="300" verticalDpi="300" r:id="rId1"/>
  <headerFooter alignWithMargins="0">
    <oddHeader>&amp;A</oddHeader>
    <oddFooter>Page &amp;P</oddFooter>
  </headerFooter>
  <drawing r:id="rId2"/>
  <legacyDrawing r:id="rId3"/>
  <oleObjects>
    <mc:AlternateContent xmlns:mc="http://schemas.openxmlformats.org/markup-compatibility/2006">
      <mc:Choice Requires="x14">
        <oleObject progId="Paint.Picture" shapeId="71681" r:id="rId4">
          <objectPr defaultSize="0" autoPict="0" r:id="rId5">
            <anchor moveWithCells="1">
              <from>
                <xdr:col>0</xdr:col>
                <xdr:colOff>190500</xdr:colOff>
                <xdr:row>2</xdr:row>
                <xdr:rowOff>114300</xdr:rowOff>
              </from>
              <to>
                <xdr:col>7</xdr:col>
                <xdr:colOff>330200</xdr:colOff>
                <xdr:row>20</xdr:row>
                <xdr:rowOff>152400</xdr:rowOff>
              </to>
            </anchor>
          </objectPr>
        </oleObject>
      </mc:Choice>
      <mc:Fallback>
        <oleObject progId="Paint.Picture" shapeId="71681" r:id="rId4"/>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57"/>
  <sheetViews>
    <sheetView showGridLines="0" tabSelected="1" topLeftCell="A24" zoomScaleNormal="100" workbookViewId="0">
      <selection activeCell="J49" sqref="J49"/>
    </sheetView>
  </sheetViews>
  <sheetFormatPr defaultColWidth="9.1796875" defaultRowHeight="12.5" x14ac:dyDescent="0.25"/>
  <cols>
    <col min="1" max="1" width="4.453125" style="46" customWidth="1"/>
    <col min="2" max="2" width="11.6328125" style="46" customWidth="1"/>
    <col min="3" max="3" width="10.453125" style="46" customWidth="1"/>
    <col min="4" max="4" width="13.6328125" style="46" customWidth="1"/>
    <col min="5" max="5" width="14.453125" style="46" customWidth="1"/>
    <col min="6" max="6" width="9" style="46" customWidth="1"/>
    <col min="7" max="7" width="8.36328125" style="46" customWidth="1"/>
    <col min="8" max="16384" width="9.1796875" style="46"/>
  </cols>
  <sheetData>
    <row r="1" spans="1:11" ht="25.5" thickBot="1" x14ac:dyDescent="0.55000000000000004">
      <c r="A1" s="177" t="s">
        <v>264</v>
      </c>
      <c r="B1" s="178"/>
      <c r="C1" s="178"/>
      <c r="D1" s="178"/>
      <c r="E1" s="178"/>
      <c r="F1" s="178"/>
      <c r="G1" s="178"/>
      <c r="H1" s="178"/>
      <c r="I1" s="178"/>
      <c r="J1" s="178"/>
      <c r="K1" s="179"/>
    </row>
    <row r="8" spans="1:11" ht="13" thickBot="1" x14ac:dyDescent="0.3"/>
    <row r="9" spans="1:11" ht="18.5" thickBot="1" x14ac:dyDescent="0.45">
      <c r="I9" s="204" t="s">
        <v>68</v>
      </c>
      <c r="J9" s="205"/>
    </row>
    <row r="10" spans="1:11" ht="18" x14ac:dyDescent="0.4">
      <c r="I10" s="77">
        <v>0</v>
      </c>
      <c r="J10" s="78" t="s">
        <v>62</v>
      </c>
    </row>
    <row r="11" spans="1:11" ht="18" x14ac:dyDescent="0.4">
      <c r="I11" s="77">
        <v>30</v>
      </c>
      <c r="J11" s="78" t="s">
        <v>63</v>
      </c>
    </row>
    <row r="12" spans="1:11" ht="18" x14ac:dyDescent="0.4">
      <c r="I12" s="77">
        <v>50</v>
      </c>
      <c r="J12" s="78" t="s">
        <v>64</v>
      </c>
    </row>
    <row r="13" spans="1:11" ht="18" x14ac:dyDescent="0.4">
      <c r="I13" s="77">
        <v>60</v>
      </c>
      <c r="J13" s="78" t="s">
        <v>65</v>
      </c>
    </row>
    <row r="14" spans="1:11" ht="18" x14ac:dyDescent="0.4">
      <c r="I14" s="77">
        <v>70</v>
      </c>
      <c r="J14" s="78" t="s">
        <v>74</v>
      </c>
    </row>
    <row r="15" spans="1:11" ht="18" x14ac:dyDescent="0.4">
      <c r="I15" s="77">
        <v>77</v>
      </c>
      <c r="J15" s="78" t="s">
        <v>66</v>
      </c>
    </row>
    <row r="16" spans="1:11" ht="18.5" thickBot="1" x14ac:dyDescent="0.45">
      <c r="I16" s="79">
        <v>84</v>
      </c>
      <c r="J16" s="80" t="s">
        <v>67</v>
      </c>
    </row>
    <row r="17" spans="9:10" ht="13" thickBot="1" x14ac:dyDescent="0.3"/>
    <row r="18" spans="9:10" ht="18.5" thickBot="1" x14ac:dyDescent="0.45">
      <c r="I18" s="204" t="s">
        <v>69</v>
      </c>
      <c r="J18" s="205"/>
    </row>
    <row r="19" spans="9:10" ht="18" x14ac:dyDescent="0.4">
      <c r="I19" s="81">
        <v>85</v>
      </c>
      <c r="J19" s="109" t="str">
        <f>VLOOKUP(I19,$I$10:$J$16,2,TRUE)</f>
        <v>A</v>
      </c>
    </row>
    <row r="20" spans="9:10" ht="18" x14ac:dyDescent="0.4">
      <c r="I20" s="81">
        <v>50</v>
      </c>
      <c r="J20" s="109" t="str">
        <f t="shared" ref="J20:J27" si="0">VLOOKUP(I20,$I$10:$J$16,2,TRUE)</f>
        <v>C</v>
      </c>
    </row>
    <row r="21" spans="9:10" ht="18" x14ac:dyDescent="0.4">
      <c r="I21" s="81">
        <v>67</v>
      </c>
      <c r="J21" s="109" t="str">
        <f t="shared" si="0"/>
        <v>BC</v>
      </c>
    </row>
    <row r="22" spans="9:10" ht="18" x14ac:dyDescent="0.4">
      <c r="I22" s="81">
        <v>93</v>
      </c>
      <c r="J22" s="109" t="str">
        <f t="shared" si="0"/>
        <v>A</v>
      </c>
    </row>
    <row r="23" spans="9:10" ht="18" x14ac:dyDescent="0.4">
      <c r="I23" s="81">
        <v>48</v>
      </c>
      <c r="J23" s="109" t="str">
        <f t="shared" si="0"/>
        <v>D</v>
      </c>
    </row>
    <row r="24" spans="9:10" ht="18" x14ac:dyDescent="0.4">
      <c r="I24" s="81">
        <v>100</v>
      </c>
      <c r="J24" s="109" t="str">
        <f t="shared" si="0"/>
        <v>A</v>
      </c>
    </row>
    <row r="25" spans="9:10" ht="18" x14ac:dyDescent="0.4">
      <c r="I25" s="81">
        <v>72</v>
      </c>
      <c r="J25" s="109" t="str">
        <f t="shared" si="0"/>
        <v>B</v>
      </c>
    </row>
    <row r="26" spans="9:10" ht="18" x14ac:dyDescent="0.4">
      <c r="I26" s="106">
        <v>-5</v>
      </c>
      <c r="J26" s="109" t="e">
        <f t="shared" si="0"/>
        <v>#N/A</v>
      </c>
    </row>
    <row r="27" spans="9:10" ht="18.5" thickBot="1" x14ac:dyDescent="0.45">
      <c r="I27" s="107">
        <v>105</v>
      </c>
      <c r="J27" s="109" t="str">
        <f t="shared" si="0"/>
        <v>A</v>
      </c>
    </row>
    <row r="33" spans="9:10" ht="13" thickBot="1" x14ac:dyDescent="0.3"/>
    <row r="34" spans="9:10" ht="18.5" thickBot="1" x14ac:dyDescent="0.45">
      <c r="I34" s="204" t="s">
        <v>68</v>
      </c>
      <c r="J34" s="205"/>
    </row>
    <row r="35" spans="9:10" ht="18" x14ac:dyDescent="0.4">
      <c r="I35" s="77">
        <v>0</v>
      </c>
      <c r="J35" s="78" t="s">
        <v>62</v>
      </c>
    </row>
    <row r="36" spans="9:10" ht="18" x14ac:dyDescent="0.4">
      <c r="I36" s="77">
        <v>30</v>
      </c>
      <c r="J36" s="78" t="s">
        <v>63</v>
      </c>
    </row>
    <row r="37" spans="9:10" ht="18" x14ac:dyDescent="0.4">
      <c r="I37" s="77">
        <v>50</v>
      </c>
      <c r="J37" s="78" t="s">
        <v>64</v>
      </c>
    </row>
    <row r="38" spans="9:10" ht="18" x14ac:dyDescent="0.4">
      <c r="I38" s="77">
        <v>60</v>
      </c>
      <c r="J38" s="78" t="s">
        <v>65</v>
      </c>
    </row>
    <row r="39" spans="9:10" ht="18" x14ac:dyDescent="0.4">
      <c r="I39" s="77">
        <v>70</v>
      </c>
      <c r="J39" s="78" t="s">
        <v>74</v>
      </c>
    </row>
    <row r="40" spans="9:10" ht="18" x14ac:dyDescent="0.4">
      <c r="I40" s="77">
        <v>77</v>
      </c>
      <c r="J40" s="78" t="s">
        <v>66</v>
      </c>
    </row>
    <row r="41" spans="9:10" ht="18.5" thickBot="1" x14ac:dyDescent="0.45">
      <c r="I41" s="79">
        <v>84</v>
      </c>
      <c r="J41" s="80" t="s">
        <v>67</v>
      </c>
    </row>
    <row r="42" spans="9:10" ht="18.5" thickBot="1" x14ac:dyDescent="0.45">
      <c r="I42" s="111">
        <v>101</v>
      </c>
      <c r="J42" s="112" t="s">
        <v>263</v>
      </c>
    </row>
    <row r="47" spans="9:10" ht="13" thickBot="1" x14ac:dyDescent="0.3"/>
    <row r="48" spans="9:10" ht="18.5" thickBot="1" x14ac:dyDescent="0.45">
      <c r="I48" s="204" t="s">
        <v>69</v>
      </c>
      <c r="J48" s="205"/>
    </row>
    <row r="49" spans="9:10" ht="18" x14ac:dyDescent="0.4">
      <c r="I49" s="113">
        <v>85</v>
      </c>
      <c r="J49" s="114" t="str">
        <f>VLOOKUP(I49,$I$35:$J$42,2,TRUE)</f>
        <v>A</v>
      </c>
    </row>
    <row r="50" spans="9:10" ht="18" x14ac:dyDescent="0.4">
      <c r="I50" s="81">
        <v>50</v>
      </c>
      <c r="J50" s="109" t="str">
        <f t="shared" ref="J49:J57" si="1">VLOOKUP(I50,$I$35:$J$42,2,TRUE)</f>
        <v>C</v>
      </c>
    </row>
    <row r="51" spans="9:10" ht="18" x14ac:dyDescent="0.4">
      <c r="I51" s="81">
        <v>67</v>
      </c>
      <c r="J51" s="109" t="str">
        <f t="shared" si="1"/>
        <v>BC</v>
      </c>
    </row>
    <row r="52" spans="9:10" ht="18" x14ac:dyDescent="0.4">
      <c r="I52" s="81">
        <v>93</v>
      </c>
      <c r="J52" s="109" t="str">
        <f t="shared" si="1"/>
        <v>A</v>
      </c>
    </row>
    <row r="53" spans="9:10" ht="18" x14ac:dyDescent="0.4">
      <c r="I53" s="81">
        <v>48</v>
      </c>
      <c r="J53" s="109" t="str">
        <f t="shared" si="1"/>
        <v>D</v>
      </c>
    </row>
    <row r="54" spans="9:10" ht="18" x14ac:dyDescent="0.4">
      <c r="I54" s="81">
        <v>100</v>
      </c>
      <c r="J54" s="109" t="str">
        <f t="shared" si="1"/>
        <v>A</v>
      </c>
    </row>
    <row r="55" spans="9:10" ht="18" x14ac:dyDescent="0.4">
      <c r="I55" s="81">
        <v>72</v>
      </c>
      <c r="J55" s="109" t="str">
        <f t="shared" si="1"/>
        <v>B</v>
      </c>
    </row>
    <row r="56" spans="9:10" ht="18" x14ac:dyDescent="0.4">
      <c r="I56" s="106">
        <v>-5</v>
      </c>
      <c r="J56" s="109" t="e">
        <f t="shared" si="1"/>
        <v>#N/A</v>
      </c>
    </row>
    <row r="57" spans="9:10" ht="18.5" thickBot="1" x14ac:dyDescent="0.45">
      <c r="I57" s="107">
        <v>105</v>
      </c>
      <c r="J57" s="110" t="str">
        <f t="shared" si="1"/>
        <v>????</v>
      </c>
    </row>
  </sheetData>
  <mergeCells count="5">
    <mergeCell ref="I48:J48"/>
    <mergeCell ref="A1:K1"/>
    <mergeCell ref="I9:J9"/>
    <mergeCell ref="I18:J18"/>
    <mergeCell ref="I34:J34"/>
  </mergeCells>
  <printOptions gridLinesSet="0"/>
  <pageMargins left="0.75" right="0.75" top="1" bottom="1" header="0.5" footer="0.5"/>
  <pageSetup orientation="portrait" horizontalDpi="300" verticalDpi="300" r:id="rId1"/>
  <headerFooter alignWithMargins="0">
    <oddHeader>&amp;A</oddHeader>
    <oddFooter>Page &amp;P</oddFooter>
  </headerFooter>
  <drawing r:id="rId2"/>
  <legacyDrawing r:id="rId3"/>
  <oleObjects>
    <mc:AlternateContent xmlns:mc="http://schemas.openxmlformats.org/markup-compatibility/2006">
      <mc:Choice Requires="x14">
        <oleObject progId="Paint.Picture" shapeId="88065" r:id="rId4">
          <objectPr defaultSize="0" autoPict="0" r:id="rId5">
            <anchor moveWithCells="1">
              <from>
                <xdr:col>0</xdr:col>
                <xdr:colOff>190500</xdr:colOff>
                <xdr:row>2</xdr:row>
                <xdr:rowOff>114300</xdr:rowOff>
              </from>
              <to>
                <xdr:col>7</xdr:col>
                <xdr:colOff>330200</xdr:colOff>
                <xdr:row>20</xdr:row>
                <xdr:rowOff>152400</xdr:rowOff>
              </to>
            </anchor>
          </objectPr>
        </oleObject>
      </mc:Choice>
      <mc:Fallback>
        <oleObject progId="Paint.Picture" shapeId="88065" r:id="rId4"/>
      </mc:Fallback>
    </mc:AlternateContent>
  </oleObjec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7:G32"/>
  <sheetViews>
    <sheetView topLeftCell="A16" workbookViewId="0">
      <selection activeCell="J24" sqref="J24"/>
    </sheetView>
  </sheetViews>
  <sheetFormatPr defaultColWidth="8.81640625" defaultRowHeight="12.5" x14ac:dyDescent="0.25"/>
  <cols>
    <col min="6" max="6" width="7.6328125" bestFit="1" customWidth="1"/>
    <col min="7" max="7" width="10.81640625" bestFit="1" customWidth="1"/>
  </cols>
  <sheetData>
    <row r="27" spans="2:7" ht="17.5" x14ac:dyDescent="0.35">
      <c r="B27" s="172" t="s">
        <v>293</v>
      </c>
      <c r="C27" s="172" t="s">
        <v>294</v>
      </c>
      <c r="D27" s="172" t="s">
        <v>295</v>
      </c>
      <c r="E27" s="173"/>
      <c r="F27" s="174" t="s">
        <v>293</v>
      </c>
      <c r="G27" s="175">
        <v>5300</v>
      </c>
    </row>
    <row r="28" spans="2:7" ht="17.5" x14ac:dyDescent="0.35">
      <c r="B28" s="176">
        <v>1000</v>
      </c>
      <c r="C28" s="176" t="s">
        <v>296</v>
      </c>
      <c r="D28" s="176" t="s">
        <v>67</v>
      </c>
      <c r="E28" s="173"/>
      <c r="F28" s="174" t="s">
        <v>297</v>
      </c>
      <c r="G28" s="175">
        <f>LOOKUP(G27,B28:B32)</f>
        <v>5000</v>
      </c>
    </row>
    <row r="29" spans="2:7" ht="17.5" x14ac:dyDescent="0.35">
      <c r="B29" s="176">
        <v>2000</v>
      </c>
      <c r="C29" s="176" t="s">
        <v>215</v>
      </c>
      <c r="D29" s="176" t="s">
        <v>74</v>
      </c>
      <c r="E29" s="173"/>
      <c r="F29" s="174" t="s">
        <v>294</v>
      </c>
      <c r="G29" s="175" t="str">
        <f>LOOKUP(G27,B28:B32,C28:C32)</f>
        <v>Diamond</v>
      </c>
    </row>
    <row r="30" spans="2:7" ht="17.5" x14ac:dyDescent="0.35">
      <c r="B30" s="176">
        <v>3000</v>
      </c>
      <c r="C30" s="176" t="s">
        <v>298</v>
      </c>
      <c r="D30" s="176" t="s">
        <v>64</v>
      </c>
      <c r="E30" s="173"/>
      <c r="F30" s="174" t="s">
        <v>295</v>
      </c>
      <c r="G30" s="175" t="str">
        <f>LOOKUP(G27,B28:D32)</f>
        <v>E</v>
      </c>
    </row>
    <row r="31" spans="2:7" ht="17.5" x14ac:dyDescent="0.35">
      <c r="B31" s="176">
        <v>4000</v>
      </c>
      <c r="C31" s="176" t="s">
        <v>299</v>
      </c>
      <c r="D31" s="176" t="s">
        <v>63</v>
      </c>
      <c r="E31" s="173"/>
      <c r="F31" s="173"/>
      <c r="G31" s="173"/>
    </row>
    <row r="32" spans="2:7" ht="17.5" x14ac:dyDescent="0.35">
      <c r="B32" s="176">
        <v>5000</v>
      </c>
      <c r="C32" s="176" t="s">
        <v>300</v>
      </c>
      <c r="D32" s="176" t="s">
        <v>301</v>
      </c>
      <c r="E32" s="173"/>
      <c r="F32" s="173"/>
      <c r="G32" s="173"/>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33"/>
  <sheetViews>
    <sheetView topLeftCell="A19" workbookViewId="0">
      <selection activeCell="E28" sqref="E28"/>
    </sheetView>
  </sheetViews>
  <sheetFormatPr defaultColWidth="9.1796875" defaultRowHeight="12.5" x14ac:dyDescent="0.25"/>
  <cols>
    <col min="1" max="5" width="9.1796875" style="65"/>
    <col min="6" max="6" width="14.36328125" style="65" customWidth="1"/>
    <col min="7" max="16384" width="9.1796875" style="65"/>
  </cols>
  <sheetData>
    <row r="1" spans="1:13" ht="26" x14ac:dyDescent="0.6">
      <c r="A1" s="206" t="s">
        <v>245</v>
      </c>
      <c r="B1" s="207"/>
      <c r="C1" s="207"/>
      <c r="D1" s="207"/>
      <c r="E1" s="207"/>
      <c r="F1" s="207"/>
      <c r="G1" s="207"/>
      <c r="H1" s="207"/>
      <c r="I1" s="207"/>
      <c r="J1" s="207"/>
      <c r="K1" s="207"/>
      <c r="L1" s="207"/>
      <c r="M1" s="207"/>
    </row>
    <row r="28" spans="5:6" ht="37" x14ac:dyDescent="0.45">
      <c r="E28" s="102" t="s">
        <v>242</v>
      </c>
      <c r="F28" s="103" t="s">
        <v>243</v>
      </c>
    </row>
    <row r="29" spans="5:6" ht="18.5" x14ac:dyDescent="0.45">
      <c r="E29" s="100" t="s">
        <v>130</v>
      </c>
      <c r="F29" s="101">
        <v>1500</v>
      </c>
    </row>
    <row r="30" spans="5:6" ht="18.5" x14ac:dyDescent="0.45">
      <c r="E30" s="100" t="s">
        <v>145</v>
      </c>
      <c r="F30" s="101">
        <v>875</v>
      </c>
    </row>
    <row r="31" spans="5:6" ht="18.5" x14ac:dyDescent="0.45">
      <c r="E31" s="100" t="s">
        <v>150</v>
      </c>
      <c r="F31" s="101">
        <v>1650</v>
      </c>
    </row>
    <row r="32" spans="5:6" ht="18.5" x14ac:dyDescent="0.45">
      <c r="E32" s="100" t="s">
        <v>143</v>
      </c>
      <c r="F32" s="101">
        <v>950</v>
      </c>
    </row>
    <row r="33" spans="5:6" ht="18.5" x14ac:dyDescent="0.45">
      <c r="E33" s="100" t="s">
        <v>140</v>
      </c>
      <c r="F33" s="101">
        <v>0</v>
      </c>
    </row>
  </sheetData>
  <mergeCells count="1">
    <mergeCell ref="A1:M1"/>
  </mergeCells>
  <pageMargins left="0.7" right="0.7" top="0.75" bottom="0.75" header="0.3" footer="0.3"/>
  <pageSetup orientation="portrait" horizontalDpi="300" verticalDpi="300" r:id="rId1"/>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03"/>
  <sheetViews>
    <sheetView topLeftCell="J1" zoomScaleNormal="100" workbookViewId="0">
      <selection activeCell="U22" sqref="U22"/>
    </sheetView>
  </sheetViews>
  <sheetFormatPr defaultColWidth="9.1796875" defaultRowHeight="14.5" x14ac:dyDescent="0.35"/>
  <cols>
    <col min="1" max="1" width="5.453125" style="86" bestFit="1" customWidth="1"/>
    <col min="2" max="2" width="12.36328125" style="86" bestFit="1" customWidth="1"/>
    <col min="3" max="3" width="11.36328125" style="86" customWidth="1"/>
    <col min="4" max="4" width="11.36328125" style="86" bestFit="1" customWidth="1"/>
    <col min="5" max="5" width="4.453125" style="86" bestFit="1" customWidth="1"/>
    <col min="6" max="6" width="13.453125" style="86" customWidth="1"/>
    <col min="7" max="7" width="6.6328125" style="86" bestFit="1" customWidth="1"/>
    <col min="8" max="8" width="5.81640625" style="86" customWidth="1"/>
    <col min="9" max="9" width="6.6328125" style="86" bestFit="1" customWidth="1"/>
    <col min="10" max="10" width="5.453125" style="86" bestFit="1" customWidth="1"/>
    <col min="11" max="11" width="10.36328125" style="86" bestFit="1" customWidth="1"/>
    <col min="12" max="12" width="6.81640625" style="86" bestFit="1" customWidth="1"/>
    <col min="13" max="13" width="7.453125" style="86" bestFit="1" customWidth="1"/>
    <col min="14" max="14" width="9.1796875" style="86"/>
    <col min="15" max="17" width="10.81640625" style="86" bestFit="1" customWidth="1"/>
    <col min="18" max="18" width="13.1796875" style="86" customWidth="1"/>
    <col min="19" max="21" width="9.1796875" style="86"/>
    <col min="22" max="22" width="17.36328125" style="86" bestFit="1" customWidth="1"/>
    <col min="23" max="23" width="17.453125" style="86" bestFit="1" customWidth="1"/>
    <col min="24" max="24" width="9.1796875" style="86"/>
    <col min="25" max="25" width="12.36328125" style="86" customWidth="1"/>
    <col min="26" max="27" width="9.1796875" style="86"/>
    <col min="28" max="28" width="12.36328125" style="86" customWidth="1"/>
    <col min="29" max="16384" width="9.1796875" style="86"/>
  </cols>
  <sheetData>
    <row r="1" spans="1:27" ht="24" thickBot="1" x14ac:dyDescent="0.6">
      <c r="D1" s="208" t="s">
        <v>257</v>
      </c>
      <c r="E1" s="209"/>
      <c r="F1" s="209"/>
      <c r="G1" s="209"/>
      <c r="H1" s="209"/>
      <c r="I1" s="209"/>
      <c r="J1" s="209"/>
      <c r="K1" s="209"/>
      <c r="L1" s="209"/>
      <c r="M1" s="209"/>
      <c r="N1" s="209"/>
      <c r="O1" s="209"/>
      <c r="P1" s="209"/>
      <c r="Q1" s="209"/>
      <c r="R1" s="210"/>
    </row>
    <row r="3" spans="1:27" ht="48" customHeight="1" x14ac:dyDescent="0.35">
      <c r="A3" s="82" t="s">
        <v>104</v>
      </c>
      <c r="B3" s="83" t="s">
        <v>105</v>
      </c>
      <c r="C3" s="82" t="s">
        <v>106</v>
      </c>
      <c r="D3" s="84" t="s">
        <v>107</v>
      </c>
      <c r="E3" s="83" t="s">
        <v>108</v>
      </c>
      <c r="F3" s="83" t="s">
        <v>109</v>
      </c>
      <c r="G3" s="82" t="s">
        <v>110</v>
      </c>
      <c r="H3" s="82" t="s">
        <v>111</v>
      </c>
      <c r="I3" s="82" t="s">
        <v>112</v>
      </c>
      <c r="J3" s="82" t="s">
        <v>113</v>
      </c>
      <c r="K3" s="82" t="s">
        <v>114</v>
      </c>
      <c r="L3" s="82" t="s">
        <v>115</v>
      </c>
      <c r="M3" s="82" t="s">
        <v>116</v>
      </c>
      <c r="N3" s="85" t="s">
        <v>117</v>
      </c>
      <c r="O3" s="85" t="s">
        <v>118</v>
      </c>
      <c r="P3" s="85" t="s">
        <v>119</v>
      </c>
      <c r="Q3" s="85" t="s">
        <v>120</v>
      </c>
      <c r="R3" s="85" t="s">
        <v>121</v>
      </c>
      <c r="Z3" s="87" t="s">
        <v>123</v>
      </c>
      <c r="AA3" s="88">
        <v>42186</v>
      </c>
    </row>
    <row r="4" spans="1:27" x14ac:dyDescent="0.35">
      <c r="A4" s="89">
        <v>1024</v>
      </c>
      <c r="B4" s="86" t="s">
        <v>124</v>
      </c>
      <c r="C4" s="90">
        <v>40783</v>
      </c>
      <c r="D4" s="91">
        <v>24356</v>
      </c>
      <c r="E4" s="92" t="s">
        <v>125</v>
      </c>
      <c r="F4" s="92" t="s">
        <v>126</v>
      </c>
      <c r="G4" s="89" t="s">
        <v>127</v>
      </c>
      <c r="H4" s="93" t="s">
        <v>128</v>
      </c>
      <c r="I4" s="89">
        <v>3</v>
      </c>
      <c r="J4" s="89" t="s">
        <v>129</v>
      </c>
      <c r="K4" s="94">
        <v>85000</v>
      </c>
      <c r="L4" s="93" t="s">
        <v>130</v>
      </c>
      <c r="M4" s="95">
        <f t="shared" ref="M4:M67" si="0">DATEDIF(C4,$AA$3,"y")</f>
        <v>3</v>
      </c>
      <c r="N4" s="96">
        <f t="shared" ref="N4:N67" si="1">IF(H4="Y",K4*0.001,0)</f>
        <v>85</v>
      </c>
      <c r="O4" s="96">
        <f t="shared" ref="O4:O67" si="2">IF(AND(G4="FT",M4&gt;=1),K4*0.03,0)</f>
        <v>2550</v>
      </c>
      <c r="P4" s="96">
        <f>IF(OR(Employee[[#This Row],[Location]]="Home",Employee[[#This Row],[Job Status]]="FT"),Employee[[#This Row],[Annual Salary]]*0.04,Employee[[#This Row],[Annual Salary]]*0.025)</f>
        <v>3400</v>
      </c>
      <c r="Q4" s="97">
        <f>IF(Employee[[#This Row],[Pay Grade]]=1,$X$4,IF(Employee[[#This Row],[Pay Grade]]=2,$X$5,$X$6))</f>
        <v>7500</v>
      </c>
      <c r="R4" s="97"/>
      <c r="W4" s="98" t="s">
        <v>131</v>
      </c>
      <c r="X4" s="99">
        <v>2500</v>
      </c>
    </row>
    <row r="5" spans="1:27" x14ac:dyDescent="0.35">
      <c r="A5" s="89">
        <v>1025</v>
      </c>
      <c r="B5" s="86" t="s">
        <v>132</v>
      </c>
      <c r="C5" s="91">
        <v>39226</v>
      </c>
      <c r="D5" s="91">
        <v>31458</v>
      </c>
      <c r="E5" s="92" t="s">
        <v>62</v>
      </c>
      <c r="F5" s="89" t="s">
        <v>133</v>
      </c>
      <c r="G5" s="89" t="s">
        <v>127</v>
      </c>
      <c r="H5" s="93" t="s">
        <v>134</v>
      </c>
      <c r="I5" s="89">
        <v>2</v>
      </c>
      <c r="J5" s="89" t="s">
        <v>129</v>
      </c>
      <c r="K5" s="94">
        <v>40000</v>
      </c>
      <c r="L5" s="93" t="s">
        <v>130</v>
      </c>
      <c r="M5" s="95">
        <f t="shared" si="0"/>
        <v>8</v>
      </c>
      <c r="N5" s="96">
        <f t="shared" si="1"/>
        <v>0</v>
      </c>
      <c r="O5" s="96">
        <f t="shared" si="2"/>
        <v>1200</v>
      </c>
      <c r="P5" s="96">
        <f>IF(OR(Employee[[#This Row],[Location]]="Home",Employee[[#This Row],[Job Status]]="FT"),Employee[[#This Row],[Annual Salary]]*0.04,Employee[[#This Row],[Annual Salary]]*0.025)</f>
        <v>1600</v>
      </c>
      <c r="Q5" s="97">
        <f>IF(Employee[[#This Row],[Pay Grade]]=1,$X$4,IF(Employee[[#This Row],[Pay Grade]]=2,$X$5,$X$6))</f>
        <v>5000</v>
      </c>
      <c r="R5" s="97"/>
      <c r="W5" s="98" t="s">
        <v>135</v>
      </c>
      <c r="X5" s="99">
        <v>5000</v>
      </c>
    </row>
    <row r="6" spans="1:27" x14ac:dyDescent="0.35">
      <c r="A6" s="89">
        <v>1026</v>
      </c>
      <c r="B6" s="86" t="s">
        <v>136</v>
      </c>
      <c r="C6" s="90">
        <v>41023</v>
      </c>
      <c r="D6" s="91">
        <v>25105</v>
      </c>
      <c r="E6" s="92" t="s">
        <v>125</v>
      </c>
      <c r="F6" s="92" t="s">
        <v>137</v>
      </c>
      <c r="G6" s="89" t="s">
        <v>127</v>
      </c>
      <c r="H6" s="89" t="s">
        <v>128</v>
      </c>
      <c r="I6" s="89">
        <v>2</v>
      </c>
      <c r="J6" s="89" t="s">
        <v>129</v>
      </c>
      <c r="K6" s="94">
        <v>37244</v>
      </c>
      <c r="L6" s="89" t="s">
        <v>130</v>
      </c>
      <c r="M6" s="95">
        <f t="shared" si="0"/>
        <v>3</v>
      </c>
      <c r="N6" s="96">
        <f t="shared" si="1"/>
        <v>37.244</v>
      </c>
      <c r="O6" s="96">
        <f t="shared" si="2"/>
        <v>1117.32</v>
      </c>
      <c r="P6" s="96">
        <f>IF(OR(Employee[[#This Row],[Location]]="Home",Employee[[#This Row],[Job Status]]="FT"),Employee[[#This Row],[Annual Salary]]*0.04,Employee[[#This Row],[Annual Salary]]*0.025)</f>
        <v>1489.76</v>
      </c>
      <c r="Q6" s="97">
        <f>IF(Employee[[#This Row],[Pay Grade]]=1,$X$4,IF(Employee[[#This Row],[Pay Grade]]=2,$X$5,$X$6))</f>
        <v>5000</v>
      </c>
      <c r="R6" s="97"/>
      <c r="W6" s="98" t="s">
        <v>138</v>
      </c>
      <c r="X6" s="99">
        <v>7500</v>
      </c>
    </row>
    <row r="7" spans="1:27" x14ac:dyDescent="0.35">
      <c r="A7" s="89">
        <v>1027</v>
      </c>
      <c r="B7" s="86" t="s">
        <v>139</v>
      </c>
      <c r="C7" s="91">
        <v>40742</v>
      </c>
      <c r="D7" s="91">
        <v>21771</v>
      </c>
      <c r="E7" s="92" t="s">
        <v>62</v>
      </c>
      <c r="F7" s="92" t="s">
        <v>126</v>
      </c>
      <c r="G7" s="89" t="s">
        <v>127</v>
      </c>
      <c r="H7" s="89" t="s">
        <v>134</v>
      </c>
      <c r="I7" s="89">
        <v>3</v>
      </c>
      <c r="J7" s="89" t="s">
        <v>129</v>
      </c>
      <c r="K7" s="94">
        <v>80000</v>
      </c>
      <c r="L7" s="89" t="s">
        <v>140</v>
      </c>
      <c r="M7" s="95">
        <f t="shared" si="0"/>
        <v>3</v>
      </c>
      <c r="N7" s="96">
        <f t="shared" si="1"/>
        <v>0</v>
      </c>
      <c r="O7" s="96">
        <f t="shared" si="2"/>
        <v>2400</v>
      </c>
      <c r="P7" s="96">
        <f>IF(OR(Employee[[#This Row],[Location]]="Home",Employee[[#This Row],[Job Status]]="FT"),Employee[[#This Row],[Annual Salary]]*0.04,Employee[[#This Row],[Annual Salary]]*0.025)</f>
        <v>3200</v>
      </c>
      <c r="Q7" s="97">
        <f>IF(Employee[[#This Row],[Pay Grade]]=1,$X$4,IF(Employee[[#This Row],[Pay Grade]]=2,$X$5,$X$6))</f>
        <v>7500</v>
      </c>
      <c r="R7" s="97"/>
    </row>
    <row r="8" spans="1:27" x14ac:dyDescent="0.35">
      <c r="A8" s="89">
        <v>1028</v>
      </c>
      <c r="B8" s="86" t="s">
        <v>141</v>
      </c>
      <c r="C8" s="90">
        <v>41142</v>
      </c>
      <c r="D8" s="91">
        <v>18459</v>
      </c>
      <c r="E8" s="92" t="s">
        <v>125</v>
      </c>
      <c r="F8" s="92" t="s">
        <v>126</v>
      </c>
      <c r="G8" s="89" t="s">
        <v>127</v>
      </c>
      <c r="H8" s="89" t="s">
        <v>128</v>
      </c>
      <c r="I8" s="89">
        <v>3</v>
      </c>
      <c r="J8" s="89" t="s">
        <v>129</v>
      </c>
      <c r="K8" s="94">
        <v>65000</v>
      </c>
      <c r="L8" s="89" t="s">
        <v>140</v>
      </c>
      <c r="M8" s="95">
        <f t="shared" si="0"/>
        <v>2</v>
      </c>
      <c r="N8" s="96">
        <f t="shared" si="1"/>
        <v>65</v>
      </c>
      <c r="O8" s="96">
        <f t="shared" si="2"/>
        <v>1950</v>
      </c>
      <c r="P8" s="96">
        <f>IF(OR(Employee[[#This Row],[Location]]="Home",Employee[[#This Row],[Job Status]]="FT"),Employee[[#This Row],[Annual Salary]]*0.04,Employee[[#This Row],[Annual Salary]]*0.025)</f>
        <v>2600</v>
      </c>
      <c r="Q8" s="97">
        <f>IF(Employee[[#This Row],[Pay Grade]]=1,$X$4,IF(Employee[[#This Row],[Pay Grade]]=2,$X$5,$X$6))</f>
        <v>7500</v>
      </c>
      <c r="R8" s="97"/>
    </row>
    <row r="9" spans="1:27" x14ac:dyDescent="0.35">
      <c r="A9" s="89">
        <v>1029</v>
      </c>
      <c r="B9" s="86" t="s">
        <v>142</v>
      </c>
      <c r="C9" s="91">
        <v>40973</v>
      </c>
      <c r="D9" s="91">
        <v>21307</v>
      </c>
      <c r="E9" s="92" t="s">
        <v>125</v>
      </c>
      <c r="F9" s="92" t="s">
        <v>137</v>
      </c>
      <c r="G9" s="89" t="s">
        <v>127</v>
      </c>
      <c r="H9" s="89" t="s">
        <v>128</v>
      </c>
      <c r="I9" s="89">
        <v>3</v>
      </c>
      <c r="J9" s="89" t="s">
        <v>129</v>
      </c>
      <c r="K9" s="94">
        <v>125000</v>
      </c>
      <c r="L9" s="89" t="s">
        <v>143</v>
      </c>
      <c r="M9" s="95">
        <f t="shared" si="0"/>
        <v>3</v>
      </c>
      <c r="N9" s="96">
        <f t="shared" si="1"/>
        <v>125</v>
      </c>
      <c r="O9" s="96">
        <f t="shared" si="2"/>
        <v>3750</v>
      </c>
      <c r="P9" s="96">
        <f>IF(OR(Employee[[#This Row],[Location]]="Home",Employee[[#This Row],[Job Status]]="FT"),Employee[[#This Row],[Annual Salary]]*0.04,Employee[[#This Row],[Annual Salary]]*0.025)</f>
        <v>5000</v>
      </c>
      <c r="Q9" s="97">
        <f>IF(Employee[[#This Row],[Pay Grade]]=1,$X$4,IF(Employee[[#This Row],[Pay Grade]]=2,$X$5,$X$6))</f>
        <v>7500</v>
      </c>
      <c r="R9" s="97"/>
    </row>
    <row r="10" spans="1:27" x14ac:dyDescent="0.35">
      <c r="A10" s="89">
        <v>1030</v>
      </c>
      <c r="B10" s="86" t="s">
        <v>144</v>
      </c>
      <c r="C10" s="91">
        <v>40238</v>
      </c>
      <c r="D10" s="91">
        <v>28466</v>
      </c>
      <c r="E10" s="92" t="s">
        <v>125</v>
      </c>
      <c r="F10" s="92" t="s">
        <v>137</v>
      </c>
      <c r="G10" s="89" t="s">
        <v>127</v>
      </c>
      <c r="H10" s="89" t="s">
        <v>134</v>
      </c>
      <c r="I10" s="89">
        <v>3</v>
      </c>
      <c r="J10" s="89" t="s">
        <v>129</v>
      </c>
      <c r="K10" s="94">
        <v>95000</v>
      </c>
      <c r="L10" s="89" t="s">
        <v>145</v>
      </c>
      <c r="M10" s="95">
        <f t="shared" si="0"/>
        <v>5</v>
      </c>
      <c r="N10" s="96">
        <f t="shared" si="1"/>
        <v>0</v>
      </c>
      <c r="O10" s="96">
        <f t="shared" si="2"/>
        <v>2850</v>
      </c>
      <c r="P10" s="96">
        <f>IF(OR(Employee[[#This Row],[Location]]="Home",Employee[[#This Row],[Job Status]]="FT"),Employee[[#This Row],[Annual Salary]]*0.04,Employee[[#This Row],[Annual Salary]]*0.025)</f>
        <v>3800</v>
      </c>
      <c r="Q10" s="97">
        <f>IF(Employee[[#This Row],[Pay Grade]]=1,$X$4,IF(Employee[[#This Row],[Pay Grade]]=2,$X$5,$X$6))</f>
        <v>7500</v>
      </c>
      <c r="R10" s="97"/>
      <c r="W10" s="115"/>
    </row>
    <row r="11" spans="1:27" x14ac:dyDescent="0.35">
      <c r="A11" s="89">
        <v>1031</v>
      </c>
      <c r="B11" s="86" t="s">
        <v>146</v>
      </c>
      <c r="C11" s="90">
        <v>41251</v>
      </c>
      <c r="D11" s="91">
        <v>22619</v>
      </c>
      <c r="E11" s="92" t="s">
        <v>125</v>
      </c>
      <c r="F11" s="92" t="s">
        <v>126</v>
      </c>
      <c r="G11" s="89" t="s">
        <v>127</v>
      </c>
      <c r="H11" s="89" t="s">
        <v>134</v>
      </c>
      <c r="I11" s="89">
        <v>2</v>
      </c>
      <c r="J11" s="89" t="s">
        <v>129</v>
      </c>
      <c r="K11" s="94">
        <v>36000</v>
      </c>
      <c r="L11" s="89" t="s">
        <v>140</v>
      </c>
      <c r="M11" s="95">
        <f t="shared" si="0"/>
        <v>2</v>
      </c>
      <c r="N11" s="96">
        <f t="shared" si="1"/>
        <v>0</v>
      </c>
      <c r="O11" s="96">
        <f t="shared" si="2"/>
        <v>1080</v>
      </c>
      <c r="P11" s="96">
        <f>IF(OR(Employee[[#This Row],[Location]]="Home",Employee[[#This Row],[Job Status]]="FT"),Employee[[#This Row],[Annual Salary]]*0.04,Employee[[#This Row],[Annual Salary]]*0.025)</f>
        <v>1440</v>
      </c>
      <c r="Q11" s="97">
        <f>IF(Employee[[#This Row],[Pay Grade]]=1,$X$4,IF(Employee[[#This Row],[Pay Grade]]=2,$X$5,$X$6))</f>
        <v>5000</v>
      </c>
      <c r="R11" s="97"/>
    </row>
    <row r="12" spans="1:27" x14ac:dyDescent="0.35">
      <c r="A12" s="89">
        <v>1032</v>
      </c>
      <c r="B12" s="86" t="s">
        <v>147</v>
      </c>
      <c r="C12" s="91">
        <v>39671</v>
      </c>
      <c r="D12" s="91">
        <v>21560</v>
      </c>
      <c r="E12" s="92" t="s">
        <v>62</v>
      </c>
      <c r="F12" s="92" t="s">
        <v>126</v>
      </c>
      <c r="G12" s="89" t="s">
        <v>148</v>
      </c>
      <c r="H12" s="89" t="s">
        <v>134</v>
      </c>
      <c r="I12" s="89">
        <v>1</v>
      </c>
      <c r="J12" s="89" t="s">
        <v>149</v>
      </c>
      <c r="K12" s="94">
        <v>33508</v>
      </c>
      <c r="L12" s="89" t="s">
        <v>150</v>
      </c>
      <c r="M12" s="95">
        <f t="shared" si="0"/>
        <v>6</v>
      </c>
      <c r="N12" s="96">
        <f t="shared" si="1"/>
        <v>0</v>
      </c>
      <c r="O12" s="96">
        <f t="shared" si="2"/>
        <v>0</v>
      </c>
      <c r="P12" s="96">
        <f>IF(OR(Employee[[#This Row],[Location]]="Home",Employee[[#This Row],[Job Status]]="FT"),Employee[[#This Row],[Annual Salary]]*0.04,Employee[[#This Row],[Annual Salary]]*0.025)</f>
        <v>837.7</v>
      </c>
      <c r="Q12" s="97">
        <f>IF(Employee[[#This Row],[Pay Grade]]=1,$X$4,IF(Employee[[#This Row],[Pay Grade]]=2,$X$5,$X$6))</f>
        <v>2500</v>
      </c>
      <c r="R12" s="97"/>
    </row>
    <row r="13" spans="1:27" x14ac:dyDescent="0.35">
      <c r="A13" s="89">
        <v>1033</v>
      </c>
      <c r="B13" s="86" t="s">
        <v>151</v>
      </c>
      <c r="C13" s="91">
        <v>38880</v>
      </c>
      <c r="D13" s="91">
        <v>15371</v>
      </c>
      <c r="E13" s="92" t="s">
        <v>62</v>
      </c>
      <c r="F13" s="92" t="s">
        <v>152</v>
      </c>
      <c r="G13" s="89" t="s">
        <v>127</v>
      </c>
      <c r="H13" s="89" t="s">
        <v>134</v>
      </c>
      <c r="I13" s="89">
        <v>1</v>
      </c>
      <c r="J13" s="89" t="s">
        <v>149</v>
      </c>
      <c r="K13" s="94">
        <v>21840</v>
      </c>
      <c r="L13" s="89" t="s">
        <v>140</v>
      </c>
      <c r="M13" s="95">
        <f t="shared" si="0"/>
        <v>9</v>
      </c>
      <c r="N13" s="96">
        <f t="shared" si="1"/>
        <v>0</v>
      </c>
      <c r="O13" s="96">
        <f t="shared" si="2"/>
        <v>655.19999999999993</v>
      </c>
      <c r="P13" s="96">
        <f>IF(OR(Employee[[#This Row],[Location]]="Home",Employee[[#This Row],[Job Status]]="FT"),Employee[[#This Row],[Annual Salary]]*0.04,Employee[[#This Row],[Annual Salary]]*0.025)</f>
        <v>873.6</v>
      </c>
      <c r="Q13" s="97">
        <f>IF(Employee[[#This Row],[Pay Grade]]=1,$X$4,IF(Employee[[#This Row],[Pay Grade]]=2,$X$5,$X$6))</f>
        <v>2500</v>
      </c>
      <c r="R13" s="97"/>
    </row>
    <row r="14" spans="1:27" x14ac:dyDescent="0.35">
      <c r="A14" s="89">
        <v>1034</v>
      </c>
      <c r="B14" s="86" t="s">
        <v>153</v>
      </c>
      <c r="C14" s="91">
        <v>39937</v>
      </c>
      <c r="D14" s="91">
        <v>32747</v>
      </c>
      <c r="E14" s="92" t="s">
        <v>125</v>
      </c>
      <c r="F14" s="92" t="s">
        <v>152</v>
      </c>
      <c r="G14" s="89" t="s">
        <v>127</v>
      </c>
      <c r="H14" s="89" t="s">
        <v>134</v>
      </c>
      <c r="I14" s="89">
        <v>1</v>
      </c>
      <c r="J14" s="89" t="s">
        <v>149</v>
      </c>
      <c r="K14" s="94">
        <v>25792</v>
      </c>
      <c r="L14" s="89" t="s">
        <v>150</v>
      </c>
      <c r="M14" s="95">
        <f t="shared" si="0"/>
        <v>6</v>
      </c>
      <c r="N14" s="96">
        <f t="shared" si="1"/>
        <v>0</v>
      </c>
      <c r="O14" s="96">
        <f t="shared" si="2"/>
        <v>773.76</v>
      </c>
      <c r="P14" s="96">
        <f>IF(OR(Employee[[#This Row],[Location]]="Home",Employee[[#This Row],[Job Status]]="FT"),Employee[[#This Row],[Annual Salary]]*0.04,Employee[[#This Row],[Annual Salary]]*0.025)</f>
        <v>1031.68</v>
      </c>
      <c r="Q14" s="97">
        <f>IF(Employee[[#This Row],[Pay Grade]]=1,$X$4,IF(Employee[[#This Row],[Pay Grade]]=2,$X$5,$X$6))</f>
        <v>2500</v>
      </c>
      <c r="R14" s="97"/>
    </row>
    <row r="15" spans="1:27" x14ac:dyDescent="0.35">
      <c r="A15" s="89">
        <v>1035</v>
      </c>
      <c r="B15" s="86" t="s">
        <v>154</v>
      </c>
      <c r="C15" s="90">
        <v>41261</v>
      </c>
      <c r="D15" s="124">
        <v>24843</v>
      </c>
      <c r="E15" s="92" t="s">
        <v>62</v>
      </c>
      <c r="F15" s="92" t="s">
        <v>126</v>
      </c>
      <c r="G15" s="89" t="s">
        <v>127</v>
      </c>
      <c r="H15" s="89" t="s">
        <v>134</v>
      </c>
      <c r="I15" s="89">
        <v>1</v>
      </c>
      <c r="J15" s="89" t="s">
        <v>149</v>
      </c>
      <c r="K15" s="94">
        <v>32011</v>
      </c>
      <c r="L15" s="126" t="s">
        <v>244</v>
      </c>
      <c r="M15" s="95">
        <f t="shared" si="0"/>
        <v>2</v>
      </c>
      <c r="N15" s="96">
        <f t="shared" si="1"/>
        <v>0</v>
      </c>
      <c r="O15" s="96">
        <f t="shared" si="2"/>
        <v>960.32999999999993</v>
      </c>
      <c r="P15" s="96">
        <f>IF(OR(Employee[[#This Row],[Location]]="Home",Employee[[#This Row],[Job Status]]="FT"),Employee[[#This Row],[Annual Salary]]*0.04,Employee[[#This Row],[Annual Salary]]*0.025)</f>
        <v>1280.44</v>
      </c>
      <c r="Q15" s="97">
        <f>IF(Employee[[#This Row],[Pay Grade]]=1,$X$4,IF(Employee[[#This Row],[Pay Grade]]=2,$X$5,$X$6))</f>
        <v>2500</v>
      </c>
      <c r="R15" s="125"/>
    </row>
    <row r="16" spans="1:27" x14ac:dyDescent="0.35">
      <c r="A16" s="89">
        <v>1036</v>
      </c>
      <c r="B16" s="86" t="s">
        <v>155</v>
      </c>
      <c r="C16" s="91">
        <v>39572</v>
      </c>
      <c r="D16" s="91">
        <v>21303</v>
      </c>
      <c r="E16" s="92" t="s">
        <v>62</v>
      </c>
      <c r="F16" s="92" t="s">
        <v>152</v>
      </c>
      <c r="G16" s="89" t="s">
        <v>127</v>
      </c>
      <c r="H16" s="89" t="s">
        <v>128</v>
      </c>
      <c r="I16" s="89">
        <v>1</v>
      </c>
      <c r="J16" s="89" t="s">
        <v>149</v>
      </c>
      <c r="K16" s="94">
        <v>23920</v>
      </c>
      <c r="L16" s="89" t="s">
        <v>130</v>
      </c>
      <c r="M16" s="95">
        <f t="shared" si="0"/>
        <v>7</v>
      </c>
      <c r="N16" s="96">
        <f t="shared" si="1"/>
        <v>23.92</v>
      </c>
      <c r="O16" s="96">
        <f t="shared" si="2"/>
        <v>717.6</v>
      </c>
      <c r="P16" s="96">
        <f>IF(OR(Employee[[#This Row],[Location]]="Home",Employee[[#This Row],[Job Status]]="FT"),Employee[[#This Row],[Annual Salary]]*0.04,Employee[[#This Row],[Annual Salary]]*0.025)</f>
        <v>956.80000000000007</v>
      </c>
      <c r="Q16" s="97">
        <f>IF(Employee[[#This Row],[Pay Grade]]=1,$X$4,IF(Employee[[#This Row],[Pay Grade]]=2,$X$5,$X$6))</f>
        <v>2500</v>
      </c>
      <c r="R16" s="97"/>
    </row>
    <row r="17" spans="1:18" x14ac:dyDescent="0.35">
      <c r="A17" s="89">
        <v>1037</v>
      </c>
      <c r="B17" s="86" t="s">
        <v>156</v>
      </c>
      <c r="C17" s="91">
        <v>37221</v>
      </c>
      <c r="D17" s="91">
        <v>26210</v>
      </c>
      <c r="E17" s="92" t="s">
        <v>62</v>
      </c>
      <c r="F17" s="92" t="s">
        <v>126</v>
      </c>
      <c r="G17" s="89" t="s">
        <v>127</v>
      </c>
      <c r="H17" s="89" t="s">
        <v>128</v>
      </c>
      <c r="I17" s="89">
        <v>1</v>
      </c>
      <c r="J17" s="89" t="s">
        <v>149</v>
      </c>
      <c r="K17" s="94">
        <v>32011</v>
      </c>
      <c r="L17" s="89" t="s">
        <v>140</v>
      </c>
      <c r="M17" s="95">
        <f t="shared" si="0"/>
        <v>13</v>
      </c>
      <c r="N17" s="96">
        <f t="shared" si="1"/>
        <v>32.011000000000003</v>
      </c>
      <c r="O17" s="96">
        <f t="shared" si="2"/>
        <v>960.32999999999993</v>
      </c>
      <c r="P17" s="96">
        <f>IF(OR(Employee[[#This Row],[Location]]="Home",Employee[[#This Row],[Job Status]]="FT"),Employee[[#This Row],[Annual Salary]]*0.04,Employee[[#This Row],[Annual Salary]]*0.025)</f>
        <v>1280.44</v>
      </c>
      <c r="Q17" s="97">
        <f>IF(Employee[[#This Row],[Pay Grade]]=1,$X$4,IF(Employee[[#This Row],[Pay Grade]]=2,$X$5,$X$6))</f>
        <v>2500</v>
      </c>
      <c r="R17" s="97"/>
    </row>
    <row r="18" spans="1:18" x14ac:dyDescent="0.35">
      <c r="A18" s="89">
        <v>1038</v>
      </c>
      <c r="B18" s="86" t="s">
        <v>157</v>
      </c>
      <c r="C18" s="91">
        <v>38405</v>
      </c>
      <c r="D18" s="91">
        <v>21919</v>
      </c>
      <c r="E18" s="92" t="s">
        <v>62</v>
      </c>
      <c r="F18" s="92" t="s">
        <v>152</v>
      </c>
      <c r="G18" s="89" t="s">
        <v>127</v>
      </c>
      <c r="H18" s="89" t="s">
        <v>128</v>
      </c>
      <c r="I18" s="89">
        <v>1</v>
      </c>
      <c r="J18" s="89" t="s">
        <v>149</v>
      </c>
      <c r="K18" s="94">
        <v>21840</v>
      </c>
      <c r="L18" s="89" t="s">
        <v>143</v>
      </c>
      <c r="M18" s="95">
        <f t="shared" si="0"/>
        <v>10</v>
      </c>
      <c r="N18" s="96">
        <f t="shared" si="1"/>
        <v>21.84</v>
      </c>
      <c r="O18" s="96">
        <f t="shared" si="2"/>
        <v>655.19999999999993</v>
      </c>
      <c r="P18" s="96">
        <f>IF(OR(Employee[[#This Row],[Location]]="Home",Employee[[#This Row],[Job Status]]="FT"),Employee[[#This Row],[Annual Salary]]*0.04,Employee[[#This Row],[Annual Salary]]*0.025)</f>
        <v>873.6</v>
      </c>
      <c r="Q18" s="97">
        <f>IF(Employee[[#This Row],[Pay Grade]]=1,$X$4,IF(Employee[[#This Row],[Pay Grade]]=2,$X$5,$X$6))</f>
        <v>2500</v>
      </c>
      <c r="R18" s="97"/>
    </row>
    <row r="19" spans="1:18" x14ac:dyDescent="0.35">
      <c r="A19" s="89">
        <v>1039</v>
      </c>
      <c r="B19" s="86" t="s">
        <v>158</v>
      </c>
      <c r="C19" s="90">
        <v>41247</v>
      </c>
      <c r="D19" s="91">
        <v>25584</v>
      </c>
      <c r="E19" s="92" t="s">
        <v>62</v>
      </c>
      <c r="F19" s="92" t="s">
        <v>126</v>
      </c>
      <c r="G19" s="89" t="s">
        <v>127</v>
      </c>
      <c r="H19" s="89" t="s">
        <v>128</v>
      </c>
      <c r="I19" s="89">
        <v>2</v>
      </c>
      <c r="J19" s="89" t="s">
        <v>129</v>
      </c>
      <c r="K19" s="94">
        <v>55000</v>
      </c>
      <c r="L19" s="89" t="s">
        <v>150</v>
      </c>
      <c r="M19" s="95">
        <f t="shared" si="0"/>
        <v>2</v>
      </c>
      <c r="N19" s="96">
        <f t="shared" si="1"/>
        <v>55</v>
      </c>
      <c r="O19" s="96">
        <f t="shared" si="2"/>
        <v>1650</v>
      </c>
      <c r="P19" s="96">
        <f>IF(OR(Employee[[#This Row],[Location]]="Home",Employee[[#This Row],[Job Status]]="FT"),Employee[[#This Row],[Annual Salary]]*0.04,Employee[[#This Row],[Annual Salary]]*0.025)</f>
        <v>2200</v>
      </c>
      <c r="Q19" s="97">
        <f>IF(Employee[[#This Row],[Pay Grade]]=1,$X$4,IF(Employee[[#This Row],[Pay Grade]]=2,$X$5,$X$6))</f>
        <v>5000</v>
      </c>
      <c r="R19" s="97"/>
    </row>
    <row r="20" spans="1:18" x14ac:dyDescent="0.35">
      <c r="A20" s="89">
        <v>1040</v>
      </c>
      <c r="B20" s="86" t="s">
        <v>159</v>
      </c>
      <c r="C20" s="90">
        <v>41194</v>
      </c>
      <c r="D20" s="91">
        <v>31383</v>
      </c>
      <c r="E20" s="92" t="s">
        <v>125</v>
      </c>
      <c r="F20" s="92" t="s">
        <v>152</v>
      </c>
      <c r="G20" s="89" t="s">
        <v>127</v>
      </c>
      <c r="H20" s="89" t="s">
        <v>128</v>
      </c>
      <c r="I20" s="89">
        <v>2</v>
      </c>
      <c r="J20" s="89" t="s">
        <v>129</v>
      </c>
      <c r="K20" s="94">
        <v>65000</v>
      </c>
      <c r="L20" s="89" t="s">
        <v>130</v>
      </c>
      <c r="M20" s="95">
        <f t="shared" si="0"/>
        <v>2</v>
      </c>
      <c r="N20" s="96">
        <f t="shared" si="1"/>
        <v>65</v>
      </c>
      <c r="O20" s="96">
        <f t="shared" si="2"/>
        <v>1950</v>
      </c>
      <c r="P20" s="96">
        <f>IF(OR(Employee[[#This Row],[Location]]="Home",Employee[[#This Row],[Job Status]]="FT"),Employee[[#This Row],[Annual Salary]]*0.04,Employee[[#This Row],[Annual Salary]]*0.025)</f>
        <v>2600</v>
      </c>
      <c r="Q20" s="97">
        <f>IF(Employee[[#This Row],[Pay Grade]]=1,$X$4,IF(Employee[[#This Row],[Pay Grade]]=2,$X$5,$X$6))</f>
        <v>5000</v>
      </c>
      <c r="R20" s="97"/>
    </row>
    <row r="21" spans="1:18" x14ac:dyDescent="0.35">
      <c r="A21" s="89">
        <v>1041</v>
      </c>
      <c r="B21" s="86" t="s">
        <v>160</v>
      </c>
      <c r="C21" s="90">
        <v>41247</v>
      </c>
      <c r="D21" s="91">
        <v>21679</v>
      </c>
      <c r="E21" s="92" t="s">
        <v>62</v>
      </c>
      <c r="F21" s="92" t="s">
        <v>137</v>
      </c>
      <c r="G21" s="89" t="s">
        <v>127</v>
      </c>
      <c r="H21" s="89" t="s">
        <v>128</v>
      </c>
      <c r="I21" s="89">
        <v>3</v>
      </c>
      <c r="J21" s="89" t="s">
        <v>129</v>
      </c>
      <c r="K21" s="94">
        <v>125000</v>
      </c>
      <c r="L21" s="89" t="s">
        <v>130</v>
      </c>
      <c r="M21" s="95">
        <f t="shared" si="0"/>
        <v>2</v>
      </c>
      <c r="N21" s="96">
        <f t="shared" si="1"/>
        <v>125</v>
      </c>
      <c r="O21" s="96">
        <f t="shared" si="2"/>
        <v>3750</v>
      </c>
      <c r="P21" s="96">
        <f>IF(OR(Employee[[#This Row],[Location]]="Home",Employee[[#This Row],[Job Status]]="FT"),Employee[[#This Row],[Annual Salary]]*0.04,Employee[[#This Row],[Annual Salary]]*0.025)</f>
        <v>5000</v>
      </c>
      <c r="Q21" s="97">
        <f>IF(Employee[[#This Row],[Pay Grade]]=1,$X$4,IF(Employee[[#This Row],[Pay Grade]]=2,$X$5,$X$6))</f>
        <v>7500</v>
      </c>
      <c r="R21" s="97"/>
    </row>
    <row r="22" spans="1:18" x14ac:dyDescent="0.35">
      <c r="A22" s="89">
        <v>1042</v>
      </c>
      <c r="B22" s="86" t="s">
        <v>161</v>
      </c>
      <c r="C22" s="91">
        <v>39412</v>
      </c>
      <c r="D22" s="91">
        <v>24237</v>
      </c>
      <c r="E22" s="92" t="s">
        <v>125</v>
      </c>
      <c r="F22" s="92" t="s">
        <v>126</v>
      </c>
      <c r="G22" s="89" t="s">
        <v>127</v>
      </c>
      <c r="H22" s="89" t="s">
        <v>128</v>
      </c>
      <c r="I22" s="89">
        <v>3</v>
      </c>
      <c r="J22" s="89" t="s">
        <v>129</v>
      </c>
      <c r="K22" s="94">
        <v>80000</v>
      </c>
      <c r="L22" s="89" t="s">
        <v>145</v>
      </c>
      <c r="M22" s="95">
        <f t="shared" si="0"/>
        <v>7</v>
      </c>
      <c r="N22" s="96">
        <f t="shared" si="1"/>
        <v>80</v>
      </c>
      <c r="O22" s="96">
        <f t="shared" si="2"/>
        <v>2400</v>
      </c>
      <c r="P22" s="96">
        <f>IF(OR(Employee[[#This Row],[Location]]="Home",Employee[[#This Row],[Job Status]]="FT"),Employee[[#This Row],[Annual Salary]]*0.04,Employee[[#This Row],[Annual Salary]]*0.025)</f>
        <v>3200</v>
      </c>
      <c r="Q22" s="97">
        <f>IF(Employee[[#This Row],[Pay Grade]]=1,$X$4,IF(Employee[[#This Row],[Pay Grade]]=2,$X$5,$X$6))</f>
        <v>7500</v>
      </c>
      <c r="R22" s="97"/>
    </row>
    <row r="23" spans="1:18" x14ac:dyDescent="0.35">
      <c r="A23" s="89">
        <v>1043</v>
      </c>
      <c r="B23" s="86" t="s">
        <v>162</v>
      </c>
      <c r="C23" s="91">
        <v>40256</v>
      </c>
      <c r="D23" s="91">
        <v>26907</v>
      </c>
      <c r="E23" s="92" t="s">
        <v>62</v>
      </c>
      <c r="F23" s="89" t="s">
        <v>133</v>
      </c>
      <c r="G23" s="89" t="s">
        <v>127</v>
      </c>
      <c r="H23" s="89" t="s">
        <v>134</v>
      </c>
      <c r="I23" s="89">
        <v>3</v>
      </c>
      <c r="J23" s="89" t="s">
        <v>129</v>
      </c>
      <c r="K23" s="94">
        <v>60000</v>
      </c>
      <c r="L23" s="89" t="s">
        <v>140</v>
      </c>
      <c r="M23" s="95">
        <f t="shared" si="0"/>
        <v>5</v>
      </c>
      <c r="N23" s="96">
        <f t="shared" si="1"/>
        <v>0</v>
      </c>
      <c r="O23" s="96">
        <f t="shared" si="2"/>
        <v>1800</v>
      </c>
      <c r="P23" s="96">
        <f>IF(OR(Employee[[#This Row],[Location]]="Home",Employee[[#This Row],[Job Status]]="FT"),Employee[[#This Row],[Annual Salary]]*0.04,Employee[[#This Row],[Annual Salary]]*0.025)</f>
        <v>2400</v>
      </c>
      <c r="Q23" s="97">
        <f>IF(Employee[[#This Row],[Pay Grade]]=1,$X$4,IF(Employee[[#This Row],[Pay Grade]]=2,$X$5,$X$6))</f>
        <v>7500</v>
      </c>
      <c r="R23" s="97"/>
    </row>
    <row r="24" spans="1:18" x14ac:dyDescent="0.35">
      <c r="A24" s="89">
        <v>1044</v>
      </c>
      <c r="B24" s="86" t="s">
        <v>163</v>
      </c>
      <c r="C24" s="91">
        <v>37060</v>
      </c>
      <c r="D24" s="91">
        <v>19281</v>
      </c>
      <c r="E24" s="92" t="s">
        <v>125</v>
      </c>
      <c r="F24" s="92" t="s">
        <v>126</v>
      </c>
      <c r="G24" s="89" t="s">
        <v>127</v>
      </c>
      <c r="H24" s="89" t="s">
        <v>128</v>
      </c>
      <c r="I24" s="89">
        <v>3</v>
      </c>
      <c r="J24" s="89" t="s">
        <v>129</v>
      </c>
      <c r="K24" s="94">
        <v>122500</v>
      </c>
      <c r="L24" s="89" t="s">
        <v>130</v>
      </c>
      <c r="M24" s="95">
        <f t="shared" si="0"/>
        <v>14</v>
      </c>
      <c r="N24" s="96">
        <f t="shared" si="1"/>
        <v>122.5</v>
      </c>
      <c r="O24" s="96">
        <f t="shared" si="2"/>
        <v>3675</v>
      </c>
      <c r="P24" s="96">
        <f>IF(OR(Employee[[#This Row],[Location]]="Home",Employee[[#This Row],[Job Status]]="FT"),Employee[[#This Row],[Annual Salary]]*0.04,Employee[[#This Row],[Annual Salary]]*0.025)</f>
        <v>4900</v>
      </c>
      <c r="Q24" s="97">
        <f>IF(Employee[[#This Row],[Pay Grade]]=1,$X$4,IF(Employee[[#This Row],[Pay Grade]]=2,$X$5,$X$6))</f>
        <v>7500</v>
      </c>
      <c r="R24" s="97"/>
    </row>
    <row r="25" spans="1:18" x14ac:dyDescent="0.35">
      <c r="A25" s="89">
        <v>1045</v>
      </c>
      <c r="B25" s="86" t="s">
        <v>164</v>
      </c>
      <c r="C25" s="90">
        <v>41111</v>
      </c>
      <c r="D25" s="91">
        <v>24049</v>
      </c>
      <c r="E25" s="92" t="s">
        <v>125</v>
      </c>
      <c r="F25" s="92" t="s">
        <v>126</v>
      </c>
      <c r="G25" s="89" t="s">
        <v>127</v>
      </c>
      <c r="H25" s="89" t="s">
        <v>128</v>
      </c>
      <c r="I25" s="89">
        <v>3</v>
      </c>
      <c r="J25" s="89" t="s">
        <v>129</v>
      </c>
      <c r="K25" s="94">
        <v>200000</v>
      </c>
      <c r="L25" s="89" t="s">
        <v>130</v>
      </c>
      <c r="M25" s="95">
        <f t="shared" si="0"/>
        <v>2</v>
      </c>
      <c r="N25" s="96">
        <f t="shared" si="1"/>
        <v>200</v>
      </c>
      <c r="O25" s="96">
        <f t="shared" si="2"/>
        <v>6000</v>
      </c>
      <c r="P25" s="96">
        <f>IF(OR(Employee[[#This Row],[Location]]="Home",Employee[[#This Row],[Job Status]]="FT"),Employee[[#This Row],[Annual Salary]]*0.04,Employee[[#This Row],[Annual Salary]]*0.025)</f>
        <v>8000</v>
      </c>
      <c r="Q25" s="97">
        <f>IF(Employee[[#This Row],[Pay Grade]]=1,$X$4,IF(Employee[[#This Row],[Pay Grade]]=2,$X$5,$X$6))</f>
        <v>7500</v>
      </c>
      <c r="R25" s="97"/>
    </row>
    <row r="26" spans="1:18" x14ac:dyDescent="0.35">
      <c r="A26" s="89">
        <v>1046</v>
      </c>
      <c r="B26" s="86" t="s">
        <v>165</v>
      </c>
      <c r="C26" s="91">
        <v>40874</v>
      </c>
      <c r="D26" s="91">
        <v>19153</v>
      </c>
      <c r="E26" s="92" t="s">
        <v>62</v>
      </c>
      <c r="F26" s="89" t="s">
        <v>133</v>
      </c>
      <c r="G26" s="89" t="s">
        <v>148</v>
      </c>
      <c r="H26" s="89" t="s">
        <v>134</v>
      </c>
      <c r="I26" s="89">
        <v>1</v>
      </c>
      <c r="J26" s="89" t="s">
        <v>149</v>
      </c>
      <c r="K26" s="94">
        <v>31761</v>
      </c>
      <c r="L26" s="89" t="s">
        <v>145</v>
      </c>
      <c r="M26" s="95">
        <f t="shared" si="0"/>
        <v>3</v>
      </c>
      <c r="N26" s="96">
        <f t="shared" si="1"/>
        <v>0</v>
      </c>
      <c r="O26" s="96">
        <f t="shared" si="2"/>
        <v>0</v>
      </c>
      <c r="P26" s="96">
        <f>IF(OR(Employee[[#This Row],[Location]]="Home",Employee[[#This Row],[Job Status]]="FT"),Employee[[#This Row],[Annual Salary]]*0.04,Employee[[#This Row],[Annual Salary]]*0.025)</f>
        <v>1270.44</v>
      </c>
      <c r="Q26" s="97">
        <f>IF(Employee[[#This Row],[Pay Grade]]=1,$X$4,IF(Employee[[#This Row],[Pay Grade]]=2,$X$5,$X$6))</f>
        <v>2500</v>
      </c>
      <c r="R26" s="97"/>
    </row>
    <row r="27" spans="1:18" x14ac:dyDescent="0.35">
      <c r="A27" s="89">
        <v>1047</v>
      </c>
      <c r="B27" s="86" t="s">
        <v>166</v>
      </c>
      <c r="C27" s="90">
        <v>41324</v>
      </c>
      <c r="D27" s="91">
        <v>22747</v>
      </c>
      <c r="E27" s="92" t="s">
        <v>125</v>
      </c>
      <c r="F27" s="92" t="s">
        <v>126</v>
      </c>
      <c r="G27" s="89" t="s">
        <v>127</v>
      </c>
      <c r="H27" s="89" t="s">
        <v>128</v>
      </c>
      <c r="I27" s="89">
        <v>3</v>
      </c>
      <c r="J27" s="89" t="s">
        <v>129</v>
      </c>
      <c r="K27" s="94">
        <v>65000</v>
      </c>
      <c r="L27" s="89" t="s">
        <v>130</v>
      </c>
      <c r="M27" s="95">
        <f t="shared" si="0"/>
        <v>2</v>
      </c>
      <c r="N27" s="96">
        <f t="shared" si="1"/>
        <v>65</v>
      </c>
      <c r="O27" s="96">
        <f t="shared" si="2"/>
        <v>1950</v>
      </c>
      <c r="P27" s="96">
        <f>IF(OR(Employee[[#This Row],[Location]]="Home",Employee[[#This Row],[Job Status]]="FT"),Employee[[#This Row],[Annual Salary]]*0.04,Employee[[#This Row],[Annual Salary]]*0.025)</f>
        <v>2600</v>
      </c>
      <c r="Q27" s="97">
        <f>IF(Employee[[#This Row],[Pay Grade]]=1,$X$4,IF(Employee[[#This Row],[Pay Grade]]=2,$X$5,$X$6))</f>
        <v>7500</v>
      </c>
      <c r="R27" s="97"/>
    </row>
    <row r="28" spans="1:18" x14ac:dyDescent="0.35">
      <c r="A28" s="89">
        <v>1048</v>
      </c>
      <c r="B28" s="86" t="s">
        <v>167</v>
      </c>
      <c r="C28" s="91">
        <v>38538</v>
      </c>
      <c r="D28" s="91">
        <v>21626</v>
      </c>
      <c r="E28" s="92" t="s">
        <v>62</v>
      </c>
      <c r="F28" s="92" t="s">
        <v>126</v>
      </c>
      <c r="G28" s="89" t="s">
        <v>127</v>
      </c>
      <c r="H28" s="89" t="s">
        <v>134</v>
      </c>
      <c r="I28" s="89">
        <v>1</v>
      </c>
      <c r="J28" s="89" t="s">
        <v>149</v>
      </c>
      <c r="K28" s="94">
        <v>24752</v>
      </c>
      <c r="L28" s="89" t="s">
        <v>140</v>
      </c>
      <c r="M28" s="95">
        <f t="shared" si="0"/>
        <v>9</v>
      </c>
      <c r="N28" s="96">
        <f t="shared" si="1"/>
        <v>0</v>
      </c>
      <c r="O28" s="96">
        <f t="shared" si="2"/>
        <v>742.56</v>
      </c>
      <c r="P28" s="96">
        <f>IF(OR(Employee[[#This Row],[Location]]="Home",Employee[[#This Row],[Job Status]]="FT"),Employee[[#This Row],[Annual Salary]]*0.04,Employee[[#This Row],[Annual Salary]]*0.025)</f>
        <v>990.08</v>
      </c>
      <c r="Q28" s="97">
        <f>IF(Employee[[#This Row],[Pay Grade]]=1,$X$4,IF(Employee[[#This Row],[Pay Grade]]=2,$X$5,$X$6))</f>
        <v>2500</v>
      </c>
      <c r="R28" s="97"/>
    </row>
    <row r="29" spans="1:18" x14ac:dyDescent="0.35">
      <c r="A29" s="89">
        <v>1049</v>
      </c>
      <c r="B29" s="86" t="s">
        <v>168</v>
      </c>
      <c r="C29" s="91">
        <v>40734</v>
      </c>
      <c r="D29" s="91">
        <v>22382</v>
      </c>
      <c r="E29" s="92" t="s">
        <v>125</v>
      </c>
      <c r="F29" s="92" t="s">
        <v>137</v>
      </c>
      <c r="G29" s="89" t="s">
        <v>127</v>
      </c>
      <c r="H29" s="89" t="s">
        <v>128</v>
      </c>
      <c r="I29" s="89">
        <v>3</v>
      </c>
      <c r="J29" s="89" t="s">
        <v>129</v>
      </c>
      <c r="K29" s="94">
        <v>175000</v>
      </c>
      <c r="L29" s="89" t="s">
        <v>140</v>
      </c>
      <c r="M29" s="95">
        <f t="shared" si="0"/>
        <v>3</v>
      </c>
      <c r="N29" s="96">
        <f t="shared" si="1"/>
        <v>175</v>
      </c>
      <c r="O29" s="96">
        <f t="shared" si="2"/>
        <v>5250</v>
      </c>
      <c r="P29" s="96">
        <f>IF(OR(Employee[[#This Row],[Location]]="Home",Employee[[#This Row],[Job Status]]="FT"),Employee[[#This Row],[Annual Salary]]*0.04,Employee[[#This Row],[Annual Salary]]*0.025)</f>
        <v>7000</v>
      </c>
      <c r="Q29" s="97">
        <f>IF(Employee[[#This Row],[Pay Grade]]=1,$X$4,IF(Employee[[#This Row],[Pay Grade]]=2,$X$5,$X$6))</f>
        <v>7500</v>
      </c>
      <c r="R29" s="97"/>
    </row>
    <row r="30" spans="1:18" x14ac:dyDescent="0.35">
      <c r="A30" s="89">
        <v>1050</v>
      </c>
      <c r="B30" s="86" t="s">
        <v>169</v>
      </c>
      <c r="C30" s="90">
        <v>41219</v>
      </c>
      <c r="D30" s="91">
        <v>33565</v>
      </c>
      <c r="E30" s="92" t="s">
        <v>62</v>
      </c>
      <c r="F30" s="92" t="s">
        <v>126</v>
      </c>
      <c r="G30" s="89" t="s">
        <v>127</v>
      </c>
      <c r="H30" s="89" t="s">
        <v>128</v>
      </c>
      <c r="I30" s="89">
        <v>1</v>
      </c>
      <c r="J30" s="89" t="s">
        <v>149</v>
      </c>
      <c r="K30" s="94">
        <v>29120</v>
      </c>
      <c r="L30" s="89" t="s">
        <v>150</v>
      </c>
      <c r="M30" s="95">
        <f t="shared" si="0"/>
        <v>2</v>
      </c>
      <c r="N30" s="96">
        <f t="shared" si="1"/>
        <v>29.12</v>
      </c>
      <c r="O30" s="96">
        <f t="shared" si="2"/>
        <v>873.6</v>
      </c>
      <c r="P30" s="96">
        <f>IF(OR(Employee[[#This Row],[Location]]="Home",Employee[[#This Row],[Job Status]]="FT"),Employee[[#This Row],[Annual Salary]]*0.04,Employee[[#This Row],[Annual Salary]]*0.025)</f>
        <v>1164.8</v>
      </c>
      <c r="Q30" s="97">
        <f>IF(Employee[[#This Row],[Pay Grade]]=1,$X$4,IF(Employee[[#This Row],[Pay Grade]]=2,$X$5,$X$6))</f>
        <v>2500</v>
      </c>
      <c r="R30" s="97"/>
    </row>
    <row r="31" spans="1:18" x14ac:dyDescent="0.35">
      <c r="A31" s="89">
        <v>1051</v>
      </c>
      <c r="B31" s="86" t="s">
        <v>170</v>
      </c>
      <c r="C31" s="90">
        <v>41247</v>
      </c>
      <c r="D31" s="91">
        <v>24395</v>
      </c>
      <c r="E31" s="92" t="s">
        <v>125</v>
      </c>
      <c r="F31" s="92" t="s">
        <v>137</v>
      </c>
      <c r="G31" s="89" t="s">
        <v>127</v>
      </c>
      <c r="H31" s="89" t="s">
        <v>128</v>
      </c>
      <c r="I31" s="89">
        <v>3</v>
      </c>
      <c r="J31" s="89" t="s">
        <v>129</v>
      </c>
      <c r="K31" s="94">
        <v>75000</v>
      </c>
      <c r="L31" s="89" t="s">
        <v>130</v>
      </c>
      <c r="M31" s="95">
        <f t="shared" si="0"/>
        <v>2</v>
      </c>
      <c r="N31" s="96">
        <f t="shared" si="1"/>
        <v>75</v>
      </c>
      <c r="O31" s="96">
        <f t="shared" si="2"/>
        <v>2250</v>
      </c>
      <c r="P31" s="96">
        <f>IF(OR(Employee[[#This Row],[Location]]="Home",Employee[[#This Row],[Job Status]]="FT"),Employee[[#This Row],[Annual Salary]]*0.04,Employee[[#This Row],[Annual Salary]]*0.025)</f>
        <v>3000</v>
      </c>
      <c r="Q31" s="97">
        <f>IF(Employee[[#This Row],[Pay Grade]]=1,$X$4,IF(Employee[[#This Row],[Pay Grade]]=2,$X$5,$X$6))</f>
        <v>7500</v>
      </c>
      <c r="R31" s="97"/>
    </row>
    <row r="32" spans="1:18" x14ac:dyDescent="0.35">
      <c r="A32" s="89">
        <v>1052</v>
      </c>
      <c r="B32" s="86" t="s">
        <v>171</v>
      </c>
      <c r="C32" s="91">
        <v>36609</v>
      </c>
      <c r="D32" s="91">
        <v>23719</v>
      </c>
      <c r="E32" s="92" t="s">
        <v>125</v>
      </c>
      <c r="F32" s="92" t="s">
        <v>126</v>
      </c>
      <c r="G32" s="89" t="s">
        <v>127</v>
      </c>
      <c r="H32" s="89" t="s">
        <v>134</v>
      </c>
      <c r="I32" s="89">
        <v>3</v>
      </c>
      <c r="J32" s="89" t="s">
        <v>129</v>
      </c>
      <c r="K32" s="94">
        <v>60000</v>
      </c>
      <c r="L32" s="89" t="s">
        <v>130</v>
      </c>
      <c r="M32" s="95">
        <f t="shared" si="0"/>
        <v>15</v>
      </c>
      <c r="N32" s="96">
        <f t="shared" si="1"/>
        <v>0</v>
      </c>
      <c r="O32" s="96">
        <f t="shared" si="2"/>
        <v>1800</v>
      </c>
      <c r="P32" s="96">
        <f>IF(OR(Employee[[#This Row],[Location]]="Home",Employee[[#This Row],[Job Status]]="FT"),Employee[[#This Row],[Annual Salary]]*0.04,Employee[[#This Row],[Annual Salary]]*0.025)</f>
        <v>2400</v>
      </c>
      <c r="Q32" s="97">
        <f>IF(Employee[[#This Row],[Pay Grade]]=1,$X$4,IF(Employee[[#This Row],[Pay Grade]]=2,$X$5,$X$6))</f>
        <v>7500</v>
      </c>
      <c r="R32" s="97"/>
    </row>
    <row r="33" spans="1:18" x14ac:dyDescent="0.35">
      <c r="A33" s="89">
        <v>1053</v>
      </c>
      <c r="B33" s="86" t="s">
        <v>172</v>
      </c>
      <c r="C33" s="91">
        <v>39591</v>
      </c>
      <c r="D33" s="91">
        <v>22692</v>
      </c>
      <c r="E33" s="92" t="s">
        <v>125</v>
      </c>
      <c r="F33" s="92" t="s">
        <v>137</v>
      </c>
      <c r="G33" s="89" t="s">
        <v>127</v>
      </c>
      <c r="H33" s="89" t="s">
        <v>128</v>
      </c>
      <c r="I33" s="89">
        <v>4</v>
      </c>
      <c r="J33" s="89" t="s">
        <v>129</v>
      </c>
      <c r="K33" s="94">
        <v>200000</v>
      </c>
      <c r="L33" s="93" t="s">
        <v>130</v>
      </c>
      <c r="M33" s="95">
        <f t="shared" si="0"/>
        <v>7</v>
      </c>
      <c r="N33" s="96">
        <f t="shared" si="1"/>
        <v>200</v>
      </c>
      <c r="O33" s="96">
        <f t="shared" si="2"/>
        <v>6000</v>
      </c>
      <c r="P33" s="96">
        <f>IF(OR(Employee[[#This Row],[Location]]="Home",Employee[[#This Row],[Job Status]]="FT"),Employee[[#This Row],[Annual Salary]]*0.04,Employee[[#This Row],[Annual Salary]]*0.025)</f>
        <v>8000</v>
      </c>
      <c r="Q33" s="97">
        <f>IF(Employee[[#This Row],[Pay Grade]]=1,$X$4,IF(Employee[[#This Row],[Pay Grade]]=2,$X$5,$X$6))</f>
        <v>7500</v>
      </c>
      <c r="R33" s="97"/>
    </row>
    <row r="34" spans="1:18" x14ac:dyDescent="0.35">
      <c r="A34" s="89">
        <v>1054</v>
      </c>
      <c r="B34" s="86" t="s">
        <v>173</v>
      </c>
      <c r="C34" s="91">
        <v>36384</v>
      </c>
      <c r="D34" s="91">
        <v>25126</v>
      </c>
      <c r="E34" s="92" t="s">
        <v>125</v>
      </c>
      <c r="F34" s="92" t="s">
        <v>126</v>
      </c>
      <c r="G34" s="89" t="s">
        <v>127</v>
      </c>
      <c r="H34" s="89" t="s">
        <v>128</v>
      </c>
      <c r="I34" s="89">
        <v>3</v>
      </c>
      <c r="J34" s="89" t="s">
        <v>129</v>
      </c>
      <c r="K34" s="94">
        <v>110000</v>
      </c>
      <c r="L34" s="89" t="s">
        <v>145</v>
      </c>
      <c r="M34" s="95">
        <f t="shared" si="0"/>
        <v>15</v>
      </c>
      <c r="N34" s="96">
        <f t="shared" si="1"/>
        <v>110</v>
      </c>
      <c r="O34" s="96">
        <f t="shared" si="2"/>
        <v>3300</v>
      </c>
      <c r="P34" s="96">
        <f>IF(OR(Employee[[#This Row],[Location]]="Home",Employee[[#This Row],[Job Status]]="FT"),Employee[[#This Row],[Annual Salary]]*0.04,Employee[[#This Row],[Annual Salary]]*0.025)</f>
        <v>4400</v>
      </c>
      <c r="Q34" s="97">
        <f>IF(Employee[[#This Row],[Pay Grade]]=1,$X$4,IF(Employee[[#This Row],[Pay Grade]]=2,$X$5,$X$6))</f>
        <v>7500</v>
      </c>
      <c r="R34" s="97"/>
    </row>
    <row r="35" spans="1:18" x14ac:dyDescent="0.35">
      <c r="A35" s="89">
        <v>1055</v>
      </c>
      <c r="B35" s="86" t="s">
        <v>174</v>
      </c>
      <c r="C35" s="90">
        <v>41219</v>
      </c>
      <c r="D35" s="91">
        <v>26743</v>
      </c>
      <c r="E35" s="92" t="s">
        <v>125</v>
      </c>
      <c r="F35" s="92" t="s">
        <v>152</v>
      </c>
      <c r="G35" s="89" t="s">
        <v>127</v>
      </c>
      <c r="H35" s="89" t="s">
        <v>134</v>
      </c>
      <c r="I35" s="89">
        <v>1</v>
      </c>
      <c r="J35" s="89" t="s">
        <v>149</v>
      </c>
      <c r="K35" s="94">
        <v>22880</v>
      </c>
      <c r="L35" s="89" t="s">
        <v>150</v>
      </c>
      <c r="M35" s="95">
        <f t="shared" si="0"/>
        <v>2</v>
      </c>
      <c r="N35" s="96">
        <f t="shared" si="1"/>
        <v>0</v>
      </c>
      <c r="O35" s="96">
        <f t="shared" si="2"/>
        <v>686.4</v>
      </c>
      <c r="P35" s="96">
        <f>IF(OR(Employee[[#This Row],[Location]]="Home",Employee[[#This Row],[Job Status]]="FT"),Employee[[#This Row],[Annual Salary]]*0.04,Employee[[#This Row],[Annual Salary]]*0.025)</f>
        <v>915.2</v>
      </c>
      <c r="Q35" s="97">
        <f>IF(Employee[[#This Row],[Pay Grade]]=1,$X$4,IF(Employee[[#This Row],[Pay Grade]]=2,$X$5,$X$6))</f>
        <v>2500</v>
      </c>
      <c r="R35" s="97"/>
    </row>
    <row r="36" spans="1:18" x14ac:dyDescent="0.35">
      <c r="A36" s="89">
        <v>1056</v>
      </c>
      <c r="B36" s="86" t="s">
        <v>175</v>
      </c>
      <c r="C36" s="91">
        <v>39243</v>
      </c>
      <c r="D36" s="91">
        <v>24217</v>
      </c>
      <c r="E36" s="92" t="s">
        <v>62</v>
      </c>
      <c r="F36" s="92" t="s">
        <v>152</v>
      </c>
      <c r="G36" s="89" t="s">
        <v>127</v>
      </c>
      <c r="H36" s="89" t="s">
        <v>134</v>
      </c>
      <c r="I36" s="89">
        <v>1</v>
      </c>
      <c r="J36" s="89" t="s">
        <v>149</v>
      </c>
      <c r="K36" s="94">
        <v>22880</v>
      </c>
      <c r="L36" s="89" t="s">
        <v>145</v>
      </c>
      <c r="M36" s="95">
        <f t="shared" si="0"/>
        <v>8</v>
      </c>
      <c r="N36" s="96">
        <f t="shared" si="1"/>
        <v>0</v>
      </c>
      <c r="O36" s="96">
        <f t="shared" si="2"/>
        <v>686.4</v>
      </c>
      <c r="P36" s="96">
        <f>IF(OR(Employee[[#This Row],[Location]]="Home",Employee[[#This Row],[Job Status]]="FT"),Employee[[#This Row],[Annual Salary]]*0.04,Employee[[#This Row],[Annual Salary]]*0.025)</f>
        <v>915.2</v>
      </c>
      <c r="Q36" s="97">
        <f>IF(Employee[[#This Row],[Pay Grade]]=1,$X$4,IF(Employee[[#This Row],[Pay Grade]]=2,$X$5,$X$6))</f>
        <v>2500</v>
      </c>
      <c r="R36" s="97"/>
    </row>
    <row r="37" spans="1:18" x14ac:dyDescent="0.35">
      <c r="A37" s="89">
        <v>1057</v>
      </c>
      <c r="B37" s="86" t="s">
        <v>176</v>
      </c>
      <c r="C37" s="90">
        <v>41282</v>
      </c>
      <c r="D37" s="91">
        <v>20900</v>
      </c>
      <c r="E37" s="92" t="s">
        <v>125</v>
      </c>
      <c r="F37" s="92" t="s">
        <v>126</v>
      </c>
      <c r="G37" s="89" t="s">
        <v>127</v>
      </c>
      <c r="H37" s="89" t="s">
        <v>128</v>
      </c>
      <c r="I37" s="89">
        <v>3</v>
      </c>
      <c r="J37" s="89" t="s">
        <v>129</v>
      </c>
      <c r="K37" s="94">
        <v>85000</v>
      </c>
      <c r="L37" s="89" t="s">
        <v>145</v>
      </c>
      <c r="M37" s="95">
        <f t="shared" si="0"/>
        <v>2</v>
      </c>
      <c r="N37" s="96">
        <f t="shared" si="1"/>
        <v>85</v>
      </c>
      <c r="O37" s="96">
        <f t="shared" si="2"/>
        <v>2550</v>
      </c>
      <c r="P37" s="96">
        <f>IF(OR(Employee[[#This Row],[Location]]="Home",Employee[[#This Row],[Job Status]]="FT"),Employee[[#This Row],[Annual Salary]]*0.04,Employee[[#This Row],[Annual Salary]]*0.025)</f>
        <v>3400</v>
      </c>
      <c r="Q37" s="97">
        <f>IF(Employee[[#This Row],[Pay Grade]]=1,$X$4,IF(Employee[[#This Row],[Pay Grade]]=2,$X$5,$X$6))</f>
        <v>7500</v>
      </c>
      <c r="R37" s="97"/>
    </row>
    <row r="38" spans="1:18" x14ac:dyDescent="0.35">
      <c r="A38" s="89">
        <v>1058</v>
      </c>
      <c r="B38" s="86" t="s">
        <v>177</v>
      </c>
      <c r="C38" s="91">
        <v>39937</v>
      </c>
      <c r="D38" s="91">
        <v>24651</v>
      </c>
      <c r="E38" s="92" t="s">
        <v>125</v>
      </c>
      <c r="F38" s="89" t="s">
        <v>133</v>
      </c>
      <c r="G38" s="89" t="s">
        <v>148</v>
      </c>
      <c r="H38" s="89" t="s">
        <v>134</v>
      </c>
      <c r="I38" s="89">
        <v>2</v>
      </c>
      <c r="J38" s="89" t="s">
        <v>129</v>
      </c>
      <c r="K38" s="94">
        <v>33000</v>
      </c>
      <c r="L38" s="89" t="s">
        <v>130</v>
      </c>
      <c r="M38" s="95">
        <f t="shared" si="0"/>
        <v>6</v>
      </c>
      <c r="N38" s="96">
        <f t="shared" si="1"/>
        <v>0</v>
      </c>
      <c r="O38" s="96">
        <f t="shared" si="2"/>
        <v>0</v>
      </c>
      <c r="P38" s="96">
        <f>IF(OR(Employee[[#This Row],[Location]]="Home",Employee[[#This Row],[Job Status]]="FT"),Employee[[#This Row],[Annual Salary]]*0.04,Employee[[#This Row],[Annual Salary]]*0.025)</f>
        <v>1320</v>
      </c>
      <c r="Q38" s="97">
        <f>IF(Employee[[#This Row],[Pay Grade]]=1,$X$4,IF(Employee[[#This Row],[Pay Grade]]=2,$X$5,$X$6))</f>
        <v>5000</v>
      </c>
      <c r="R38" s="97"/>
    </row>
    <row r="39" spans="1:18" x14ac:dyDescent="0.35">
      <c r="A39" s="89">
        <v>1059</v>
      </c>
      <c r="B39" s="86" t="s">
        <v>178</v>
      </c>
      <c r="C39" s="91">
        <v>39645</v>
      </c>
      <c r="D39" s="91">
        <v>31451</v>
      </c>
      <c r="E39" s="92" t="s">
        <v>62</v>
      </c>
      <c r="F39" s="92" t="s">
        <v>126</v>
      </c>
      <c r="G39" s="89" t="s">
        <v>127</v>
      </c>
      <c r="H39" s="89" t="s">
        <v>134</v>
      </c>
      <c r="I39" s="89">
        <v>3</v>
      </c>
      <c r="J39" s="89" t="s">
        <v>129</v>
      </c>
      <c r="K39" s="94">
        <v>65000</v>
      </c>
      <c r="L39" s="89" t="s">
        <v>140</v>
      </c>
      <c r="M39" s="95">
        <f t="shared" si="0"/>
        <v>6</v>
      </c>
      <c r="N39" s="96">
        <f t="shared" si="1"/>
        <v>0</v>
      </c>
      <c r="O39" s="96">
        <f t="shared" si="2"/>
        <v>1950</v>
      </c>
      <c r="P39" s="96">
        <f>IF(OR(Employee[[#This Row],[Location]]="Home",Employee[[#This Row],[Job Status]]="FT"),Employee[[#This Row],[Annual Salary]]*0.04,Employee[[#This Row],[Annual Salary]]*0.025)</f>
        <v>2600</v>
      </c>
      <c r="Q39" s="97">
        <f>IF(Employee[[#This Row],[Pay Grade]]=1,$X$4,IF(Employee[[#This Row],[Pay Grade]]=2,$X$5,$X$6))</f>
        <v>7500</v>
      </c>
      <c r="R39" s="97"/>
    </row>
    <row r="40" spans="1:18" x14ac:dyDescent="0.35">
      <c r="A40" s="89">
        <v>1060</v>
      </c>
      <c r="B40" s="86" t="s">
        <v>179</v>
      </c>
      <c r="C40" s="91">
        <v>38454</v>
      </c>
      <c r="D40" s="91">
        <v>31606</v>
      </c>
      <c r="E40" s="92" t="s">
        <v>62</v>
      </c>
      <c r="F40" s="92" t="s">
        <v>152</v>
      </c>
      <c r="G40" s="89" t="s">
        <v>127</v>
      </c>
      <c r="H40" s="89" t="s">
        <v>134</v>
      </c>
      <c r="I40" s="89">
        <v>1</v>
      </c>
      <c r="J40" s="89" t="s">
        <v>149</v>
      </c>
      <c r="K40" s="94">
        <v>21299</v>
      </c>
      <c r="L40" s="89" t="s">
        <v>130</v>
      </c>
      <c r="M40" s="95">
        <f t="shared" si="0"/>
        <v>10</v>
      </c>
      <c r="N40" s="96">
        <f t="shared" si="1"/>
        <v>0</v>
      </c>
      <c r="O40" s="96">
        <f t="shared" si="2"/>
        <v>638.97</v>
      </c>
      <c r="P40" s="96">
        <f>IF(OR(Employee[[#This Row],[Location]]="Home",Employee[[#This Row],[Job Status]]="FT"),Employee[[#This Row],[Annual Salary]]*0.04,Employee[[#This Row],[Annual Salary]]*0.025)</f>
        <v>851.96</v>
      </c>
      <c r="Q40" s="97">
        <f>IF(Employee[[#This Row],[Pay Grade]]=1,$X$4,IF(Employee[[#This Row],[Pay Grade]]=2,$X$5,$X$6))</f>
        <v>2500</v>
      </c>
      <c r="R40" s="97"/>
    </row>
    <row r="41" spans="1:18" x14ac:dyDescent="0.35">
      <c r="A41" s="89">
        <v>1061</v>
      </c>
      <c r="B41" s="86" t="s">
        <v>180</v>
      </c>
      <c r="C41" s="91">
        <v>39885</v>
      </c>
      <c r="D41" s="91">
        <v>18087</v>
      </c>
      <c r="E41" s="92" t="s">
        <v>125</v>
      </c>
      <c r="F41" s="92" t="s">
        <v>137</v>
      </c>
      <c r="G41" s="89" t="s">
        <v>127</v>
      </c>
      <c r="H41" s="89" t="s">
        <v>128</v>
      </c>
      <c r="I41" s="89">
        <v>3</v>
      </c>
      <c r="J41" s="89" t="s">
        <v>129</v>
      </c>
      <c r="K41" s="94">
        <v>95000</v>
      </c>
      <c r="L41" s="89" t="s">
        <v>140</v>
      </c>
      <c r="M41" s="95">
        <f t="shared" si="0"/>
        <v>6</v>
      </c>
      <c r="N41" s="96">
        <f t="shared" si="1"/>
        <v>95</v>
      </c>
      <c r="O41" s="96">
        <f t="shared" si="2"/>
        <v>2850</v>
      </c>
      <c r="P41" s="96">
        <f>IF(OR(Employee[[#This Row],[Location]]="Home",Employee[[#This Row],[Job Status]]="FT"),Employee[[#This Row],[Annual Salary]]*0.04,Employee[[#This Row],[Annual Salary]]*0.025)</f>
        <v>3800</v>
      </c>
      <c r="Q41" s="97">
        <f>IF(Employee[[#This Row],[Pay Grade]]=1,$X$4,IF(Employee[[#This Row],[Pay Grade]]=2,$X$5,$X$6))</f>
        <v>7500</v>
      </c>
      <c r="R41" s="97"/>
    </row>
    <row r="42" spans="1:18" x14ac:dyDescent="0.35">
      <c r="A42" s="89">
        <v>1062</v>
      </c>
      <c r="B42" s="86" t="s">
        <v>181</v>
      </c>
      <c r="C42" s="90">
        <v>41129</v>
      </c>
      <c r="D42" s="91">
        <v>20790</v>
      </c>
      <c r="E42" s="92" t="s">
        <v>125</v>
      </c>
      <c r="F42" s="92" t="s">
        <v>137</v>
      </c>
      <c r="G42" s="89" t="s">
        <v>127</v>
      </c>
      <c r="H42" s="89" t="s">
        <v>128</v>
      </c>
      <c r="I42" s="89">
        <v>3</v>
      </c>
      <c r="J42" s="89" t="s">
        <v>129</v>
      </c>
      <c r="K42" s="94">
        <v>80000</v>
      </c>
      <c r="L42" s="89" t="s">
        <v>145</v>
      </c>
      <c r="M42" s="95">
        <f t="shared" si="0"/>
        <v>2</v>
      </c>
      <c r="N42" s="96">
        <f t="shared" si="1"/>
        <v>80</v>
      </c>
      <c r="O42" s="96">
        <f t="shared" si="2"/>
        <v>2400</v>
      </c>
      <c r="P42" s="96">
        <f>IF(OR(Employee[[#This Row],[Location]]="Home",Employee[[#This Row],[Job Status]]="FT"),Employee[[#This Row],[Annual Salary]]*0.04,Employee[[#This Row],[Annual Salary]]*0.025)</f>
        <v>3200</v>
      </c>
      <c r="Q42" s="97">
        <f>IF(Employee[[#This Row],[Pay Grade]]=1,$X$4,IF(Employee[[#This Row],[Pay Grade]]=2,$X$5,$X$6))</f>
        <v>7500</v>
      </c>
      <c r="R42" s="97"/>
    </row>
    <row r="43" spans="1:18" x14ac:dyDescent="0.35">
      <c r="A43" s="89">
        <v>1063</v>
      </c>
      <c r="B43" s="86" t="s">
        <v>182</v>
      </c>
      <c r="C43" s="90">
        <v>41107</v>
      </c>
      <c r="D43" s="91">
        <v>21743</v>
      </c>
      <c r="E43" s="92" t="s">
        <v>125</v>
      </c>
      <c r="F43" s="92" t="s">
        <v>152</v>
      </c>
      <c r="G43" s="89" t="s">
        <v>127</v>
      </c>
      <c r="H43" s="89" t="s">
        <v>134</v>
      </c>
      <c r="I43" s="89">
        <v>1</v>
      </c>
      <c r="J43" s="89" t="s">
        <v>149</v>
      </c>
      <c r="K43" s="94">
        <v>25792</v>
      </c>
      <c r="L43" s="89" t="s">
        <v>150</v>
      </c>
      <c r="M43" s="95">
        <f t="shared" si="0"/>
        <v>2</v>
      </c>
      <c r="N43" s="96">
        <f t="shared" si="1"/>
        <v>0</v>
      </c>
      <c r="O43" s="96">
        <f t="shared" si="2"/>
        <v>773.76</v>
      </c>
      <c r="P43" s="96">
        <f>IF(OR(Employee[[#This Row],[Location]]="Home",Employee[[#This Row],[Job Status]]="FT"),Employee[[#This Row],[Annual Salary]]*0.04,Employee[[#This Row],[Annual Salary]]*0.025)</f>
        <v>1031.68</v>
      </c>
      <c r="Q43" s="97">
        <f>IF(Employee[[#This Row],[Pay Grade]]=1,$X$4,IF(Employee[[#This Row],[Pay Grade]]=2,$X$5,$X$6))</f>
        <v>2500</v>
      </c>
      <c r="R43" s="97"/>
    </row>
    <row r="44" spans="1:18" x14ac:dyDescent="0.35">
      <c r="A44" s="89">
        <v>1064</v>
      </c>
      <c r="B44" s="86" t="s">
        <v>173</v>
      </c>
      <c r="C44" s="91">
        <v>40916</v>
      </c>
      <c r="D44" s="91">
        <v>25633</v>
      </c>
      <c r="E44" s="92" t="s">
        <v>62</v>
      </c>
      <c r="F44" s="92" t="s">
        <v>137</v>
      </c>
      <c r="G44" s="89" t="s">
        <v>127</v>
      </c>
      <c r="H44" s="89" t="s">
        <v>134</v>
      </c>
      <c r="I44" s="89">
        <v>3</v>
      </c>
      <c r="J44" s="89" t="s">
        <v>129</v>
      </c>
      <c r="K44" s="94">
        <v>70000</v>
      </c>
      <c r="L44" s="89" t="s">
        <v>130</v>
      </c>
      <c r="M44" s="95">
        <f t="shared" si="0"/>
        <v>3</v>
      </c>
      <c r="N44" s="96">
        <f t="shared" si="1"/>
        <v>0</v>
      </c>
      <c r="O44" s="96">
        <f t="shared" si="2"/>
        <v>2100</v>
      </c>
      <c r="P44" s="96">
        <f>IF(OR(Employee[[#This Row],[Location]]="Home",Employee[[#This Row],[Job Status]]="FT"),Employee[[#This Row],[Annual Salary]]*0.04,Employee[[#This Row],[Annual Salary]]*0.025)</f>
        <v>2800</v>
      </c>
      <c r="Q44" s="97">
        <f>IF(Employee[[#This Row],[Pay Grade]]=1,$X$4,IF(Employee[[#This Row],[Pay Grade]]=2,$X$5,$X$6))</f>
        <v>7500</v>
      </c>
      <c r="R44" s="97"/>
    </row>
    <row r="45" spans="1:18" x14ac:dyDescent="0.35">
      <c r="A45" s="89">
        <v>1065</v>
      </c>
      <c r="B45" s="86" t="s">
        <v>183</v>
      </c>
      <c r="C45" s="91">
        <v>40455</v>
      </c>
      <c r="D45" s="91">
        <v>21848</v>
      </c>
      <c r="E45" s="92" t="s">
        <v>62</v>
      </c>
      <c r="F45" s="92" t="s">
        <v>126</v>
      </c>
      <c r="G45" s="89" t="s">
        <v>127</v>
      </c>
      <c r="H45" s="89" t="s">
        <v>134</v>
      </c>
      <c r="I45" s="89">
        <v>3</v>
      </c>
      <c r="J45" s="89" t="s">
        <v>129</v>
      </c>
      <c r="K45" s="94">
        <v>73500</v>
      </c>
      <c r="L45" s="89" t="s">
        <v>150</v>
      </c>
      <c r="M45" s="95">
        <f t="shared" si="0"/>
        <v>4</v>
      </c>
      <c r="N45" s="96">
        <f t="shared" si="1"/>
        <v>0</v>
      </c>
      <c r="O45" s="96">
        <f t="shared" si="2"/>
        <v>2205</v>
      </c>
      <c r="P45" s="96">
        <f>IF(OR(Employee[[#This Row],[Location]]="Home",Employee[[#This Row],[Job Status]]="FT"),Employee[[#This Row],[Annual Salary]]*0.04,Employee[[#This Row],[Annual Salary]]*0.025)</f>
        <v>2940</v>
      </c>
      <c r="Q45" s="97">
        <f>IF(Employee[[#This Row],[Pay Grade]]=1,$X$4,IF(Employee[[#This Row],[Pay Grade]]=2,$X$5,$X$6))</f>
        <v>7500</v>
      </c>
      <c r="R45" s="97"/>
    </row>
    <row r="46" spans="1:18" x14ac:dyDescent="0.35">
      <c r="A46" s="89">
        <v>1066</v>
      </c>
      <c r="B46" s="86" t="s">
        <v>184</v>
      </c>
      <c r="C46" s="91">
        <v>40063</v>
      </c>
      <c r="D46" s="91">
        <v>22351</v>
      </c>
      <c r="E46" s="92" t="s">
        <v>62</v>
      </c>
      <c r="F46" s="92" t="s">
        <v>152</v>
      </c>
      <c r="G46" s="89" t="s">
        <v>127</v>
      </c>
      <c r="H46" s="89" t="s">
        <v>134</v>
      </c>
      <c r="I46" s="89">
        <v>1</v>
      </c>
      <c r="J46" s="89" t="s">
        <v>149</v>
      </c>
      <c r="K46" s="94">
        <v>21299</v>
      </c>
      <c r="L46" s="89" t="s">
        <v>150</v>
      </c>
      <c r="M46" s="95">
        <f t="shared" si="0"/>
        <v>5</v>
      </c>
      <c r="N46" s="96">
        <f t="shared" si="1"/>
        <v>0</v>
      </c>
      <c r="O46" s="96">
        <f t="shared" si="2"/>
        <v>638.97</v>
      </c>
      <c r="P46" s="96">
        <f>IF(OR(Employee[[#This Row],[Location]]="Home",Employee[[#This Row],[Job Status]]="FT"),Employee[[#This Row],[Annual Salary]]*0.04,Employee[[#This Row],[Annual Salary]]*0.025)</f>
        <v>851.96</v>
      </c>
      <c r="Q46" s="97">
        <f>IF(Employee[[#This Row],[Pay Grade]]=1,$X$4,IF(Employee[[#This Row],[Pay Grade]]=2,$X$5,$X$6))</f>
        <v>2500</v>
      </c>
      <c r="R46" s="97"/>
    </row>
    <row r="47" spans="1:18" x14ac:dyDescent="0.35">
      <c r="A47" s="89">
        <v>1067</v>
      </c>
      <c r="B47" s="86" t="s">
        <v>185</v>
      </c>
      <c r="C47" s="91">
        <v>40762</v>
      </c>
      <c r="D47" s="91">
        <v>20756</v>
      </c>
      <c r="E47" s="92" t="s">
        <v>62</v>
      </c>
      <c r="F47" s="92" t="s">
        <v>126</v>
      </c>
      <c r="G47" s="89" t="s">
        <v>127</v>
      </c>
      <c r="H47" s="89" t="s">
        <v>134</v>
      </c>
      <c r="I47" s="89">
        <v>1</v>
      </c>
      <c r="J47" s="89" t="s">
        <v>149</v>
      </c>
      <c r="K47" s="94">
        <v>39000</v>
      </c>
      <c r="L47" s="89" t="s">
        <v>140</v>
      </c>
      <c r="M47" s="95">
        <f t="shared" si="0"/>
        <v>3</v>
      </c>
      <c r="N47" s="96">
        <f t="shared" si="1"/>
        <v>0</v>
      </c>
      <c r="O47" s="96">
        <f t="shared" si="2"/>
        <v>1170</v>
      </c>
      <c r="P47" s="96">
        <f>IF(OR(Employee[[#This Row],[Location]]="Home",Employee[[#This Row],[Job Status]]="FT"),Employee[[#This Row],[Annual Salary]]*0.04,Employee[[#This Row],[Annual Salary]]*0.025)</f>
        <v>1560</v>
      </c>
      <c r="Q47" s="97">
        <f>IF(Employee[[#This Row],[Pay Grade]]=1,$X$4,IF(Employee[[#This Row],[Pay Grade]]=2,$X$5,$X$6))</f>
        <v>2500</v>
      </c>
      <c r="R47" s="97"/>
    </row>
    <row r="48" spans="1:18" x14ac:dyDescent="0.35">
      <c r="A48" s="89">
        <v>1068</v>
      </c>
      <c r="B48" s="86" t="s">
        <v>186</v>
      </c>
      <c r="C48" s="90">
        <v>41058</v>
      </c>
      <c r="D48" s="91">
        <v>18496</v>
      </c>
      <c r="E48" s="92" t="s">
        <v>125</v>
      </c>
      <c r="F48" s="92" t="s">
        <v>126</v>
      </c>
      <c r="G48" s="89" t="s">
        <v>127</v>
      </c>
      <c r="H48" s="89" t="s">
        <v>128</v>
      </c>
      <c r="I48" s="89">
        <v>3</v>
      </c>
      <c r="J48" s="89" t="s">
        <v>129</v>
      </c>
      <c r="K48" s="94">
        <v>115000</v>
      </c>
      <c r="L48" s="89" t="s">
        <v>130</v>
      </c>
      <c r="M48" s="95">
        <f t="shared" si="0"/>
        <v>3</v>
      </c>
      <c r="N48" s="96">
        <f t="shared" si="1"/>
        <v>115</v>
      </c>
      <c r="O48" s="96">
        <f t="shared" si="2"/>
        <v>3450</v>
      </c>
      <c r="P48" s="96">
        <f>IF(OR(Employee[[#This Row],[Location]]="Home",Employee[[#This Row],[Job Status]]="FT"),Employee[[#This Row],[Annual Salary]]*0.04,Employee[[#This Row],[Annual Salary]]*0.025)</f>
        <v>4600</v>
      </c>
      <c r="Q48" s="97">
        <f>IF(Employee[[#This Row],[Pay Grade]]=1,$X$4,IF(Employee[[#This Row],[Pay Grade]]=2,$X$5,$X$6))</f>
        <v>7500</v>
      </c>
      <c r="R48" s="97"/>
    </row>
    <row r="49" spans="1:18" x14ac:dyDescent="0.35">
      <c r="A49" s="89">
        <v>1069</v>
      </c>
      <c r="B49" s="86" t="s">
        <v>187</v>
      </c>
      <c r="C49" s="91">
        <v>38004</v>
      </c>
      <c r="D49" s="91">
        <v>18940</v>
      </c>
      <c r="E49" s="92" t="s">
        <v>62</v>
      </c>
      <c r="F49" s="92" t="s">
        <v>152</v>
      </c>
      <c r="G49" s="89" t="s">
        <v>127</v>
      </c>
      <c r="H49" s="89" t="s">
        <v>134</v>
      </c>
      <c r="I49" s="89">
        <v>1</v>
      </c>
      <c r="J49" s="89" t="s">
        <v>149</v>
      </c>
      <c r="K49" s="94">
        <v>21840</v>
      </c>
      <c r="L49" s="89" t="s">
        <v>143</v>
      </c>
      <c r="M49" s="95">
        <f t="shared" si="0"/>
        <v>11</v>
      </c>
      <c r="N49" s="96">
        <f t="shared" si="1"/>
        <v>0</v>
      </c>
      <c r="O49" s="96">
        <f t="shared" si="2"/>
        <v>655.19999999999993</v>
      </c>
      <c r="P49" s="96">
        <f>IF(OR(Employee[[#This Row],[Location]]="Home",Employee[[#This Row],[Job Status]]="FT"),Employee[[#This Row],[Annual Salary]]*0.04,Employee[[#This Row],[Annual Salary]]*0.025)</f>
        <v>873.6</v>
      </c>
      <c r="Q49" s="97">
        <f>IF(Employee[[#This Row],[Pay Grade]]=1,$X$4,IF(Employee[[#This Row],[Pay Grade]]=2,$X$5,$X$6))</f>
        <v>2500</v>
      </c>
      <c r="R49" s="97"/>
    </row>
    <row r="50" spans="1:18" x14ac:dyDescent="0.35">
      <c r="A50" s="89">
        <v>1070</v>
      </c>
      <c r="B50" s="86" t="s">
        <v>188</v>
      </c>
      <c r="C50" s="90">
        <v>41275</v>
      </c>
      <c r="D50" s="91">
        <v>24268</v>
      </c>
      <c r="E50" s="92" t="s">
        <v>125</v>
      </c>
      <c r="F50" s="92" t="s">
        <v>126</v>
      </c>
      <c r="G50" s="89" t="s">
        <v>127</v>
      </c>
      <c r="H50" s="89" t="s">
        <v>128</v>
      </c>
      <c r="I50" s="89">
        <v>3</v>
      </c>
      <c r="J50" s="89" t="s">
        <v>129</v>
      </c>
      <c r="K50" s="94">
        <v>123000</v>
      </c>
      <c r="L50" s="89" t="s">
        <v>150</v>
      </c>
      <c r="M50" s="95">
        <f t="shared" si="0"/>
        <v>2</v>
      </c>
      <c r="N50" s="96">
        <f t="shared" si="1"/>
        <v>123</v>
      </c>
      <c r="O50" s="96">
        <f t="shared" si="2"/>
        <v>3690</v>
      </c>
      <c r="P50" s="96">
        <f>IF(OR(Employee[[#This Row],[Location]]="Home",Employee[[#This Row],[Job Status]]="FT"),Employee[[#This Row],[Annual Salary]]*0.04,Employee[[#This Row],[Annual Salary]]*0.025)</f>
        <v>4920</v>
      </c>
      <c r="Q50" s="97">
        <f>IF(Employee[[#This Row],[Pay Grade]]=1,$X$4,IF(Employee[[#This Row],[Pay Grade]]=2,$X$5,$X$6))</f>
        <v>7500</v>
      </c>
      <c r="R50" s="97"/>
    </row>
    <row r="51" spans="1:18" x14ac:dyDescent="0.35">
      <c r="A51" s="89">
        <v>1071</v>
      </c>
      <c r="B51" s="86" t="s">
        <v>189</v>
      </c>
      <c r="C51" s="91">
        <v>36899</v>
      </c>
      <c r="D51" s="91">
        <v>33595</v>
      </c>
      <c r="E51" s="92" t="s">
        <v>125</v>
      </c>
      <c r="F51" s="92" t="s">
        <v>126</v>
      </c>
      <c r="G51" s="89" t="s">
        <v>127</v>
      </c>
      <c r="H51" s="89" t="s">
        <v>128</v>
      </c>
      <c r="I51" s="89">
        <v>3</v>
      </c>
      <c r="J51" s="89" t="s">
        <v>129</v>
      </c>
      <c r="K51" s="94">
        <v>90000</v>
      </c>
      <c r="L51" s="89" t="s">
        <v>143</v>
      </c>
      <c r="M51" s="95">
        <f t="shared" si="0"/>
        <v>14</v>
      </c>
      <c r="N51" s="96">
        <f t="shared" si="1"/>
        <v>90</v>
      </c>
      <c r="O51" s="96">
        <f t="shared" si="2"/>
        <v>2700</v>
      </c>
      <c r="P51" s="96">
        <f>IF(OR(Employee[[#This Row],[Location]]="Home",Employee[[#This Row],[Job Status]]="FT"),Employee[[#This Row],[Annual Salary]]*0.04,Employee[[#This Row],[Annual Salary]]*0.025)</f>
        <v>3600</v>
      </c>
      <c r="Q51" s="97">
        <f>IF(Employee[[#This Row],[Pay Grade]]=1,$X$4,IF(Employee[[#This Row],[Pay Grade]]=2,$X$5,$X$6))</f>
        <v>7500</v>
      </c>
      <c r="R51" s="97"/>
    </row>
    <row r="52" spans="1:18" x14ac:dyDescent="0.35">
      <c r="A52" s="89">
        <v>1072</v>
      </c>
      <c r="B52" s="86" t="s">
        <v>190</v>
      </c>
      <c r="C52" s="91">
        <v>38097</v>
      </c>
      <c r="D52" s="91">
        <v>20636</v>
      </c>
      <c r="E52" s="92" t="s">
        <v>125</v>
      </c>
      <c r="F52" s="92" t="s">
        <v>126</v>
      </c>
      <c r="G52" s="89" t="s">
        <v>127</v>
      </c>
      <c r="H52" s="89" t="s">
        <v>128</v>
      </c>
      <c r="I52" s="89">
        <v>3</v>
      </c>
      <c r="J52" s="89" t="s">
        <v>129</v>
      </c>
      <c r="K52" s="94">
        <v>110000</v>
      </c>
      <c r="L52" s="89" t="s">
        <v>145</v>
      </c>
      <c r="M52" s="95">
        <f t="shared" si="0"/>
        <v>11</v>
      </c>
      <c r="N52" s="96">
        <f t="shared" si="1"/>
        <v>110</v>
      </c>
      <c r="O52" s="96">
        <f t="shared" si="2"/>
        <v>3300</v>
      </c>
      <c r="P52" s="96">
        <f>IF(OR(Employee[[#This Row],[Location]]="Home",Employee[[#This Row],[Job Status]]="FT"),Employee[[#This Row],[Annual Salary]]*0.04,Employee[[#This Row],[Annual Salary]]*0.025)</f>
        <v>4400</v>
      </c>
      <c r="Q52" s="97">
        <f>IF(Employee[[#This Row],[Pay Grade]]=1,$X$4,IF(Employee[[#This Row],[Pay Grade]]=2,$X$5,$X$6))</f>
        <v>7500</v>
      </c>
      <c r="R52" s="97"/>
    </row>
    <row r="53" spans="1:18" x14ac:dyDescent="0.35">
      <c r="A53" s="89">
        <v>1073</v>
      </c>
      <c r="B53" s="86" t="s">
        <v>191</v>
      </c>
      <c r="C53" s="91">
        <v>38153</v>
      </c>
      <c r="D53" s="91">
        <v>18382</v>
      </c>
      <c r="E53" s="92" t="s">
        <v>62</v>
      </c>
      <c r="F53" s="92" t="s">
        <v>126</v>
      </c>
      <c r="G53" s="89" t="s">
        <v>127</v>
      </c>
      <c r="H53" s="89" t="s">
        <v>128</v>
      </c>
      <c r="I53" s="89">
        <v>3</v>
      </c>
      <c r="J53" s="89" t="s">
        <v>129</v>
      </c>
      <c r="K53" s="94">
        <v>75000</v>
      </c>
      <c r="L53" s="89" t="s">
        <v>140</v>
      </c>
      <c r="M53" s="95">
        <f t="shared" si="0"/>
        <v>11</v>
      </c>
      <c r="N53" s="96">
        <f t="shared" si="1"/>
        <v>75</v>
      </c>
      <c r="O53" s="96">
        <f t="shared" si="2"/>
        <v>2250</v>
      </c>
      <c r="P53" s="96">
        <f>IF(OR(Employee[[#This Row],[Location]]="Home",Employee[[#This Row],[Job Status]]="FT"),Employee[[#This Row],[Annual Salary]]*0.04,Employee[[#This Row],[Annual Salary]]*0.025)</f>
        <v>3000</v>
      </c>
      <c r="Q53" s="97">
        <f>IF(Employee[[#This Row],[Pay Grade]]=1,$X$4,IF(Employee[[#This Row],[Pay Grade]]=2,$X$5,$X$6))</f>
        <v>7500</v>
      </c>
      <c r="R53" s="97"/>
    </row>
    <row r="54" spans="1:18" x14ac:dyDescent="0.35">
      <c r="A54" s="89">
        <v>1074</v>
      </c>
      <c r="B54" s="86" t="s">
        <v>192</v>
      </c>
      <c r="C54" s="91">
        <v>39236</v>
      </c>
      <c r="D54" s="91">
        <v>19526</v>
      </c>
      <c r="E54" s="92" t="s">
        <v>125</v>
      </c>
      <c r="F54" s="92" t="s">
        <v>137</v>
      </c>
      <c r="G54" s="89" t="s">
        <v>127</v>
      </c>
      <c r="H54" s="89" t="s">
        <v>128</v>
      </c>
      <c r="I54" s="89">
        <v>3</v>
      </c>
      <c r="J54" s="89" t="s">
        <v>129</v>
      </c>
      <c r="K54" s="94">
        <v>80000</v>
      </c>
      <c r="L54" s="89" t="s">
        <v>145</v>
      </c>
      <c r="M54" s="95">
        <f t="shared" si="0"/>
        <v>8</v>
      </c>
      <c r="N54" s="96">
        <f t="shared" si="1"/>
        <v>80</v>
      </c>
      <c r="O54" s="96">
        <f t="shared" si="2"/>
        <v>2400</v>
      </c>
      <c r="P54" s="96">
        <f>IF(OR(Employee[[#This Row],[Location]]="Home",Employee[[#This Row],[Job Status]]="FT"),Employee[[#This Row],[Annual Salary]]*0.04,Employee[[#This Row],[Annual Salary]]*0.025)</f>
        <v>3200</v>
      </c>
      <c r="Q54" s="97">
        <f>IF(Employee[[#This Row],[Pay Grade]]=1,$X$4,IF(Employee[[#This Row],[Pay Grade]]=2,$X$5,$X$6))</f>
        <v>7500</v>
      </c>
      <c r="R54" s="97"/>
    </row>
    <row r="55" spans="1:18" x14ac:dyDescent="0.35">
      <c r="A55" s="89">
        <v>1075</v>
      </c>
      <c r="B55" s="86" t="s">
        <v>193</v>
      </c>
      <c r="C55" s="90">
        <v>41303</v>
      </c>
      <c r="D55" s="91">
        <v>30256</v>
      </c>
      <c r="E55" s="92" t="s">
        <v>62</v>
      </c>
      <c r="F55" s="92" t="s">
        <v>126</v>
      </c>
      <c r="G55" s="89" t="s">
        <v>127</v>
      </c>
      <c r="H55" s="89" t="s">
        <v>128</v>
      </c>
      <c r="I55" s="89">
        <v>2</v>
      </c>
      <c r="J55" s="89" t="s">
        <v>129</v>
      </c>
      <c r="K55" s="94">
        <v>45000</v>
      </c>
      <c r="L55" s="89" t="s">
        <v>143</v>
      </c>
      <c r="M55" s="95">
        <f t="shared" si="0"/>
        <v>2</v>
      </c>
      <c r="N55" s="96">
        <f t="shared" si="1"/>
        <v>45</v>
      </c>
      <c r="O55" s="96">
        <f t="shared" si="2"/>
        <v>1350</v>
      </c>
      <c r="P55" s="96">
        <f>IF(OR(Employee[[#This Row],[Location]]="Home",Employee[[#This Row],[Job Status]]="FT"),Employee[[#This Row],[Annual Salary]]*0.04,Employee[[#This Row],[Annual Salary]]*0.025)</f>
        <v>1800</v>
      </c>
      <c r="Q55" s="97">
        <f>IF(Employee[[#This Row],[Pay Grade]]=1,$X$4,IF(Employee[[#This Row],[Pay Grade]]=2,$X$5,$X$6))</f>
        <v>5000</v>
      </c>
      <c r="R55" s="97"/>
    </row>
    <row r="56" spans="1:18" x14ac:dyDescent="0.35">
      <c r="A56" s="89">
        <v>1076</v>
      </c>
      <c r="B56" s="86" t="s">
        <v>194</v>
      </c>
      <c r="C56" s="91">
        <v>39296</v>
      </c>
      <c r="D56" s="91">
        <v>22853</v>
      </c>
      <c r="E56" s="92" t="s">
        <v>62</v>
      </c>
      <c r="F56" s="92" t="s">
        <v>152</v>
      </c>
      <c r="G56" s="89" t="s">
        <v>127</v>
      </c>
      <c r="H56" s="89" t="s">
        <v>134</v>
      </c>
      <c r="I56" s="89">
        <v>1</v>
      </c>
      <c r="J56" s="89" t="s">
        <v>149</v>
      </c>
      <c r="K56" s="94">
        <v>22048</v>
      </c>
      <c r="L56" s="93" t="s">
        <v>130</v>
      </c>
      <c r="M56" s="95">
        <f t="shared" si="0"/>
        <v>7</v>
      </c>
      <c r="N56" s="96">
        <f t="shared" si="1"/>
        <v>0</v>
      </c>
      <c r="O56" s="96">
        <f t="shared" si="2"/>
        <v>661.43999999999994</v>
      </c>
      <c r="P56" s="96">
        <f>IF(OR(Employee[[#This Row],[Location]]="Home",Employee[[#This Row],[Job Status]]="FT"),Employee[[#This Row],[Annual Salary]]*0.04,Employee[[#This Row],[Annual Salary]]*0.025)</f>
        <v>881.92000000000007</v>
      </c>
      <c r="Q56" s="97">
        <f>IF(Employee[[#This Row],[Pay Grade]]=1,$X$4,IF(Employee[[#This Row],[Pay Grade]]=2,$X$5,$X$6))</f>
        <v>2500</v>
      </c>
      <c r="R56" s="97"/>
    </row>
    <row r="57" spans="1:18" x14ac:dyDescent="0.35">
      <c r="A57" s="89">
        <v>1077</v>
      </c>
      <c r="B57" s="86" t="s">
        <v>195</v>
      </c>
      <c r="C57" s="90">
        <v>41149</v>
      </c>
      <c r="D57" s="91">
        <v>27173</v>
      </c>
      <c r="E57" s="92" t="s">
        <v>125</v>
      </c>
      <c r="F57" s="92" t="s">
        <v>126</v>
      </c>
      <c r="G57" s="89" t="s">
        <v>127</v>
      </c>
      <c r="H57" s="89" t="s">
        <v>134</v>
      </c>
      <c r="I57" s="89">
        <v>2</v>
      </c>
      <c r="J57" s="89" t="s">
        <v>129</v>
      </c>
      <c r="K57" s="94">
        <v>47000</v>
      </c>
      <c r="L57" s="89" t="s">
        <v>145</v>
      </c>
      <c r="M57" s="95">
        <f t="shared" si="0"/>
        <v>2</v>
      </c>
      <c r="N57" s="96">
        <f t="shared" si="1"/>
        <v>0</v>
      </c>
      <c r="O57" s="96">
        <f t="shared" si="2"/>
        <v>1410</v>
      </c>
      <c r="P57" s="96">
        <f>IF(OR(Employee[[#This Row],[Location]]="Home",Employee[[#This Row],[Job Status]]="FT"),Employee[[#This Row],[Annual Salary]]*0.04,Employee[[#This Row],[Annual Salary]]*0.025)</f>
        <v>1880</v>
      </c>
      <c r="Q57" s="97">
        <f>IF(Employee[[#This Row],[Pay Grade]]=1,$X$4,IF(Employee[[#This Row],[Pay Grade]]=2,$X$5,$X$6))</f>
        <v>5000</v>
      </c>
      <c r="R57" s="97"/>
    </row>
    <row r="58" spans="1:18" x14ac:dyDescent="0.35">
      <c r="A58" s="89">
        <v>1078</v>
      </c>
      <c r="B58" s="86" t="s">
        <v>196</v>
      </c>
      <c r="C58" s="91">
        <v>38296</v>
      </c>
      <c r="D58" s="91">
        <v>18779</v>
      </c>
      <c r="E58" s="92" t="s">
        <v>62</v>
      </c>
      <c r="F58" s="92" t="s">
        <v>152</v>
      </c>
      <c r="G58" s="89" t="s">
        <v>127</v>
      </c>
      <c r="H58" s="89" t="s">
        <v>134</v>
      </c>
      <c r="I58" s="89">
        <v>1</v>
      </c>
      <c r="J58" s="89" t="s">
        <v>149</v>
      </c>
      <c r="K58" s="94">
        <v>26000</v>
      </c>
      <c r="L58" s="89" t="s">
        <v>140</v>
      </c>
      <c r="M58" s="95">
        <f t="shared" si="0"/>
        <v>10</v>
      </c>
      <c r="N58" s="96">
        <f t="shared" si="1"/>
        <v>0</v>
      </c>
      <c r="O58" s="96">
        <f t="shared" si="2"/>
        <v>780</v>
      </c>
      <c r="P58" s="96">
        <f>IF(OR(Employee[[#This Row],[Location]]="Home",Employee[[#This Row],[Job Status]]="FT"),Employee[[#This Row],[Annual Salary]]*0.04,Employee[[#This Row],[Annual Salary]]*0.025)</f>
        <v>1040</v>
      </c>
      <c r="Q58" s="97">
        <f>IF(Employee[[#This Row],[Pay Grade]]=1,$X$4,IF(Employee[[#This Row],[Pay Grade]]=2,$X$5,$X$6))</f>
        <v>2500</v>
      </c>
      <c r="R58" s="97"/>
    </row>
    <row r="59" spans="1:18" x14ac:dyDescent="0.35">
      <c r="A59" s="89">
        <v>1079</v>
      </c>
      <c r="B59" s="86" t="s">
        <v>197</v>
      </c>
      <c r="C59" s="90">
        <v>41107</v>
      </c>
      <c r="D59" s="91">
        <v>30970</v>
      </c>
      <c r="E59" s="92" t="s">
        <v>125</v>
      </c>
      <c r="F59" s="92" t="s">
        <v>152</v>
      </c>
      <c r="G59" s="89" t="s">
        <v>148</v>
      </c>
      <c r="H59" s="89" t="s">
        <v>134</v>
      </c>
      <c r="I59" s="89">
        <v>1</v>
      </c>
      <c r="J59" s="89" t="s">
        <v>149</v>
      </c>
      <c r="K59" s="94">
        <v>25792</v>
      </c>
      <c r="L59" s="89" t="s">
        <v>145</v>
      </c>
      <c r="M59" s="95">
        <f t="shared" si="0"/>
        <v>2</v>
      </c>
      <c r="N59" s="96">
        <f t="shared" si="1"/>
        <v>0</v>
      </c>
      <c r="O59" s="96">
        <f t="shared" si="2"/>
        <v>0</v>
      </c>
      <c r="P59" s="96">
        <f>IF(OR(Employee[[#This Row],[Location]]="Home",Employee[[#This Row],[Job Status]]="FT"),Employee[[#This Row],[Annual Salary]]*0.04,Employee[[#This Row],[Annual Salary]]*0.025)</f>
        <v>644.80000000000007</v>
      </c>
      <c r="Q59" s="97">
        <f>IF(Employee[[#This Row],[Pay Grade]]=1,$X$4,IF(Employee[[#This Row],[Pay Grade]]=2,$X$5,$X$6))</f>
        <v>2500</v>
      </c>
      <c r="R59" s="97"/>
    </row>
    <row r="60" spans="1:18" x14ac:dyDescent="0.35">
      <c r="A60" s="89">
        <v>1080</v>
      </c>
      <c r="B60" s="86" t="s">
        <v>198</v>
      </c>
      <c r="C60" s="91">
        <v>39264</v>
      </c>
      <c r="D60" s="91">
        <v>33520</v>
      </c>
      <c r="E60" s="92" t="s">
        <v>62</v>
      </c>
      <c r="F60" s="92" t="s">
        <v>152</v>
      </c>
      <c r="G60" s="89" t="s">
        <v>127</v>
      </c>
      <c r="H60" s="89" t="s">
        <v>134</v>
      </c>
      <c r="I60" s="89">
        <v>1</v>
      </c>
      <c r="J60" s="89" t="s">
        <v>149</v>
      </c>
      <c r="K60" s="94">
        <v>27560</v>
      </c>
      <c r="L60" s="89" t="s">
        <v>150</v>
      </c>
      <c r="M60" s="95">
        <f t="shared" si="0"/>
        <v>8</v>
      </c>
      <c r="N60" s="96">
        <f t="shared" si="1"/>
        <v>0</v>
      </c>
      <c r="O60" s="96">
        <f t="shared" si="2"/>
        <v>826.8</v>
      </c>
      <c r="P60" s="96">
        <f>IF(OR(Employee[[#This Row],[Location]]="Home",Employee[[#This Row],[Job Status]]="FT"),Employee[[#This Row],[Annual Salary]]*0.04,Employee[[#This Row],[Annual Salary]]*0.025)</f>
        <v>1102.4000000000001</v>
      </c>
      <c r="Q60" s="97">
        <f>IF(Employee[[#This Row],[Pay Grade]]=1,$X$4,IF(Employee[[#This Row],[Pay Grade]]=2,$X$5,$X$6))</f>
        <v>2500</v>
      </c>
      <c r="R60" s="97"/>
    </row>
    <row r="61" spans="1:18" x14ac:dyDescent="0.35">
      <c r="A61" s="89">
        <v>1081</v>
      </c>
      <c r="B61" s="86" t="s">
        <v>199</v>
      </c>
      <c r="C61" s="90">
        <v>41107</v>
      </c>
      <c r="D61" s="91">
        <v>17930</v>
      </c>
      <c r="E61" s="92" t="s">
        <v>125</v>
      </c>
      <c r="F61" s="92" t="s">
        <v>126</v>
      </c>
      <c r="G61" s="89" t="s">
        <v>127</v>
      </c>
      <c r="H61" s="89" t="s">
        <v>128</v>
      </c>
      <c r="I61" s="89">
        <v>3</v>
      </c>
      <c r="J61" s="89" t="s">
        <v>129</v>
      </c>
      <c r="K61" s="94">
        <v>150000</v>
      </c>
      <c r="L61" s="89" t="s">
        <v>143</v>
      </c>
      <c r="M61" s="95">
        <f t="shared" si="0"/>
        <v>2</v>
      </c>
      <c r="N61" s="96">
        <f t="shared" si="1"/>
        <v>150</v>
      </c>
      <c r="O61" s="96">
        <f t="shared" si="2"/>
        <v>4500</v>
      </c>
      <c r="P61" s="96">
        <f>IF(OR(Employee[[#This Row],[Location]]="Home",Employee[[#This Row],[Job Status]]="FT"),Employee[[#This Row],[Annual Salary]]*0.04,Employee[[#This Row],[Annual Salary]]*0.025)</f>
        <v>6000</v>
      </c>
      <c r="Q61" s="97">
        <f>IF(Employee[[#This Row],[Pay Grade]]=1,$X$4,IF(Employee[[#This Row],[Pay Grade]]=2,$X$5,$X$6))</f>
        <v>7500</v>
      </c>
      <c r="R61" s="97"/>
    </row>
    <row r="62" spans="1:18" x14ac:dyDescent="0.35">
      <c r="A62" s="89">
        <v>1082</v>
      </c>
      <c r="B62" s="86" t="s">
        <v>200</v>
      </c>
      <c r="C62" s="91">
        <v>39520</v>
      </c>
      <c r="D62" s="91">
        <v>25335</v>
      </c>
      <c r="E62" s="92" t="s">
        <v>125</v>
      </c>
      <c r="F62" s="92" t="s">
        <v>126</v>
      </c>
      <c r="G62" s="89" t="s">
        <v>201</v>
      </c>
      <c r="H62" s="89" t="s">
        <v>134</v>
      </c>
      <c r="I62" s="89">
        <v>3</v>
      </c>
      <c r="J62" s="89" t="s">
        <v>129</v>
      </c>
      <c r="K62" s="94">
        <v>54000</v>
      </c>
      <c r="L62" s="89" t="s">
        <v>140</v>
      </c>
      <c r="M62" s="95">
        <f t="shared" si="0"/>
        <v>7</v>
      </c>
      <c r="N62" s="96">
        <f t="shared" si="1"/>
        <v>0</v>
      </c>
      <c r="O62" s="96">
        <f t="shared" si="2"/>
        <v>0</v>
      </c>
      <c r="P62" s="96">
        <f>IF(OR(Employee[[#This Row],[Location]]="Home",Employee[[#This Row],[Job Status]]="FT"),Employee[[#This Row],[Annual Salary]]*0.04,Employee[[#This Row],[Annual Salary]]*0.025)</f>
        <v>1350</v>
      </c>
      <c r="Q62" s="97">
        <f>IF(Employee[[#This Row],[Pay Grade]]=1,$X$4,IF(Employee[[#This Row],[Pay Grade]]=2,$X$5,$X$6))</f>
        <v>7500</v>
      </c>
      <c r="R62" s="97"/>
    </row>
    <row r="63" spans="1:18" x14ac:dyDescent="0.35">
      <c r="A63" s="89">
        <v>1083</v>
      </c>
      <c r="B63" s="86" t="s">
        <v>202</v>
      </c>
      <c r="C63" s="90">
        <v>41114</v>
      </c>
      <c r="D63" s="91">
        <v>21848</v>
      </c>
      <c r="E63" s="92" t="s">
        <v>125</v>
      </c>
      <c r="F63" s="92" t="s">
        <v>126</v>
      </c>
      <c r="G63" s="89" t="s">
        <v>127</v>
      </c>
      <c r="H63" s="89" t="s">
        <v>128</v>
      </c>
      <c r="I63" s="89">
        <v>3</v>
      </c>
      <c r="J63" s="89" t="s">
        <v>129</v>
      </c>
      <c r="K63" s="94">
        <v>85000</v>
      </c>
      <c r="L63" s="89" t="s">
        <v>150</v>
      </c>
      <c r="M63" s="95">
        <f t="shared" si="0"/>
        <v>2</v>
      </c>
      <c r="N63" s="96">
        <f t="shared" si="1"/>
        <v>85</v>
      </c>
      <c r="O63" s="96">
        <f t="shared" si="2"/>
        <v>2550</v>
      </c>
      <c r="P63" s="96">
        <f>IF(OR(Employee[[#This Row],[Location]]="Home",Employee[[#This Row],[Job Status]]="FT"),Employee[[#This Row],[Annual Salary]]*0.04,Employee[[#This Row],[Annual Salary]]*0.025)</f>
        <v>3400</v>
      </c>
      <c r="Q63" s="97">
        <f>IF(Employee[[#This Row],[Pay Grade]]=1,$X$4,IF(Employee[[#This Row],[Pay Grade]]=2,$X$5,$X$6))</f>
        <v>7500</v>
      </c>
      <c r="R63" s="97"/>
    </row>
    <row r="64" spans="1:18" x14ac:dyDescent="0.35">
      <c r="A64" s="89">
        <v>1084</v>
      </c>
      <c r="B64" s="86" t="s">
        <v>203</v>
      </c>
      <c r="C64" s="90">
        <v>40579</v>
      </c>
      <c r="D64" s="91">
        <v>17185</v>
      </c>
      <c r="E64" s="92" t="s">
        <v>62</v>
      </c>
      <c r="F64" s="92" t="s">
        <v>126</v>
      </c>
      <c r="G64" s="89" t="s">
        <v>127</v>
      </c>
      <c r="H64" s="89" t="s">
        <v>134</v>
      </c>
      <c r="I64" s="89">
        <v>2</v>
      </c>
      <c r="J64" s="89" t="s">
        <v>129</v>
      </c>
      <c r="K64" s="94">
        <v>42000</v>
      </c>
      <c r="L64" s="89" t="s">
        <v>130</v>
      </c>
      <c r="M64" s="95">
        <f t="shared" si="0"/>
        <v>4</v>
      </c>
      <c r="N64" s="96">
        <f t="shared" si="1"/>
        <v>0</v>
      </c>
      <c r="O64" s="96">
        <f t="shared" si="2"/>
        <v>1260</v>
      </c>
      <c r="P64" s="96">
        <f>IF(OR(Employee[[#This Row],[Location]]="Home",Employee[[#This Row],[Job Status]]="FT"),Employee[[#This Row],[Annual Salary]]*0.04,Employee[[#This Row],[Annual Salary]]*0.025)</f>
        <v>1680</v>
      </c>
      <c r="Q64" s="97">
        <f>IF(Employee[[#This Row],[Pay Grade]]=1,$X$4,IF(Employee[[#This Row],[Pay Grade]]=2,$X$5,$X$6))</f>
        <v>5000</v>
      </c>
      <c r="R64" s="97"/>
    </row>
    <row r="65" spans="1:18" x14ac:dyDescent="0.35">
      <c r="A65" s="89">
        <v>1085</v>
      </c>
      <c r="B65" s="86" t="s">
        <v>204</v>
      </c>
      <c r="C65" s="91">
        <v>38791</v>
      </c>
      <c r="D65" s="91">
        <v>22343</v>
      </c>
      <c r="E65" s="92" t="s">
        <v>62</v>
      </c>
      <c r="F65" s="92" t="s">
        <v>152</v>
      </c>
      <c r="G65" s="89" t="s">
        <v>127</v>
      </c>
      <c r="H65" s="89" t="s">
        <v>128</v>
      </c>
      <c r="I65" s="89">
        <v>1</v>
      </c>
      <c r="J65" s="89" t="s">
        <v>149</v>
      </c>
      <c r="K65" s="94">
        <v>29640</v>
      </c>
      <c r="L65" s="89" t="s">
        <v>145</v>
      </c>
      <c r="M65" s="95">
        <f t="shared" si="0"/>
        <v>9</v>
      </c>
      <c r="N65" s="96">
        <f t="shared" si="1"/>
        <v>29.64</v>
      </c>
      <c r="O65" s="96">
        <f t="shared" si="2"/>
        <v>889.19999999999993</v>
      </c>
      <c r="P65" s="96">
        <f>IF(OR(Employee[[#This Row],[Location]]="Home",Employee[[#This Row],[Job Status]]="FT"),Employee[[#This Row],[Annual Salary]]*0.04,Employee[[#This Row],[Annual Salary]]*0.025)</f>
        <v>1185.6000000000001</v>
      </c>
      <c r="Q65" s="97">
        <f>IF(Employee[[#This Row],[Pay Grade]]=1,$X$4,IF(Employee[[#This Row],[Pay Grade]]=2,$X$5,$X$6))</f>
        <v>2500</v>
      </c>
      <c r="R65" s="97"/>
    </row>
    <row r="66" spans="1:18" x14ac:dyDescent="0.35">
      <c r="A66" s="89">
        <v>1086</v>
      </c>
      <c r="B66" s="86" t="s">
        <v>205</v>
      </c>
      <c r="C66" s="91">
        <v>37571</v>
      </c>
      <c r="D66" s="91">
        <v>28623</v>
      </c>
      <c r="E66" s="92" t="s">
        <v>125</v>
      </c>
      <c r="F66" s="92" t="s">
        <v>126</v>
      </c>
      <c r="G66" s="89" t="s">
        <v>127</v>
      </c>
      <c r="H66" s="89" t="s">
        <v>128</v>
      </c>
      <c r="I66" s="89">
        <v>3</v>
      </c>
      <c r="J66" s="89" t="s">
        <v>129</v>
      </c>
      <c r="K66" s="94">
        <v>110000</v>
      </c>
      <c r="L66" s="89" t="s">
        <v>130</v>
      </c>
      <c r="M66" s="95">
        <f t="shared" si="0"/>
        <v>12</v>
      </c>
      <c r="N66" s="96">
        <f t="shared" si="1"/>
        <v>110</v>
      </c>
      <c r="O66" s="96">
        <f t="shared" si="2"/>
        <v>3300</v>
      </c>
      <c r="P66" s="96">
        <f>IF(OR(Employee[[#This Row],[Location]]="Home",Employee[[#This Row],[Job Status]]="FT"),Employee[[#This Row],[Annual Salary]]*0.04,Employee[[#This Row],[Annual Salary]]*0.025)</f>
        <v>4400</v>
      </c>
      <c r="Q66" s="97">
        <f>IF(Employee[[#This Row],[Pay Grade]]=1,$X$4,IF(Employee[[#This Row],[Pay Grade]]=2,$X$5,$X$6))</f>
        <v>7500</v>
      </c>
      <c r="R66" s="97"/>
    </row>
    <row r="67" spans="1:18" x14ac:dyDescent="0.35">
      <c r="A67" s="89">
        <v>1087</v>
      </c>
      <c r="B67" s="86" t="s">
        <v>206</v>
      </c>
      <c r="C67" s="91">
        <v>40798</v>
      </c>
      <c r="D67" s="91">
        <v>31679</v>
      </c>
      <c r="E67" s="92" t="s">
        <v>62</v>
      </c>
      <c r="F67" s="92" t="s">
        <v>126</v>
      </c>
      <c r="G67" s="89" t="s">
        <v>201</v>
      </c>
      <c r="H67" s="89" t="s">
        <v>134</v>
      </c>
      <c r="I67" s="89">
        <v>3</v>
      </c>
      <c r="J67" s="89" t="s">
        <v>129</v>
      </c>
      <c r="K67" s="94">
        <v>66000</v>
      </c>
      <c r="L67" s="89" t="s">
        <v>140</v>
      </c>
      <c r="M67" s="95">
        <f t="shared" si="0"/>
        <v>3</v>
      </c>
      <c r="N67" s="96">
        <f t="shared" si="1"/>
        <v>0</v>
      </c>
      <c r="O67" s="96">
        <f t="shared" si="2"/>
        <v>0</v>
      </c>
      <c r="P67" s="96">
        <f>IF(OR(Employee[[#This Row],[Location]]="Home",Employee[[#This Row],[Job Status]]="FT"),Employee[[#This Row],[Annual Salary]]*0.04,Employee[[#This Row],[Annual Salary]]*0.025)</f>
        <v>1650</v>
      </c>
      <c r="Q67" s="97">
        <f>IF(Employee[[#This Row],[Pay Grade]]=1,$X$4,IF(Employee[[#This Row],[Pay Grade]]=2,$X$5,$X$6))</f>
        <v>7500</v>
      </c>
      <c r="R67" s="97"/>
    </row>
    <row r="68" spans="1:18" x14ac:dyDescent="0.35">
      <c r="A68" s="89">
        <v>1088</v>
      </c>
      <c r="B68" s="86" t="s">
        <v>207</v>
      </c>
      <c r="C68" s="91">
        <v>37882</v>
      </c>
      <c r="D68" s="91">
        <v>19526</v>
      </c>
      <c r="E68" s="92" t="s">
        <v>62</v>
      </c>
      <c r="F68" s="92" t="s">
        <v>126</v>
      </c>
      <c r="G68" s="89" t="s">
        <v>127</v>
      </c>
      <c r="H68" s="89" t="s">
        <v>134</v>
      </c>
      <c r="I68" s="89">
        <v>2</v>
      </c>
      <c r="J68" s="89" t="s">
        <v>129</v>
      </c>
      <c r="K68" s="94">
        <v>52000</v>
      </c>
      <c r="L68" s="89" t="s">
        <v>130</v>
      </c>
      <c r="M68" s="95">
        <f t="shared" ref="M68:M103" si="3">DATEDIF(C68,$AA$3,"y")</f>
        <v>11</v>
      </c>
      <c r="N68" s="96">
        <f t="shared" ref="N68:N103" si="4">IF(H68="Y",K68*0.001,0)</f>
        <v>0</v>
      </c>
      <c r="O68" s="96">
        <f t="shared" ref="O68:O103" si="5">IF(AND(G68="FT",M68&gt;=1),K68*0.03,0)</f>
        <v>1560</v>
      </c>
      <c r="P68" s="96">
        <f>IF(OR(Employee[[#This Row],[Location]]="Home",Employee[[#This Row],[Job Status]]="FT"),Employee[[#This Row],[Annual Salary]]*0.04,Employee[[#This Row],[Annual Salary]]*0.025)</f>
        <v>2080</v>
      </c>
      <c r="Q68" s="97">
        <f>IF(Employee[[#This Row],[Pay Grade]]=1,$X$4,IF(Employee[[#This Row],[Pay Grade]]=2,$X$5,$X$6))</f>
        <v>5000</v>
      </c>
      <c r="R68" s="97"/>
    </row>
    <row r="69" spans="1:18" x14ac:dyDescent="0.35">
      <c r="A69" s="89">
        <v>1089</v>
      </c>
      <c r="B69" s="86" t="s">
        <v>208</v>
      </c>
      <c r="C69" s="90">
        <v>41226</v>
      </c>
      <c r="D69" s="91">
        <v>20373</v>
      </c>
      <c r="E69" s="92" t="s">
        <v>62</v>
      </c>
      <c r="F69" s="92" t="s">
        <v>126</v>
      </c>
      <c r="G69" s="89" t="s">
        <v>127</v>
      </c>
      <c r="H69" s="89" t="s">
        <v>128</v>
      </c>
      <c r="I69" s="89">
        <v>3</v>
      </c>
      <c r="J69" s="89" t="s">
        <v>129</v>
      </c>
      <c r="K69" s="94">
        <v>85000</v>
      </c>
      <c r="L69" s="89" t="s">
        <v>130</v>
      </c>
      <c r="M69" s="95">
        <f t="shared" si="3"/>
        <v>2</v>
      </c>
      <c r="N69" s="96">
        <f t="shared" si="4"/>
        <v>85</v>
      </c>
      <c r="O69" s="96">
        <f t="shared" si="5"/>
        <v>2550</v>
      </c>
      <c r="P69" s="96">
        <f>IF(OR(Employee[[#This Row],[Location]]="Home",Employee[[#This Row],[Job Status]]="FT"),Employee[[#This Row],[Annual Salary]]*0.04,Employee[[#This Row],[Annual Salary]]*0.025)</f>
        <v>3400</v>
      </c>
      <c r="Q69" s="97">
        <f>IF(Employee[[#This Row],[Pay Grade]]=1,$X$4,IF(Employee[[#This Row],[Pay Grade]]=2,$X$5,$X$6))</f>
        <v>7500</v>
      </c>
      <c r="R69" s="97"/>
    </row>
    <row r="70" spans="1:18" x14ac:dyDescent="0.35">
      <c r="A70" s="89">
        <v>1090</v>
      </c>
      <c r="B70" s="86" t="s">
        <v>209</v>
      </c>
      <c r="C70" s="91">
        <v>40888</v>
      </c>
      <c r="D70" s="91">
        <v>27091</v>
      </c>
      <c r="E70" s="92" t="s">
        <v>125</v>
      </c>
      <c r="F70" s="92" t="s">
        <v>126</v>
      </c>
      <c r="G70" s="89" t="s">
        <v>127</v>
      </c>
      <c r="H70" s="89" t="s">
        <v>128</v>
      </c>
      <c r="I70" s="89">
        <v>3</v>
      </c>
      <c r="J70" s="89" t="s">
        <v>129</v>
      </c>
      <c r="K70" s="94">
        <v>130000</v>
      </c>
      <c r="L70" s="89" t="s">
        <v>140</v>
      </c>
      <c r="M70" s="95">
        <f t="shared" si="3"/>
        <v>3</v>
      </c>
      <c r="N70" s="96">
        <f t="shared" si="4"/>
        <v>130</v>
      </c>
      <c r="O70" s="96">
        <f t="shared" si="5"/>
        <v>3900</v>
      </c>
      <c r="P70" s="96">
        <f>IF(OR(Employee[[#This Row],[Location]]="Home",Employee[[#This Row],[Job Status]]="FT"),Employee[[#This Row],[Annual Salary]]*0.04,Employee[[#This Row],[Annual Salary]]*0.025)</f>
        <v>5200</v>
      </c>
      <c r="Q70" s="97">
        <f>IF(Employee[[#This Row],[Pay Grade]]=1,$X$4,IF(Employee[[#This Row],[Pay Grade]]=2,$X$5,$X$6))</f>
        <v>7500</v>
      </c>
      <c r="R70" s="97"/>
    </row>
    <row r="71" spans="1:18" x14ac:dyDescent="0.35">
      <c r="A71" s="89">
        <v>1091</v>
      </c>
      <c r="B71" s="86" t="s">
        <v>210</v>
      </c>
      <c r="C71" s="91">
        <v>39215</v>
      </c>
      <c r="D71" s="91">
        <v>21706</v>
      </c>
      <c r="E71" s="92" t="s">
        <v>125</v>
      </c>
      <c r="F71" s="92" t="s">
        <v>137</v>
      </c>
      <c r="G71" s="89" t="s">
        <v>127</v>
      </c>
      <c r="H71" s="89" t="s">
        <v>128</v>
      </c>
      <c r="I71" s="89">
        <v>3</v>
      </c>
      <c r="J71" s="89" t="s">
        <v>129</v>
      </c>
      <c r="K71" s="94">
        <v>110000</v>
      </c>
      <c r="L71" s="89" t="s">
        <v>150</v>
      </c>
      <c r="M71" s="95">
        <f t="shared" si="3"/>
        <v>8</v>
      </c>
      <c r="N71" s="96">
        <f t="shared" si="4"/>
        <v>110</v>
      </c>
      <c r="O71" s="96">
        <f t="shared" si="5"/>
        <v>3300</v>
      </c>
      <c r="P71" s="96">
        <f>IF(OR(Employee[[#This Row],[Location]]="Home",Employee[[#This Row],[Job Status]]="FT"),Employee[[#This Row],[Annual Salary]]*0.04,Employee[[#This Row],[Annual Salary]]*0.025)</f>
        <v>4400</v>
      </c>
      <c r="Q71" s="97">
        <f>IF(Employee[[#This Row],[Pay Grade]]=1,$X$4,IF(Employee[[#This Row],[Pay Grade]]=2,$X$5,$X$6))</f>
        <v>7500</v>
      </c>
      <c r="R71" s="97"/>
    </row>
    <row r="72" spans="1:18" x14ac:dyDescent="0.35">
      <c r="A72" s="89">
        <v>1092</v>
      </c>
      <c r="B72" s="86" t="s">
        <v>211</v>
      </c>
      <c r="C72" s="91">
        <v>40508</v>
      </c>
      <c r="D72" s="91">
        <v>20150</v>
      </c>
      <c r="E72" s="92" t="s">
        <v>125</v>
      </c>
      <c r="F72" s="92" t="s">
        <v>126</v>
      </c>
      <c r="G72" s="89" t="s">
        <v>148</v>
      </c>
      <c r="H72" s="89" t="s">
        <v>134</v>
      </c>
      <c r="I72" s="89">
        <v>1</v>
      </c>
      <c r="J72" s="89" t="s">
        <v>149</v>
      </c>
      <c r="K72" s="94">
        <v>33280</v>
      </c>
      <c r="L72" s="89" t="s">
        <v>145</v>
      </c>
      <c r="M72" s="95">
        <f t="shared" si="3"/>
        <v>4</v>
      </c>
      <c r="N72" s="96">
        <f t="shared" si="4"/>
        <v>0</v>
      </c>
      <c r="O72" s="96">
        <f t="shared" si="5"/>
        <v>0</v>
      </c>
      <c r="P72" s="96">
        <f>IF(OR(Employee[[#This Row],[Location]]="Home",Employee[[#This Row],[Job Status]]="FT"),Employee[[#This Row],[Annual Salary]]*0.04,Employee[[#This Row],[Annual Salary]]*0.025)</f>
        <v>832</v>
      </c>
      <c r="Q72" s="97">
        <f>IF(Employee[[#This Row],[Pay Grade]]=1,$X$4,IF(Employee[[#This Row],[Pay Grade]]=2,$X$5,$X$6))</f>
        <v>2500</v>
      </c>
      <c r="R72" s="97"/>
    </row>
    <row r="73" spans="1:18" x14ac:dyDescent="0.35">
      <c r="A73" s="89">
        <v>1093</v>
      </c>
      <c r="B73" s="86" t="s">
        <v>212</v>
      </c>
      <c r="C73" s="91">
        <v>37128</v>
      </c>
      <c r="D73" s="91">
        <v>23510</v>
      </c>
      <c r="E73" s="92" t="s">
        <v>62</v>
      </c>
      <c r="F73" s="92" t="s">
        <v>126</v>
      </c>
      <c r="G73" s="89" t="s">
        <v>148</v>
      </c>
      <c r="H73" s="89" t="s">
        <v>134</v>
      </c>
      <c r="I73" s="89">
        <v>2</v>
      </c>
      <c r="J73" s="89" t="s">
        <v>129</v>
      </c>
      <c r="K73" s="94">
        <v>45000</v>
      </c>
      <c r="L73" s="89" t="s">
        <v>140</v>
      </c>
      <c r="M73" s="95">
        <f t="shared" si="3"/>
        <v>13</v>
      </c>
      <c r="N73" s="96">
        <f t="shared" si="4"/>
        <v>0</v>
      </c>
      <c r="O73" s="96">
        <f t="shared" si="5"/>
        <v>0</v>
      </c>
      <c r="P73" s="96">
        <f>IF(OR(Employee[[#This Row],[Location]]="Home",Employee[[#This Row],[Job Status]]="FT"),Employee[[#This Row],[Annual Salary]]*0.04,Employee[[#This Row],[Annual Salary]]*0.025)</f>
        <v>1125</v>
      </c>
      <c r="Q73" s="97">
        <f>IF(Employee[[#This Row],[Pay Grade]]=1,$X$4,IF(Employee[[#This Row],[Pay Grade]]=2,$X$5,$X$6))</f>
        <v>5000</v>
      </c>
      <c r="R73" s="97"/>
    </row>
    <row r="74" spans="1:18" x14ac:dyDescent="0.35">
      <c r="A74" s="89">
        <v>1094</v>
      </c>
      <c r="B74" s="86" t="s">
        <v>213</v>
      </c>
      <c r="C74" s="91">
        <v>37215</v>
      </c>
      <c r="D74" s="91">
        <v>18569</v>
      </c>
      <c r="E74" s="92" t="s">
        <v>62</v>
      </c>
      <c r="F74" s="92" t="s">
        <v>126</v>
      </c>
      <c r="G74" s="89" t="s">
        <v>127</v>
      </c>
      <c r="H74" s="89" t="s">
        <v>134</v>
      </c>
      <c r="I74" s="89">
        <v>2</v>
      </c>
      <c r="J74" s="89" t="s">
        <v>129</v>
      </c>
      <c r="K74" s="94">
        <v>35000</v>
      </c>
      <c r="L74" s="89" t="s">
        <v>130</v>
      </c>
      <c r="M74" s="95">
        <f t="shared" si="3"/>
        <v>13</v>
      </c>
      <c r="N74" s="96">
        <f t="shared" si="4"/>
        <v>0</v>
      </c>
      <c r="O74" s="96">
        <f t="shared" si="5"/>
        <v>1050</v>
      </c>
      <c r="P74" s="96">
        <f>IF(OR(Employee[[#This Row],[Location]]="Home",Employee[[#This Row],[Job Status]]="FT"),Employee[[#This Row],[Annual Salary]]*0.04,Employee[[#This Row],[Annual Salary]]*0.025)</f>
        <v>1400</v>
      </c>
      <c r="Q74" s="97">
        <f>IF(Employee[[#This Row],[Pay Grade]]=1,$X$4,IF(Employee[[#This Row],[Pay Grade]]=2,$X$5,$X$6))</f>
        <v>5000</v>
      </c>
      <c r="R74" s="97"/>
    </row>
    <row r="75" spans="1:18" x14ac:dyDescent="0.35">
      <c r="A75" s="89">
        <v>1095</v>
      </c>
      <c r="B75" s="86" t="s">
        <v>214</v>
      </c>
      <c r="C75" s="90">
        <v>41009</v>
      </c>
      <c r="D75" s="91">
        <v>30147</v>
      </c>
      <c r="E75" s="92" t="s">
        <v>125</v>
      </c>
      <c r="F75" s="92" t="s">
        <v>137</v>
      </c>
      <c r="G75" s="89" t="s">
        <v>127</v>
      </c>
      <c r="H75" s="89" t="s">
        <v>134</v>
      </c>
      <c r="I75" s="89">
        <v>3</v>
      </c>
      <c r="J75" s="89" t="s">
        <v>129</v>
      </c>
      <c r="K75" s="94">
        <v>63750</v>
      </c>
      <c r="L75" s="89" t="s">
        <v>140</v>
      </c>
      <c r="M75" s="95">
        <f t="shared" si="3"/>
        <v>3</v>
      </c>
      <c r="N75" s="96">
        <f t="shared" si="4"/>
        <v>0</v>
      </c>
      <c r="O75" s="96">
        <f t="shared" si="5"/>
        <v>1912.5</v>
      </c>
      <c r="P75" s="96">
        <f>IF(OR(Employee[[#This Row],[Location]]="Home",Employee[[#This Row],[Job Status]]="FT"),Employee[[#This Row],[Annual Salary]]*0.04,Employee[[#This Row],[Annual Salary]]*0.025)</f>
        <v>2550</v>
      </c>
      <c r="Q75" s="97">
        <f>IF(Employee[[#This Row],[Pay Grade]]=1,$X$4,IF(Employee[[#This Row],[Pay Grade]]=2,$X$5,$X$6))</f>
        <v>7500</v>
      </c>
      <c r="R75" s="97"/>
    </row>
    <row r="76" spans="1:18" x14ac:dyDescent="0.35">
      <c r="A76" s="89">
        <v>1096</v>
      </c>
      <c r="B76" s="86" t="s">
        <v>215</v>
      </c>
      <c r="C76" s="91">
        <v>38601</v>
      </c>
      <c r="D76" s="91">
        <v>24649</v>
      </c>
      <c r="E76" s="92" t="s">
        <v>62</v>
      </c>
      <c r="F76" s="92" t="s">
        <v>126</v>
      </c>
      <c r="G76" s="89" t="s">
        <v>148</v>
      </c>
      <c r="H76" s="89" t="s">
        <v>134</v>
      </c>
      <c r="I76" s="89">
        <v>3</v>
      </c>
      <c r="J76" s="89" t="s">
        <v>129</v>
      </c>
      <c r="K76" s="94">
        <v>93000</v>
      </c>
      <c r="L76" s="89" t="s">
        <v>140</v>
      </c>
      <c r="M76" s="95">
        <f t="shared" si="3"/>
        <v>9</v>
      </c>
      <c r="N76" s="96">
        <f t="shared" si="4"/>
        <v>0</v>
      </c>
      <c r="O76" s="96">
        <f t="shared" si="5"/>
        <v>0</v>
      </c>
      <c r="P76" s="96">
        <f>IF(OR(Employee[[#This Row],[Location]]="Home",Employee[[#This Row],[Job Status]]="FT"),Employee[[#This Row],[Annual Salary]]*0.04,Employee[[#This Row],[Annual Salary]]*0.025)</f>
        <v>2325</v>
      </c>
      <c r="Q76" s="97">
        <f>IF(Employee[[#This Row],[Pay Grade]]=1,$X$4,IF(Employee[[#This Row],[Pay Grade]]=2,$X$5,$X$6))</f>
        <v>7500</v>
      </c>
      <c r="R76" s="97"/>
    </row>
    <row r="77" spans="1:18" x14ac:dyDescent="0.35">
      <c r="A77" s="89">
        <v>1097</v>
      </c>
      <c r="B77" s="86" t="s">
        <v>216</v>
      </c>
      <c r="C77" s="91">
        <v>39007</v>
      </c>
      <c r="D77" s="91">
        <v>24551</v>
      </c>
      <c r="E77" s="92" t="s">
        <v>125</v>
      </c>
      <c r="F77" s="92" t="s">
        <v>137</v>
      </c>
      <c r="G77" s="89" t="s">
        <v>201</v>
      </c>
      <c r="H77" s="89" t="s">
        <v>134</v>
      </c>
      <c r="I77" s="89">
        <v>3</v>
      </c>
      <c r="J77" s="89" t="s">
        <v>129</v>
      </c>
      <c r="K77" s="94">
        <v>90000</v>
      </c>
      <c r="L77" s="89" t="s">
        <v>140</v>
      </c>
      <c r="M77" s="95">
        <f t="shared" si="3"/>
        <v>8</v>
      </c>
      <c r="N77" s="96">
        <f t="shared" si="4"/>
        <v>0</v>
      </c>
      <c r="O77" s="96">
        <f t="shared" si="5"/>
        <v>0</v>
      </c>
      <c r="P77" s="96">
        <f>IF(OR(Employee[[#This Row],[Location]]="Home",Employee[[#This Row],[Job Status]]="FT"),Employee[[#This Row],[Annual Salary]]*0.04,Employee[[#This Row],[Annual Salary]]*0.025)</f>
        <v>2250</v>
      </c>
      <c r="Q77" s="97">
        <f>IF(Employee[[#This Row],[Pay Grade]]=1,$X$4,IF(Employee[[#This Row],[Pay Grade]]=2,$X$5,$X$6))</f>
        <v>7500</v>
      </c>
      <c r="R77" s="97"/>
    </row>
    <row r="78" spans="1:18" x14ac:dyDescent="0.35">
      <c r="A78" s="89">
        <v>1098</v>
      </c>
      <c r="B78" s="86" t="s">
        <v>141</v>
      </c>
      <c r="C78" s="90">
        <v>41058</v>
      </c>
      <c r="D78" s="91">
        <v>19464</v>
      </c>
      <c r="E78" s="92" t="s">
        <v>125</v>
      </c>
      <c r="F78" s="92" t="s">
        <v>126</v>
      </c>
      <c r="G78" s="89" t="s">
        <v>127</v>
      </c>
      <c r="H78" s="89" t="s">
        <v>128</v>
      </c>
      <c r="I78" s="89">
        <v>3</v>
      </c>
      <c r="J78" s="89" t="s">
        <v>129</v>
      </c>
      <c r="K78" s="94">
        <v>152400</v>
      </c>
      <c r="L78" s="89" t="s">
        <v>150</v>
      </c>
      <c r="M78" s="95">
        <f t="shared" si="3"/>
        <v>3</v>
      </c>
      <c r="N78" s="96">
        <f t="shared" si="4"/>
        <v>152.4</v>
      </c>
      <c r="O78" s="96">
        <f t="shared" si="5"/>
        <v>4572</v>
      </c>
      <c r="P78" s="96">
        <f>IF(OR(Employee[[#This Row],[Location]]="Home",Employee[[#This Row],[Job Status]]="FT"),Employee[[#This Row],[Annual Salary]]*0.04,Employee[[#This Row],[Annual Salary]]*0.025)</f>
        <v>6096</v>
      </c>
      <c r="Q78" s="97">
        <f>IF(Employee[[#This Row],[Pay Grade]]=1,$X$4,IF(Employee[[#This Row],[Pay Grade]]=2,$X$5,$X$6))</f>
        <v>7500</v>
      </c>
      <c r="R78" s="97"/>
    </row>
    <row r="79" spans="1:18" x14ac:dyDescent="0.35">
      <c r="A79" s="89">
        <v>1099</v>
      </c>
      <c r="B79" s="86" t="s">
        <v>217</v>
      </c>
      <c r="C79" s="91">
        <v>39979</v>
      </c>
      <c r="D79" s="91">
        <v>23223</v>
      </c>
      <c r="E79" s="92" t="s">
        <v>62</v>
      </c>
      <c r="F79" s="92" t="s">
        <v>126</v>
      </c>
      <c r="G79" s="89" t="s">
        <v>148</v>
      </c>
      <c r="H79" s="89" t="s">
        <v>134</v>
      </c>
      <c r="I79" s="89">
        <v>1</v>
      </c>
      <c r="J79" s="89" t="s">
        <v>149</v>
      </c>
      <c r="K79" s="94">
        <v>26520</v>
      </c>
      <c r="L79" s="89" t="s">
        <v>140</v>
      </c>
      <c r="M79" s="95">
        <f t="shared" si="3"/>
        <v>6</v>
      </c>
      <c r="N79" s="96">
        <f t="shared" si="4"/>
        <v>0</v>
      </c>
      <c r="O79" s="96">
        <f t="shared" si="5"/>
        <v>0</v>
      </c>
      <c r="P79" s="96">
        <f>IF(OR(Employee[[#This Row],[Location]]="Home",Employee[[#This Row],[Job Status]]="FT"),Employee[[#This Row],[Annual Salary]]*0.04,Employee[[#This Row],[Annual Salary]]*0.025)</f>
        <v>663</v>
      </c>
      <c r="Q79" s="97">
        <f>IF(Employee[[#This Row],[Pay Grade]]=1,$X$4,IF(Employee[[#This Row],[Pay Grade]]=2,$X$5,$X$6))</f>
        <v>2500</v>
      </c>
      <c r="R79" s="97"/>
    </row>
    <row r="80" spans="1:18" x14ac:dyDescent="0.35">
      <c r="A80" s="89">
        <v>1100</v>
      </c>
      <c r="B80" s="86" t="s">
        <v>218</v>
      </c>
      <c r="C80" s="90">
        <v>41100</v>
      </c>
      <c r="D80" s="91">
        <v>22041</v>
      </c>
      <c r="E80" s="92" t="s">
        <v>125</v>
      </c>
      <c r="F80" s="92" t="s">
        <v>126</v>
      </c>
      <c r="G80" s="89" t="s">
        <v>127</v>
      </c>
      <c r="H80" s="89" t="s">
        <v>128</v>
      </c>
      <c r="I80" s="89">
        <v>2</v>
      </c>
      <c r="J80" s="89" t="s">
        <v>129</v>
      </c>
      <c r="K80" s="94">
        <v>40000</v>
      </c>
      <c r="L80" s="89" t="s">
        <v>143</v>
      </c>
      <c r="M80" s="95">
        <f t="shared" si="3"/>
        <v>2</v>
      </c>
      <c r="N80" s="96">
        <f t="shared" si="4"/>
        <v>40</v>
      </c>
      <c r="O80" s="96">
        <f t="shared" si="5"/>
        <v>1200</v>
      </c>
      <c r="P80" s="96">
        <f>IF(OR(Employee[[#This Row],[Location]]="Home",Employee[[#This Row],[Job Status]]="FT"),Employee[[#This Row],[Annual Salary]]*0.04,Employee[[#This Row],[Annual Salary]]*0.025)</f>
        <v>1600</v>
      </c>
      <c r="Q80" s="97">
        <f>IF(Employee[[#This Row],[Pay Grade]]=1,$X$4,IF(Employee[[#This Row],[Pay Grade]]=2,$X$5,$X$6))</f>
        <v>5000</v>
      </c>
      <c r="R80" s="97"/>
    </row>
    <row r="81" spans="1:18" x14ac:dyDescent="0.35">
      <c r="A81" s="89">
        <v>1101</v>
      </c>
      <c r="B81" s="86" t="s">
        <v>219</v>
      </c>
      <c r="C81" s="90">
        <v>41296</v>
      </c>
      <c r="D81" s="91">
        <v>19551</v>
      </c>
      <c r="E81" s="92" t="s">
        <v>62</v>
      </c>
      <c r="F81" s="92" t="s">
        <v>126</v>
      </c>
      <c r="G81" s="89" t="s">
        <v>127</v>
      </c>
      <c r="H81" s="89" t="s">
        <v>134</v>
      </c>
      <c r="I81" s="89">
        <v>2</v>
      </c>
      <c r="J81" s="89" t="s">
        <v>129</v>
      </c>
      <c r="K81" s="94">
        <v>50000</v>
      </c>
      <c r="L81" s="89" t="s">
        <v>130</v>
      </c>
      <c r="M81" s="95">
        <f t="shared" si="3"/>
        <v>2</v>
      </c>
      <c r="N81" s="96">
        <f t="shared" si="4"/>
        <v>0</v>
      </c>
      <c r="O81" s="96">
        <f t="shared" si="5"/>
        <v>1500</v>
      </c>
      <c r="P81" s="96">
        <f>IF(OR(Employee[[#This Row],[Location]]="Home",Employee[[#This Row],[Job Status]]="FT"),Employee[[#This Row],[Annual Salary]]*0.04,Employee[[#This Row],[Annual Salary]]*0.025)</f>
        <v>2000</v>
      </c>
      <c r="Q81" s="97">
        <f>IF(Employee[[#This Row],[Pay Grade]]=1,$X$4,IF(Employee[[#This Row],[Pay Grade]]=2,$X$5,$X$6))</f>
        <v>5000</v>
      </c>
      <c r="R81" s="97"/>
    </row>
    <row r="82" spans="1:18" x14ac:dyDescent="0.35">
      <c r="A82" s="89">
        <v>1102</v>
      </c>
      <c r="B82" s="86" t="s">
        <v>220</v>
      </c>
      <c r="C82" s="90">
        <v>41198</v>
      </c>
      <c r="D82" s="91">
        <v>30878</v>
      </c>
      <c r="E82" s="92" t="s">
        <v>62</v>
      </c>
      <c r="F82" s="92" t="s">
        <v>126</v>
      </c>
      <c r="G82" s="89" t="s">
        <v>127</v>
      </c>
      <c r="H82" s="89" t="s">
        <v>128</v>
      </c>
      <c r="I82" s="89">
        <v>3</v>
      </c>
      <c r="J82" s="89" t="s">
        <v>129</v>
      </c>
      <c r="K82" s="94">
        <v>85000</v>
      </c>
      <c r="L82" s="89" t="s">
        <v>143</v>
      </c>
      <c r="M82" s="95">
        <f t="shared" si="3"/>
        <v>2</v>
      </c>
      <c r="N82" s="96">
        <f t="shared" si="4"/>
        <v>85</v>
      </c>
      <c r="O82" s="96">
        <f t="shared" si="5"/>
        <v>2550</v>
      </c>
      <c r="P82" s="96">
        <f>IF(OR(Employee[[#This Row],[Location]]="Home",Employee[[#This Row],[Job Status]]="FT"),Employee[[#This Row],[Annual Salary]]*0.04,Employee[[#This Row],[Annual Salary]]*0.025)</f>
        <v>3400</v>
      </c>
      <c r="Q82" s="97">
        <f>IF(Employee[[#This Row],[Pay Grade]]=1,$X$4,IF(Employee[[#This Row],[Pay Grade]]=2,$X$5,$X$6))</f>
        <v>7500</v>
      </c>
      <c r="R82" s="97"/>
    </row>
    <row r="83" spans="1:18" x14ac:dyDescent="0.35">
      <c r="A83" s="89">
        <v>1103</v>
      </c>
      <c r="B83" s="86" t="s">
        <v>221</v>
      </c>
      <c r="C83" s="90">
        <v>41149</v>
      </c>
      <c r="D83" s="91">
        <v>18956</v>
      </c>
      <c r="E83" s="92" t="s">
        <v>62</v>
      </c>
      <c r="F83" s="92" t="s">
        <v>126</v>
      </c>
      <c r="G83" s="89" t="s">
        <v>127</v>
      </c>
      <c r="H83" s="89" t="s">
        <v>134</v>
      </c>
      <c r="I83" s="89">
        <v>1</v>
      </c>
      <c r="J83" s="89" t="s">
        <v>149</v>
      </c>
      <c r="K83" s="94">
        <v>28496</v>
      </c>
      <c r="L83" s="89" t="s">
        <v>145</v>
      </c>
      <c r="M83" s="95">
        <f t="shared" si="3"/>
        <v>2</v>
      </c>
      <c r="N83" s="96">
        <f t="shared" si="4"/>
        <v>0</v>
      </c>
      <c r="O83" s="96">
        <f t="shared" si="5"/>
        <v>854.88</v>
      </c>
      <c r="P83" s="96">
        <f>IF(OR(Employee[[#This Row],[Location]]="Home",Employee[[#This Row],[Job Status]]="FT"),Employee[[#This Row],[Annual Salary]]*0.04,Employee[[#This Row],[Annual Salary]]*0.025)</f>
        <v>1139.8399999999999</v>
      </c>
      <c r="Q83" s="97">
        <f>IF(Employee[[#This Row],[Pay Grade]]=1,$X$4,IF(Employee[[#This Row],[Pay Grade]]=2,$X$5,$X$6))</f>
        <v>2500</v>
      </c>
      <c r="R83" s="97"/>
    </row>
    <row r="84" spans="1:18" x14ac:dyDescent="0.35">
      <c r="A84" s="89">
        <v>1104</v>
      </c>
      <c r="B84" s="86" t="s">
        <v>222</v>
      </c>
      <c r="C84" s="91">
        <v>37886</v>
      </c>
      <c r="D84" s="91">
        <v>21555</v>
      </c>
      <c r="E84" s="92" t="s">
        <v>62</v>
      </c>
      <c r="F84" s="89" t="s">
        <v>133</v>
      </c>
      <c r="G84" s="89" t="s">
        <v>127</v>
      </c>
      <c r="H84" s="89" t="s">
        <v>134</v>
      </c>
      <c r="I84" s="89">
        <v>1</v>
      </c>
      <c r="J84" s="89" t="s">
        <v>149</v>
      </c>
      <c r="K84" s="94">
        <v>24752</v>
      </c>
      <c r="L84" s="89" t="s">
        <v>145</v>
      </c>
      <c r="M84" s="95">
        <f t="shared" si="3"/>
        <v>11</v>
      </c>
      <c r="N84" s="96">
        <f t="shared" si="4"/>
        <v>0</v>
      </c>
      <c r="O84" s="96">
        <f t="shared" si="5"/>
        <v>742.56</v>
      </c>
      <c r="P84" s="96">
        <f>IF(OR(Employee[[#This Row],[Location]]="Home",Employee[[#This Row],[Job Status]]="FT"),Employee[[#This Row],[Annual Salary]]*0.04,Employee[[#This Row],[Annual Salary]]*0.025)</f>
        <v>990.08</v>
      </c>
      <c r="Q84" s="97">
        <f>IF(Employee[[#This Row],[Pay Grade]]=1,$X$4,IF(Employee[[#This Row],[Pay Grade]]=2,$X$5,$X$6))</f>
        <v>2500</v>
      </c>
      <c r="R84" s="97"/>
    </row>
    <row r="85" spans="1:18" x14ac:dyDescent="0.35">
      <c r="A85" s="89">
        <v>1105</v>
      </c>
      <c r="B85" s="86" t="s">
        <v>223</v>
      </c>
      <c r="C85" s="91">
        <v>38065</v>
      </c>
      <c r="D85" s="91">
        <v>30262</v>
      </c>
      <c r="E85" s="92" t="s">
        <v>125</v>
      </c>
      <c r="F85" s="92" t="s">
        <v>126</v>
      </c>
      <c r="G85" s="89" t="s">
        <v>127</v>
      </c>
      <c r="H85" s="89" t="s">
        <v>128</v>
      </c>
      <c r="I85" s="89">
        <v>3</v>
      </c>
      <c r="J85" s="89" t="s">
        <v>129</v>
      </c>
      <c r="K85" s="94">
        <v>65000</v>
      </c>
      <c r="L85" s="89" t="s">
        <v>145</v>
      </c>
      <c r="M85" s="95">
        <f t="shared" si="3"/>
        <v>11</v>
      </c>
      <c r="N85" s="96">
        <f t="shared" si="4"/>
        <v>65</v>
      </c>
      <c r="O85" s="96">
        <f t="shared" si="5"/>
        <v>1950</v>
      </c>
      <c r="P85" s="96">
        <f>IF(OR(Employee[[#This Row],[Location]]="Home",Employee[[#This Row],[Job Status]]="FT"),Employee[[#This Row],[Annual Salary]]*0.04,Employee[[#This Row],[Annual Salary]]*0.025)</f>
        <v>2600</v>
      </c>
      <c r="Q85" s="97">
        <f>IF(Employee[[#This Row],[Pay Grade]]=1,$X$4,IF(Employee[[#This Row],[Pay Grade]]=2,$X$5,$X$6))</f>
        <v>7500</v>
      </c>
      <c r="R85" s="97"/>
    </row>
    <row r="86" spans="1:18" x14ac:dyDescent="0.35">
      <c r="A86" s="89">
        <v>1106</v>
      </c>
      <c r="B86" s="86" t="s">
        <v>224</v>
      </c>
      <c r="C86" s="91">
        <v>39152</v>
      </c>
      <c r="D86" s="91">
        <v>21247</v>
      </c>
      <c r="E86" s="92" t="s">
        <v>62</v>
      </c>
      <c r="F86" s="92" t="s">
        <v>152</v>
      </c>
      <c r="G86" s="89" t="s">
        <v>148</v>
      </c>
      <c r="H86" s="89" t="s">
        <v>134</v>
      </c>
      <c r="I86" s="89">
        <v>1</v>
      </c>
      <c r="J86" s="89" t="s">
        <v>149</v>
      </c>
      <c r="K86" s="94">
        <v>22880</v>
      </c>
      <c r="L86" s="89" t="s">
        <v>150</v>
      </c>
      <c r="M86" s="95">
        <f t="shared" si="3"/>
        <v>8</v>
      </c>
      <c r="N86" s="96">
        <f t="shared" si="4"/>
        <v>0</v>
      </c>
      <c r="O86" s="96">
        <f t="shared" si="5"/>
        <v>0</v>
      </c>
      <c r="P86" s="96">
        <f>IF(OR(Employee[[#This Row],[Location]]="Home",Employee[[#This Row],[Job Status]]="FT"),Employee[[#This Row],[Annual Salary]]*0.04,Employee[[#This Row],[Annual Salary]]*0.025)</f>
        <v>572</v>
      </c>
      <c r="Q86" s="97">
        <f>IF(Employee[[#This Row],[Pay Grade]]=1,$X$4,IF(Employee[[#This Row],[Pay Grade]]=2,$X$5,$X$6))</f>
        <v>2500</v>
      </c>
      <c r="R86" s="97"/>
    </row>
    <row r="87" spans="1:18" x14ac:dyDescent="0.35">
      <c r="A87" s="89">
        <v>1107</v>
      </c>
      <c r="B87" s="86" t="s">
        <v>225</v>
      </c>
      <c r="C87" s="90">
        <v>41149</v>
      </c>
      <c r="D87" s="91">
        <v>27795</v>
      </c>
      <c r="E87" s="92" t="s">
        <v>62</v>
      </c>
      <c r="F87" s="92" t="s">
        <v>126</v>
      </c>
      <c r="G87" s="89" t="s">
        <v>127</v>
      </c>
      <c r="H87" s="89" t="s">
        <v>134</v>
      </c>
      <c r="I87" s="89">
        <v>1</v>
      </c>
      <c r="J87" s="89" t="s">
        <v>149</v>
      </c>
      <c r="K87" s="94">
        <v>29016</v>
      </c>
      <c r="L87" s="89" t="s">
        <v>140</v>
      </c>
      <c r="M87" s="95">
        <f t="shared" si="3"/>
        <v>2</v>
      </c>
      <c r="N87" s="96">
        <f t="shared" si="4"/>
        <v>0</v>
      </c>
      <c r="O87" s="96">
        <f t="shared" si="5"/>
        <v>870.48</v>
      </c>
      <c r="P87" s="96">
        <f>IF(OR(Employee[[#This Row],[Location]]="Home",Employee[[#This Row],[Job Status]]="FT"),Employee[[#This Row],[Annual Salary]]*0.04,Employee[[#This Row],[Annual Salary]]*0.025)</f>
        <v>1160.6400000000001</v>
      </c>
      <c r="Q87" s="97">
        <f>IF(Employee[[#This Row],[Pay Grade]]=1,$X$4,IF(Employee[[#This Row],[Pay Grade]]=2,$X$5,$X$6))</f>
        <v>2500</v>
      </c>
      <c r="R87" s="97"/>
    </row>
    <row r="88" spans="1:18" x14ac:dyDescent="0.35">
      <c r="A88" s="89">
        <v>1108</v>
      </c>
      <c r="B88" s="86" t="s">
        <v>226</v>
      </c>
      <c r="C88" s="91">
        <v>36749</v>
      </c>
      <c r="D88" s="91">
        <v>24564</v>
      </c>
      <c r="E88" s="92" t="s">
        <v>125</v>
      </c>
      <c r="F88" s="92" t="s">
        <v>126</v>
      </c>
      <c r="G88" s="89" t="s">
        <v>127</v>
      </c>
      <c r="H88" s="89" t="s">
        <v>128</v>
      </c>
      <c r="I88" s="89">
        <v>3</v>
      </c>
      <c r="J88" s="89" t="s">
        <v>129</v>
      </c>
      <c r="K88" s="94">
        <v>102500</v>
      </c>
      <c r="L88" s="89" t="s">
        <v>145</v>
      </c>
      <c r="M88" s="95">
        <f t="shared" si="3"/>
        <v>14</v>
      </c>
      <c r="N88" s="96">
        <f t="shared" si="4"/>
        <v>102.5</v>
      </c>
      <c r="O88" s="96">
        <f t="shared" si="5"/>
        <v>3075</v>
      </c>
      <c r="P88" s="96">
        <f>IF(OR(Employee[[#This Row],[Location]]="Home",Employee[[#This Row],[Job Status]]="FT"),Employee[[#This Row],[Annual Salary]]*0.04,Employee[[#This Row],[Annual Salary]]*0.025)</f>
        <v>4100</v>
      </c>
      <c r="Q88" s="97">
        <f>IF(Employee[[#This Row],[Pay Grade]]=1,$X$4,IF(Employee[[#This Row],[Pay Grade]]=2,$X$5,$X$6))</f>
        <v>7500</v>
      </c>
      <c r="R88" s="97"/>
    </row>
    <row r="89" spans="1:18" x14ac:dyDescent="0.35">
      <c r="A89" s="89">
        <v>1109</v>
      </c>
      <c r="B89" s="86" t="s">
        <v>227</v>
      </c>
      <c r="C89" s="90">
        <v>41002</v>
      </c>
      <c r="D89" s="91">
        <v>24525</v>
      </c>
      <c r="E89" s="92" t="s">
        <v>62</v>
      </c>
      <c r="F89" s="92" t="s">
        <v>126</v>
      </c>
      <c r="G89" s="89" t="s">
        <v>127</v>
      </c>
      <c r="H89" s="89" t="s">
        <v>134</v>
      </c>
      <c r="I89" s="89">
        <v>2</v>
      </c>
      <c r="J89" s="89" t="s">
        <v>129</v>
      </c>
      <c r="K89" s="94">
        <v>43260</v>
      </c>
      <c r="L89" s="89" t="s">
        <v>150</v>
      </c>
      <c r="M89" s="95">
        <f t="shared" si="3"/>
        <v>3</v>
      </c>
      <c r="N89" s="96">
        <f t="shared" si="4"/>
        <v>0</v>
      </c>
      <c r="O89" s="96">
        <f t="shared" si="5"/>
        <v>1297.8</v>
      </c>
      <c r="P89" s="96">
        <f>IF(OR(Employee[[#This Row],[Location]]="Home",Employee[[#This Row],[Job Status]]="FT"),Employee[[#This Row],[Annual Salary]]*0.04,Employee[[#This Row],[Annual Salary]]*0.025)</f>
        <v>1730.4</v>
      </c>
      <c r="Q89" s="97">
        <f>IF(Employee[[#This Row],[Pay Grade]]=1,$X$4,IF(Employee[[#This Row],[Pay Grade]]=2,$X$5,$X$6))</f>
        <v>5000</v>
      </c>
      <c r="R89" s="97"/>
    </row>
    <row r="90" spans="1:18" x14ac:dyDescent="0.35">
      <c r="A90" s="89">
        <v>1110</v>
      </c>
      <c r="B90" s="86" t="s">
        <v>228</v>
      </c>
      <c r="C90" s="91">
        <v>38783</v>
      </c>
      <c r="D90" s="91">
        <v>23788</v>
      </c>
      <c r="E90" s="92" t="s">
        <v>125</v>
      </c>
      <c r="F90" s="92" t="s">
        <v>137</v>
      </c>
      <c r="G90" s="89" t="s">
        <v>127</v>
      </c>
      <c r="H90" s="89" t="s">
        <v>128</v>
      </c>
      <c r="I90" s="89">
        <v>3</v>
      </c>
      <c r="J90" s="89" t="s">
        <v>129</v>
      </c>
      <c r="K90" s="94">
        <v>150000</v>
      </c>
      <c r="L90" s="89" t="s">
        <v>140</v>
      </c>
      <c r="M90" s="95">
        <f t="shared" si="3"/>
        <v>9</v>
      </c>
      <c r="N90" s="96">
        <f t="shared" si="4"/>
        <v>150</v>
      </c>
      <c r="O90" s="96">
        <f t="shared" si="5"/>
        <v>4500</v>
      </c>
      <c r="P90" s="96">
        <f>IF(OR(Employee[[#This Row],[Location]]="Home",Employee[[#This Row],[Job Status]]="FT"),Employee[[#This Row],[Annual Salary]]*0.04,Employee[[#This Row],[Annual Salary]]*0.025)</f>
        <v>6000</v>
      </c>
      <c r="Q90" s="97">
        <f>IF(Employee[[#This Row],[Pay Grade]]=1,$X$4,IF(Employee[[#This Row],[Pay Grade]]=2,$X$5,$X$6))</f>
        <v>7500</v>
      </c>
      <c r="R90" s="97"/>
    </row>
    <row r="91" spans="1:18" x14ac:dyDescent="0.35">
      <c r="A91" s="89">
        <v>1111</v>
      </c>
      <c r="B91" s="86" t="s">
        <v>229</v>
      </c>
      <c r="C91" s="91">
        <v>39811</v>
      </c>
      <c r="D91" s="91">
        <v>19453</v>
      </c>
      <c r="E91" s="92" t="s">
        <v>62</v>
      </c>
      <c r="F91" s="92" t="s">
        <v>152</v>
      </c>
      <c r="G91" s="89" t="s">
        <v>201</v>
      </c>
      <c r="H91" s="89" t="s">
        <v>134</v>
      </c>
      <c r="I91" s="89">
        <v>3</v>
      </c>
      <c r="J91" s="89" t="s">
        <v>129</v>
      </c>
      <c r="K91" s="94">
        <v>55000</v>
      </c>
      <c r="L91" s="89" t="s">
        <v>140</v>
      </c>
      <c r="M91" s="95">
        <f t="shared" si="3"/>
        <v>6</v>
      </c>
      <c r="N91" s="96">
        <f t="shared" si="4"/>
        <v>0</v>
      </c>
      <c r="O91" s="96">
        <f t="shared" si="5"/>
        <v>0</v>
      </c>
      <c r="P91" s="96">
        <f>IF(OR(Employee[[#This Row],[Location]]="Home",Employee[[#This Row],[Job Status]]="FT"),Employee[[#This Row],[Annual Salary]]*0.04,Employee[[#This Row],[Annual Salary]]*0.025)</f>
        <v>1375</v>
      </c>
      <c r="Q91" s="97">
        <f>IF(Employee[[#This Row],[Pay Grade]]=1,$X$4,IF(Employee[[#This Row],[Pay Grade]]=2,$X$5,$X$6))</f>
        <v>7500</v>
      </c>
      <c r="R91" s="97"/>
    </row>
    <row r="92" spans="1:18" x14ac:dyDescent="0.35">
      <c r="A92" s="89">
        <v>1112</v>
      </c>
      <c r="B92" s="86" t="s">
        <v>230</v>
      </c>
      <c r="C92" s="90">
        <v>41317</v>
      </c>
      <c r="D92" s="91">
        <v>28934</v>
      </c>
      <c r="E92" s="92" t="s">
        <v>62</v>
      </c>
      <c r="F92" s="92" t="s">
        <v>152</v>
      </c>
      <c r="G92" s="89" t="s">
        <v>127</v>
      </c>
      <c r="H92" s="89" t="s">
        <v>134</v>
      </c>
      <c r="I92" s="89">
        <v>1</v>
      </c>
      <c r="J92" s="89" t="s">
        <v>149</v>
      </c>
      <c r="K92" s="94">
        <v>22880</v>
      </c>
      <c r="L92" s="89" t="s">
        <v>130</v>
      </c>
      <c r="M92" s="95">
        <f t="shared" si="3"/>
        <v>2</v>
      </c>
      <c r="N92" s="96">
        <f t="shared" si="4"/>
        <v>0</v>
      </c>
      <c r="O92" s="96">
        <f t="shared" si="5"/>
        <v>686.4</v>
      </c>
      <c r="P92" s="96">
        <f>IF(OR(Employee[[#This Row],[Location]]="Home",Employee[[#This Row],[Job Status]]="FT"),Employee[[#This Row],[Annual Salary]]*0.04,Employee[[#This Row],[Annual Salary]]*0.025)</f>
        <v>915.2</v>
      </c>
      <c r="Q92" s="97">
        <f>IF(Employee[[#This Row],[Pay Grade]]=1,$X$4,IF(Employee[[#This Row],[Pay Grade]]=2,$X$5,$X$6))</f>
        <v>2500</v>
      </c>
      <c r="R92" s="97"/>
    </row>
    <row r="93" spans="1:18" x14ac:dyDescent="0.35">
      <c r="A93" s="89">
        <v>1113</v>
      </c>
      <c r="B93" s="86" t="s">
        <v>231</v>
      </c>
      <c r="C93" s="90">
        <v>41067</v>
      </c>
      <c r="D93" s="91">
        <v>27888</v>
      </c>
      <c r="E93" s="92" t="s">
        <v>62</v>
      </c>
      <c r="F93" s="89" t="s">
        <v>133</v>
      </c>
      <c r="G93" s="89" t="s">
        <v>127</v>
      </c>
      <c r="H93" s="89" t="s">
        <v>134</v>
      </c>
      <c r="I93" s="89">
        <v>1</v>
      </c>
      <c r="J93" s="89" t="s">
        <v>149</v>
      </c>
      <c r="K93" s="94">
        <v>22880</v>
      </c>
      <c r="L93" s="89" t="s">
        <v>145</v>
      </c>
      <c r="M93" s="95">
        <f t="shared" si="3"/>
        <v>3</v>
      </c>
      <c r="N93" s="96">
        <f t="shared" si="4"/>
        <v>0</v>
      </c>
      <c r="O93" s="96">
        <f t="shared" si="5"/>
        <v>686.4</v>
      </c>
      <c r="P93" s="96">
        <f>IF(OR(Employee[[#This Row],[Location]]="Home",Employee[[#This Row],[Job Status]]="FT"),Employee[[#This Row],[Annual Salary]]*0.04,Employee[[#This Row],[Annual Salary]]*0.025)</f>
        <v>915.2</v>
      </c>
      <c r="Q93" s="97">
        <f>IF(Employee[[#This Row],[Pay Grade]]=1,$X$4,IF(Employee[[#This Row],[Pay Grade]]=2,$X$5,$X$6))</f>
        <v>2500</v>
      </c>
      <c r="R93" s="97"/>
    </row>
    <row r="94" spans="1:18" x14ac:dyDescent="0.35">
      <c r="A94" s="89">
        <v>1114</v>
      </c>
      <c r="B94" s="86" t="s">
        <v>232</v>
      </c>
      <c r="C94" s="90">
        <v>41296</v>
      </c>
      <c r="D94" s="91">
        <v>33330</v>
      </c>
      <c r="E94" s="92" t="s">
        <v>62</v>
      </c>
      <c r="F94" s="89" t="s">
        <v>133</v>
      </c>
      <c r="G94" s="89" t="s">
        <v>127</v>
      </c>
      <c r="H94" s="89" t="s">
        <v>134</v>
      </c>
      <c r="I94" s="89">
        <v>1</v>
      </c>
      <c r="J94" s="89" t="s">
        <v>149</v>
      </c>
      <c r="K94" s="94">
        <v>23920</v>
      </c>
      <c r="L94" s="89" t="s">
        <v>140</v>
      </c>
      <c r="M94" s="95">
        <f t="shared" si="3"/>
        <v>2</v>
      </c>
      <c r="N94" s="96">
        <f t="shared" si="4"/>
        <v>0</v>
      </c>
      <c r="O94" s="96">
        <f t="shared" si="5"/>
        <v>717.6</v>
      </c>
      <c r="P94" s="96">
        <f>IF(OR(Employee[[#This Row],[Location]]="Home",Employee[[#This Row],[Job Status]]="FT"),Employee[[#This Row],[Annual Salary]]*0.04,Employee[[#This Row],[Annual Salary]]*0.025)</f>
        <v>956.80000000000007</v>
      </c>
      <c r="Q94" s="97">
        <f>IF(Employee[[#This Row],[Pay Grade]]=1,$X$4,IF(Employee[[#This Row],[Pay Grade]]=2,$X$5,$X$6))</f>
        <v>2500</v>
      </c>
      <c r="R94" s="97"/>
    </row>
    <row r="95" spans="1:18" x14ac:dyDescent="0.35">
      <c r="A95" s="89">
        <v>1115</v>
      </c>
      <c r="B95" s="86" t="s">
        <v>233</v>
      </c>
      <c r="C95" s="90">
        <v>41212</v>
      </c>
      <c r="D95" s="91">
        <v>20572</v>
      </c>
      <c r="E95" s="92" t="s">
        <v>125</v>
      </c>
      <c r="F95" s="92" t="s">
        <v>126</v>
      </c>
      <c r="G95" s="89" t="s">
        <v>127</v>
      </c>
      <c r="H95" s="89" t="s">
        <v>128</v>
      </c>
      <c r="I95" s="89">
        <v>3</v>
      </c>
      <c r="J95" s="89" t="s">
        <v>129</v>
      </c>
      <c r="K95" s="94">
        <v>100000</v>
      </c>
      <c r="L95" s="89" t="s">
        <v>150</v>
      </c>
      <c r="M95" s="95">
        <f t="shared" si="3"/>
        <v>2</v>
      </c>
      <c r="N95" s="96">
        <f t="shared" si="4"/>
        <v>100</v>
      </c>
      <c r="O95" s="96">
        <f t="shared" si="5"/>
        <v>3000</v>
      </c>
      <c r="P95" s="96">
        <f>IF(OR(Employee[[#This Row],[Location]]="Home",Employee[[#This Row],[Job Status]]="FT"),Employee[[#This Row],[Annual Salary]]*0.04,Employee[[#This Row],[Annual Salary]]*0.025)</f>
        <v>4000</v>
      </c>
      <c r="Q95" s="97">
        <f>IF(Employee[[#This Row],[Pay Grade]]=1,$X$4,IF(Employee[[#This Row],[Pay Grade]]=2,$X$5,$X$6))</f>
        <v>7500</v>
      </c>
      <c r="R95" s="97"/>
    </row>
    <row r="96" spans="1:18" x14ac:dyDescent="0.35">
      <c r="A96" s="89">
        <v>1116</v>
      </c>
      <c r="B96" s="86" t="s">
        <v>234</v>
      </c>
      <c r="C96" s="90">
        <v>41156</v>
      </c>
      <c r="D96" s="91">
        <v>27340</v>
      </c>
      <c r="E96" s="92" t="s">
        <v>62</v>
      </c>
      <c r="F96" s="92" t="s">
        <v>126</v>
      </c>
      <c r="G96" s="89" t="s">
        <v>127</v>
      </c>
      <c r="H96" s="89" t="s">
        <v>128</v>
      </c>
      <c r="I96" s="89">
        <v>2</v>
      </c>
      <c r="J96" s="89" t="s">
        <v>129</v>
      </c>
      <c r="K96" s="94">
        <v>43000</v>
      </c>
      <c r="L96" s="89" t="s">
        <v>130</v>
      </c>
      <c r="M96" s="95">
        <f t="shared" si="3"/>
        <v>2</v>
      </c>
      <c r="N96" s="96">
        <f t="shared" si="4"/>
        <v>43</v>
      </c>
      <c r="O96" s="96">
        <f t="shared" si="5"/>
        <v>1290</v>
      </c>
      <c r="P96" s="96">
        <f>IF(OR(Employee[[#This Row],[Location]]="Home",Employee[[#This Row],[Job Status]]="FT"),Employee[[#This Row],[Annual Salary]]*0.04,Employee[[#This Row],[Annual Salary]]*0.025)</f>
        <v>1720</v>
      </c>
      <c r="Q96" s="97">
        <f>IF(Employee[[#This Row],[Pay Grade]]=1,$X$4,IF(Employee[[#This Row],[Pay Grade]]=2,$X$5,$X$6))</f>
        <v>5000</v>
      </c>
      <c r="R96" s="97"/>
    </row>
    <row r="97" spans="1:18" x14ac:dyDescent="0.35">
      <c r="A97" s="89">
        <v>1117</v>
      </c>
      <c r="B97" s="86" t="s">
        <v>235</v>
      </c>
      <c r="C97" s="91">
        <v>40463</v>
      </c>
      <c r="D97" s="91">
        <v>25585</v>
      </c>
      <c r="E97" s="92" t="s">
        <v>62</v>
      </c>
      <c r="F97" s="92" t="s">
        <v>126</v>
      </c>
      <c r="G97" s="89" t="s">
        <v>148</v>
      </c>
      <c r="H97" s="89" t="s">
        <v>134</v>
      </c>
      <c r="I97" s="89">
        <v>1</v>
      </c>
      <c r="J97" s="89" t="s">
        <v>149</v>
      </c>
      <c r="K97" s="94">
        <v>36004</v>
      </c>
      <c r="L97" s="89" t="s">
        <v>145</v>
      </c>
      <c r="M97" s="95">
        <f t="shared" si="3"/>
        <v>4</v>
      </c>
      <c r="N97" s="96">
        <f t="shared" si="4"/>
        <v>0</v>
      </c>
      <c r="O97" s="96">
        <f t="shared" si="5"/>
        <v>0</v>
      </c>
      <c r="P97" s="96">
        <f>IF(OR(Employee[[#This Row],[Location]]="Home",Employee[[#This Row],[Job Status]]="FT"),Employee[[#This Row],[Annual Salary]]*0.04,Employee[[#This Row],[Annual Salary]]*0.025)</f>
        <v>900.1</v>
      </c>
      <c r="Q97" s="97">
        <f>IF(Employee[[#This Row],[Pay Grade]]=1,$X$4,IF(Employee[[#This Row],[Pay Grade]]=2,$X$5,$X$6))</f>
        <v>2500</v>
      </c>
      <c r="R97" s="97"/>
    </row>
    <row r="98" spans="1:18" x14ac:dyDescent="0.35">
      <c r="A98" s="89">
        <v>1118</v>
      </c>
      <c r="B98" s="86" t="s">
        <v>236</v>
      </c>
      <c r="C98" s="91">
        <v>39125</v>
      </c>
      <c r="D98" s="91">
        <v>27222</v>
      </c>
      <c r="E98" s="92" t="s">
        <v>62</v>
      </c>
      <c r="F98" s="92" t="s">
        <v>126</v>
      </c>
      <c r="G98" s="89" t="s">
        <v>127</v>
      </c>
      <c r="H98" s="89" t="s">
        <v>134</v>
      </c>
      <c r="I98" s="89">
        <v>2</v>
      </c>
      <c r="J98" s="89" t="s">
        <v>129</v>
      </c>
      <c r="K98" s="94">
        <v>38500</v>
      </c>
      <c r="L98" s="89" t="s">
        <v>145</v>
      </c>
      <c r="M98" s="95">
        <f t="shared" si="3"/>
        <v>8</v>
      </c>
      <c r="N98" s="96">
        <f t="shared" si="4"/>
        <v>0</v>
      </c>
      <c r="O98" s="96">
        <f t="shared" si="5"/>
        <v>1155</v>
      </c>
      <c r="P98" s="96">
        <f>IF(OR(Employee[[#This Row],[Location]]="Home",Employee[[#This Row],[Job Status]]="FT"),Employee[[#This Row],[Annual Salary]]*0.04,Employee[[#This Row],[Annual Salary]]*0.025)</f>
        <v>1540</v>
      </c>
      <c r="Q98" s="97">
        <f>IF(Employee[[#This Row],[Pay Grade]]=1,$X$4,IF(Employee[[#This Row],[Pay Grade]]=2,$X$5,$X$6))</f>
        <v>5000</v>
      </c>
      <c r="R98" s="97"/>
    </row>
    <row r="99" spans="1:18" x14ac:dyDescent="0.35">
      <c r="A99" s="89">
        <v>1119</v>
      </c>
      <c r="B99" s="86" t="s">
        <v>237</v>
      </c>
      <c r="C99" s="91">
        <v>39645</v>
      </c>
      <c r="D99" s="91">
        <v>25730</v>
      </c>
      <c r="E99" s="92" t="s">
        <v>62</v>
      </c>
      <c r="F99" s="92" t="s">
        <v>152</v>
      </c>
      <c r="G99" s="89" t="s">
        <v>127</v>
      </c>
      <c r="H99" s="89" t="s">
        <v>134</v>
      </c>
      <c r="I99" s="89">
        <v>1</v>
      </c>
      <c r="J99" s="89" t="s">
        <v>149</v>
      </c>
      <c r="K99" s="94">
        <v>27851</v>
      </c>
      <c r="L99" s="89" t="s">
        <v>143</v>
      </c>
      <c r="M99" s="95">
        <f t="shared" si="3"/>
        <v>6</v>
      </c>
      <c r="N99" s="96">
        <f t="shared" si="4"/>
        <v>0</v>
      </c>
      <c r="O99" s="96">
        <f t="shared" si="5"/>
        <v>835.53</v>
      </c>
      <c r="P99" s="96">
        <f>IF(OR(Employee[[#This Row],[Location]]="Home",Employee[[#This Row],[Job Status]]="FT"),Employee[[#This Row],[Annual Salary]]*0.04,Employee[[#This Row],[Annual Salary]]*0.025)</f>
        <v>1114.04</v>
      </c>
      <c r="Q99" s="97">
        <f>IF(Employee[[#This Row],[Pay Grade]]=1,$X$4,IF(Employee[[#This Row],[Pay Grade]]=2,$X$5,$X$6))</f>
        <v>2500</v>
      </c>
      <c r="R99" s="97"/>
    </row>
    <row r="100" spans="1:18" x14ac:dyDescent="0.35">
      <c r="A100" s="89">
        <v>1120</v>
      </c>
      <c r="B100" s="86" t="s">
        <v>238</v>
      </c>
      <c r="C100" s="90">
        <v>41184</v>
      </c>
      <c r="D100" s="91">
        <v>24999</v>
      </c>
      <c r="E100" s="92" t="s">
        <v>125</v>
      </c>
      <c r="F100" s="92" t="s">
        <v>126</v>
      </c>
      <c r="G100" s="89" t="s">
        <v>127</v>
      </c>
      <c r="H100" s="89" t="s">
        <v>128</v>
      </c>
      <c r="I100" s="89">
        <v>3</v>
      </c>
      <c r="J100" s="89" t="s">
        <v>129</v>
      </c>
      <c r="K100" s="94">
        <v>96000</v>
      </c>
      <c r="L100" s="89" t="s">
        <v>140</v>
      </c>
      <c r="M100" s="95">
        <f t="shared" si="3"/>
        <v>2</v>
      </c>
      <c r="N100" s="96">
        <f t="shared" si="4"/>
        <v>96</v>
      </c>
      <c r="O100" s="96">
        <f t="shared" si="5"/>
        <v>2880</v>
      </c>
      <c r="P100" s="96">
        <f>IF(OR(Employee[[#This Row],[Location]]="Home",Employee[[#This Row],[Job Status]]="FT"),Employee[[#This Row],[Annual Salary]]*0.04,Employee[[#This Row],[Annual Salary]]*0.025)</f>
        <v>3840</v>
      </c>
      <c r="Q100" s="97">
        <f>IF(Employee[[#This Row],[Pay Grade]]=1,$X$4,IF(Employee[[#This Row],[Pay Grade]]=2,$X$5,$X$6))</f>
        <v>7500</v>
      </c>
      <c r="R100" s="97"/>
    </row>
    <row r="101" spans="1:18" x14ac:dyDescent="0.35">
      <c r="A101" s="89">
        <v>1121</v>
      </c>
      <c r="B101" s="86" t="s">
        <v>239</v>
      </c>
      <c r="C101" s="91">
        <v>38397</v>
      </c>
      <c r="D101" s="91">
        <v>19419</v>
      </c>
      <c r="E101" s="92" t="s">
        <v>62</v>
      </c>
      <c r="F101" s="92" t="s">
        <v>152</v>
      </c>
      <c r="G101" s="89" t="s">
        <v>127</v>
      </c>
      <c r="H101" s="89" t="s">
        <v>134</v>
      </c>
      <c r="I101" s="89">
        <v>1</v>
      </c>
      <c r="J101" s="89" t="s">
        <v>149</v>
      </c>
      <c r="K101" s="94">
        <v>33800</v>
      </c>
      <c r="L101" s="89" t="s">
        <v>150</v>
      </c>
      <c r="M101" s="95">
        <f t="shared" si="3"/>
        <v>10</v>
      </c>
      <c r="N101" s="96">
        <f t="shared" si="4"/>
        <v>0</v>
      </c>
      <c r="O101" s="96">
        <f t="shared" si="5"/>
        <v>1014</v>
      </c>
      <c r="P101" s="96">
        <f>IF(OR(Employee[[#This Row],[Location]]="Home",Employee[[#This Row],[Job Status]]="FT"),Employee[[#This Row],[Annual Salary]]*0.04,Employee[[#This Row],[Annual Salary]]*0.025)</f>
        <v>1352</v>
      </c>
      <c r="Q101" s="97">
        <f>IF(Employee[[#This Row],[Pay Grade]]=1,$X$4,IF(Employee[[#This Row],[Pay Grade]]=2,$X$5,$X$6))</f>
        <v>2500</v>
      </c>
      <c r="R101" s="97"/>
    </row>
    <row r="102" spans="1:18" x14ac:dyDescent="0.35">
      <c r="A102" s="89">
        <v>1122</v>
      </c>
      <c r="B102" s="86" t="s">
        <v>240</v>
      </c>
      <c r="C102" s="91">
        <v>37127</v>
      </c>
      <c r="D102" s="91">
        <v>24330</v>
      </c>
      <c r="E102" s="92" t="s">
        <v>62</v>
      </c>
      <c r="F102" s="92" t="s">
        <v>126</v>
      </c>
      <c r="G102" s="89" t="s">
        <v>127</v>
      </c>
      <c r="H102" s="89" t="s">
        <v>134</v>
      </c>
      <c r="I102" s="89">
        <v>1</v>
      </c>
      <c r="J102" s="89" t="s">
        <v>149</v>
      </c>
      <c r="K102" s="94">
        <v>35048</v>
      </c>
      <c r="L102" s="93" t="s">
        <v>143</v>
      </c>
      <c r="M102" s="95">
        <f t="shared" si="3"/>
        <v>13</v>
      </c>
      <c r="N102" s="96">
        <f t="shared" si="4"/>
        <v>0</v>
      </c>
      <c r="O102" s="96">
        <f t="shared" si="5"/>
        <v>1051.44</v>
      </c>
      <c r="P102" s="96">
        <f>IF(OR(Employee[[#This Row],[Location]]="Home",Employee[[#This Row],[Job Status]]="FT"),Employee[[#This Row],[Annual Salary]]*0.04,Employee[[#This Row],[Annual Salary]]*0.025)</f>
        <v>1401.92</v>
      </c>
      <c r="Q102" s="97">
        <f>IF(Employee[[#This Row],[Pay Grade]]=1,$X$4,IF(Employee[[#This Row],[Pay Grade]]=2,$X$5,$X$6))</f>
        <v>2500</v>
      </c>
      <c r="R102" s="97"/>
    </row>
    <row r="103" spans="1:18" x14ac:dyDescent="0.35">
      <c r="A103" s="89">
        <v>1123</v>
      </c>
      <c r="B103" s="86" t="s">
        <v>241</v>
      </c>
      <c r="C103" s="90">
        <v>41079</v>
      </c>
      <c r="D103" s="91">
        <v>23340</v>
      </c>
      <c r="E103" s="92" t="s">
        <v>125</v>
      </c>
      <c r="F103" s="92" t="s">
        <v>126</v>
      </c>
      <c r="G103" s="89" t="s">
        <v>127</v>
      </c>
      <c r="H103" s="89" t="s">
        <v>134</v>
      </c>
      <c r="I103" s="89">
        <v>2</v>
      </c>
      <c r="J103" s="89" t="s">
        <v>129</v>
      </c>
      <c r="K103" s="94">
        <v>41000</v>
      </c>
      <c r="L103" s="89" t="s">
        <v>150</v>
      </c>
      <c r="M103" s="95">
        <f t="shared" si="3"/>
        <v>3</v>
      </c>
      <c r="N103" s="96">
        <f t="shared" si="4"/>
        <v>0</v>
      </c>
      <c r="O103" s="96">
        <f t="shared" si="5"/>
        <v>1230</v>
      </c>
      <c r="P103" s="96">
        <f>IF(OR(Employee[[#This Row],[Location]]="Home",Employee[[#This Row],[Job Status]]="FT"),Employee[[#This Row],[Annual Salary]]*0.04,Employee[[#This Row],[Annual Salary]]*0.025)</f>
        <v>1640</v>
      </c>
      <c r="Q103" s="97">
        <f>IF(Employee[[#This Row],[Pay Grade]]=1,$X$4,IF(Employee[[#This Row],[Pay Grade]]=2,$X$5,$X$6))</f>
        <v>5000</v>
      </c>
      <c r="R103" s="97"/>
    </row>
  </sheetData>
  <mergeCells count="1">
    <mergeCell ref="D1:R1"/>
  </mergeCells>
  <conditionalFormatting sqref="A4:A103">
    <cfRule type="duplicateValues" dxfId="2" priority="1"/>
  </conditionalFormatting>
  <pageMargins left="0.7" right="0.7" top="0.75" bottom="0.75" header="0.3" footer="0.3"/>
  <pageSetup orientation="portrait" horizontalDpi="200" verticalDpi="200" r:id="rId1"/>
  <drawing r:id="rId2"/>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51"/>
  <sheetViews>
    <sheetView topLeftCell="A7" workbookViewId="0">
      <selection activeCell="N32" sqref="N32"/>
    </sheetView>
  </sheetViews>
  <sheetFormatPr defaultColWidth="9.1796875" defaultRowHeight="12.5" x14ac:dyDescent="0.25"/>
  <cols>
    <col min="1" max="4" width="9.1796875" style="65"/>
    <col min="5" max="5" width="11.453125" style="65" customWidth="1"/>
    <col min="6" max="6" width="16.453125" style="65" customWidth="1"/>
    <col min="7" max="16384" width="9.1796875" style="65"/>
  </cols>
  <sheetData>
    <row r="1" spans="1:13" ht="26" x14ac:dyDescent="0.6">
      <c r="A1" s="206" t="s">
        <v>246</v>
      </c>
      <c r="B1" s="207"/>
      <c r="C1" s="207"/>
      <c r="D1" s="207"/>
      <c r="E1" s="207"/>
      <c r="F1" s="207"/>
      <c r="G1" s="207"/>
      <c r="H1" s="207"/>
      <c r="I1" s="207"/>
      <c r="J1" s="207"/>
      <c r="K1" s="207"/>
      <c r="L1" s="207"/>
      <c r="M1" s="207"/>
    </row>
    <row r="2" spans="1:13" ht="23.5" x14ac:dyDescent="0.55000000000000004">
      <c r="A2" s="211" t="s">
        <v>271</v>
      </c>
      <c r="B2" s="212"/>
      <c r="C2" s="212"/>
      <c r="D2" s="212"/>
      <c r="E2" s="212"/>
      <c r="F2" s="212"/>
      <c r="G2" s="212"/>
      <c r="H2" s="212"/>
      <c r="I2" s="212"/>
      <c r="J2" s="212"/>
      <c r="K2" s="212"/>
      <c r="L2" s="212"/>
      <c r="M2" s="212"/>
    </row>
    <row r="46" spans="5:6" ht="37" x14ac:dyDescent="0.45">
      <c r="E46" s="103" t="s">
        <v>247</v>
      </c>
      <c r="F46" s="103" t="s">
        <v>248</v>
      </c>
    </row>
    <row r="47" spans="5:6" ht="18.5" x14ac:dyDescent="0.45">
      <c r="E47" s="100">
        <v>0</v>
      </c>
      <c r="F47" s="101">
        <v>0</v>
      </c>
    </row>
    <row r="48" spans="5:6" ht="18.5" x14ac:dyDescent="0.45">
      <c r="E48" s="100">
        <v>1</v>
      </c>
      <c r="F48" s="101">
        <v>100</v>
      </c>
    </row>
    <row r="49" spans="5:6" ht="18.5" x14ac:dyDescent="0.45">
      <c r="E49" s="100">
        <v>3</v>
      </c>
      <c r="F49" s="101">
        <v>200</v>
      </c>
    </row>
    <row r="50" spans="5:6" ht="18.5" x14ac:dyDescent="0.45">
      <c r="E50" s="100">
        <v>5</v>
      </c>
      <c r="F50" s="101">
        <v>300</v>
      </c>
    </row>
    <row r="51" spans="5:6" ht="18.5" x14ac:dyDescent="0.45">
      <c r="E51" s="100">
        <v>7</v>
      </c>
      <c r="F51" s="101">
        <v>500</v>
      </c>
    </row>
  </sheetData>
  <mergeCells count="2">
    <mergeCell ref="A1:M1"/>
    <mergeCell ref="A2:M2"/>
  </mergeCells>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7"/>
  <sheetViews>
    <sheetView zoomScale="80" zoomScaleNormal="80" workbookViewId="0">
      <selection activeCell="I7" sqref="I7"/>
    </sheetView>
  </sheetViews>
  <sheetFormatPr defaultColWidth="8.81640625" defaultRowHeight="12.5" x14ac:dyDescent="0.25"/>
  <cols>
    <col min="1" max="1" width="4.453125" customWidth="1"/>
    <col min="2" max="2" width="22.1796875" customWidth="1"/>
    <col min="3" max="3" width="18" customWidth="1"/>
    <col min="4" max="4" width="3.36328125" customWidth="1"/>
    <col min="5" max="5" width="17.1796875" customWidth="1"/>
    <col min="6" max="6" width="13.6328125" customWidth="1"/>
    <col min="7" max="7" width="15" customWidth="1"/>
    <col min="8" max="8" width="3.1796875" hidden="1" customWidth="1"/>
  </cols>
  <sheetData>
    <row r="1" spans="1:8" ht="23" x14ac:dyDescent="0.5">
      <c r="A1" s="140" t="s">
        <v>284</v>
      </c>
      <c r="B1" s="141"/>
      <c r="C1" s="141"/>
      <c r="D1" s="141"/>
      <c r="E1" s="141"/>
      <c r="F1" s="141"/>
      <c r="G1" s="142"/>
    </row>
    <row r="2" spans="1:8" ht="18.5" thickBot="1" x14ac:dyDescent="0.45">
      <c r="A2" s="143" t="s">
        <v>285</v>
      </c>
      <c r="B2" s="144"/>
      <c r="C2" s="144"/>
      <c r="D2" s="144"/>
      <c r="E2" s="144"/>
      <c r="F2" s="144"/>
      <c r="G2" s="145"/>
    </row>
    <row r="3" spans="1:8" ht="23" x14ac:dyDescent="0.5">
      <c r="A3" s="6"/>
      <c r="B3" s="7"/>
      <c r="C3" s="7"/>
      <c r="D3" s="7"/>
      <c r="E3" s="7"/>
      <c r="F3" s="7"/>
      <c r="G3" s="7"/>
      <c r="H3" s="8"/>
    </row>
    <row r="4" spans="1:8" ht="23" x14ac:dyDescent="0.5">
      <c r="A4" s="75"/>
      <c r="B4" s="7"/>
      <c r="C4" s="7"/>
      <c r="D4" s="7"/>
      <c r="E4" s="7"/>
      <c r="F4" s="7"/>
      <c r="G4" s="7"/>
      <c r="H4" s="7"/>
    </row>
    <row r="5" spans="1:8" ht="23" x14ac:dyDescent="0.5">
      <c r="A5" s="75"/>
      <c r="B5" s="7"/>
      <c r="C5" s="7"/>
      <c r="D5" s="7"/>
      <c r="E5" s="7"/>
      <c r="F5" s="7"/>
      <c r="G5" s="7"/>
      <c r="H5" s="7"/>
    </row>
    <row r="6" spans="1:8" ht="23" x14ac:dyDescent="0.5">
      <c r="A6" s="75"/>
      <c r="B6" s="7"/>
      <c r="C6" s="7"/>
      <c r="D6" s="7"/>
      <c r="E6" s="7"/>
      <c r="F6" s="7"/>
      <c r="G6" s="7"/>
      <c r="H6" s="7"/>
    </row>
    <row r="7" spans="1:8" ht="23" x14ac:dyDescent="0.5">
      <c r="A7" s="75"/>
      <c r="B7" s="7"/>
      <c r="C7" s="7"/>
      <c r="D7" s="7"/>
      <c r="E7" s="7"/>
      <c r="F7" s="7"/>
      <c r="G7" s="7"/>
      <c r="H7" s="7"/>
    </row>
    <row r="8" spans="1:8" ht="23" x14ac:dyDescent="0.5">
      <c r="A8" s="75"/>
      <c r="B8" s="7"/>
      <c r="C8" s="7"/>
      <c r="D8" s="7"/>
      <c r="E8" s="7"/>
      <c r="F8" s="7"/>
      <c r="G8" s="7"/>
      <c r="H8" s="7"/>
    </row>
    <row r="9" spans="1:8" ht="23" x14ac:dyDescent="0.5">
      <c r="A9" s="75"/>
      <c r="B9" s="7"/>
      <c r="C9" s="7"/>
      <c r="D9" s="7"/>
      <c r="E9" s="7"/>
      <c r="F9" s="7"/>
      <c r="G9" s="7"/>
      <c r="H9" s="7"/>
    </row>
    <row r="10" spans="1:8" ht="23" x14ac:dyDescent="0.5">
      <c r="A10" s="75"/>
      <c r="B10" s="7"/>
      <c r="C10" s="7"/>
      <c r="D10" s="7"/>
      <c r="E10" s="7"/>
      <c r="F10" s="7"/>
      <c r="G10" s="7"/>
      <c r="H10" s="7"/>
    </row>
    <row r="11" spans="1:8" ht="23" x14ac:dyDescent="0.5">
      <c r="A11" s="75"/>
      <c r="B11" s="7"/>
      <c r="C11" s="7"/>
      <c r="D11" s="7"/>
      <c r="E11" s="7"/>
      <c r="F11" s="7"/>
      <c r="G11" s="7"/>
      <c r="H11" s="7"/>
    </row>
    <row r="12" spans="1:8" ht="23" x14ac:dyDescent="0.5">
      <c r="A12" s="75"/>
      <c r="B12" s="7"/>
      <c r="C12" s="7"/>
      <c r="D12" s="7"/>
      <c r="E12" s="7"/>
      <c r="F12" s="7"/>
      <c r="G12" s="7"/>
      <c r="H12" s="7"/>
    </row>
    <row r="13" spans="1:8" ht="23" x14ac:dyDescent="0.5">
      <c r="A13" s="75"/>
      <c r="B13" s="7"/>
      <c r="C13" s="7"/>
      <c r="D13" s="7"/>
      <c r="E13" s="7"/>
      <c r="F13" s="7"/>
      <c r="G13" s="7"/>
      <c r="H13" s="7"/>
    </row>
    <row r="14" spans="1:8" ht="23" x14ac:dyDescent="0.5">
      <c r="A14" s="75"/>
      <c r="B14" s="7"/>
      <c r="C14" s="7"/>
      <c r="D14" s="7"/>
      <c r="E14" s="7"/>
      <c r="F14" s="7"/>
      <c r="G14" s="7"/>
      <c r="H14" s="7"/>
    </row>
    <row r="15" spans="1:8" ht="23.5" thickBot="1" x14ac:dyDescent="0.55000000000000004">
      <c r="A15" s="75"/>
      <c r="B15" s="7"/>
      <c r="C15" s="7"/>
      <c r="D15" s="7"/>
      <c r="E15" s="7"/>
      <c r="F15" s="7"/>
      <c r="G15" s="7"/>
      <c r="H15" s="7"/>
    </row>
    <row r="16" spans="1:8" ht="16" thickBot="1" x14ac:dyDescent="0.4">
      <c r="B16" s="180" t="s">
        <v>262</v>
      </c>
      <c r="C16" s="181"/>
    </row>
    <row r="17" spans="2:3" ht="15.5" x14ac:dyDescent="0.35">
      <c r="B17" s="73" t="s">
        <v>1</v>
      </c>
      <c r="C17" s="71" t="s">
        <v>2</v>
      </c>
    </row>
    <row r="18" spans="2:3" ht="16" thickBot="1" x14ac:dyDescent="0.4">
      <c r="B18" s="74" t="s">
        <v>79</v>
      </c>
      <c r="C18" s="72" t="s">
        <v>80</v>
      </c>
    </row>
    <row r="19" spans="2:3" ht="15.5" x14ac:dyDescent="0.35">
      <c r="B19" s="70"/>
      <c r="C19" s="70"/>
    </row>
    <row r="20" spans="2:3" ht="16" thickBot="1" x14ac:dyDescent="0.4">
      <c r="B20" s="70"/>
      <c r="C20" s="70"/>
    </row>
    <row r="21" spans="2:3" ht="15.5" x14ac:dyDescent="0.35">
      <c r="B21" s="15" t="s">
        <v>3</v>
      </c>
      <c r="C21" s="16" t="s">
        <v>4</v>
      </c>
    </row>
    <row r="22" spans="2:3" ht="15.5" x14ac:dyDescent="0.35">
      <c r="B22" s="18" t="s">
        <v>7</v>
      </c>
      <c r="C22" s="19" t="s">
        <v>8</v>
      </c>
    </row>
    <row r="23" spans="2:3" ht="15.5" x14ac:dyDescent="0.35">
      <c r="B23" s="18" t="s">
        <v>10</v>
      </c>
      <c r="C23" s="19" t="s">
        <v>11</v>
      </c>
    </row>
    <row r="24" spans="2:3" ht="15.5" x14ac:dyDescent="0.35">
      <c r="B24" s="18" t="s">
        <v>13</v>
      </c>
      <c r="C24" s="19" t="s">
        <v>14</v>
      </c>
    </row>
    <row r="25" spans="2:3" ht="15.5" x14ac:dyDescent="0.35">
      <c r="B25" s="18" t="s">
        <v>15</v>
      </c>
      <c r="C25" s="19" t="s">
        <v>16</v>
      </c>
    </row>
    <row r="26" spans="2:3" ht="15.5" x14ac:dyDescent="0.35">
      <c r="B26" s="18" t="s">
        <v>17</v>
      </c>
      <c r="C26" s="19" t="s">
        <v>18</v>
      </c>
    </row>
    <row r="27" spans="2:3" ht="15.5" x14ac:dyDescent="0.35">
      <c r="B27" s="18" t="s">
        <v>19</v>
      </c>
      <c r="C27" s="19" t="s">
        <v>20</v>
      </c>
    </row>
    <row r="28" spans="2:3" ht="15.5" x14ac:dyDescent="0.35">
      <c r="B28" s="18" t="s">
        <v>21</v>
      </c>
      <c r="C28" s="19" t="s">
        <v>22</v>
      </c>
    </row>
    <row r="29" spans="2:3" ht="15.5" x14ac:dyDescent="0.35">
      <c r="B29" s="18" t="s">
        <v>9</v>
      </c>
      <c r="C29" s="19" t="s">
        <v>23</v>
      </c>
    </row>
    <row r="30" spans="2:3" ht="15.5" x14ac:dyDescent="0.35">
      <c r="B30" s="18" t="s">
        <v>24</v>
      </c>
      <c r="C30" s="19" t="s">
        <v>25</v>
      </c>
    </row>
    <row r="31" spans="2:3" ht="15.5" x14ac:dyDescent="0.35">
      <c r="B31" s="18" t="s">
        <v>26</v>
      </c>
      <c r="C31" s="19" t="s">
        <v>27</v>
      </c>
    </row>
    <row r="32" spans="2:3" ht="15.5" x14ac:dyDescent="0.35">
      <c r="B32" s="18" t="s">
        <v>26</v>
      </c>
      <c r="C32" s="19" t="s">
        <v>49</v>
      </c>
    </row>
    <row r="33" spans="2:7" ht="15.5" x14ac:dyDescent="0.35">
      <c r="B33" s="18" t="s">
        <v>28</v>
      </c>
      <c r="C33" s="19" t="s">
        <v>29</v>
      </c>
    </row>
    <row r="34" spans="2:7" ht="16" thickBot="1" x14ac:dyDescent="0.4">
      <c r="B34" s="20" t="s">
        <v>30</v>
      </c>
      <c r="C34" s="21" t="s">
        <v>31</v>
      </c>
    </row>
    <row r="35" spans="2:7" ht="15.5" x14ac:dyDescent="0.35">
      <c r="B35" s="14" t="s">
        <v>1</v>
      </c>
      <c r="C35" s="14" t="s">
        <v>2</v>
      </c>
    </row>
    <row r="38" spans="2:7" ht="18" x14ac:dyDescent="0.4">
      <c r="B38" s="183" t="s">
        <v>88</v>
      </c>
      <c r="C38" s="183"/>
    </row>
    <row r="39" spans="2:7" ht="18" x14ac:dyDescent="0.4">
      <c r="B39" s="183" t="s">
        <v>280</v>
      </c>
      <c r="C39" s="183"/>
    </row>
    <row r="40" spans="2:7" ht="18" x14ac:dyDescent="0.4">
      <c r="B40" s="183" t="s">
        <v>81</v>
      </c>
      <c r="C40" s="183"/>
    </row>
    <row r="41" spans="2:7" ht="18" x14ac:dyDescent="0.4">
      <c r="B41" s="183" t="s">
        <v>91</v>
      </c>
      <c r="C41" s="183"/>
    </row>
    <row r="42" spans="2:7" ht="18" x14ac:dyDescent="0.4">
      <c r="B42" s="183" t="s">
        <v>100</v>
      </c>
      <c r="C42" s="183"/>
    </row>
    <row r="43" spans="2:7" ht="18" customHeight="1" x14ac:dyDescent="0.4">
      <c r="B43" s="183" t="s">
        <v>281</v>
      </c>
      <c r="C43" s="183"/>
      <c r="F43" s="22"/>
    </row>
    <row r="44" spans="2:7" ht="18" customHeight="1" x14ac:dyDescent="0.25">
      <c r="F44" s="22"/>
    </row>
    <row r="45" spans="2:7" ht="18" customHeight="1" x14ac:dyDescent="0.25">
      <c r="F45" s="22"/>
    </row>
    <row r="46" spans="2:7" ht="18" x14ac:dyDescent="0.4">
      <c r="B46" s="146" t="s">
        <v>76</v>
      </c>
      <c r="C46" s="147"/>
      <c r="D46" s="147"/>
      <c r="E46" s="147"/>
      <c r="F46" s="147"/>
      <c r="G46" s="147"/>
    </row>
    <row r="47" spans="2:7" ht="18" x14ac:dyDescent="0.4">
      <c r="B47" s="182" t="s">
        <v>89</v>
      </c>
      <c r="C47" s="182"/>
      <c r="D47" s="182"/>
      <c r="E47" s="182"/>
      <c r="F47" s="182"/>
      <c r="G47" s="182"/>
    </row>
    <row r="48" spans="2:7" ht="18" x14ac:dyDescent="0.4">
      <c r="B48" s="182" t="s">
        <v>71</v>
      </c>
      <c r="C48" s="182"/>
      <c r="D48" s="182"/>
      <c r="E48" s="182"/>
      <c r="F48" s="182"/>
      <c r="G48" s="182"/>
    </row>
    <row r="49" spans="2:7" ht="18" x14ac:dyDescent="0.4">
      <c r="B49" s="182" t="s">
        <v>75</v>
      </c>
      <c r="C49" s="182"/>
      <c r="D49" s="182"/>
      <c r="E49" s="182"/>
      <c r="F49" s="182"/>
      <c r="G49" s="182"/>
    </row>
    <row r="50" spans="2:7" ht="18" x14ac:dyDescent="0.4">
      <c r="B50" s="23"/>
    </row>
    <row r="51" spans="2:7" ht="18" x14ac:dyDescent="0.4">
      <c r="B51" s="23"/>
    </row>
    <row r="52" spans="2:7" ht="18" x14ac:dyDescent="0.4">
      <c r="B52" s="146" t="s">
        <v>267</v>
      </c>
      <c r="C52" s="147"/>
      <c r="D52" s="147"/>
      <c r="E52" s="147"/>
      <c r="F52" s="147"/>
      <c r="G52" s="147"/>
    </row>
    <row r="53" spans="2:7" ht="18" x14ac:dyDescent="0.4">
      <c r="B53" s="146" t="s">
        <v>90</v>
      </c>
      <c r="C53" s="147"/>
      <c r="D53" s="147"/>
      <c r="E53" s="147"/>
      <c r="F53" s="147"/>
      <c r="G53" s="147"/>
    </row>
    <row r="54" spans="2:7" ht="18" x14ac:dyDescent="0.4">
      <c r="B54" s="146" t="s">
        <v>270</v>
      </c>
      <c r="C54" s="147"/>
      <c r="D54" s="147"/>
      <c r="E54" s="147"/>
      <c r="F54" s="147"/>
      <c r="G54" s="147"/>
    </row>
    <row r="55" spans="2:7" ht="18" x14ac:dyDescent="0.4">
      <c r="B55" s="146" t="s">
        <v>268</v>
      </c>
      <c r="C55" s="147"/>
      <c r="D55" s="147"/>
      <c r="E55" s="147"/>
      <c r="F55" s="147"/>
      <c r="G55" s="147"/>
    </row>
    <row r="56" spans="2:7" ht="18" x14ac:dyDescent="0.4">
      <c r="B56" s="146" t="s">
        <v>269</v>
      </c>
      <c r="C56" s="147"/>
      <c r="D56" s="147"/>
      <c r="E56" s="147"/>
      <c r="F56" s="147"/>
      <c r="G56" s="147"/>
    </row>
    <row r="57" spans="2:7" ht="18" x14ac:dyDescent="0.4">
      <c r="B57" s="23"/>
    </row>
  </sheetData>
  <mergeCells count="10">
    <mergeCell ref="B16:C16"/>
    <mergeCell ref="B49:G49"/>
    <mergeCell ref="B38:C38"/>
    <mergeCell ref="B39:C39"/>
    <mergeCell ref="B40:C40"/>
    <mergeCell ref="B48:G48"/>
    <mergeCell ref="B47:G47"/>
    <mergeCell ref="B43:C43"/>
    <mergeCell ref="B41:C41"/>
    <mergeCell ref="B42:C42"/>
  </mergeCells>
  <phoneticPr fontId="0" type="noConversion"/>
  <printOptions gridLines="1" gridLinesSet="0"/>
  <pageMargins left="0.75" right="0.75" top="1" bottom="1" header="0.5" footer="0.5"/>
  <pageSetup orientation="portrait" horizontalDpi="300" verticalDpi="300" r:id="rId1"/>
  <headerFooter alignWithMargins="0">
    <oddHeader>&amp;A</oddHeader>
    <oddFooter>Page &amp;P</oddFooter>
  </headerFooter>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3"/>
  <sheetViews>
    <sheetView topLeftCell="G1" zoomScaleNormal="100" workbookViewId="0">
      <selection activeCell="S4" sqref="S4:S103"/>
    </sheetView>
  </sheetViews>
  <sheetFormatPr defaultColWidth="9.1796875" defaultRowHeight="14.5" x14ac:dyDescent="0.35"/>
  <cols>
    <col min="1" max="1" width="5.453125" style="86" bestFit="1" customWidth="1"/>
    <col min="2" max="2" width="12.36328125" style="86" bestFit="1" customWidth="1"/>
    <col min="3" max="3" width="11.36328125" style="86" customWidth="1"/>
    <col min="4" max="4" width="11.36328125" style="86" bestFit="1" customWidth="1"/>
    <col min="5" max="5" width="4.453125" style="86" bestFit="1" customWidth="1"/>
    <col min="6" max="6" width="13.453125" style="86" customWidth="1"/>
    <col min="7" max="7" width="6.6328125" style="86" bestFit="1" customWidth="1"/>
    <col min="8" max="8" width="5.81640625" style="86" customWidth="1"/>
    <col min="9" max="9" width="6.6328125" style="86" bestFit="1" customWidth="1"/>
    <col min="10" max="10" width="5.453125" style="86" bestFit="1" customWidth="1"/>
    <col min="11" max="11" width="10.36328125" style="86" bestFit="1" customWidth="1"/>
    <col min="12" max="12" width="6.81640625" style="86" bestFit="1" customWidth="1"/>
    <col min="13" max="13" width="7.453125" style="86" bestFit="1" customWidth="1"/>
    <col min="14" max="14" width="9.1796875" style="86"/>
    <col min="15" max="18" width="10.81640625" style="86" bestFit="1" customWidth="1"/>
    <col min="19" max="22" width="9.1796875" style="86"/>
    <col min="23" max="23" width="17.36328125" style="86" bestFit="1" customWidth="1"/>
    <col min="24" max="24" width="17.453125" style="86" bestFit="1" customWidth="1"/>
    <col min="25" max="25" width="9.1796875" style="86"/>
    <col min="26" max="26" width="12.36328125" style="86" customWidth="1"/>
    <col min="27" max="28" width="9.1796875" style="86"/>
    <col min="29" max="29" width="12.36328125" style="86" customWidth="1"/>
    <col min="30" max="16384" width="9.1796875" style="86"/>
  </cols>
  <sheetData>
    <row r="1" spans="1:28" ht="29" thickBot="1" x14ac:dyDescent="0.7">
      <c r="D1" s="213" t="s">
        <v>249</v>
      </c>
      <c r="E1" s="214"/>
      <c r="F1" s="214"/>
      <c r="G1" s="214"/>
      <c r="H1" s="214"/>
      <c r="I1" s="214"/>
      <c r="J1" s="214"/>
      <c r="K1" s="214"/>
      <c r="L1" s="214"/>
      <c r="M1" s="214"/>
      <c r="N1" s="214"/>
      <c r="O1" s="214"/>
      <c r="P1" s="214"/>
      <c r="Q1" s="214"/>
      <c r="R1" s="214"/>
      <c r="S1" s="215"/>
    </row>
    <row r="3" spans="1:28" ht="48" customHeight="1" x14ac:dyDescent="0.35">
      <c r="A3" s="82" t="s">
        <v>104</v>
      </c>
      <c r="B3" s="83" t="s">
        <v>105</v>
      </c>
      <c r="C3" s="82" t="s">
        <v>106</v>
      </c>
      <c r="D3" s="84" t="s">
        <v>107</v>
      </c>
      <c r="E3" s="83" t="s">
        <v>108</v>
      </c>
      <c r="F3" s="83" t="s">
        <v>109</v>
      </c>
      <c r="G3" s="82" t="s">
        <v>110</v>
      </c>
      <c r="H3" s="82" t="s">
        <v>111</v>
      </c>
      <c r="I3" s="82" t="s">
        <v>112</v>
      </c>
      <c r="J3" s="82" t="s">
        <v>113</v>
      </c>
      <c r="K3" s="82" t="s">
        <v>114</v>
      </c>
      <c r="L3" s="82" t="s">
        <v>115</v>
      </c>
      <c r="M3" s="82" t="s">
        <v>116</v>
      </c>
      <c r="N3" s="85" t="s">
        <v>117</v>
      </c>
      <c r="O3" s="85" t="s">
        <v>118</v>
      </c>
      <c r="P3" s="85" t="s">
        <v>119</v>
      </c>
      <c r="Q3" s="85" t="s">
        <v>120</v>
      </c>
      <c r="R3" s="85" t="s">
        <v>121</v>
      </c>
      <c r="S3" s="85" t="s">
        <v>122</v>
      </c>
      <c r="AA3" s="87" t="s">
        <v>123</v>
      </c>
      <c r="AB3" s="88">
        <v>42186</v>
      </c>
    </row>
    <row r="4" spans="1:28" x14ac:dyDescent="0.35">
      <c r="A4" s="89">
        <v>1024</v>
      </c>
      <c r="B4" s="86" t="s">
        <v>124</v>
      </c>
      <c r="C4" s="90">
        <v>40783</v>
      </c>
      <c r="D4" s="91">
        <v>24356</v>
      </c>
      <c r="E4" s="92" t="s">
        <v>125</v>
      </c>
      <c r="F4" s="92" t="s">
        <v>126</v>
      </c>
      <c r="G4" s="89" t="s">
        <v>127</v>
      </c>
      <c r="H4" s="93" t="s">
        <v>128</v>
      </c>
      <c r="I4" s="89">
        <v>3</v>
      </c>
      <c r="J4" s="89" t="s">
        <v>129</v>
      </c>
      <c r="K4" s="94">
        <v>85000</v>
      </c>
      <c r="L4" s="93" t="s">
        <v>130</v>
      </c>
      <c r="M4" s="95">
        <f t="shared" ref="M4:M67" si="0">DATEDIF(C4,$AB$3,"y")</f>
        <v>3</v>
      </c>
      <c r="N4" s="96">
        <f t="shared" ref="N4:N67" si="1">IF(H4="Y",K4*0.001,0)</f>
        <v>85</v>
      </c>
      <c r="O4" s="96">
        <f t="shared" ref="O4:O67" si="2">IF(AND(G4="FT",M4&gt;=1),K4*0.03,0)</f>
        <v>2550</v>
      </c>
      <c r="P4" s="96">
        <f>IF(OR(Employee5[[#This Row],[Location]]="Home",Employee5[[#This Row],[Job Status]]="FT"),Employee5[[#This Row],[Annual Salary]]*0.04,Employee5[[#This Row],[Annual Salary]]*0.025)</f>
        <v>3400</v>
      </c>
      <c r="Q4" s="97">
        <f>IF(Employee5[[#This Row],[Pay Grade]]=1,$Y$4,IF(Employee5[[#This Row],[Pay Grade]]=2,$Y$5,$Y$6))</f>
        <v>7500</v>
      </c>
      <c r="R4" s="97">
        <f>IFERROR(VLOOKUP(L4,HealthPlanRates[],2,FALSE)*12,"Invalid code")</f>
        <v>18000</v>
      </c>
      <c r="S4" s="97"/>
      <c r="X4" s="98" t="s">
        <v>131</v>
      </c>
      <c r="Y4" s="99">
        <v>2500</v>
      </c>
    </row>
    <row r="5" spans="1:28" x14ac:dyDescent="0.35">
      <c r="A5" s="89">
        <v>1025</v>
      </c>
      <c r="B5" s="86" t="s">
        <v>132</v>
      </c>
      <c r="C5" s="91">
        <v>39226</v>
      </c>
      <c r="D5" s="91">
        <v>31458</v>
      </c>
      <c r="E5" s="92" t="s">
        <v>62</v>
      </c>
      <c r="F5" s="89" t="s">
        <v>133</v>
      </c>
      <c r="G5" s="89" t="s">
        <v>127</v>
      </c>
      <c r="H5" s="93" t="s">
        <v>134</v>
      </c>
      <c r="I5" s="89">
        <v>2</v>
      </c>
      <c r="J5" s="89" t="s">
        <v>129</v>
      </c>
      <c r="K5" s="94">
        <v>40000</v>
      </c>
      <c r="L5" s="93" t="s">
        <v>130</v>
      </c>
      <c r="M5" s="95">
        <f t="shared" si="0"/>
        <v>8</v>
      </c>
      <c r="N5" s="96">
        <f t="shared" si="1"/>
        <v>0</v>
      </c>
      <c r="O5" s="96">
        <f t="shared" si="2"/>
        <v>1200</v>
      </c>
      <c r="P5" s="96">
        <f>IF(OR(Employee5[[#This Row],[Location]]="Home",Employee5[[#This Row],[Job Status]]="FT"),Employee5[[#This Row],[Annual Salary]]*0.04,Employee5[[#This Row],[Annual Salary]]*0.025)</f>
        <v>1600</v>
      </c>
      <c r="Q5" s="97">
        <f>IF(Employee5[[#This Row],[Pay Grade]]=1,$Y$4,IF(Employee5[[#This Row],[Pay Grade]]=2,$Y$5,$Y$6))</f>
        <v>5000</v>
      </c>
      <c r="R5" s="97">
        <f>IFERROR(VLOOKUP(L5,HealthPlanRates[],2,FALSE)*12,"Invalid code")</f>
        <v>18000</v>
      </c>
      <c r="S5" s="97"/>
      <c r="X5" s="98" t="s">
        <v>135</v>
      </c>
      <c r="Y5" s="99">
        <v>5000</v>
      </c>
    </row>
    <row r="6" spans="1:28" x14ac:dyDescent="0.35">
      <c r="A6" s="89">
        <v>1026</v>
      </c>
      <c r="B6" s="86" t="s">
        <v>136</v>
      </c>
      <c r="C6" s="90">
        <v>41023</v>
      </c>
      <c r="D6" s="91">
        <v>25105</v>
      </c>
      <c r="E6" s="92" t="s">
        <v>125</v>
      </c>
      <c r="F6" s="92" t="s">
        <v>137</v>
      </c>
      <c r="G6" s="89" t="s">
        <v>127</v>
      </c>
      <c r="H6" s="89" t="s">
        <v>128</v>
      </c>
      <c r="I6" s="89">
        <v>2</v>
      </c>
      <c r="J6" s="89" t="s">
        <v>129</v>
      </c>
      <c r="K6" s="94">
        <v>37244</v>
      </c>
      <c r="L6" s="89" t="s">
        <v>130</v>
      </c>
      <c r="M6" s="95">
        <f t="shared" si="0"/>
        <v>3</v>
      </c>
      <c r="N6" s="96">
        <f t="shared" si="1"/>
        <v>37.244</v>
      </c>
      <c r="O6" s="96">
        <f t="shared" si="2"/>
        <v>1117.32</v>
      </c>
      <c r="P6" s="96">
        <f>IF(OR(Employee5[[#This Row],[Location]]="Home",Employee5[[#This Row],[Job Status]]="FT"),Employee5[[#This Row],[Annual Salary]]*0.04,Employee5[[#This Row],[Annual Salary]]*0.025)</f>
        <v>1489.76</v>
      </c>
      <c r="Q6" s="97">
        <f>IF(Employee5[[#This Row],[Pay Grade]]=1,$Y$4,IF(Employee5[[#This Row],[Pay Grade]]=2,$Y$5,$Y$6))</f>
        <v>5000</v>
      </c>
      <c r="R6" s="97">
        <f>IFERROR(VLOOKUP(L6,HealthPlanRates[],2,FALSE)*12,"Invalid code")</f>
        <v>18000</v>
      </c>
      <c r="S6" s="97"/>
      <c r="X6" s="98" t="s">
        <v>138</v>
      </c>
      <c r="Y6" s="99">
        <v>7500</v>
      </c>
    </row>
    <row r="7" spans="1:28" x14ac:dyDescent="0.35">
      <c r="A7" s="89">
        <v>1027</v>
      </c>
      <c r="B7" s="86" t="s">
        <v>139</v>
      </c>
      <c r="C7" s="91">
        <v>40742</v>
      </c>
      <c r="D7" s="91">
        <v>21771</v>
      </c>
      <c r="E7" s="92" t="s">
        <v>62</v>
      </c>
      <c r="F7" s="92" t="s">
        <v>126</v>
      </c>
      <c r="G7" s="89" t="s">
        <v>127</v>
      </c>
      <c r="H7" s="89" t="s">
        <v>134</v>
      </c>
      <c r="I7" s="89">
        <v>3</v>
      </c>
      <c r="J7" s="89" t="s">
        <v>129</v>
      </c>
      <c r="K7" s="94">
        <v>80000</v>
      </c>
      <c r="L7" s="89" t="s">
        <v>140</v>
      </c>
      <c r="M7" s="95">
        <f t="shared" si="0"/>
        <v>3</v>
      </c>
      <c r="N7" s="96">
        <f t="shared" si="1"/>
        <v>0</v>
      </c>
      <c r="O7" s="96">
        <f t="shared" si="2"/>
        <v>2400</v>
      </c>
      <c r="P7" s="96">
        <f>IF(OR(Employee5[[#This Row],[Location]]="Home",Employee5[[#This Row],[Job Status]]="FT"),Employee5[[#This Row],[Annual Salary]]*0.04,Employee5[[#This Row],[Annual Salary]]*0.025)</f>
        <v>3200</v>
      </c>
      <c r="Q7" s="97">
        <f>IF(Employee5[[#This Row],[Pay Grade]]=1,$Y$4,IF(Employee5[[#This Row],[Pay Grade]]=2,$Y$5,$Y$6))</f>
        <v>7500</v>
      </c>
      <c r="R7" s="97">
        <f>IFERROR(VLOOKUP(L7,HealthPlanRates[],2,FALSE)*12,"Invalid code")</f>
        <v>0</v>
      </c>
      <c r="S7" s="97"/>
    </row>
    <row r="8" spans="1:28" x14ac:dyDescent="0.35">
      <c r="A8" s="89">
        <v>1028</v>
      </c>
      <c r="B8" s="86" t="s">
        <v>141</v>
      </c>
      <c r="C8" s="90">
        <v>41142</v>
      </c>
      <c r="D8" s="91">
        <v>18459</v>
      </c>
      <c r="E8" s="92" t="s">
        <v>125</v>
      </c>
      <c r="F8" s="92" t="s">
        <v>126</v>
      </c>
      <c r="G8" s="89" t="s">
        <v>127</v>
      </c>
      <c r="H8" s="89" t="s">
        <v>128</v>
      </c>
      <c r="I8" s="89">
        <v>3</v>
      </c>
      <c r="J8" s="89" t="s">
        <v>129</v>
      </c>
      <c r="K8" s="94">
        <v>65000</v>
      </c>
      <c r="L8" s="89" t="s">
        <v>140</v>
      </c>
      <c r="M8" s="95">
        <f t="shared" si="0"/>
        <v>2</v>
      </c>
      <c r="N8" s="96">
        <f t="shared" si="1"/>
        <v>65</v>
      </c>
      <c r="O8" s="96">
        <f t="shared" si="2"/>
        <v>1950</v>
      </c>
      <c r="P8" s="96">
        <f>IF(OR(Employee5[[#This Row],[Location]]="Home",Employee5[[#This Row],[Job Status]]="FT"),Employee5[[#This Row],[Annual Salary]]*0.04,Employee5[[#This Row],[Annual Salary]]*0.025)</f>
        <v>2600</v>
      </c>
      <c r="Q8" s="97">
        <f>IF(Employee5[[#This Row],[Pay Grade]]=1,$Y$4,IF(Employee5[[#This Row],[Pay Grade]]=2,$Y$5,$Y$6))</f>
        <v>7500</v>
      </c>
      <c r="R8" s="97">
        <f>IFERROR(VLOOKUP(L8,HealthPlanRates[],2,FALSE)*12,"Invalid code")</f>
        <v>0</v>
      </c>
      <c r="S8" s="97"/>
    </row>
    <row r="9" spans="1:28" x14ac:dyDescent="0.35">
      <c r="A9" s="89">
        <v>1029</v>
      </c>
      <c r="B9" s="86" t="s">
        <v>142</v>
      </c>
      <c r="C9" s="91">
        <v>40973</v>
      </c>
      <c r="D9" s="91">
        <v>21307</v>
      </c>
      <c r="E9" s="92" t="s">
        <v>125</v>
      </c>
      <c r="F9" s="92" t="s">
        <v>137</v>
      </c>
      <c r="G9" s="89" t="s">
        <v>127</v>
      </c>
      <c r="H9" s="89" t="s">
        <v>128</v>
      </c>
      <c r="I9" s="89">
        <v>3</v>
      </c>
      <c r="J9" s="89" t="s">
        <v>129</v>
      </c>
      <c r="K9" s="94">
        <v>125000</v>
      </c>
      <c r="L9" s="89" t="s">
        <v>143</v>
      </c>
      <c r="M9" s="95">
        <f t="shared" si="0"/>
        <v>3</v>
      </c>
      <c r="N9" s="96">
        <f t="shared" si="1"/>
        <v>125</v>
      </c>
      <c r="O9" s="96">
        <f t="shared" si="2"/>
        <v>3750</v>
      </c>
      <c r="P9" s="96">
        <f>IF(OR(Employee5[[#This Row],[Location]]="Home",Employee5[[#This Row],[Job Status]]="FT"),Employee5[[#This Row],[Annual Salary]]*0.04,Employee5[[#This Row],[Annual Salary]]*0.025)</f>
        <v>5000</v>
      </c>
      <c r="Q9" s="97">
        <f>IF(Employee5[[#This Row],[Pay Grade]]=1,$Y$4,IF(Employee5[[#This Row],[Pay Grade]]=2,$Y$5,$Y$6))</f>
        <v>7500</v>
      </c>
      <c r="R9" s="97">
        <f>IFERROR(VLOOKUP(L9,HealthPlanRates[],2,FALSE)*12,"Invalid code")</f>
        <v>11400</v>
      </c>
      <c r="S9" s="97"/>
    </row>
    <row r="10" spans="1:28" x14ac:dyDescent="0.35">
      <c r="A10" s="89">
        <v>1030</v>
      </c>
      <c r="B10" s="86" t="s">
        <v>144</v>
      </c>
      <c r="C10" s="91">
        <v>40238</v>
      </c>
      <c r="D10" s="91">
        <v>28466</v>
      </c>
      <c r="E10" s="92" t="s">
        <v>125</v>
      </c>
      <c r="F10" s="92" t="s">
        <v>137</v>
      </c>
      <c r="G10" s="89" t="s">
        <v>127</v>
      </c>
      <c r="H10" s="89" t="s">
        <v>134</v>
      </c>
      <c r="I10" s="89">
        <v>3</v>
      </c>
      <c r="J10" s="89" t="s">
        <v>129</v>
      </c>
      <c r="K10" s="94">
        <v>95000</v>
      </c>
      <c r="L10" s="89" t="s">
        <v>145</v>
      </c>
      <c r="M10" s="95">
        <f t="shared" si="0"/>
        <v>5</v>
      </c>
      <c r="N10" s="96">
        <f t="shared" si="1"/>
        <v>0</v>
      </c>
      <c r="O10" s="96">
        <f t="shared" si="2"/>
        <v>2850</v>
      </c>
      <c r="P10" s="96">
        <f>IF(OR(Employee5[[#This Row],[Location]]="Home",Employee5[[#This Row],[Job Status]]="FT"),Employee5[[#This Row],[Annual Salary]]*0.04,Employee5[[#This Row],[Annual Salary]]*0.025)</f>
        <v>3800</v>
      </c>
      <c r="Q10" s="97">
        <f>IF(Employee5[[#This Row],[Pay Grade]]=1,$Y$4,IF(Employee5[[#This Row],[Pay Grade]]=2,$Y$5,$Y$6))</f>
        <v>7500</v>
      </c>
      <c r="R10" s="97">
        <f>IFERROR(VLOOKUP(L10,HealthPlanRates[],2,FALSE)*12,"Invalid code")</f>
        <v>10500</v>
      </c>
      <c r="S10" s="97"/>
    </row>
    <row r="11" spans="1:28" x14ac:dyDescent="0.35">
      <c r="A11" s="89">
        <v>1031</v>
      </c>
      <c r="B11" s="86" t="s">
        <v>146</v>
      </c>
      <c r="C11" s="90">
        <v>41251</v>
      </c>
      <c r="D11" s="91">
        <v>22619</v>
      </c>
      <c r="E11" s="92" t="s">
        <v>125</v>
      </c>
      <c r="F11" s="92" t="s">
        <v>126</v>
      </c>
      <c r="G11" s="89" t="s">
        <v>127</v>
      </c>
      <c r="H11" s="89" t="s">
        <v>134</v>
      </c>
      <c r="I11" s="89">
        <v>2</v>
      </c>
      <c r="J11" s="89" t="s">
        <v>129</v>
      </c>
      <c r="K11" s="94">
        <v>36000</v>
      </c>
      <c r="L11" s="89" t="s">
        <v>140</v>
      </c>
      <c r="M11" s="95">
        <f t="shared" si="0"/>
        <v>2</v>
      </c>
      <c r="N11" s="96">
        <f t="shared" si="1"/>
        <v>0</v>
      </c>
      <c r="O11" s="96">
        <f t="shared" si="2"/>
        <v>1080</v>
      </c>
      <c r="P11" s="96">
        <f>IF(OR(Employee5[[#This Row],[Location]]="Home",Employee5[[#This Row],[Job Status]]="FT"),Employee5[[#This Row],[Annual Salary]]*0.04,Employee5[[#This Row],[Annual Salary]]*0.025)</f>
        <v>1440</v>
      </c>
      <c r="Q11" s="97">
        <f>IF(Employee5[[#This Row],[Pay Grade]]=1,$Y$4,IF(Employee5[[#This Row],[Pay Grade]]=2,$Y$5,$Y$6))</f>
        <v>5000</v>
      </c>
      <c r="R11" s="97">
        <f>IFERROR(VLOOKUP(L11,HealthPlanRates[],2,FALSE)*12,"Invalid code")</f>
        <v>0</v>
      </c>
      <c r="S11" s="97"/>
    </row>
    <row r="12" spans="1:28" x14ac:dyDescent="0.35">
      <c r="A12" s="89">
        <v>1032</v>
      </c>
      <c r="B12" s="86" t="s">
        <v>147</v>
      </c>
      <c r="C12" s="91">
        <v>39671</v>
      </c>
      <c r="D12" s="91">
        <v>21560</v>
      </c>
      <c r="E12" s="92" t="s">
        <v>62</v>
      </c>
      <c r="F12" s="92" t="s">
        <v>126</v>
      </c>
      <c r="G12" s="89" t="s">
        <v>148</v>
      </c>
      <c r="H12" s="89" t="s">
        <v>134</v>
      </c>
      <c r="I12" s="89">
        <v>1</v>
      </c>
      <c r="J12" s="89" t="s">
        <v>149</v>
      </c>
      <c r="K12" s="94">
        <v>33508</v>
      </c>
      <c r="L12" s="89" t="s">
        <v>150</v>
      </c>
      <c r="M12" s="95">
        <f t="shared" si="0"/>
        <v>6</v>
      </c>
      <c r="N12" s="96">
        <f t="shared" si="1"/>
        <v>0</v>
      </c>
      <c r="O12" s="96">
        <f t="shared" si="2"/>
        <v>0</v>
      </c>
      <c r="P12" s="96">
        <f>IF(OR(Employee5[[#This Row],[Location]]="Home",Employee5[[#This Row],[Job Status]]="FT"),Employee5[[#This Row],[Annual Salary]]*0.04,Employee5[[#This Row],[Annual Salary]]*0.025)</f>
        <v>837.7</v>
      </c>
      <c r="Q12" s="97">
        <f>IF(Employee5[[#This Row],[Pay Grade]]=1,$Y$4,IF(Employee5[[#This Row],[Pay Grade]]=2,$Y$5,$Y$6))</f>
        <v>2500</v>
      </c>
      <c r="R12" s="97">
        <f>IFERROR(VLOOKUP(L12,HealthPlanRates[],2,FALSE)*12,"Invalid code")</f>
        <v>19800</v>
      </c>
      <c r="S12" s="97"/>
    </row>
    <row r="13" spans="1:28" x14ac:dyDescent="0.35">
      <c r="A13" s="89">
        <v>1033</v>
      </c>
      <c r="B13" s="86" t="s">
        <v>151</v>
      </c>
      <c r="C13" s="91">
        <v>38880</v>
      </c>
      <c r="D13" s="91">
        <v>15371</v>
      </c>
      <c r="E13" s="92" t="s">
        <v>62</v>
      </c>
      <c r="F13" s="92" t="s">
        <v>152</v>
      </c>
      <c r="G13" s="89" t="s">
        <v>127</v>
      </c>
      <c r="H13" s="89" t="s">
        <v>134</v>
      </c>
      <c r="I13" s="89">
        <v>1</v>
      </c>
      <c r="J13" s="89" t="s">
        <v>149</v>
      </c>
      <c r="K13" s="94">
        <v>21840</v>
      </c>
      <c r="L13" s="89" t="s">
        <v>140</v>
      </c>
      <c r="M13" s="95">
        <f t="shared" si="0"/>
        <v>9</v>
      </c>
      <c r="N13" s="96">
        <f t="shared" si="1"/>
        <v>0</v>
      </c>
      <c r="O13" s="96">
        <f t="shared" si="2"/>
        <v>655.19999999999993</v>
      </c>
      <c r="P13" s="96">
        <f>IF(OR(Employee5[[#This Row],[Location]]="Home",Employee5[[#This Row],[Job Status]]="FT"),Employee5[[#This Row],[Annual Salary]]*0.04,Employee5[[#This Row],[Annual Salary]]*0.025)</f>
        <v>873.6</v>
      </c>
      <c r="Q13" s="97">
        <f>IF(Employee5[[#This Row],[Pay Grade]]=1,$Y$4,IF(Employee5[[#This Row],[Pay Grade]]=2,$Y$5,$Y$6))</f>
        <v>2500</v>
      </c>
      <c r="R13" s="97">
        <f>IFERROR(VLOOKUP(L13,HealthPlanRates[],2,FALSE)*12,"Invalid code")</f>
        <v>0</v>
      </c>
      <c r="S13" s="97"/>
    </row>
    <row r="14" spans="1:28" x14ac:dyDescent="0.35">
      <c r="A14" s="89">
        <v>1034</v>
      </c>
      <c r="B14" s="86" t="s">
        <v>153</v>
      </c>
      <c r="C14" s="91">
        <v>39937</v>
      </c>
      <c r="D14" s="91">
        <v>32747</v>
      </c>
      <c r="E14" s="92" t="s">
        <v>125</v>
      </c>
      <c r="F14" s="92" t="s">
        <v>152</v>
      </c>
      <c r="G14" s="89" t="s">
        <v>127</v>
      </c>
      <c r="H14" s="89" t="s">
        <v>134</v>
      </c>
      <c r="I14" s="89">
        <v>1</v>
      </c>
      <c r="J14" s="89" t="s">
        <v>149</v>
      </c>
      <c r="K14" s="94">
        <v>25792</v>
      </c>
      <c r="L14" s="89" t="s">
        <v>150</v>
      </c>
      <c r="M14" s="95">
        <f t="shared" si="0"/>
        <v>6</v>
      </c>
      <c r="N14" s="96">
        <f t="shared" si="1"/>
        <v>0</v>
      </c>
      <c r="O14" s="96">
        <f t="shared" si="2"/>
        <v>773.76</v>
      </c>
      <c r="P14" s="96">
        <f>IF(OR(Employee5[[#This Row],[Location]]="Home",Employee5[[#This Row],[Job Status]]="FT"),Employee5[[#This Row],[Annual Salary]]*0.04,Employee5[[#This Row],[Annual Salary]]*0.025)</f>
        <v>1031.68</v>
      </c>
      <c r="Q14" s="97">
        <f>IF(Employee5[[#This Row],[Pay Grade]]=1,$Y$4,IF(Employee5[[#This Row],[Pay Grade]]=2,$Y$5,$Y$6))</f>
        <v>2500</v>
      </c>
      <c r="R14" s="97">
        <f>IFERROR(VLOOKUP(L14,HealthPlanRates[],2,FALSE)*12,"Invalid code")</f>
        <v>19800</v>
      </c>
      <c r="S14" s="97"/>
    </row>
    <row r="15" spans="1:28" x14ac:dyDescent="0.35">
      <c r="A15" s="89">
        <v>1035</v>
      </c>
      <c r="B15" s="86" t="s">
        <v>154</v>
      </c>
      <c r="C15" s="90">
        <v>41261</v>
      </c>
      <c r="D15" s="91">
        <v>24843</v>
      </c>
      <c r="E15" s="92" t="s">
        <v>62</v>
      </c>
      <c r="F15" s="92" t="s">
        <v>126</v>
      </c>
      <c r="G15" s="89" t="s">
        <v>127</v>
      </c>
      <c r="H15" s="89" t="s">
        <v>134</v>
      </c>
      <c r="I15" s="89">
        <v>1</v>
      </c>
      <c r="J15" s="89" t="s">
        <v>149</v>
      </c>
      <c r="K15" s="94">
        <v>32011</v>
      </c>
      <c r="L15" s="89" t="s">
        <v>143</v>
      </c>
      <c r="M15" s="95">
        <f t="shared" si="0"/>
        <v>2</v>
      </c>
      <c r="N15" s="96">
        <f t="shared" si="1"/>
        <v>0</v>
      </c>
      <c r="O15" s="96">
        <f t="shared" si="2"/>
        <v>960.32999999999993</v>
      </c>
      <c r="P15" s="96">
        <f>IF(OR(Employee5[[#This Row],[Location]]="Home",Employee5[[#This Row],[Job Status]]="FT"),Employee5[[#This Row],[Annual Salary]]*0.04,Employee5[[#This Row],[Annual Salary]]*0.025)</f>
        <v>1280.44</v>
      </c>
      <c r="Q15" s="97">
        <f>IF(Employee5[[#This Row],[Pay Grade]]=1,$Y$4,IF(Employee5[[#This Row],[Pay Grade]]=2,$Y$5,$Y$6))</f>
        <v>2500</v>
      </c>
      <c r="R15" s="97">
        <f>IFERROR(VLOOKUP(L15,HealthPlanRates[],2,FALSE)*12,"Invalid code")</f>
        <v>11400</v>
      </c>
      <c r="S15" s="97"/>
    </row>
    <row r="16" spans="1:28" x14ac:dyDescent="0.35">
      <c r="A16" s="89">
        <v>1036</v>
      </c>
      <c r="B16" s="86" t="s">
        <v>155</v>
      </c>
      <c r="C16" s="91">
        <v>39572</v>
      </c>
      <c r="D16" s="91">
        <v>21303</v>
      </c>
      <c r="E16" s="92" t="s">
        <v>62</v>
      </c>
      <c r="F16" s="92" t="s">
        <v>152</v>
      </c>
      <c r="G16" s="89" t="s">
        <v>127</v>
      </c>
      <c r="H16" s="89" t="s">
        <v>128</v>
      </c>
      <c r="I16" s="89">
        <v>1</v>
      </c>
      <c r="J16" s="89" t="s">
        <v>149</v>
      </c>
      <c r="K16" s="94">
        <v>23920</v>
      </c>
      <c r="L16" s="89" t="s">
        <v>130</v>
      </c>
      <c r="M16" s="95">
        <f t="shared" si="0"/>
        <v>7</v>
      </c>
      <c r="N16" s="96">
        <f t="shared" si="1"/>
        <v>23.92</v>
      </c>
      <c r="O16" s="96">
        <f t="shared" si="2"/>
        <v>717.6</v>
      </c>
      <c r="P16" s="96">
        <f>IF(OR(Employee5[[#This Row],[Location]]="Home",Employee5[[#This Row],[Job Status]]="FT"),Employee5[[#This Row],[Annual Salary]]*0.04,Employee5[[#This Row],[Annual Salary]]*0.025)</f>
        <v>956.80000000000007</v>
      </c>
      <c r="Q16" s="97">
        <f>IF(Employee5[[#This Row],[Pay Grade]]=1,$Y$4,IF(Employee5[[#This Row],[Pay Grade]]=2,$Y$5,$Y$6))</f>
        <v>2500</v>
      </c>
      <c r="R16" s="97">
        <f>IFERROR(VLOOKUP(L16,HealthPlanRates[],2,FALSE)*12,"Invalid code")</f>
        <v>18000</v>
      </c>
      <c r="S16" s="97"/>
    </row>
    <row r="17" spans="1:19" x14ac:dyDescent="0.35">
      <c r="A17" s="89">
        <v>1037</v>
      </c>
      <c r="B17" s="86" t="s">
        <v>156</v>
      </c>
      <c r="C17" s="91">
        <v>37221</v>
      </c>
      <c r="D17" s="91">
        <v>26210</v>
      </c>
      <c r="E17" s="92" t="s">
        <v>62</v>
      </c>
      <c r="F17" s="92" t="s">
        <v>126</v>
      </c>
      <c r="G17" s="89" t="s">
        <v>127</v>
      </c>
      <c r="H17" s="89" t="s">
        <v>128</v>
      </c>
      <c r="I17" s="89">
        <v>1</v>
      </c>
      <c r="J17" s="89" t="s">
        <v>149</v>
      </c>
      <c r="K17" s="94">
        <v>32011</v>
      </c>
      <c r="L17" s="89" t="s">
        <v>140</v>
      </c>
      <c r="M17" s="95">
        <f t="shared" si="0"/>
        <v>13</v>
      </c>
      <c r="N17" s="96">
        <f t="shared" si="1"/>
        <v>32.011000000000003</v>
      </c>
      <c r="O17" s="96">
        <f t="shared" si="2"/>
        <v>960.32999999999993</v>
      </c>
      <c r="P17" s="96">
        <f>IF(OR(Employee5[[#This Row],[Location]]="Home",Employee5[[#This Row],[Job Status]]="FT"),Employee5[[#This Row],[Annual Salary]]*0.04,Employee5[[#This Row],[Annual Salary]]*0.025)</f>
        <v>1280.44</v>
      </c>
      <c r="Q17" s="97">
        <f>IF(Employee5[[#This Row],[Pay Grade]]=1,$Y$4,IF(Employee5[[#This Row],[Pay Grade]]=2,$Y$5,$Y$6))</f>
        <v>2500</v>
      </c>
      <c r="R17" s="97">
        <f>IFERROR(VLOOKUP(L17,HealthPlanRates[],2,FALSE)*12,"Invalid code")</f>
        <v>0</v>
      </c>
      <c r="S17" s="97"/>
    </row>
    <row r="18" spans="1:19" x14ac:dyDescent="0.35">
      <c r="A18" s="89">
        <v>1038</v>
      </c>
      <c r="B18" s="86" t="s">
        <v>157</v>
      </c>
      <c r="C18" s="91">
        <v>38405</v>
      </c>
      <c r="D18" s="91">
        <v>21919</v>
      </c>
      <c r="E18" s="92" t="s">
        <v>62</v>
      </c>
      <c r="F18" s="92" t="s">
        <v>152</v>
      </c>
      <c r="G18" s="89" t="s">
        <v>127</v>
      </c>
      <c r="H18" s="89" t="s">
        <v>128</v>
      </c>
      <c r="I18" s="89">
        <v>1</v>
      </c>
      <c r="J18" s="89" t="s">
        <v>149</v>
      </c>
      <c r="K18" s="94">
        <v>21840</v>
      </c>
      <c r="L18" s="89" t="s">
        <v>143</v>
      </c>
      <c r="M18" s="95">
        <f t="shared" si="0"/>
        <v>10</v>
      </c>
      <c r="N18" s="96">
        <f t="shared" si="1"/>
        <v>21.84</v>
      </c>
      <c r="O18" s="96">
        <f t="shared" si="2"/>
        <v>655.19999999999993</v>
      </c>
      <c r="P18" s="96">
        <f>IF(OR(Employee5[[#This Row],[Location]]="Home",Employee5[[#This Row],[Job Status]]="FT"),Employee5[[#This Row],[Annual Salary]]*0.04,Employee5[[#This Row],[Annual Salary]]*0.025)</f>
        <v>873.6</v>
      </c>
      <c r="Q18" s="97">
        <f>IF(Employee5[[#This Row],[Pay Grade]]=1,$Y$4,IF(Employee5[[#This Row],[Pay Grade]]=2,$Y$5,$Y$6))</f>
        <v>2500</v>
      </c>
      <c r="R18" s="97">
        <f>IFERROR(VLOOKUP(L18,HealthPlanRates[],2,FALSE)*12,"Invalid code")</f>
        <v>11400</v>
      </c>
      <c r="S18" s="97"/>
    </row>
    <row r="19" spans="1:19" x14ac:dyDescent="0.35">
      <c r="A19" s="89">
        <v>1039</v>
      </c>
      <c r="B19" s="86" t="s">
        <v>158</v>
      </c>
      <c r="C19" s="90">
        <v>41247</v>
      </c>
      <c r="D19" s="91">
        <v>25584</v>
      </c>
      <c r="E19" s="92" t="s">
        <v>62</v>
      </c>
      <c r="F19" s="92" t="s">
        <v>126</v>
      </c>
      <c r="G19" s="89" t="s">
        <v>127</v>
      </c>
      <c r="H19" s="89" t="s">
        <v>128</v>
      </c>
      <c r="I19" s="89">
        <v>2</v>
      </c>
      <c r="J19" s="89" t="s">
        <v>129</v>
      </c>
      <c r="K19" s="94">
        <v>55000</v>
      </c>
      <c r="L19" s="89" t="s">
        <v>150</v>
      </c>
      <c r="M19" s="95">
        <f t="shared" si="0"/>
        <v>2</v>
      </c>
      <c r="N19" s="96">
        <f t="shared" si="1"/>
        <v>55</v>
      </c>
      <c r="O19" s="96">
        <f t="shared" si="2"/>
        <v>1650</v>
      </c>
      <c r="P19" s="96">
        <f>IF(OR(Employee5[[#This Row],[Location]]="Home",Employee5[[#This Row],[Job Status]]="FT"),Employee5[[#This Row],[Annual Salary]]*0.04,Employee5[[#This Row],[Annual Salary]]*0.025)</f>
        <v>2200</v>
      </c>
      <c r="Q19" s="97">
        <f>IF(Employee5[[#This Row],[Pay Grade]]=1,$Y$4,IF(Employee5[[#This Row],[Pay Grade]]=2,$Y$5,$Y$6))</f>
        <v>5000</v>
      </c>
      <c r="R19" s="97">
        <f>IFERROR(VLOOKUP(L19,HealthPlanRates[],2,FALSE)*12,"Invalid code")</f>
        <v>19800</v>
      </c>
      <c r="S19" s="97"/>
    </row>
    <row r="20" spans="1:19" x14ac:dyDescent="0.35">
      <c r="A20" s="89">
        <v>1040</v>
      </c>
      <c r="B20" s="86" t="s">
        <v>159</v>
      </c>
      <c r="C20" s="90">
        <v>41194</v>
      </c>
      <c r="D20" s="91">
        <v>31383</v>
      </c>
      <c r="E20" s="92" t="s">
        <v>125</v>
      </c>
      <c r="F20" s="92" t="s">
        <v>152</v>
      </c>
      <c r="G20" s="89" t="s">
        <v>127</v>
      </c>
      <c r="H20" s="89" t="s">
        <v>128</v>
      </c>
      <c r="I20" s="89">
        <v>2</v>
      </c>
      <c r="J20" s="89" t="s">
        <v>129</v>
      </c>
      <c r="K20" s="94">
        <v>65000</v>
      </c>
      <c r="L20" s="89" t="s">
        <v>130</v>
      </c>
      <c r="M20" s="95">
        <f t="shared" si="0"/>
        <v>2</v>
      </c>
      <c r="N20" s="96">
        <f t="shared" si="1"/>
        <v>65</v>
      </c>
      <c r="O20" s="96">
        <f t="shared" si="2"/>
        <v>1950</v>
      </c>
      <c r="P20" s="96">
        <f>IF(OR(Employee5[[#This Row],[Location]]="Home",Employee5[[#This Row],[Job Status]]="FT"),Employee5[[#This Row],[Annual Salary]]*0.04,Employee5[[#This Row],[Annual Salary]]*0.025)</f>
        <v>2600</v>
      </c>
      <c r="Q20" s="97">
        <f>IF(Employee5[[#This Row],[Pay Grade]]=1,$Y$4,IF(Employee5[[#This Row],[Pay Grade]]=2,$Y$5,$Y$6))</f>
        <v>5000</v>
      </c>
      <c r="R20" s="97">
        <f>IFERROR(VLOOKUP(L20,HealthPlanRates[],2,FALSE)*12,"Invalid code")</f>
        <v>18000</v>
      </c>
      <c r="S20" s="97"/>
    </row>
    <row r="21" spans="1:19" x14ac:dyDescent="0.35">
      <c r="A21" s="89">
        <v>1041</v>
      </c>
      <c r="B21" s="86" t="s">
        <v>160</v>
      </c>
      <c r="C21" s="90">
        <v>41247</v>
      </c>
      <c r="D21" s="91">
        <v>21679</v>
      </c>
      <c r="E21" s="92" t="s">
        <v>62</v>
      </c>
      <c r="F21" s="92" t="s">
        <v>137</v>
      </c>
      <c r="G21" s="89" t="s">
        <v>127</v>
      </c>
      <c r="H21" s="89" t="s">
        <v>128</v>
      </c>
      <c r="I21" s="89">
        <v>3</v>
      </c>
      <c r="J21" s="89" t="s">
        <v>129</v>
      </c>
      <c r="K21" s="94">
        <v>125000</v>
      </c>
      <c r="L21" s="89" t="s">
        <v>130</v>
      </c>
      <c r="M21" s="95">
        <f t="shared" si="0"/>
        <v>2</v>
      </c>
      <c r="N21" s="96">
        <f t="shared" si="1"/>
        <v>125</v>
      </c>
      <c r="O21" s="96">
        <f t="shared" si="2"/>
        <v>3750</v>
      </c>
      <c r="P21" s="96">
        <f>IF(OR(Employee5[[#This Row],[Location]]="Home",Employee5[[#This Row],[Job Status]]="FT"),Employee5[[#This Row],[Annual Salary]]*0.04,Employee5[[#This Row],[Annual Salary]]*0.025)</f>
        <v>5000</v>
      </c>
      <c r="Q21" s="97">
        <f>IF(Employee5[[#This Row],[Pay Grade]]=1,$Y$4,IF(Employee5[[#This Row],[Pay Grade]]=2,$Y$5,$Y$6))</f>
        <v>7500</v>
      </c>
      <c r="R21" s="97">
        <f>IFERROR(VLOOKUP(L21,HealthPlanRates[],2,FALSE)*12,"Invalid code")</f>
        <v>18000</v>
      </c>
      <c r="S21" s="97"/>
    </row>
    <row r="22" spans="1:19" x14ac:dyDescent="0.35">
      <c r="A22" s="89">
        <v>1042</v>
      </c>
      <c r="B22" s="86" t="s">
        <v>161</v>
      </c>
      <c r="C22" s="91">
        <v>39412</v>
      </c>
      <c r="D22" s="91">
        <v>24237</v>
      </c>
      <c r="E22" s="92" t="s">
        <v>125</v>
      </c>
      <c r="F22" s="92" t="s">
        <v>126</v>
      </c>
      <c r="G22" s="89" t="s">
        <v>127</v>
      </c>
      <c r="H22" s="89" t="s">
        <v>128</v>
      </c>
      <c r="I22" s="89">
        <v>3</v>
      </c>
      <c r="J22" s="89" t="s">
        <v>129</v>
      </c>
      <c r="K22" s="94">
        <v>80000</v>
      </c>
      <c r="L22" s="89" t="s">
        <v>145</v>
      </c>
      <c r="M22" s="95">
        <f t="shared" si="0"/>
        <v>7</v>
      </c>
      <c r="N22" s="96">
        <f t="shared" si="1"/>
        <v>80</v>
      </c>
      <c r="O22" s="96">
        <f t="shared" si="2"/>
        <v>2400</v>
      </c>
      <c r="P22" s="96">
        <f>IF(OR(Employee5[[#This Row],[Location]]="Home",Employee5[[#This Row],[Job Status]]="FT"),Employee5[[#This Row],[Annual Salary]]*0.04,Employee5[[#This Row],[Annual Salary]]*0.025)</f>
        <v>3200</v>
      </c>
      <c r="Q22" s="97">
        <f>IF(Employee5[[#This Row],[Pay Grade]]=1,$Y$4,IF(Employee5[[#This Row],[Pay Grade]]=2,$Y$5,$Y$6))</f>
        <v>7500</v>
      </c>
      <c r="R22" s="97">
        <f>IFERROR(VLOOKUP(L22,HealthPlanRates[],2,FALSE)*12,"Invalid code")</f>
        <v>10500</v>
      </c>
      <c r="S22" s="97"/>
    </row>
    <row r="23" spans="1:19" x14ac:dyDescent="0.35">
      <c r="A23" s="89">
        <v>1043</v>
      </c>
      <c r="B23" s="86" t="s">
        <v>162</v>
      </c>
      <c r="C23" s="91">
        <v>40256</v>
      </c>
      <c r="D23" s="91">
        <v>26907</v>
      </c>
      <c r="E23" s="92" t="s">
        <v>62</v>
      </c>
      <c r="F23" s="89" t="s">
        <v>133</v>
      </c>
      <c r="G23" s="89" t="s">
        <v>127</v>
      </c>
      <c r="H23" s="89" t="s">
        <v>134</v>
      </c>
      <c r="I23" s="89">
        <v>3</v>
      </c>
      <c r="J23" s="89" t="s">
        <v>129</v>
      </c>
      <c r="K23" s="94">
        <v>60000</v>
      </c>
      <c r="L23" s="89" t="s">
        <v>140</v>
      </c>
      <c r="M23" s="95">
        <f t="shared" si="0"/>
        <v>5</v>
      </c>
      <c r="N23" s="96">
        <f t="shared" si="1"/>
        <v>0</v>
      </c>
      <c r="O23" s="96">
        <f t="shared" si="2"/>
        <v>1800</v>
      </c>
      <c r="P23" s="96">
        <f>IF(OR(Employee5[[#This Row],[Location]]="Home",Employee5[[#This Row],[Job Status]]="FT"),Employee5[[#This Row],[Annual Salary]]*0.04,Employee5[[#This Row],[Annual Salary]]*0.025)</f>
        <v>2400</v>
      </c>
      <c r="Q23" s="97">
        <f>IF(Employee5[[#This Row],[Pay Grade]]=1,$Y$4,IF(Employee5[[#This Row],[Pay Grade]]=2,$Y$5,$Y$6))</f>
        <v>7500</v>
      </c>
      <c r="R23" s="97">
        <f>IFERROR(VLOOKUP(L23,HealthPlanRates[],2,FALSE)*12,"Invalid code")</f>
        <v>0</v>
      </c>
      <c r="S23" s="97"/>
    </row>
    <row r="24" spans="1:19" x14ac:dyDescent="0.35">
      <c r="A24" s="89">
        <v>1044</v>
      </c>
      <c r="B24" s="86" t="s">
        <v>163</v>
      </c>
      <c r="C24" s="91">
        <v>37060</v>
      </c>
      <c r="D24" s="91">
        <v>19281</v>
      </c>
      <c r="E24" s="92" t="s">
        <v>125</v>
      </c>
      <c r="F24" s="92" t="s">
        <v>126</v>
      </c>
      <c r="G24" s="89" t="s">
        <v>127</v>
      </c>
      <c r="H24" s="89" t="s">
        <v>128</v>
      </c>
      <c r="I24" s="89">
        <v>3</v>
      </c>
      <c r="J24" s="89" t="s">
        <v>129</v>
      </c>
      <c r="K24" s="94">
        <v>122500</v>
      </c>
      <c r="L24" s="89" t="s">
        <v>130</v>
      </c>
      <c r="M24" s="95">
        <f t="shared" si="0"/>
        <v>14</v>
      </c>
      <c r="N24" s="96">
        <f t="shared" si="1"/>
        <v>122.5</v>
      </c>
      <c r="O24" s="96">
        <f t="shared" si="2"/>
        <v>3675</v>
      </c>
      <c r="P24" s="96">
        <f>IF(OR(Employee5[[#This Row],[Location]]="Home",Employee5[[#This Row],[Job Status]]="FT"),Employee5[[#This Row],[Annual Salary]]*0.04,Employee5[[#This Row],[Annual Salary]]*0.025)</f>
        <v>4900</v>
      </c>
      <c r="Q24" s="97">
        <f>IF(Employee5[[#This Row],[Pay Grade]]=1,$Y$4,IF(Employee5[[#This Row],[Pay Grade]]=2,$Y$5,$Y$6))</f>
        <v>7500</v>
      </c>
      <c r="R24" s="97">
        <f>IFERROR(VLOOKUP(L24,HealthPlanRates[],2,FALSE)*12,"Invalid code")</f>
        <v>18000</v>
      </c>
      <c r="S24" s="97"/>
    </row>
    <row r="25" spans="1:19" x14ac:dyDescent="0.35">
      <c r="A25" s="89">
        <v>1045</v>
      </c>
      <c r="B25" s="86" t="s">
        <v>164</v>
      </c>
      <c r="C25" s="90">
        <v>41111</v>
      </c>
      <c r="D25" s="91">
        <v>24049</v>
      </c>
      <c r="E25" s="92" t="s">
        <v>125</v>
      </c>
      <c r="F25" s="92" t="s">
        <v>126</v>
      </c>
      <c r="G25" s="89" t="s">
        <v>127</v>
      </c>
      <c r="H25" s="89" t="s">
        <v>128</v>
      </c>
      <c r="I25" s="89">
        <v>3</v>
      </c>
      <c r="J25" s="89" t="s">
        <v>129</v>
      </c>
      <c r="K25" s="94">
        <v>200000</v>
      </c>
      <c r="L25" s="89" t="s">
        <v>130</v>
      </c>
      <c r="M25" s="95">
        <f t="shared" si="0"/>
        <v>2</v>
      </c>
      <c r="N25" s="96">
        <f t="shared" si="1"/>
        <v>200</v>
      </c>
      <c r="O25" s="96">
        <f t="shared" si="2"/>
        <v>6000</v>
      </c>
      <c r="P25" s="96">
        <f>IF(OR(Employee5[[#This Row],[Location]]="Home",Employee5[[#This Row],[Job Status]]="FT"),Employee5[[#This Row],[Annual Salary]]*0.04,Employee5[[#This Row],[Annual Salary]]*0.025)</f>
        <v>8000</v>
      </c>
      <c r="Q25" s="97">
        <f>IF(Employee5[[#This Row],[Pay Grade]]=1,$Y$4,IF(Employee5[[#This Row],[Pay Grade]]=2,$Y$5,$Y$6))</f>
        <v>7500</v>
      </c>
      <c r="R25" s="97">
        <f>IFERROR(VLOOKUP(L25,HealthPlanRates[],2,FALSE)*12,"Invalid code")</f>
        <v>18000</v>
      </c>
      <c r="S25" s="97"/>
    </row>
    <row r="26" spans="1:19" x14ac:dyDescent="0.35">
      <c r="A26" s="89">
        <v>1046</v>
      </c>
      <c r="B26" s="86" t="s">
        <v>165</v>
      </c>
      <c r="C26" s="91">
        <v>40874</v>
      </c>
      <c r="D26" s="91">
        <v>19153</v>
      </c>
      <c r="E26" s="92" t="s">
        <v>62</v>
      </c>
      <c r="F26" s="89" t="s">
        <v>133</v>
      </c>
      <c r="G26" s="89" t="s">
        <v>148</v>
      </c>
      <c r="H26" s="89" t="s">
        <v>134</v>
      </c>
      <c r="I26" s="89">
        <v>1</v>
      </c>
      <c r="J26" s="89" t="s">
        <v>149</v>
      </c>
      <c r="K26" s="94">
        <v>31761</v>
      </c>
      <c r="L26" s="89" t="s">
        <v>145</v>
      </c>
      <c r="M26" s="95">
        <f t="shared" si="0"/>
        <v>3</v>
      </c>
      <c r="N26" s="96">
        <f t="shared" si="1"/>
        <v>0</v>
      </c>
      <c r="O26" s="96">
        <f t="shared" si="2"/>
        <v>0</v>
      </c>
      <c r="P26" s="96">
        <f>IF(OR(Employee5[[#This Row],[Location]]="Home",Employee5[[#This Row],[Job Status]]="FT"),Employee5[[#This Row],[Annual Salary]]*0.04,Employee5[[#This Row],[Annual Salary]]*0.025)</f>
        <v>1270.44</v>
      </c>
      <c r="Q26" s="97">
        <f>IF(Employee5[[#This Row],[Pay Grade]]=1,$Y$4,IF(Employee5[[#This Row],[Pay Grade]]=2,$Y$5,$Y$6))</f>
        <v>2500</v>
      </c>
      <c r="R26" s="97">
        <f>IFERROR(VLOOKUP(L26,HealthPlanRates[],2,FALSE)*12,"Invalid code")</f>
        <v>10500</v>
      </c>
      <c r="S26" s="97"/>
    </row>
    <row r="27" spans="1:19" x14ac:dyDescent="0.35">
      <c r="A27" s="89">
        <v>1047</v>
      </c>
      <c r="B27" s="86" t="s">
        <v>166</v>
      </c>
      <c r="C27" s="90">
        <v>41324</v>
      </c>
      <c r="D27" s="91">
        <v>22747</v>
      </c>
      <c r="E27" s="92" t="s">
        <v>125</v>
      </c>
      <c r="F27" s="92" t="s">
        <v>126</v>
      </c>
      <c r="G27" s="89" t="s">
        <v>127</v>
      </c>
      <c r="H27" s="89" t="s">
        <v>128</v>
      </c>
      <c r="I27" s="89">
        <v>3</v>
      </c>
      <c r="J27" s="89" t="s">
        <v>129</v>
      </c>
      <c r="K27" s="94">
        <v>65000</v>
      </c>
      <c r="L27" s="89" t="s">
        <v>130</v>
      </c>
      <c r="M27" s="95">
        <f t="shared" si="0"/>
        <v>2</v>
      </c>
      <c r="N27" s="96">
        <f t="shared" si="1"/>
        <v>65</v>
      </c>
      <c r="O27" s="96">
        <f t="shared" si="2"/>
        <v>1950</v>
      </c>
      <c r="P27" s="96">
        <f>IF(OR(Employee5[[#This Row],[Location]]="Home",Employee5[[#This Row],[Job Status]]="FT"),Employee5[[#This Row],[Annual Salary]]*0.04,Employee5[[#This Row],[Annual Salary]]*0.025)</f>
        <v>2600</v>
      </c>
      <c r="Q27" s="97">
        <f>IF(Employee5[[#This Row],[Pay Grade]]=1,$Y$4,IF(Employee5[[#This Row],[Pay Grade]]=2,$Y$5,$Y$6))</f>
        <v>7500</v>
      </c>
      <c r="R27" s="97">
        <f>IFERROR(VLOOKUP(L27,HealthPlanRates[],2,FALSE)*12,"Invalid code")</f>
        <v>18000</v>
      </c>
      <c r="S27" s="97"/>
    </row>
    <row r="28" spans="1:19" x14ac:dyDescent="0.35">
      <c r="A28" s="89">
        <v>1048</v>
      </c>
      <c r="B28" s="86" t="s">
        <v>167</v>
      </c>
      <c r="C28" s="91">
        <v>38538</v>
      </c>
      <c r="D28" s="91">
        <v>21626</v>
      </c>
      <c r="E28" s="92" t="s">
        <v>62</v>
      </c>
      <c r="F28" s="92" t="s">
        <v>126</v>
      </c>
      <c r="G28" s="89" t="s">
        <v>127</v>
      </c>
      <c r="H28" s="89" t="s">
        <v>134</v>
      </c>
      <c r="I28" s="89">
        <v>1</v>
      </c>
      <c r="J28" s="89" t="s">
        <v>149</v>
      </c>
      <c r="K28" s="94">
        <v>24752</v>
      </c>
      <c r="L28" s="89" t="s">
        <v>140</v>
      </c>
      <c r="M28" s="95">
        <f t="shared" si="0"/>
        <v>9</v>
      </c>
      <c r="N28" s="96">
        <f t="shared" si="1"/>
        <v>0</v>
      </c>
      <c r="O28" s="96">
        <f t="shared" si="2"/>
        <v>742.56</v>
      </c>
      <c r="P28" s="96">
        <f>IF(OR(Employee5[[#This Row],[Location]]="Home",Employee5[[#This Row],[Job Status]]="FT"),Employee5[[#This Row],[Annual Salary]]*0.04,Employee5[[#This Row],[Annual Salary]]*0.025)</f>
        <v>990.08</v>
      </c>
      <c r="Q28" s="97">
        <f>IF(Employee5[[#This Row],[Pay Grade]]=1,$Y$4,IF(Employee5[[#This Row],[Pay Grade]]=2,$Y$5,$Y$6))</f>
        <v>2500</v>
      </c>
      <c r="R28" s="97">
        <f>IFERROR(VLOOKUP(L28,HealthPlanRates[],2,FALSE)*12,"Invalid code")</f>
        <v>0</v>
      </c>
      <c r="S28" s="97"/>
    </row>
    <row r="29" spans="1:19" x14ac:dyDescent="0.35">
      <c r="A29" s="89">
        <v>1049</v>
      </c>
      <c r="B29" s="86" t="s">
        <v>168</v>
      </c>
      <c r="C29" s="91">
        <v>40734</v>
      </c>
      <c r="D29" s="91">
        <v>22382</v>
      </c>
      <c r="E29" s="92" t="s">
        <v>125</v>
      </c>
      <c r="F29" s="92" t="s">
        <v>137</v>
      </c>
      <c r="G29" s="89" t="s">
        <v>127</v>
      </c>
      <c r="H29" s="89" t="s">
        <v>128</v>
      </c>
      <c r="I29" s="89">
        <v>3</v>
      </c>
      <c r="J29" s="89" t="s">
        <v>129</v>
      </c>
      <c r="K29" s="94">
        <v>175000</v>
      </c>
      <c r="L29" s="89" t="s">
        <v>140</v>
      </c>
      <c r="M29" s="95">
        <f t="shared" si="0"/>
        <v>3</v>
      </c>
      <c r="N29" s="96">
        <f t="shared" si="1"/>
        <v>175</v>
      </c>
      <c r="O29" s="96">
        <f t="shared" si="2"/>
        <v>5250</v>
      </c>
      <c r="P29" s="96">
        <f>IF(OR(Employee5[[#This Row],[Location]]="Home",Employee5[[#This Row],[Job Status]]="FT"),Employee5[[#This Row],[Annual Salary]]*0.04,Employee5[[#This Row],[Annual Salary]]*0.025)</f>
        <v>7000</v>
      </c>
      <c r="Q29" s="97">
        <f>IF(Employee5[[#This Row],[Pay Grade]]=1,$Y$4,IF(Employee5[[#This Row],[Pay Grade]]=2,$Y$5,$Y$6))</f>
        <v>7500</v>
      </c>
      <c r="R29" s="97">
        <f>IFERROR(VLOOKUP(L29,HealthPlanRates[],2,FALSE)*12,"Invalid code")</f>
        <v>0</v>
      </c>
      <c r="S29" s="97"/>
    </row>
    <row r="30" spans="1:19" x14ac:dyDescent="0.35">
      <c r="A30" s="89">
        <v>1050</v>
      </c>
      <c r="B30" s="86" t="s">
        <v>169</v>
      </c>
      <c r="C30" s="90">
        <v>41219</v>
      </c>
      <c r="D30" s="91">
        <v>33565</v>
      </c>
      <c r="E30" s="92" t="s">
        <v>62</v>
      </c>
      <c r="F30" s="92" t="s">
        <v>126</v>
      </c>
      <c r="G30" s="89" t="s">
        <v>127</v>
      </c>
      <c r="H30" s="89" t="s">
        <v>128</v>
      </c>
      <c r="I30" s="89">
        <v>1</v>
      </c>
      <c r="J30" s="89" t="s">
        <v>149</v>
      </c>
      <c r="K30" s="94">
        <v>29120</v>
      </c>
      <c r="L30" s="89" t="s">
        <v>150</v>
      </c>
      <c r="M30" s="95">
        <f t="shared" si="0"/>
        <v>2</v>
      </c>
      <c r="N30" s="96">
        <f t="shared" si="1"/>
        <v>29.12</v>
      </c>
      <c r="O30" s="96">
        <f t="shared" si="2"/>
        <v>873.6</v>
      </c>
      <c r="P30" s="96">
        <f>IF(OR(Employee5[[#This Row],[Location]]="Home",Employee5[[#This Row],[Job Status]]="FT"),Employee5[[#This Row],[Annual Salary]]*0.04,Employee5[[#This Row],[Annual Salary]]*0.025)</f>
        <v>1164.8</v>
      </c>
      <c r="Q30" s="97">
        <f>IF(Employee5[[#This Row],[Pay Grade]]=1,$Y$4,IF(Employee5[[#This Row],[Pay Grade]]=2,$Y$5,$Y$6))</f>
        <v>2500</v>
      </c>
      <c r="R30" s="97">
        <f>IFERROR(VLOOKUP(L30,HealthPlanRates[],2,FALSE)*12,"Invalid code")</f>
        <v>19800</v>
      </c>
      <c r="S30" s="97"/>
    </row>
    <row r="31" spans="1:19" x14ac:dyDescent="0.35">
      <c r="A31" s="89">
        <v>1051</v>
      </c>
      <c r="B31" s="86" t="s">
        <v>170</v>
      </c>
      <c r="C31" s="90">
        <v>41247</v>
      </c>
      <c r="D31" s="91">
        <v>24395</v>
      </c>
      <c r="E31" s="92" t="s">
        <v>125</v>
      </c>
      <c r="F31" s="92" t="s">
        <v>137</v>
      </c>
      <c r="G31" s="89" t="s">
        <v>127</v>
      </c>
      <c r="H31" s="89" t="s">
        <v>128</v>
      </c>
      <c r="I31" s="89">
        <v>3</v>
      </c>
      <c r="J31" s="89" t="s">
        <v>129</v>
      </c>
      <c r="K31" s="94">
        <v>75000</v>
      </c>
      <c r="L31" s="89" t="s">
        <v>130</v>
      </c>
      <c r="M31" s="95">
        <f t="shared" si="0"/>
        <v>2</v>
      </c>
      <c r="N31" s="96">
        <f t="shared" si="1"/>
        <v>75</v>
      </c>
      <c r="O31" s="96">
        <f t="shared" si="2"/>
        <v>2250</v>
      </c>
      <c r="P31" s="96">
        <f>IF(OR(Employee5[[#This Row],[Location]]="Home",Employee5[[#This Row],[Job Status]]="FT"),Employee5[[#This Row],[Annual Salary]]*0.04,Employee5[[#This Row],[Annual Salary]]*0.025)</f>
        <v>3000</v>
      </c>
      <c r="Q31" s="97">
        <f>IF(Employee5[[#This Row],[Pay Grade]]=1,$Y$4,IF(Employee5[[#This Row],[Pay Grade]]=2,$Y$5,$Y$6))</f>
        <v>7500</v>
      </c>
      <c r="R31" s="97">
        <f>IFERROR(VLOOKUP(L31,HealthPlanRates[],2,FALSE)*12,"Invalid code")</f>
        <v>18000</v>
      </c>
      <c r="S31" s="97"/>
    </row>
    <row r="32" spans="1:19" x14ac:dyDescent="0.35">
      <c r="A32" s="89">
        <v>1052</v>
      </c>
      <c r="B32" s="86" t="s">
        <v>171</v>
      </c>
      <c r="C32" s="91">
        <v>36609</v>
      </c>
      <c r="D32" s="91">
        <v>23719</v>
      </c>
      <c r="E32" s="92" t="s">
        <v>125</v>
      </c>
      <c r="F32" s="92" t="s">
        <v>126</v>
      </c>
      <c r="G32" s="89" t="s">
        <v>127</v>
      </c>
      <c r="H32" s="89" t="s">
        <v>134</v>
      </c>
      <c r="I32" s="89">
        <v>3</v>
      </c>
      <c r="J32" s="89" t="s">
        <v>129</v>
      </c>
      <c r="K32" s="94">
        <v>60000</v>
      </c>
      <c r="L32" s="89" t="s">
        <v>130</v>
      </c>
      <c r="M32" s="95">
        <f t="shared" si="0"/>
        <v>15</v>
      </c>
      <c r="N32" s="96">
        <f t="shared" si="1"/>
        <v>0</v>
      </c>
      <c r="O32" s="96">
        <f t="shared" si="2"/>
        <v>1800</v>
      </c>
      <c r="P32" s="96">
        <f>IF(OR(Employee5[[#This Row],[Location]]="Home",Employee5[[#This Row],[Job Status]]="FT"),Employee5[[#This Row],[Annual Salary]]*0.04,Employee5[[#This Row],[Annual Salary]]*0.025)</f>
        <v>2400</v>
      </c>
      <c r="Q32" s="97">
        <f>IF(Employee5[[#This Row],[Pay Grade]]=1,$Y$4,IF(Employee5[[#This Row],[Pay Grade]]=2,$Y$5,$Y$6))</f>
        <v>7500</v>
      </c>
      <c r="R32" s="97">
        <f>IFERROR(VLOOKUP(L32,HealthPlanRates[],2,FALSE)*12,"Invalid code")</f>
        <v>18000</v>
      </c>
      <c r="S32" s="97"/>
    </row>
    <row r="33" spans="1:19" x14ac:dyDescent="0.35">
      <c r="A33" s="89">
        <v>1053</v>
      </c>
      <c r="B33" s="86" t="s">
        <v>172</v>
      </c>
      <c r="C33" s="91">
        <v>39591</v>
      </c>
      <c r="D33" s="91">
        <v>22692</v>
      </c>
      <c r="E33" s="92" t="s">
        <v>125</v>
      </c>
      <c r="F33" s="92" t="s">
        <v>137</v>
      </c>
      <c r="G33" s="89" t="s">
        <v>127</v>
      </c>
      <c r="H33" s="89" t="s">
        <v>128</v>
      </c>
      <c r="I33" s="89">
        <v>4</v>
      </c>
      <c r="J33" s="89" t="s">
        <v>129</v>
      </c>
      <c r="K33" s="94">
        <v>200000</v>
      </c>
      <c r="L33" s="93" t="s">
        <v>130</v>
      </c>
      <c r="M33" s="95">
        <f t="shared" si="0"/>
        <v>7</v>
      </c>
      <c r="N33" s="96">
        <f t="shared" si="1"/>
        <v>200</v>
      </c>
      <c r="O33" s="96">
        <f t="shared" si="2"/>
        <v>6000</v>
      </c>
      <c r="P33" s="96">
        <f>IF(OR(Employee5[[#This Row],[Location]]="Home",Employee5[[#This Row],[Job Status]]="FT"),Employee5[[#This Row],[Annual Salary]]*0.04,Employee5[[#This Row],[Annual Salary]]*0.025)</f>
        <v>8000</v>
      </c>
      <c r="Q33" s="97">
        <f>IF(Employee5[[#This Row],[Pay Grade]]=1,$Y$4,IF(Employee5[[#This Row],[Pay Grade]]=2,$Y$5,$Y$6))</f>
        <v>7500</v>
      </c>
      <c r="R33" s="97">
        <f>IFERROR(VLOOKUP(L33,HealthPlanRates[],2,FALSE)*12,"Invalid code")</f>
        <v>18000</v>
      </c>
      <c r="S33" s="97"/>
    </row>
    <row r="34" spans="1:19" x14ac:dyDescent="0.35">
      <c r="A34" s="89">
        <v>1054</v>
      </c>
      <c r="B34" s="86" t="s">
        <v>173</v>
      </c>
      <c r="C34" s="91">
        <v>36384</v>
      </c>
      <c r="D34" s="91">
        <v>25126</v>
      </c>
      <c r="E34" s="92" t="s">
        <v>125</v>
      </c>
      <c r="F34" s="92" t="s">
        <v>126</v>
      </c>
      <c r="G34" s="89" t="s">
        <v>127</v>
      </c>
      <c r="H34" s="89" t="s">
        <v>128</v>
      </c>
      <c r="I34" s="89">
        <v>3</v>
      </c>
      <c r="J34" s="89" t="s">
        <v>129</v>
      </c>
      <c r="K34" s="94">
        <v>110000</v>
      </c>
      <c r="L34" s="89" t="s">
        <v>145</v>
      </c>
      <c r="M34" s="95">
        <f t="shared" si="0"/>
        <v>15</v>
      </c>
      <c r="N34" s="96">
        <f t="shared" si="1"/>
        <v>110</v>
      </c>
      <c r="O34" s="96">
        <f t="shared" si="2"/>
        <v>3300</v>
      </c>
      <c r="P34" s="96">
        <f>IF(OR(Employee5[[#This Row],[Location]]="Home",Employee5[[#This Row],[Job Status]]="FT"),Employee5[[#This Row],[Annual Salary]]*0.04,Employee5[[#This Row],[Annual Salary]]*0.025)</f>
        <v>4400</v>
      </c>
      <c r="Q34" s="97">
        <f>IF(Employee5[[#This Row],[Pay Grade]]=1,$Y$4,IF(Employee5[[#This Row],[Pay Grade]]=2,$Y$5,$Y$6))</f>
        <v>7500</v>
      </c>
      <c r="R34" s="97">
        <f>IFERROR(VLOOKUP(L34,HealthPlanRates[],2,FALSE)*12,"Invalid code")</f>
        <v>10500</v>
      </c>
      <c r="S34" s="97"/>
    </row>
    <row r="35" spans="1:19" x14ac:dyDescent="0.35">
      <c r="A35" s="89">
        <v>1055</v>
      </c>
      <c r="B35" s="86" t="s">
        <v>174</v>
      </c>
      <c r="C35" s="90">
        <v>41219</v>
      </c>
      <c r="D35" s="91">
        <v>26743</v>
      </c>
      <c r="E35" s="92" t="s">
        <v>125</v>
      </c>
      <c r="F35" s="92" t="s">
        <v>152</v>
      </c>
      <c r="G35" s="89" t="s">
        <v>127</v>
      </c>
      <c r="H35" s="89" t="s">
        <v>134</v>
      </c>
      <c r="I35" s="89">
        <v>1</v>
      </c>
      <c r="J35" s="89" t="s">
        <v>149</v>
      </c>
      <c r="K35" s="94">
        <v>22880</v>
      </c>
      <c r="L35" s="89" t="s">
        <v>150</v>
      </c>
      <c r="M35" s="95">
        <f t="shared" si="0"/>
        <v>2</v>
      </c>
      <c r="N35" s="96">
        <f t="shared" si="1"/>
        <v>0</v>
      </c>
      <c r="O35" s="96">
        <f t="shared" si="2"/>
        <v>686.4</v>
      </c>
      <c r="P35" s="96">
        <f>IF(OR(Employee5[[#This Row],[Location]]="Home",Employee5[[#This Row],[Job Status]]="FT"),Employee5[[#This Row],[Annual Salary]]*0.04,Employee5[[#This Row],[Annual Salary]]*0.025)</f>
        <v>915.2</v>
      </c>
      <c r="Q35" s="97">
        <f>IF(Employee5[[#This Row],[Pay Grade]]=1,$Y$4,IF(Employee5[[#This Row],[Pay Grade]]=2,$Y$5,$Y$6))</f>
        <v>2500</v>
      </c>
      <c r="R35" s="97">
        <f>IFERROR(VLOOKUP(L35,HealthPlanRates[],2,FALSE)*12,"Invalid code")</f>
        <v>19800</v>
      </c>
      <c r="S35" s="97"/>
    </row>
    <row r="36" spans="1:19" x14ac:dyDescent="0.35">
      <c r="A36" s="89">
        <v>1056</v>
      </c>
      <c r="B36" s="86" t="s">
        <v>175</v>
      </c>
      <c r="C36" s="91">
        <v>39243</v>
      </c>
      <c r="D36" s="91">
        <v>24217</v>
      </c>
      <c r="E36" s="92" t="s">
        <v>62</v>
      </c>
      <c r="F36" s="92" t="s">
        <v>152</v>
      </c>
      <c r="G36" s="89" t="s">
        <v>127</v>
      </c>
      <c r="H36" s="89" t="s">
        <v>134</v>
      </c>
      <c r="I36" s="89">
        <v>1</v>
      </c>
      <c r="J36" s="89" t="s">
        <v>149</v>
      </c>
      <c r="K36" s="94">
        <v>22880</v>
      </c>
      <c r="L36" s="89" t="s">
        <v>145</v>
      </c>
      <c r="M36" s="95">
        <f t="shared" si="0"/>
        <v>8</v>
      </c>
      <c r="N36" s="96">
        <f t="shared" si="1"/>
        <v>0</v>
      </c>
      <c r="O36" s="96">
        <f t="shared" si="2"/>
        <v>686.4</v>
      </c>
      <c r="P36" s="96">
        <f>IF(OR(Employee5[[#This Row],[Location]]="Home",Employee5[[#This Row],[Job Status]]="FT"),Employee5[[#This Row],[Annual Salary]]*0.04,Employee5[[#This Row],[Annual Salary]]*0.025)</f>
        <v>915.2</v>
      </c>
      <c r="Q36" s="97">
        <f>IF(Employee5[[#This Row],[Pay Grade]]=1,$Y$4,IF(Employee5[[#This Row],[Pay Grade]]=2,$Y$5,$Y$6))</f>
        <v>2500</v>
      </c>
      <c r="R36" s="97">
        <f>IFERROR(VLOOKUP(L36,HealthPlanRates[],2,FALSE)*12,"Invalid code")</f>
        <v>10500</v>
      </c>
      <c r="S36" s="97"/>
    </row>
    <row r="37" spans="1:19" x14ac:dyDescent="0.35">
      <c r="A37" s="89">
        <v>1057</v>
      </c>
      <c r="B37" s="86" t="s">
        <v>176</v>
      </c>
      <c r="C37" s="90">
        <v>41282</v>
      </c>
      <c r="D37" s="91">
        <v>20900</v>
      </c>
      <c r="E37" s="92" t="s">
        <v>125</v>
      </c>
      <c r="F37" s="92" t="s">
        <v>126</v>
      </c>
      <c r="G37" s="89" t="s">
        <v>127</v>
      </c>
      <c r="H37" s="89" t="s">
        <v>128</v>
      </c>
      <c r="I37" s="89">
        <v>3</v>
      </c>
      <c r="J37" s="89" t="s">
        <v>129</v>
      </c>
      <c r="K37" s="94">
        <v>85000</v>
      </c>
      <c r="L37" s="89" t="s">
        <v>145</v>
      </c>
      <c r="M37" s="95">
        <f t="shared" si="0"/>
        <v>2</v>
      </c>
      <c r="N37" s="96">
        <f t="shared" si="1"/>
        <v>85</v>
      </c>
      <c r="O37" s="96">
        <f t="shared" si="2"/>
        <v>2550</v>
      </c>
      <c r="P37" s="96">
        <f>IF(OR(Employee5[[#This Row],[Location]]="Home",Employee5[[#This Row],[Job Status]]="FT"),Employee5[[#This Row],[Annual Salary]]*0.04,Employee5[[#This Row],[Annual Salary]]*0.025)</f>
        <v>3400</v>
      </c>
      <c r="Q37" s="97">
        <f>IF(Employee5[[#This Row],[Pay Grade]]=1,$Y$4,IF(Employee5[[#This Row],[Pay Grade]]=2,$Y$5,$Y$6))</f>
        <v>7500</v>
      </c>
      <c r="R37" s="97">
        <f>IFERROR(VLOOKUP(L37,HealthPlanRates[],2,FALSE)*12,"Invalid code")</f>
        <v>10500</v>
      </c>
      <c r="S37" s="97"/>
    </row>
    <row r="38" spans="1:19" x14ac:dyDescent="0.35">
      <c r="A38" s="89">
        <v>1058</v>
      </c>
      <c r="B38" s="86" t="s">
        <v>177</v>
      </c>
      <c r="C38" s="91">
        <v>39937</v>
      </c>
      <c r="D38" s="91">
        <v>24651</v>
      </c>
      <c r="E38" s="92" t="s">
        <v>125</v>
      </c>
      <c r="F38" s="89" t="s">
        <v>133</v>
      </c>
      <c r="G38" s="89" t="s">
        <v>148</v>
      </c>
      <c r="H38" s="89" t="s">
        <v>134</v>
      </c>
      <c r="I38" s="89">
        <v>2</v>
      </c>
      <c r="J38" s="89" t="s">
        <v>129</v>
      </c>
      <c r="K38" s="94">
        <v>33000</v>
      </c>
      <c r="L38" s="89" t="s">
        <v>130</v>
      </c>
      <c r="M38" s="95">
        <f t="shared" si="0"/>
        <v>6</v>
      </c>
      <c r="N38" s="96">
        <f t="shared" si="1"/>
        <v>0</v>
      </c>
      <c r="O38" s="96">
        <f t="shared" si="2"/>
        <v>0</v>
      </c>
      <c r="P38" s="96">
        <f>IF(OR(Employee5[[#This Row],[Location]]="Home",Employee5[[#This Row],[Job Status]]="FT"),Employee5[[#This Row],[Annual Salary]]*0.04,Employee5[[#This Row],[Annual Salary]]*0.025)</f>
        <v>1320</v>
      </c>
      <c r="Q38" s="97">
        <f>IF(Employee5[[#This Row],[Pay Grade]]=1,$Y$4,IF(Employee5[[#This Row],[Pay Grade]]=2,$Y$5,$Y$6))</f>
        <v>5000</v>
      </c>
      <c r="R38" s="97">
        <f>IFERROR(VLOOKUP(L38,HealthPlanRates[],2,FALSE)*12,"Invalid code")</f>
        <v>18000</v>
      </c>
      <c r="S38" s="97"/>
    </row>
    <row r="39" spans="1:19" x14ac:dyDescent="0.35">
      <c r="A39" s="89">
        <v>1059</v>
      </c>
      <c r="B39" s="86" t="s">
        <v>178</v>
      </c>
      <c r="C39" s="91">
        <v>39645</v>
      </c>
      <c r="D39" s="91">
        <v>31451</v>
      </c>
      <c r="E39" s="92" t="s">
        <v>62</v>
      </c>
      <c r="F39" s="92" t="s">
        <v>126</v>
      </c>
      <c r="G39" s="89" t="s">
        <v>127</v>
      </c>
      <c r="H39" s="89" t="s">
        <v>134</v>
      </c>
      <c r="I39" s="89">
        <v>3</v>
      </c>
      <c r="J39" s="89" t="s">
        <v>129</v>
      </c>
      <c r="K39" s="94">
        <v>65000</v>
      </c>
      <c r="L39" s="89" t="s">
        <v>140</v>
      </c>
      <c r="M39" s="95">
        <f t="shared" si="0"/>
        <v>6</v>
      </c>
      <c r="N39" s="96">
        <f t="shared" si="1"/>
        <v>0</v>
      </c>
      <c r="O39" s="96">
        <f t="shared" si="2"/>
        <v>1950</v>
      </c>
      <c r="P39" s="96">
        <f>IF(OR(Employee5[[#This Row],[Location]]="Home",Employee5[[#This Row],[Job Status]]="FT"),Employee5[[#This Row],[Annual Salary]]*0.04,Employee5[[#This Row],[Annual Salary]]*0.025)</f>
        <v>2600</v>
      </c>
      <c r="Q39" s="97">
        <f>IF(Employee5[[#This Row],[Pay Grade]]=1,$Y$4,IF(Employee5[[#This Row],[Pay Grade]]=2,$Y$5,$Y$6))</f>
        <v>7500</v>
      </c>
      <c r="R39" s="97">
        <f>IFERROR(VLOOKUP(L39,HealthPlanRates[],2,FALSE)*12,"Invalid code")</f>
        <v>0</v>
      </c>
      <c r="S39" s="97"/>
    </row>
    <row r="40" spans="1:19" x14ac:dyDescent="0.35">
      <c r="A40" s="89">
        <v>1060</v>
      </c>
      <c r="B40" s="86" t="s">
        <v>179</v>
      </c>
      <c r="C40" s="91">
        <v>38454</v>
      </c>
      <c r="D40" s="91">
        <v>31606</v>
      </c>
      <c r="E40" s="92" t="s">
        <v>62</v>
      </c>
      <c r="F40" s="92" t="s">
        <v>152</v>
      </c>
      <c r="G40" s="89" t="s">
        <v>127</v>
      </c>
      <c r="H40" s="89" t="s">
        <v>134</v>
      </c>
      <c r="I40" s="89">
        <v>1</v>
      </c>
      <c r="J40" s="89" t="s">
        <v>149</v>
      </c>
      <c r="K40" s="94">
        <v>21299</v>
      </c>
      <c r="L40" s="89" t="s">
        <v>130</v>
      </c>
      <c r="M40" s="95">
        <f t="shared" si="0"/>
        <v>10</v>
      </c>
      <c r="N40" s="96">
        <f t="shared" si="1"/>
        <v>0</v>
      </c>
      <c r="O40" s="96">
        <f t="shared" si="2"/>
        <v>638.97</v>
      </c>
      <c r="P40" s="96">
        <f>IF(OR(Employee5[[#This Row],[Location]]="Home",Employee5[[#This Row],[Job Status]]="FT"),Employee5[[#This Row],[Annual Salary]]*0.04,Employee5[[#This Row],[Annual Salary]]*0.025)</f>
        <v>851.96</v>
      </c>
      <c r="Q40" s="97">
        <f>IF(Employee5[[#This Row],[Pay Grade]]=1,$Y$4,IF(Employee5[[#This Row],[Pay Grade]]=2,$Y$5,$Y$6))</f>
        <v>2500</v>
      </c>
      <c r="R40" s="97">
        <f>IFERROR(VLOOKUP(L40,HealthPlanRates[],2,FALSE)*12,"Invalid code")</f>
        <v>18000</v>
      </c>
      <c r="S40" s="97"/>
    </row>
    <row r="41" spans="1:19" x14ac:dyDescent="0.35">
      <c r="A41" s="89">
        <v>1061</v>
      </c>
      <c r="B41" s="86" t="s">
        <v>180</v>
      </c>
      <c r="C41" s="91">
        <v>39885</v>
      </c>
      <c r="D41" s="91">
        <v>18087</v>
      </c>
      <c r="E41" s="92" t="s">
        <v>125</v>
      </c>
      <c r="F41" s="92" t="s">
        <v>137</v>
      </c>
      <c r="G41" s="89" t="s">
        <v>127</v>
      </c>
      <c r="H41" s="89" t="s">
        <v>128</v>
      </c>
      <c r="I41" s="89">
        <v>3</v>
      </c>
      <c r="J41" s="89" t="s">
        <v>129</v>
      </c>
      <c r="K41" s="94">
        <v>95000</v>
      </c>
      <c r="L41" s="89" t="s">
        <v>140</v>
      </c>
      <c r="M41" s="95">
        <f t="shared" si="0"/>
        <v>6</v>
      </c>
      <c r="N41" s="96">
        <f t="shared" si="1"/>
        <v>95</v>
      </c>
      <c r="O41" s="96">
        <f t="shared" si="2"/>
        <v>2850</v>
      </c>
      <c r="P41" s="96">
        <f>IF(OR(Employee5[[#This Row],[Location]]="Home",Employee5[[#This Row],[Job Status]]="FT"),Employee5[[#This Row],[Annual Salary]]*0.04,Employee5[[#This Row],[Annual Salary]]*0.025)</f>
        <v>3800</v>
      </c>
      <c r="Q41" s="97">
        <f>IF(Employee5[[#This Row],[Pay Grade]]=1,$Y$4,IF(Employee5[[#This Row],[Pay Grade]]=2,$Y$5,$Y$6))</f>
        <v>7500</v>
      </c>
      <c r="R41" s="97">
        <f>IFERROR(VLOOKUP(L41,HealthPlanRates[],2,FALSE)*12,"Invalid code")</f>
        <v>0</v>
      </c>
      <c r="S41" s="97"/>
    </row>
    <row r="42" spans="1:19" x14ac:dyDescent="0.35">
      <c r="A42" s="89">
        <v>1062</v>
      </c>
      <c r="B42" s="86" t="s">
        <v>181</v>
      </c>
      <c r="C42" s="90">
        <v>41129</v>
      </c>
      <c r="D42" s="91">
        <v>20790</v>
      </c>
      <c r="E42" s="92" t="s">
        <v>125</v>
      </c>
      <c r="F42" s="92" t="s">
        <v>137</v>
      </c>
      <c r="G42" s="89" t="s">
        <v>127</v>
      </c>
      <c r="H42" s="89" t="s">
        <v>128</v>
      </c>
      <c r="I42" s="89">
        <v>3</v>
      </c>
      <c r="J42" s="89" t="s">
        <v>129</v>
      </c>
      <c r="K42" s="94">
        <v>80000</v>
      </c>
      <c r="L42" s="89" t="s">
        <v>145</v>
      </c>
      <c r="M42" s="95">
        <f t="shared" si="0"/>
        <v>2</v>
      </c>
      <c r="N42" s="96">
        <f t="shared" si="1"/>
        <v>80</v>
      </c>
      <c r="O42" s="96">
        <f t="shared" si="2"/>
        <v>2400</v>
      </c>
      <c r="P42" s="96">
        <f>IF(OR(Employee5[[#This Row],[Location]]="Home",Employee5[[#This Row],[Job Status]]="FT"),Employee5[[#This Row],[Annual Salary]]*0.04,Employee5[[#This Row],[Annual Salary]]*0.025)</f>
        <v>3200</v>
      </c>
      <c r="Q42" s="97">
        <f>IF(Employee5[[#This Row],[Pay Grade]]=1,$Y$4,IF(Employee5[[#This Row],[Pay Grade]]=2,$Y$5,$Y$6))</f>
        <v>7500</v>
      </c>
      <c r="R42" s="97">
        <f>IFERROR(VLOOKUP(L42,HealthPlanRates[],2,FALSE)*12,"Invalid code")</f>
        <v>10500</v>
      </c>
      <c r="S42" s="97"/>
    </row>
    <row r="43" spans="1:19" x14ac:dyDescent="0.35">
      <c r="A43" s="89">
        <v>1063</v>
      </c>
      <c r="B43" s="86" t="s">
        <v>182</v>
      </c>
      <c r="C43" s="90">
        <v>41107</v>
      </c>
      <c r="D43" s="91">
        <v>21743</v>
      </c>
      <c r="E43" s="92" t="s">
        <v>125</v>
      </c>
      <c r="F43" s="92" t="s">
        <v>152</v>
      </c>
      <c r="G43" s="89" t="s">
        <v>127</v>
      </c>
      <c r="H43" s="89" t="s">
        <v>134</v>
      </c>
      <c r="I43" s="89">
        <v>1</v>
      </c>
      <c r="J43" s="89" t="s">
        <v>149</v>
      </c>
      <c r="K43" s="94">
        <v>25792</v>
      </c>
      <c r="L43" s="89" t="s">
        <v>150</v>
      </c>
      <c r="M43" s="95">
        <f t="shared" si="0"/>
        <v>2</v>
      </c>
      <c r="N43" s="96">
        <f t="shared" si="1"/>
        <v>0</v>
      </c>
      <c r="O43" s="96">
        <f t="shared" si="2"/>
        <v>773.76</v>
      </c>
      <c r="P43" s="96">
        <f>IF(OR(Employee5[[#This Row],[Location]]="Home",Employee5[[#This Row],[Job Status]]="FT"),Employee5[[#This Row],[Annual Salary]]*0.04,Employee5[[#This Row],[Annual Salary]]*0.025)</f>
        <v>1031.68</v>
      </c>
      <c r="Q43" s="97">
        <f>IF(Employee5[[#This Row],[Pay Grade]]=1,$Y$4,IF(Employee5[[#This Row],[Pay Grade]]=2,$Y$5,$Y$6))</f>
        <v>2500</v>
      </c>
      <c r="R43" s="97">
        <f>IFERROR(VLOOKUP(L43,HealthPlanRates[],2,FALSE)*12,"Invalid code")</f>
        <v>19800</v>
      </c>
      <c r="S43" s="97"/>
    </row>
    <row r="44" spans="1:19" x14ac:dyDescent="0.35">
      <c r="A44" s="89">
        <v>1064</v>
      </c>
      <c r="B44" s="86" t="s">
        <v>173</v>
      </c>
      <c r="C44" s="91">
        <v>40916</v>
      </c>
      <c r="D44" s="91">
        <v>25633</v>
      </c>
      <c r="E44" s="92" t="s">
        <v>62</v>
      </c>
      <c r="F44" s="92" t="s">
        <v>137</v>
      </c>
      <c r="G44" s="89" t="s">
        <v>127</v>
      </c>
      <c r="H44" s="89" t="s">
        <v>134</v>
      </c>
      <c r="I44" s="89">
        <v>3</v>
      </c>
      <c r="J44" s="89" t="s">
        <v>129</v>
      </c>
      <c r="K44" s="94">
        <v>70000</v>
      </c>
      <c r="L44" s="89" t="s">
        <v>130</v>
      </c>
      <c r="M44" s="95">
        <f t="shared" si="0"/>
        <v>3</v>
      </c>
      <c r="N44" s="96">
        <f t="shared" si="1"/>
        <v>0</v>
      </c>
      <c r="O44" s="96">
        <f t="shared" si="2"/>
        <v>2100</v>
      </c>
      <c r="P44" s="96">
        <f>IF(OR(Employee5[[#This Row],[Location]]="Home",Employee5[[#This Row],[Job Status]]="FT"),Employee5[[#This Row],[Annual Salary]]*0.04,Employee5[[#This Row],[Annual Salary]]*0.025)</f>
        <v>2800</v>
      </c>
      <c r="Q44" s="97">
        <f>IF(Employee5[[#This Row],[Pay Grade]]=1,$Y$4,IF(Employee5[[#This Row],[Pay Grade]]=2,$Y$5,$Y$6))</f>
        <v>7500</v>
      </c>
      <c r="R44" s="97">
        <f>IFERROR(VLOOKUP(L44,HealthPlanRates[],2,FALSE)*12,"Invalid code")</f>
        <v>18000</v>
      </c>
      <c r="S44" s="97"/>
    </row>
    <row r="45" spans="1:19" x14ac:dyDescent="0.35">
      <c r="A45" s="89">
        <v>1065</v>
      </c>
      <c r="B45" s="86" t="s">
        <v>183</v>
      </c>
      <c r="C45" s="91">
        <v>40455</v>
      </c>
      <c r="D45" s="91">
        <v>21848</v>
      </c>
      <c r="E45" s="92" t="s">
        <v>62</v>
      </c>
      <c r="F45" s="92" t="s">
        <v>126</v>
      </c>
      <c r="G45" s="89" t="s">
        <v>127</v>
      </c>
      <c r="H45" s="89" t="s">
        <v>134</v>
      </c>
      <c r="I45" s="89">
        <v>3</v>
      </c>
      <c r="J45" s="89" t="s">
        <v>129</v>
      </c>
      <c r="K45" s="94">
        <v>73500</v>
      </c>
      <c r="L45" s="89" t="s">
        <v>150</v>
      </c>
      <c r="M45" s="95">
        <f t="shared" si="0"/>
        <v>4</v>
      </c>
      <c r="N45" s="96">
        <f t="shared" si="1"/>
        <v>0</v>
      </c>
      <c r="O45" s="96">
        <f t="shared" si="2"/>
        <v>2205</v>
      </c>
      <c r="P45" s="96">
        <f>IF(OR(Employee5[[#This Row],[Location]]="Home",Employee5[[#This Row],[Job Status]]="FT"),Employee5[[#This Row],[Annual Salary]]*0.04,Employee5[[#This Row],[Annual Salary]]*0.025)</f>
        <v>2940</v>
      </c>
      <c r="Q45" s="97">
        <f>IF(Employee5[[#This Row],[Pay Grade]]=1,$Y$4,IF(Employee5[[#This Row],[Pay Grade]]=2,$Y$5,$Y$6))</f>
        <v>7500</v>
      </c>
      <c r="R45" s="97">
        <f>IFERROR(VLOOKUP(L45,HealthPlanRates[],2,FALSE)*12,"Invalid code")</f>
        <v>19800</v>
      </c>
      <c r="S45" s="97"/>
    </row>
    <row r="46" spans="1:19" x14ac:dyDescent="0.35">
      <c r="A46" s="89">
        <v>1066</v>
      </c>
      <c r="B46" s="86" t="s">
        <v>184</v>
      </c>
      <c r="C46" s="91">
        <v>40063</v>
      </c>
      <c r="D46" s="91">
        <v>22351</v>
      </c>
      <c r="E46" s="92" t="s">
        <v>62</v>
      </c>
      <c r="F46" s="92" t="s">
        <v>152</v>
      </c>
      <c r="G46" s="89" t="s">
        <v>127</v>
      </c>
      <c r="H46" s="89" t="s">
        <v>134</v>
      </c>
      <c r="I46" s="89">
        <v>1</v>
      </c>
      <c r="J46" s="89" t="s">
        <v>149</v>
      </c>
      <c r="K46" s="94">
        <v>21299</v>
      </c>
      <c r="L46" s="89" t="s">
        <v>150</v>
      </c>
      <c r="M46" s="95">
        <f t="shared" si="0"/>
        <v>5</v>
      </c>
      <c r="N46" s="96">
        <f t="shared" si="1"/>
        <v>0</v>
      </c>
      <c r="O46" s="96">
        <f t="shared" si="2"/>
        <v>638.97</v>
      </c>
      <c r="P46" s="96">
        <f>IF(OR(Employee5[[#This Row],[Location]]="Home",Employee5[[#This Row],[Job Status]]="FT"),Employee5[[#This Row],[Annual Salary]]*0.04,Employee5[[#This Row],[Annual Salary]]*0.025)</f>
        <v>851.96</v>
      </c>
      <c r="Q46" s="97">
        <f>IF(Employee5[[#This Row],[Pay Grade]]=1,$Y$4,IF(Employee5[[#This Row],[Pay Grade]]=2,$Y$5,$Y$6))</f>
        <v>2500</v>
      </c>
      <c r="R46" s="97">
        <f>IFERROR(VLOOKUP(L46,HealthPlanRates[],2,FALSE)*12,"Invalid code")</f>
        <v>19800</v>
      </c>
      <c r="S46" s="97"/>
    </row>
    <row r="47" spans="1:19" x14ac:dyDescent="0.35">
      <c r="A47" s="89">
        <v>1067</v>
      </c>
      <c r="B47" s="86" t="s">
        <v>185</v>
      </c>
      <c r="C47" s="91">
        <v>40762</v>
      </c>
      <c r="D47" s="91">
        <v>20756</v>
      </c>
      <c r="E47" s="92" t="s">
        <v>62</v>
      </c>
      <c r="F47" s="92" t="s">
        <v>126</v>
      </c>
      <c r="G47" s="89" t="s">
        <v>127</v>
      </c>
      <c r="H47" s="89" t="s">
        <v>134</v>
      </c>
      <c r="I47" s="89">
        <v>1</v>
      </c>
      <c r="J47" s="89" t="s">
        <v>149</v>
      </c>
      <c r="K47" s="94">
        <v>39000</v>
      </c>
      <c r="L47" s="89" t="s">
        <v>140</v>
      </c>
      <c r="M47" s="95">
        <f t="shared" si="0"/>
        <v>3</v>
      </c>
      <c r="N47" s="96">
        <f t="shared" si="1"/>
        <v>0</v>
      </c>
      <c r="O47" s="96">
        <f t="shared" si="2"/>
        <v>1170</v>
      </c>
      <c r="P47" s="96">
        <f>IF(OR(Employee5[[#This Row],[Location]]="Home",Employee5[[#This Row],[Job Status]]="FT"),Employee5[[#This Row],[Annual Salary]]*0.04,Employee5[[#This Row],[Annual Salary]]*0.025)</f>
        <v>1560</v>
      </c>
      <c r="Q47" s="97">
        <f>IF(Employee5[[#This Row],[Pay Grade]]=1,$Y$4,IF(Employee5[[#This Row],[Pay Grade]]=2,$Y$5,$Y$6))</f>
        <v>2500</v>
      </c>
      <c r="R47" s="97">
        <f>IFERROR(VLOOKUP(L47,HealthPlanRates[],2,FALSE)*12,"Invalid code")</f>
        <v>0</v>
      </c>
      <c r="S47" s="97"/>
    </row>
    <row r="48" spans="1:19" x14ac:dyDescent="0.35">
      <c r="A48" s="89">
        <v>1068</v>
      </c>
      <c r="B48" s="86" t="s">
        <v>186</v>
      </c>
      <c r="C48" s="90">
        <v>41058</v>
      </c>
      <c r="D48" s="91">
        <v>18496</v>
      </c>
      <c r="E48" s="92" t="s">
        <v>125</v>
      </c>
      <c r="F48" s="92" t="s">
        <v>126</v>
      </c>
      <c r="G48" s="89" t="s">
        <v>127</v>
      </c>
      <c r="H48" s="89" t="s">
        <v>128</v>
      </c>
      <c r="I48" s="89">
        <v>3</v>
      </c>
      <c r="J48" s="89" t="s">
        <v>129</v>
      </c>
      <c r="K48" s="94">
        <v>115000</v>
      </c>
      <c r="L48" s="89" t="s">
        <v>130</v>
      </c>
      <c r="M48" s="95">
        <f t="shared" si="0"/>
        <v>3</v>
      </c>
      <c r="N48" s="96">
        <f t="shared" si="1"/>
        <v>115</v>
      </c>
      <c r="O48" s="96">
        <f t="shared" si="2"/>
        <v>3450</v>
      </c>
      <c r="P48" s="96">
        <f>IF(OR(Employee5[[#This Row],[Location]]="Home",Employee5[[#This Row],[Job Status]]="FT"),Employee5[[#This Row],[Annual Salary]]*0.04,Employee5[[#This Row],[Annual Salary]]*0.025)</f>
        <v>4600</v>
      </c>
      <c r="Q48" s="97">
        <f>IF(Employee5[[#This Row],[Pay Grade]]=1,$Y$4,IF(Employee5[[#This Row],[Pay Grade]]=2,$Y$5,$Y$6))</f>
        <v>7500</v>
      </c>
      <c r="R48" s="97">
        <f>IFERROR(VLOOKUP(L48,HealthPlanRates[],2,FALSE)*12,"Invalid code")</f>
        <v>18000</v>
      </c>
      <c r="S48" s="97"/>
    </row>
    <row r="49" spans="1:19" x14ac:dyDescent="0.35">
      <c r="A49" s="89">
        <v>1069</v>
      </c>
      <c r="B49" s="86" t="s">
        <v>187</v>
      </c>
      <c r="C49" s="91">
        <v>38004</v>
      </c>
      <c r="D49" s="91">
        <v>18940</v>
      </c>
      <c r="E49" s="92" t="s">
        <v>62</v>
      </c>
      <c r="F49" s="92" t="s">
        <v>152</v>
      </c>
      <c r="G49" s="89" t="s">
        <v>127</v>
      </c>
      <c r="H49" s="89" t="s">
        <v>134</v>
      </c>
      <c r="I49" s="89">
        <v>1</v>
      </c>
      <c r="J49" s="89" t="s">
        <v>149</v>
      </c>
      <c r="K49" s="94">
        <v>21840</v>
      </c>
      <c r="L49" s="89" t="s">
        <v>143</v>
      </c>
      <c r="M49" s="95">
        <f t="shared" si="0"/>
        <v>11</v>
      </c>
      <c r="N49" s="96">
        <f t="shared" si="1"/>
        <v>0</v>
      </c>
      <c r="O49" s="96">
        <f t="shared" si="2"/>
        <v>655.19999999999993</v>
      </c>
      <c r="P49" s="96">
        <f>IF(OR(Employee5[[#This Row],[Location]]="Home",Employee5[[#This Row],[Job Status]]="FT"),Employee5[[#This Row],[Annual Salary]]*0.04,Employee5[[#This Row],[Annual Salary]]*0.025)</f>
        <v>873.6</v>
      </c>
      <c r="Q49" s="97">
        <f>IF(Employee5[[#This Row],[Pay Grade]]=1,$Y$4,IF(Employee5[[#This Row],[Pay Grade]]=2,$Y$5,$Y$6))</f>
        <v>2500</v>
      </c>
      <c r="R49" s="97">
        <f>IFERROR(VLOOKUP(L49,HealthPlanRates[],2,FALSE)*12,"Invalid code")</f>
        <v>11400</v>
      </c>
      <c r="S49" s="97"/>
    </row>
    <row r="50" spans="1:19" x14ac:dyDescent="0.35">
      <c r="A50" s="89">
        <v>1070</v>
      </c>
      <c r="B50" s="86" t="s">
        <v>188</v>
      </c>
      <c r="C50" s="90">
        <v>41275</v>
      </c>
      <c r="D50" s="91">
        <v>24268</v>
      </c>
      <c r="E50" s="92" t="s">
        <v>125</v>
      </c>
      <c r="F50" s="92" t="s">
        <v>126</v>
      </c>
      <c r="G50" s="89" t="s">
        <v>127</v>
      </c>
      <c r="H50" s="89" t="s">
        <v>128</v>
      </c>
      <c r="I50" s="89">
        <v>3</v>
      </c>
      <c r="J50" s="89" t="s">
        <v>129</v>
      </c>
      <c r="K50" s="94">
        <v>123000</v>
      </c>
      <c r="L50" s="89" t="s">
        <v>150</v>
      </c>
      <c r="M50" s="95">
        <f t="shared" si="0"/>
        <v>2</v>
      </c>
      <c r="N50" s="96">
        <f t="shared" si="1"/>
        <v>123</v>
      </c>
      <c r="O50" s="96">
        <f t="shared" si="2"/>
        <v>3690</v>
      </c>
      <c r="P50" s="96">
        <f>IF(OR(Employee5[[#This Row],[Location]]="Home",Employee5[[#This Row],[Job Status]]="FT"),Employee5[[#This Row],[Annual Salary]]*0.04,Employee5[[#This Row],[Annual Salary]]*0.025)</f>
        <v>4920</v>
      </c>
      <c r="Q50" s="97">
        <f>IF(Employee5[[#This Row],[Pay Grade]]=1,$Y$4,IF(Employee5[[#This Row],[Pay Grade]]=2,$Y$5,$Y$6))</f>
        <v>7500</v>
      </c>
      <c r="R50" s="97">
        <f>IFERROR(VLOOKUP(L50,HealthPlanRates[],2,FALSE)*12,"Invalid code")</f>
        <v>19800</v>
      </c>
      <c r="S50" s="97"/>
    </row>
    <row r="51" spans="1:19" x14ac:dyDescent="0.35">
      <c r="A51" s="89">
        <v>1071</v>
      </c>
      <c r="B51" s="86" t="s">
        <v>189</v>
      </c>
      <c r="C51" s="91">
        <v>36899</v>
      </c>
      <c r="D51" s="91">
        <v>33595</v>
      </c>
      <c r="E51" s="92" t="s">
        <v>125</v>
      </c>
      <c r="F51" s="92" t="s">
        <v>126</v>
      </c>
      <c r="G51" s="89" t="s">
        <v>127</v>
      </c>
      <c r="H51" s="89" t="s">
        <v>128</v>
      </c>
      <c r="I51" s="89">
        <v>3</v>
      </c>
      <c r="J51" s="89" t="s">
        <v>129</v>
      </c>
      <c r="K51" s="94">
        <v>90000</v>
      </c>
      <c r="L51" s="89" t="s">
        <v>143</v>
      </c>
      <c r="M51" s="95">
        <f t="shared" si="0"/>
        <v>14</v>
      </c>
      <c r="N51" s="96">
        <f t="shared" si="1"/>
        <v>90</v>
      </c>
      <c r="O51" s="96">
        <f t="shared" si="2"/>
        <v>2700</v>
      </c>
      <c r="P51" s="96">
        <f>IF(OR(Employee5[[#This Row],[Location]]="Home",Employee5[[#This Row],[Job Status]]="FT"),Employee5[[#This Row],[Annual Salary]]*0.04,Employee5[[#This Row],[Annual Salary]]*0.025)</f>
        <v>3600</v>
      </c>
      <c r="Q51" s="97">
        <f>IF(Employee5[[#This Row],[Pay Grade]]=1,$Y$4,IF(Employee5[[#This Row],[Pay Grade]]=2,$Y$5,$Y$6))</f>
        <v>7500</v>
      </c>
      <c r="R51" s="97">
        <f>IFERROR(VLOOKUP(L51,HealthPlanRates[],2,FALSE)*12,"Invalid code")</f>
        <v>11400</v>
      </c>
      <c r="S51" s="97"/>
    </row>
    <row r="52" spans="1:19" x14ac:dyDescent="0.35">
      <c r="A52" s="89">
        <v>1072</v>
      </c>
      <c r="B52" s="86" t="s">
        <v>190</v>
      </c>
      <c r="C52" s="91">
        <v>38097</v>
      </c>
      <c r="D52" s="91">
        <v>20636</v>
      </c>
      <c r="E52" s="92" t="s">
        <v>125</v>
      </c>
      <c r="F52" s="92" t="s">
        <v>126</v>
      </c>
      <c r="G52" s="89" t="s">
        <v>127</v>
      </c>
      <c r="H52" s="89" t="s">
        <v>128</v>
      </c>
      <c r="I52" s="89">
        <v>3</v>
      </c>
      <c r="J52" s="89" t="s">
        <v>129</v>
      </c>
      <c r="K52" s="94">
        <v>110000</v>
      </c>
      <c r="L52" s="89" t="s">
        <v>145</v>
      </c>
      <c r="M52" s="95">
        <f t="shared" si="0"/>
        <v>11</v>
      </c>
      <c r="N52" s="96">
        <f t="shared" si="1"/>
        <v>110</v>
      </c>
      <c r="O52" s="96">
        <f t="shared" si="2"/>
        <v>3300</v>
      </c>
      <c r="P52" s="96">
        <f>IF(OR(Employee5[[#This Row],[Location]]="Home",Employee5[[#This Row],[Job Status]]="FT"),Employee5[[#This Row],[Annual Salary]]*0.04,Employee5[[#This Row],[Annual Salary]]*0.025)</f>
        <v>4400</v>
      </c>
      <c r="Q52" s="97">
        <f>IF(Employee5[[#This Row],[Pay Grade]]=1,$Y$4,IF(Employee5[[#This Row],[Pay Grade]]=2,$Y$5,$Y$6))</f>
        <v>7500</v>
      </c>
      <c r="R52" s="97">
        <f>IFERROR(VLOOKUP(L52,HealthPlanRates[],2,FALSE)*12,"Invalid code")</f>
        <v>10500</v>
      </c>
      <c r="S52" s="97"/>
    </row>
    <row r="53" spans="1:19" x14ac:dyDescent="0.35">
      <c r="A53" s="89">
        <v>1073</v>
      </c>
      <c r="B53" s="86" t="s">
        <v>191</v>
      </c>
      <c r="C53" s="91">
        <v>38153</v>
      </c>
      <c r="D53" s="91">
        <v>18382</v>
      </c>
      <c r="E53" s="92" t="s">
        <v>62</v>
      </c>
      <c r="F53" s="92" t="s">
        <v>126</v>
      </c>
      <c r="G53" s="89" t="s">
        <v>127</v>
      </c>
      <c r="H53" s="89" t="s">
        <v>128</v>
      </c>
      <c r="I53" s="89">
        <v>3</v>
      </c>
      <c r="J53" s="89" t="s">
        <v>129</v>
      </c>
      <c r="K53" s="94">
        <v>75000</v>
      </c>
      <c r="L53" s="89" t="s">
        <v>140</v>
      </c>
      <c r="M53" s="95">
        <f t="shared" si="0"/>
        <v>11</v>
      </c>
      <c r="N53" s="96">
        <f t="shared" si="1"/>
        <v>75</v>
      </c>
      <c r="O53" s="96">
        <f t="shared" si="2"/>
        <v>2250</v>
      </c>
      <c r="P53" s="96">
        <f>IF(OR(Employee5[[#This Row],[Location]]="Home",Employee5[[#This Row],[Job Status]]="FT"),Employee5[[#This Row],[Annual Salary]]*0.04,Employee5[[#This Row],[Annual Salary]]*0.025)</f>
        <v>3000</v>
      </c>
      <c r="Q53" s="97">
        <f>IF(Employee5[[#This Row],[Pay Grade]]=1,$Y$4,IF(Employee5[[#This Row],[Pay Grade]]=2,$Y$5,$Y$6))</f>
        <v>7500</v>
      </c>
      <c r="R53" s="97">
        <f>IFERROR(VLOOKUP(L53,HealthPlanRates[],2,FALSE)*12,"Invalid code")</f>
        <v>0</v>
      </c>
      <c r="S53" s="97"/>
    </row>
    <row r="54" spans="1:19" x14ac:dyDescent="0.35">
      <c r="A54" s="89">
        <v>1074</v>
      </c>
      <c r="B54" s="86" t="s">
        <v>192</v>
      </c>
      <c r="C54" s="91">
        <v>39236</v>
      </c>
      <c r="D54" s="91">
        <v>19526</v>
      </c>
      <c r="E54" s="92" t="s">
        <v>125</v>
      </c>
      <c r="F54" s="92" t="s">
        <v>137</v>
      </c>
      <c r="G54" s="89" t="s">
        <v>127</v>
      </c>
      <c r="H54" s="89" t="s">
        <v>128</v>
      </c>
      <c r="I54" s="89">
        <v>3</v>
      </c>
      <c r="J54" s="89" t="s">
        <v>129</v>
      </c>
      <c r="K54" s="94">
        <v>80000</v>
      </c>
      <c r="L54" s="89" t="s">
        <v>145</v>
      </c>
      <c r="M54" s="95">
        <f t="shared" si="0"/>
        <v>8</v>
      </c>
      <c r="N54" s="96">
        <f t="shared" si="1"/>
        <v>80</v>
      </c>
      <c r="O54" s="96">
        <f t="shared" si="2"/>
        <v>2400</v>
      </c>
      <c r="P54" s="96">
        <f>IF(OR(Employee5[[#This Row],[Location]]="Home",Employee5[[#This Row],[Job Status]]="FT"),Employee5[[#This Row],[Annual Salary]]*0.04,Employee5[[#This Row],[Annual Salary]]*0.025)</f>
        <v>3200</v>
      </c>
      <c r="Q54" s="97">
        <f>IF(Employee5[[#This Row],[Pay Grade]]=1,$Y$4,IF(Employee5[[#This Row],[Pay Grade]]=2,$Y$5,$Y$6))</f>
        <v>7500</v>
      </c>
      <c r="R54" s="97">
        <f>IFERROR(VLOOKUP(L54,HealthPlanRates[],2,FALSE)*12,"Invalid code")</f>
        <v>10500</v>
      </c>
      <c r="S54" s="97"/>
    </row>
    <row r="55" spans="1:19" x14ac:dyDescent="0.35">
      <c r="A55" s="89">
        <v>1075</v>
      </c>
      <c r="B55" s="86" t="s">
        <v>193</v>
      </c>
      <c r="C55" s="90">
        <v>41303</v>
      </c>
      <c r="D55" s="91">
        <v>30256</v>
      </c>
      <c r="E55" s="92" t="s">
        <v>62</v>
      </c>
      <c r="F55" s="92" t="s">
        <v>126</v>
      </c>
      <c r="G55" s="89" t="s">
        <v>127</v>
      </c>
      <c r="H55" s="89" t="s">
        <v>128</v>
      </c>
      <c r="I55" s="89">
        <v>2</v>
      </c>
      <c r="J55" s="89" t="s">
        <v>129</v>
      </c>
      <c r="K55" s="94">
        <v>45000</v>
      </c>
      <c r="L55" s="89" t="s">
        <v>143</v>
      </c>
      <c r="M55" s="95">
        <f t="shared" si="0"/>
        <v>2</v>
      </c>
      <c r="N55" s="96">
        <f t="shared" si="1"/>
        <v>45</v>
      </c>
      <c r="O55" s="96">
        <f t="shared" si="2"/>
        <v>1350</v>
      </c>
      <c r="P55" s="96">
        <f>IF(OR(Employee5[[#This Row],[Location]]="Home",Employee5[[#This Row],[Job Status]]="FT"),Employee5[[#This Row],[Annual Salary]]*0.04,Employee5[[#This Row],[Annual Salary]]*0.025)</f>
        <v>1800</v>
      </c>
      <c r="Q55" s="97">
        <f>IF(Employee5[[#This Row],[Pay Grade]]=1,$Y$4,IF(Employee5[[#This Row],[Pay Grade]]=2,$Y$5,$Y$6))</f>
        <v>5000</v>
      </c>
      <c r="R55" s="97">
        <f>IFERROR(VLOOKUP(L55,HealthPlanRates[],2,FALSE)*12,"Invalid code")</f>
        <v>11400</v>
      </c>
      <c r="S55" s="97"/>
    </row>
    <row r="56" spans="1:19" x14ac:dyDescent="0.35">
      <c r="A56" s="89">
        <v>1076</v>
      </c>
      <c r="B56" s="86" t="s">
        <v>194</v>
      </c>
      <c r="C56" s="91">
        <v>39296</v>
      </c>
      <c r="D56" s="91">
        <v>22853</v>
      </c>
      <c r="E56" s="92" t="s">
        <v>62</v>
      </c>
      <c r="F56" s="92" t="s">
        <v>152</v>
      </c>
      <c r="G56" s="89" t="s">
        <v>127</v>
      </c>
      <c r="H56" s="89" t="s">
        <v>134</v>
      </c>
      <c r="I56" s="89">
        <v>1</v>
      </c>
      <c r="J56" s="89" t="s">
        <v>149</v>
      </c>
      <c r="K56" s="94">
        <v>22048</v>
      </c>
      <c r="L56" s="93" t="s">
        <v>130</v>
      </c>
      <c r="M56" s="95">
        <f t="shared" si="0"/>
        <v>7</v>
      </c>
      <c r="N56" s="96">
        <f t="shared" si="1"/>
        <v>0</v>
      </c>
      <c r="O56" s="96">
        <f t="shared" si="2"/>
        <v>661.43999999999994</v>
      </c>
      <c r="P56" s="96">
        <f>IF(OR(Employee5[[#This Row],[Location]]="Home",Employee5[[#This Row],[Job Status]]="FT"),Employee5[[#This Row],[Annual Salary]]*0.04,Employee5[[#This Row],[Annual Salary]]*0.025)</f>
        <v>881.92000000000007</v>
      </c>
      <c r="Q56" s="97">
        <f>IF(Employee5[[#This Row],[Pay Grade]]=1,$Y$4,IF(Employee5[[#This Row],[Pay Grade]]=2,$Y$5,$Y$6))</f>
        <v>2500</v>
      </c>
      <c r="R56" s="97">
        <f>IFERROR(VLOOKUP(L56,HealthPlanRates[],2,FALSE)*12,"Invalid code")</f>
        <v>18000</v>
      </c>
      <c r="S56" s="97"/>
    </row>
    <row r="57" spans="1:19" x14ac:dyDescent="0.35">
      <c r="A57" s="89">
        <v>1077</v>
      </c>
      <c r="B57" s="86" t="s">
        <v>195</v>
      </c>
      <c r="C57" s="90">
        <v>41149</v>
      </c>
      <c r="D57" s="91">
        <v>27173</v>
      </c>
      <c r="E57" s="92" t="s">
        <v>125</v>
      </c>
      <c r="F57" s="92" t="s">
        <v>126</v>
      </c>
      <c r="G57" s="89" t="s">
        <v>127</v>
      </c>
      <c r="H57" s="89" t="s">
        <v>134</v>
      </c>
      <c r="I57" s="89">
        <v>2</v>
      </c>
      <c r="J57" s="89" t="s">
        <v>129</v>
      </c>
      <c r="K57" s="94">
        <v>47000</v>
      </c>
      <c r="L57" s="89" t="s">
        <v>145</v>
      </c>
      <c r="M57" s="95">
        <f t="shared" si="0"/>
        <v>2</v>
      </c>
      <c r="N57" s="96">
        <f t="shared" si="1"/>
        <v>0</v>
      </c>
      <c r="O57" s="96">
        <f t="shared" si="2"/>
        <v>1410</v>
      </c>
      <c r="P57" s="96">
        <f>IF(OR(Employee5[[#This Row],[Location]]="Home",Employee5[[#This Row],[Job Status]]="FT"),Employee5[[#This Row],[Annual Salary]]*0.04,Employee5[[#This Row],[Annual Salary]]*0.025)</f>
        <v>1880</v>
      </c>
      <c r="Q57" s="97">
        <f>IF(Employee5[[#This Row],[Pay Grade]]=1,$Y$4,IF(Employee5[[#This Row],[Pay Grade]]=2,$Y$5,$Y$6))</f>
        <v>5000</v>
      </c>
      <c r="R57" s="97">
        <f>IFERROR(VLOOKUP(L57,HealthPlanRates[],2,FALSE)*12,"Invalid code")</f>
        <v>10500</v>
      </c>
      <c r="S57" s="97"/>
    </row>
    <row r="58" spans="1:19" x14ac:dyDescent="0.35">
      <c r="A58" s="89">
        <v>1078</v>
      </c>
      <c r="B58" s="86" t="s">
        <v>196</v>
      </c>
      <c r="C58" s="91">
        <v>38296</v>
      </c>
      <c r="D58" s="91">
        <v>18779</v>
      </c>
      <c r="E58" s="92" t="s">
        <v>62</v>
      </c>
      <c r="F58" s="92" t="s">
        <v>152</v>
      </c>
      <c r="G58" s="89" t="s">
        <v>127</v>
      </c>
      <c r="H58" s="89" t="s">
        <v>134</v>
      </c>
      <c r="I58" s="89">
        <v>1</v>
      </c>
      <c r="J58" s="89" t="s">
        <v>149</v>
      </c>
      <c r="K58" s="94">
        <v>26000</v>
      </c>
      <c r="L58" s="89" t="s">
        <v>140</v>
      </c>
      <c r="M58" s="95">
        <f t="shared" si="0"/>
        <v>10</v>
      </c>
      <c r="N58" s="96">
        <f t="shared" si="1"/>
        <v>0</v>
      </c>
      <c r="O58" s="96">
        <f t="shared" si="2"/>
        <v>780</v>
      </c>
      <c r="P58" s="96">
        <f>IF(OR(Employee5[[#This Row],[Location]]="Home",Employee5[[#This Row],[Job Status]]="FT"),Employee5[[#This Row],[Annual Salary]]*0.04,Employee5[[#This Row],[Annual Salary]]*0.025)</f>
        <v>1040</v>
      </c>
      <c r="Q58" s="97">
        <f>IF(Employee5[[#This Row],[Pay Grade]]=1,$Y$4,IF(Employee5[[#This Row],[Pay Grade]]=2,$Y$5,$Y$6))</f>
        <v>2500</v>
      </c>
      <c r="R58" s="97">
        <f>IFERROR(VLOOKUP(L58,HealthPlanRates[],2,FALSE)*12,"Invalid code")</f>
        <v>0</v>
      </c>
      <c r="S58" s="97"/>
    </row>
    <row r="59" spans="1:19" x14ac:dyDescent="0.35">
      <c r="A59" s="89">
        <v>1079</v>
      </c>
      <c r="B59" s="86" t="s">
        <v>197</v>
      </c>
      <c r="C59" s="90">
        <v>41107</v>
      </c>
      <c r="D59" s="91">
        <v>30970</v>
      </c>
      <c r="E59" s="92" t="s">
        <v>125</v>
      </c>
      <c r="F59" s="92" t="s">
        <v>152</v>
      </c>
      <c r="G59" s="89" t="s">
        <v>148</v>
      </c>
      <c r="H59" s="89" t="s">
        <v>134</v>
      </c>
      <c r="I59" s="89">
        <v>1</v>
      </c>
      <c r="J59" s="89" t="s">
        <v>149</v>
      </c>
      <c r="K59" s="94">
        <v>25792</v>
      </c>
      <c r="L59" s="89" t="s">
        <v>145</v>
      </c>
      <c r="M59" s="95">
        <f t="shared" si="0"/>
        <v>2</v>
      </c>
      <c r="N59" s="96">
        <f t="shared" si="1"/>
        <v>0</v>
      </c>
      <c r="O59" s="96">
        <f t="shared" si="2"/>
        <v>0</v>
      </c>
      <c r="P59" s="96">
        <f>IF(OR(Employee5[[#This Row],[Location]]="Home",Employee5[[#This Row],[Job Status]]="FT"),Employee5[[#This Row],[Annual Salary]]*0.04,Employee5[[#This Row],[Annual Salary]]*0.025)</f>
        <v>644.80000000000007</v>
      </c>
      <c r="Q59" s="97">
        <f>IF(Employee5[[#This Row],[Pay Grade]]=1,$Y$4,IF(Employee5[[#This Row],[Pay Grade]]=2,$Y$5,$Y$6))</f>
        <v>2500</v>
      </c>
      <c r="R59" s="97">
        <f>IFERROR(VLOOKUP(L59,HealthPlanRates[],2,FALSE)*12,"Invalid code")</f>
        <v>10500</v>
      </c>
      <c r="S59" s="97"/>
    </row>
    <row r="60" spans="1:19" x14ac:dyDescent="0.35">
      <c r="A60" s="89">
        <v>1080</v>
      </c>
      <c r="B60" s="86" t="s">
        <v>198</v>
      </c>
      <c r="C60" s="91">
        <v>39264</v>
      </c>
      <c r="D60" s="91">
        <v>33520</v>
      </c>
      <c r="E60" s="92" t="s">
        <v>62</v>
      </c>
      <c r="F60" s="92" t="s">
        <v>152</v>
      </c>
      <c r="G60" s="89" t="s">
        <v>127</v>
      </c>
      <c r="H60" s="89" t="s">
        <v>134</v>
      </c>
      <c r="I60" s="89">
        <v>1</v>
      </c>
      <c r="J60" s="89" t="s">
        <v>149</v>
      </c>
      <c r="K60" s="94">
        <v>27560</v>
      </c>
      <c r="L60" s="89" t="s">
        <v>150</v>
      </c>
      <c r="M60" s="95">
        <f t="shared" si="0"/>
        <v>8</v>
      </c>
      <c r="N60" s="96">
        <f t="shared" si="1"/>
        <v>0</v>
      </c>
      <c r="O60" s="96">
        <f t="shared" si="2"/>
        <v>826.8</v>
      </c>
      <c r="P60" s="96">
        <f>IF(OR(Employee5[[#This Row],[Location]]="Home",Employee5[[#This Row],[Job Status]]="FT"),Employee5[[#This Row],[Annual Salary]]*0.04,Employee5[[#This Row],[Annual Salary]]*0.025)</f>
        <v>1102.4000000000001</v>
      </c>
      <c r="Q60" s="97">
        <f>IF(Employee5[[#This Row],[Pay Grade]]=1,$Y$4,IF(Employee5[[#This Row],[Pay Grade]]=2,$Y$5,$Y$6))</f>
        <v>2500</v>
      </c>
      <c r="R60" s="97">
        <f>IFERROR(VLOOKUP(L60,HealthPlanRates[],2,FALSE)*12,"Invalid code")</f>
        <v>19800</v>
      </c>
      <c r="S60" s="97"/>
    </row>
    <row r="61" spans="1:19" x14ac:dyDescent="0.35">
      <c r="A61" s="89">
        <v>1081</v>
      </c>
      <c r="B61" s="86" t="s">
        <v>199</v>
      </c>
      <c r="C61" s="90">
        <v>41107</v>
      </c>
      <c r="D61" s="91">
        <v>17930</v>
      </c>
      <c r="E61" s="92" t="s">
        <v>125</v>
      </c>
      <c r="F61" s="92" t="s">
        <v>126</v>
      </c>
      <c r="G61" s="89" t="s">
        <v>127</v>
      </c>
      <c r="H61" s="89" t="s">
        <v>128</v>
      </c>
      <c r="I61" s="89">
        <v>3</v>
      </c>
      <c r="J61" s="89" t="s">
        <v>129</v>
      </c>
      <c r="K61" s="94">
        <v>150000</v>
      </c>
      <c r="L61" s="89" t="s">
        <v>143</v>
      </c>
      <c r="M61" s="95">
        <f t="shared" si="0"/>
        <v>2</v>
      </c>
      <c r="N61" s="96">
        <f t="shared" si="1"/>
        <v>150</v>
      </c>
      <c r="O61" s="96">
        <f t="shared" si="2"/>
        <v>4500</v>
      </c>
      <c r="P61" s="96">
        <f>IF(OR(Employee5[[#This Row],[Location]]="Home",Employee5[[#This Row],[Job Status]]="FT"),Employee5[[#This Row],[Annual Salary]]*0.04,Employee5[[#This Row],[Annual Salary]]*0.025)</f>
        <v>6000</v>
      </c>
      <c r="Q61" s="97">
        <f>IF(Employee5[[#This Row],[Pay Grade]]=1,$Y$4,IF(Employee5[[#This Row],[Pay Grade]]=2,$Y$5,$Y$6))</f>
        <v>7500</v>
      </c>
      <c r="R61" s="97">
        <f>IFERROR(VLOOKUP(L61,HealthPlanRates[],2,FALSE)*12,"Invalid code")</f>
        <v>11400</v>
      </c>
      <c r="S61" s="97"/>
    </row>
    <row r="62" spans="1:19" x14ac:dyDescent="0.35">
      <c r="A62" s="89">
        <v>1082</v>
      </c>
      <c r="B62" s="86" t="s">
        <v>200</v>
      </c>
      <c r="C62" s="91">
        <v>39520</v>
      </c>
      <c r="D62" s="91">
        <v>25335</v>
      </c>
      <c r="E62" s="92" t="s">
        <v>125</v>
      </c>
      <c r="F62" s="92" t="s">
        <v>126</v>
      </c>
      <c r="G62" s="89" t="s">
        <v>201</v>
      </c>
      <c r="H62" s="89" t="s">
        <v>134</v>
      </c>
      <c r="I62" s="89">
        <v>3</v>
      </c>
      <c r="J62" s="89" t="s">
        <v>129</v>
      </c>
      <c r="K62" s="94">
        <v>54000</v>
      </c>
      <c r="L62" s="89" t="s">
        <v>140</v>
      </c>
      <c r="M62" s="95">
        <f t="shared" si="0"/>
        <v>7</v>
      </c>
      <c r="N62" s="96">
        <f t="shared" si="1"/>
        <v>0</v>
      </c>
      <c r="O62" s="96">
        <f t="shared" si="2"/>
        <v>0</v>
      </c>
      <c r="P62" s="96">
        <f>IF(OR(Employee5[[#This Row],[Location]]="Home",Employee5[[#This Row],[Job Status]]="FT"),Employee5[[#This Row],[Annual Salary]]*0.04,Employee5[[#This Row],[Annual Salary]]*0.025)</f>
        <v>1350</v>
      </c>
      <c r="Q62" s="97">
        <f>IF(Employee5[[#This Row],[Pay Grade]]=1,$Y$4,IF(Employee5[[#This Row],[Pay Grade]]=2,$Y$5,$Y$6))</f>
        <v>7500</v>
      </c>
      <c r="R62" s="97">
        <f>IFERROR(VLOOKUP(L62,HealthPlanRates[],2,FALSE)*12,"Invalid code")</f>
        <v>0</v>
      </c>
      <c r="S62" s="97"/>
    </row>
    <row r="63" spans="1:19" x14ac:dyDescent="0.35">
      <c r="A63" s="89">
        <v>1083</v>
      </c>
      <c r="B63" s="86" t="s">
        <v>202</v>
      </c>
      <c r="C63" s="90">
        <v>41114</v>
      </c>
      <c r="D63" s="91">
        <v>21848</v>
      </c>
      <c r="E63" s="92" t="s">
        <v>125</v>
      </c>
      <c r="F63" s="92" t="s">
        <v>126</v>
      </c>
      <c r="G63" s="89" t="s">
        <v>127</v>
      </c>
      <c r="H63" s="89" t="s">
        <v>128</v>
      </c>
      <c r="I63" s="89">
        <v>3</v>
      </c>
      <c r="J63" s="89" t="s">
        <v>129</v>
      </c>
      <c r="K63" s="94">
        <v>85000</v>
      </c>
      <c r="L63" s="89" t="s">
        <v>150</v>
      </c>
      <c r="M63" s="95">
        <f t="shared" si="0"/>
        <v>2</v>
      </c>
      <c r="N63" s="96">
        <f t="shared" si="1"/>
        <v>85</v>
      </c>
      <c r="O63" s="96">
        <f t="shared" si="2"/>
        <v>2550</v>
      </c>
      <c r="P63" s="96">
        <f>IF(OR(Employee5[[#This Row],[Location]]="Home",Employee5[[#This Row],[Job Status]]="FT"),Employee5[[#This Row],[Annual Salary]]*0.04,Employee5[[#This Row],[Annual Salary]]*0.025)</f>
        <v>3400</v>
      </c>
      <c r="Q63" s="97">
        <f>IF(Employee5[[#This Row],[Pay Grade]]=1,$Y$4,IF(Employee5[[#This Row],[Pay Grade]]=2,$Y$5,$Y$6))</f>
        <v>7500</v>
      </c>
      <c r="R63" s="97">
        <f>IFERROR(VLOOKUP(L63,HealthPlanRates[],2,FALSE)*12,"Invalid code")</f>
        <v>19800</v>
      </c>
      <c r="S63" s="97"/>
    </row>
    <row r="64" spans="1:19" x14ac:dyDescent="0.35">
      <c r="A64" s="89">
        <v>1084</v>
      </c>
      <c r="B64" s="86" t="s">
        <v>203</v>
      </c>
      <c r="C64" s="90">
        <v>40579</v>
      </c>
      <c r="D64" s="91">
        <v>17185</v>
      </c>
      <c r="E64" s="92" t="s">
        <v>62</v>
      </c>
      <c r="F64" s="92" t="s">
        <v>126</v>
      </c>
      <c r="G64" s="89" t="s">
        <v>127</v>
      </c>
      <c r="H64" s="89" t="s">
        <v>134</v>
      </c>
      <c r="I64" s="89">
        <v>2</v>
      </c>
      <c r="J64" s="89" t="s">
        <v>129</v>
      </c>
      <c r="K64" s="94">
        <v>42000</v>
      </c>
      <c r="L64" s="89" t="s">
        <v>130</v>
      </c>
      <c r="M64" s="95">
        <f t="shared" si="0"/>
        <v>4</v>
      </c>
      <c r="N64" s="96">
        <f t="shared" si="1"/>
        <v>0</v>
      </c>
      <c r="O64" s="96">
        <f t="shared" si="2"/>
        <v>1260</v>
      </c>
      <c r="P64" s="96">
        <f>IF(OR(Employee5[[#This Row],[Location]]="Home",Employee5[[#This Row],[Job Status]]="FT"),Employee5[[#This Row],[Annual Salary]]*0.04,Employee5[[#This Row],[Annual Salary]]*0.025)</f>
        <v>1680</v>
      </c>
      <c r="Q64" s="97">
        <f>IF(Employee5[[#This Row],[Pay Grade]]=1,$Y$4,IF(Employee5[[#This Row],[Pay Grade]]=2,$Y$5,$Y$6))</f>
        <v>5000</v>
      </c>
      <c r="R64" s="97">
        <f>IFERROR(VLOOKUP(L64,HealthPlanRates[],2,FALSE)*12,"Invalid code")</f>
        <v>18000</v>
      </c>
      <c r="S64" s="97"/>
    </row>
    <row r="65" spans="1:19" x14ac:dyDescent="0.35">
      <c r="A65" s="89">
        <v>1085</v>
      </c>
      <c r="B65" s="86" t="s">
        <v>204</v>
      </c>
      <c r="C65" s="91">
        <v>38791</v>
      </c>
      <c r="D65" s="91">
        <v>22343</v>
      </c>
      <c r="E65" s="92" t="s">
        <v>62</v>
      </c>
      <c r="F65" s="92" t="s">
        <v>152</v>
      </c>
      <c r="G65" s="89" t="s">
        <v>127</v>
      </c>
      <c r="H65" s="89" t="s">
        <v>128</v>
      </c>
      <c r="I65" s="89">
        <v>1</v>
      </c>
      <c r="J65" s="89" t="s">
        <v>149</v>
      </c>
      <c r="K65" s="94">
        <v>29640</v>
      </c>
      <c r="L65" s="89" t="s">
        <v>145</v>
      </c>
      <c r="M65" s="95">
        <f t="shared" si="0"/>
        <v>9</v>
      </c>
      <c r="N65" s="96">
        <f t="shared" si="1"/>
        <v>29.64</v>
      </c>
      <c r="O65" s="96">
        <f t="shared" si="2"/>
        <v>889.19999999999993</v>
      </c>
      <c r="P65" s="96">
        <f>IF(OR(Employee5[[#This Row],[Location]]="Home",Employee5[[#This Row],[Job Status]]="FT"),Employee5[[#This Row],[Annual Salary]]*0.04,Employee5[[#This Row],[Annual Salary]]*0.025)</f>
        <v>1185.6000000000001</v>
      </c>
      <c r="Q65" s="97">
        <f>IF(Employee5[[#This Row],[Pay Grade]]=1,$Y$4,IF(Employee5[[#This Row],[Pay Grade]]=2,$Y$5,$Y$6))</f>
        <v>2500</v>
      </c>
      <c r="R65" s="97">
        <f>IFERROR(VLOOKUP(L65,HealthPlanRates[],2,FALSE)*12,"Invalid code")</f>
        <v>10500</v>
      </c>
      <c r="S65" s="97"/>
    </row>
    <row r="66" spans="1:19" x14ac:dyDescent="0.35">
      <c r="A66" s="89">
        <v>1086</v>
      </c>
      <c r="B66" s="86" t="s">
        <v>205</v>
      </c>
      <c r="C66" s="91">
        <v>37571</v>
      </c>
      <c r="D66" s="91">
        <v>28623</v>
      </c>
      <c r="E66" s="92" t="s">
        <v>125</v>
      </c>
      <c r="F66" s="92" t="s">
        <v>126</v>
      </c>
      <c r="G66" s="89" t="s">
        <v>127</v>
      </c>
      <c r="H66" s="89" t="s">
        <v>128</v>
      </c>
      <c r="I66" s="89">
        <v>3</v>
      </c>
      <c r="J66" s="89" t="s">
        <v>129</v>
      </c>
      <c r="K66" s="94">
        <v>110000</v>
      </c>
      <c r="L66" s="89" t="s">
        <v>130</v>
      </c>
      <c r="M66" s="95">
        <f t="shared" si="0"/>
        <v>12</v>
      </c>
      <c r="N66" s="96">
        <f t="shared" si="1"/>
        <v>110</v>
      </c>
      <c r="O66" s="96">
        <f t="shared" si="2"/>
        <v>3300</v>
      </c>
      <c r="P66" s="96">
        <f>IF(OR(Employee5[[#This Row],[Location]]="Home",Employee5[[#This Row],[Job Status]]="FT"),Employee5[[#This Row],[Annual Salary]]*0.04,Employee5[[#This Row],[Annual Salary]]*0.025)</f>
        <v>4400</v>
      </c>
      <c r="Q66" s="97">
        <f>IF(Employee5[[#This Row],[Pay Grade]]=1,$Y$4,IF(Employee5[[#This Row],[Pay Grade]]=2,$Y$5,$Y$6))</f>
        <v>7500</v>
      </c>
      <c r="R66" s="97">
        <f>IFERROR(VLOOKUP(L66,HealthPlanRates[],2,FALSE)*12,"Invalid code")</f>
        <v>18000</v>
      </c>
      <c r="S66" s="97"/>
    </row>
    <row r="67" spans="1:19" x14ac:dyDescent="0.35">
      <c r="A67" s="89">
        <v>1087</v>
      </c>
      <c r="B67" s="86" t="s">
        <v>206</v>
      </c>
      <c r="C67" s="91">
        <v>40798</v>
      </c>
      <c r="D67" s="91">
        <v>31679</v>
      </c>
      <c r="E67" s="92" t="s">
        <v>62</v>
      </c>
      <c r="F67" s="92" t="s">
        <v>126</v>
      </c>
      <c r="G67" s="89" t="s">
        <v>201</v>
      </c>
      <c r="H67" s="89" t="s">
        <v>134</v>
      </c>
      <c r="I67" s="89">
        <v>3</v>
      </c>
      <c r="J67" s="89" t="s">
        <v>129</v>
      </c>
      <c r="K67" s="94">
        <v>66000</v>
      </c>
      <c r="L67" s="89" t="s">
        <v>140</v>
      </c>
      <c r="M67" s="95">
        <f t="shared" si="0"/>
        <v>3</v>
      </c>
      <c r="N67" s="96">
        <f t="shared" si="1"/>
        <v>0</v>
      </c>
      <c r="O67" s="96">
        <f t="shared" si="2"/>
        <v>0</v>
      </c>
      <c r="P67" s="96">
        <f>IF(OR(Employee5[[#This Row],[Location]]="Home",Employee5[[#This Row],[Job Status]]="FT"),Employee5[[#This Row],[Annual Salary]]*0.04,Employee5[[#This Row],[Annual Salary]]*0.025)</f>
        <v>1650</v>
      </c>
      <c r="Q67" s="97">
        <f>IF(Employee5[[#This Row],[Pay Grade]]=1,$Y$4,IF(Employee5[[#This Row],[Pay Grade]]=2,$Y$5,$Y$6))</f>
        <v>7500</v>
      </c>
      <c r="R67" s="97">
        <f>IFERROR(VLOOKUP(L67,HealthPlanRates[],2,FALSE)*12,"Invalid code")</f>
        <v>0</v>
      </c>
      <c r="S67" s="97"/>
    </row>
    <row r="68" spans="1:19" x14ac:dyDescent="0.35">
      <c r="A68" s="89">
        <v>1088</v>
      </c>
      <c r="B68" s="86" t="s">
        <v>207</v>
      </c>
      <c r="C68" s="91">
        <v>37882</v>
      </c>
      <c r="D68" s="91">
        <v>19526</v>
      </c>
      <c r="E68" s="92" t="s">
        <v>62</v>
      </c>
      <c r="F68" s="92" t="s">
        <v>126</v>
      </c>
      <c r="G68" s="89" t="s">
        <v>127</v>
      </c>
      <c r="H68" s="89" t="s">
        <v>134</v>
      </c>
      <c r="I68" s="89">
        <v>2</v>
      </c>
      <c r="J68" s="89" t="s">
        <v>129</v>
      </c>
      <c r="K68" s="94">
        <v>52000</v>
      </c>
      <c r="L68" s="89" t="s">
        <v>130</v>
      </c>
      <c r="M68" s="95">
        <f t="shared" ref="M68:M103" si="3">DATEDIF(C68,$AB$3,"y")</f>
        <v>11</v>
      </c>
      <c r="N68" s="96">
        <f t="shared" ref="N68:N103" si="4">IF(H68="Y",K68*0.001,0)</f>
        <v>0</v>
      </c>
      <c r="O68" s="96">
        <f t="shared" ref="O68:O103" si="5">IF(AND(G68="FT",M68&gt;=1),K68*0.03,0)</f>
        <v>1560</v>
      </c>
      <c r="P68" s="96">
        <f>IF(OR(Employee5[[#This Row],[Location]]="Home",Employee5[[#This Row],[Job Status]]="FT"),Employee5[[#This Row],[Annual Salary]]*0.04,Employee5[[#This Row],[Annual Salary]]*0.025)</f>
        <v>2080</v>
      </c>
      <c r="Q68" s="97">
        <f>IF(Employee5[[#This Row],[Pay Grade]]=1,$Y$4,IF(Employee5[[#This Row],[Pay Grade]]=2,$Y$5,$Y$6))</f>
        <v>5000</v>
      </c>
      <c r="R68" s="97">
        <f>IFERROR(VLOOKUP(L68,HealthPlanRates[],2,FALSE)*12,"Invalid code")</f>
        <v>18000</v>
      </c>
      <c r="S68" s="97"/>
    </row>
    <row r="69" spans="1:19" x14ac:dyDescent="0.35">
      <c r="A69" s="89">
        <v>1089</v>
      </c>
      <c r="B69" s="86" t="s">
        <v>208</v>
      </c>
      <c r="C69" s="90">
        <v>41226</v>
      </c>
      <c r="D69" s="91">
        <v>20373</v>
      </c>
      <c r="E69" s="92" t="s">
        <v>62</v>
      </c>
      <c r="F69" s="92" t="s">
        <v>126</v>
      </c>
      <c r="G69" s="89" t="s">
        <v>127</v>
      </c>
      <c r="H69" s="89" t="s">
        <v>128</v>
      </c>
      <c r="I69" s="89">
        <v>3</v>
      </c>
      <c r="J69" s="89" t="s">
        <v>129</v>
      </c>
      <c r="K69" s="94">
        <v>85000</v>
      </c>
      <c r="L69" s="89" t="s">
        <v>130</v>
      </c>
      <c r="M69" s="95">
        <f t="shared" si="3"/>
        <v>2</v>
      </c>
      <c r="N69" s="96">
        <f t="shared" si="4"/>
        <v>85</v>
      </c>
      <c r="O69" s="96">
        <f t="shared" si="5"/>
        <v>2550</v>
      </c>
      <c r="P69" s="96">
        <f>IF(OR(Employee5[[#This Row],[Location]]="Home",Employee5[[#This Row],[Job Status]]="FT"),Employee5[[#This Row],[Annual Salary]]*0.04,Employee5[[#This Row],[Annual Salary]]*0.025)</f>
        <v>3400</v>
      </c>
      <c r="Q69" s="97">
        <f>IF(Employee5[[#This Row],[Pay Grade]]=1,$Y$4,IF(Employee5[[#This Row],[Pay Grade]]=2,$Y$5,$Y$6))</f>
        <v>7500</v>
      </c>
      <c r="R69" s="97">
        <f>IFERROR(VLOOKUP(L69,HealthPlanRates[],2,FALSE)*12,"Invalid code")</f>
        <v>18000</v>
      </c>
      <c r="S69" s="97"/>
    </row>
    <row r="70" spans="1:19" x14ac:dyDescent="0.35">
      <c r="A70" s="89">
        <v>1090</v>
      </c>
      <c r="B70" s="86" t="s">
        <v>209</v>
      </c>
      <c r="C70" s="91">
        <v>40888</v>
      </c>
      <c r="D70" s="91">
        <v>27091</v>
      </c>
      <c r="E70" s="92" t="s">
        <v>125</v>
      </c>
      <c r="F70" s="92" t="s">
        <v>126</v>
      </c>
      <c r="G70" s="89" t="s">
        <v>127</v>
      </c>
      <c r="H70" s="89" t="s">
        <v>128</v>
      </c>
      <c r="I70" s="89">
        <v>3</v>
      </c>
      <c r="J70" s="89" t="s">
        <v>129</v>
      </c>
      <c r="K70" s="94">
        <v>130000</v>
      </c>
      <c r="L70" s="89" t="s">
        <v>140</v>
      </c>
      <c r="M70" s="95">
        <f t="shared" si="3"/>
        <v>3</v>
      </c>
      <c r="N70" s="96">
        <f t="shared" si="4"/>
        <v>130</v>
      </c>
      <c r="O70" s="96">
        <f t="shared" si="5"/>
        <v>3900</v>
      </c>
      <c r="P70" s="96">
        <f>IF(OR(Employee5[[#This Row],[Location]]="Home",Employee5[[#This Row],[Job Status]]="FT"),Employee5[[#This Row],[Annual Salary]]*0.04,Employee5[[#This Row],[Annual Salary]]*0.025)</f>
        <v>5200</v>
      </c>
      <c r="Q70" s="97">
        <f>IF(Employee5[[#This Row],[Pay Grade]]=1,$Y$4,IF(Employee5[[#This Row],[Pay Grade]]=2,$Y$5,$Y$6))</f>
        <v>7500</v>
      </c>
      <c r="R70" s="97">
        <f>IFERROR(VLOOKUP(L70,HealthPlanRates[],2,FALSE)*12,"Invalid code")</f>
        <v>0</v>
      </c>
      <c r="S70" s="97"/>
    </row>
    <row r="71" spans="1:19" x14ac:dyDescent="0.35">
      <c r="A71" s="89">
        <v>1091</v>
      </c>
      <c r="B71" s="86" t="s">
        <v>210</v>
      </c>
      <c r="C71" s="91">
        <v>39215</v>
      </c>
      <c r="D71" s="91">
        <v>21706</v>
      </c>
      <c r="E71" s="92" t="s">
        <v>125</v>
      </c>
      <c r="F71" s="92" t="s">
        <v>137</v>
      </c>
      <c r="G71" s="89" t="s">
        <v>127</v>
      </c>
      <c r="H71" s="89" t="s">
        <v>128</v>
      </c>
      <c r="I71" s="89">
        <v>3</v>
      </c>
      <c r="J71" s="89" t="s">
        <v>129</v>
      </c>
      <c r="K71" s="94">
        <v>110000</v>
      </c>
      <c r="L71" s="89" t="s">
        <v>150</v>
      </c>
      <c r="M71" s="95">
        <f t="shared" si="3"/>
        <v>8</v>
      </c>
      <c r="N71" s="96">
        <f t="shared" si="4"/>
        <v>110</v>
      </c>
      <c r="O71" s="96">
        <f t="shared" si="5"/>
        <v>3300</v>
      </c>
      <c r="P71" s="96">
        <f>IF(OR(Employee5[[#This Row],[Location]]="Home",Employee5[[#This Row],[Job Status]]="FT"),Employee5[[#This Row],[Annual Salary]]*0.04,Employee5[[#This Row],[Annual Salary]]*0.025)</f>
        <v>4400</v>
      </c>
      <c r="Q71" s="97">
        <f>IF(Employee5[[#This Row],[Pay Grade]]=1,$Y$4,IF(Employee5[[#This Row],[Pay Grade]]=2,$Y$5,$Y$6))</f>
        <v>7500</v>
      </c>
      <c r="R71" s="97">
        <f>IFERROR(VLOOKUP(L71,HealthPlanRates[],2,FALSE)*12,"Invalid code")</f>
        <v>19800</v>
      </c>
      <c r="S71" s="97"/>
    </row>
    <row r="72" spans="1:19" x14ac:dyDescent="0.35">
      <c r="A72" s="89">
        <v>1092</v>
      </c>
      <c r="B72" s="86" t="s">
        <v>211</v>
      </c>
      <c r="C72" s="91">
        <v>40508</v>
      </c>
      <c r="D72" s="91">
        <v>20150</v>
      </c>
      <c r="E72" s="92" t="s">
        <v>125</v>
      </c>
      <c r="F72" s="92" t="s">
        <v>126</v>
      </c>
      <c r="G72" s="89" t="s">
        <v>148</v>
      </c>
      <c r="H72" s="89" t="s">
        <v>134</v>
      </c>
      <c r="I72" s="89">
        <v>1</v>
      </c>
      <c r="J72" s="89" t="s">
        <v>149</v>
      </c>
      <c r="K72" s="94">
        <v>33280</v>
      </c>
      <c r="L72" s="89" t="s">
        <v>145</v>
      </c>
      <c r="M72" s="95">
        <f t="shared" si="3"/>
        <v>4</v>
      </c>
      <c r="N72" s="96">
        <f t="shared" si="4"/>
        <v>0</v>
      </c>
      <c r="O72" s="96">
        <f t="shared" si="5"/>
        <v>0</v>
      </c>
      <c r="P72" s="96">
        <f>IF(OR(Employee5[[#This Row],[Location]]="Home",Employee5[[#This Row],[Job Status]]="FT"),Employee5[[#This Row],[Annual Salary]]*0.04,Employee5[[#This Row],[Annual Salary]]*0.025)</f>
        <v>832</v>
      </c>
      <c r="Q72" s="97">
        <f>IF(Employee5[[#This Row],[Pay Grade]]=1,$Y$4,IF(Employee5[[#This Row],[Pay Grade]]=2,$Y$5,$Y$6))</f>
        <v>2500</v>
      </c>
      <c r="R72" s="97">
        <f>IFERROR(VLOOKUP(L72,HealthPlanRates[],2,FALSE)*12,"Invalid code")</f>
        <v>10500</v>
      </c>
      <c r="S72" s="97"/>
    </row>
    <row r="73" spans="1:19" x14ac:dyDescent="0.35">
      <c r="A73" s="89">
        <v>1093</v>
      </c>
      <c r="B73" s="86" t="s">
        <v>212</v>
      </c>
      <c r="C73" s="91">
        <v>37128</v>
      </c>
      <c r="D73" s="91">
        <v>23510</v>
      </c>
      <c r="E73" s="92" t="s">
        <v>62</v>
      </c>
      <c r="F73" s="92" t="s">
        <v>126</v>
      </c>
      <c r="G73" s="89" t="s">
        <v>148</v>
      </c>
      <c r="H73" s="89" t="s">
        <v>134</v>
      </c>
      <c r="I73" s="89">
        <v>2</v>
      </c>
      <c r="J73" s="89" t="s">
        <v>129</v>
      </c>
      <c r="K73" s="94">
        <v>45000</v>
      </c>
      <c r="L73" s="89" t="s">
        <v>140</v>
      </c>
      <c r="M73" s="95">
        <f t="shared" si="3"/>
        <v>13</v>
      </c>
      <c r="N73" s="96">
        <f t="shared" si="4"/>
        <v>0</v>
      </c>
      <c r="O73" s="96">
        <f t="shared" si="5"/>
        <v>0</v>
      </c>
      <c r="P73" s="96">
        <f>IF(OR(Employee5[[#This Row],[Location]]="Home",Employee5[[#This Row],[Job Status]]="FT"),Employee5[[#This Row],[Annual Salary]]*0.04,Employee5[[#This Row],[Annual Salary]]*0.025)</f>
        <v>1125</v>
      </c>
      <c r="Q73" s="97">
        <f>IF(Employee5[[#This Row],[Pay Grade]]=1,$Y$4,IF(Employee5[[#This Row],[Pay Grade]]=2,$Y$5,$Y$6))</f>
        <v>5000</v>
      </c>
      <c r="R73" s="97">
        <f>IFERROR(VLOOKUP(L73,HealthPlanRates[],2,FALSE)*12,"Invalid code")</f>
        <v>0</v>
      </c>
      <c r="S73" s="97"/>
    </row>
    <row r="74" spans="1:19" x14ac:dyDescent="0.35">
      <c r="A74" s="89">
        <v>1094</v>
      </c>
      <c r="B74" s="86" t="s">
        <v>213</v>
      </c>
      <c r="C74" s="91">
        <v>37215</v>
      </c>
      <c r="D74" s="91">
        <v>18569</v>
      </c>
      <c r="E74" s="92" t="s">
        <v>62</v>
      </c>
      <c r="F74" s="92" t="s">
        <v>126</v>
      </c>
      <c r="G74" s="89" t="s">
        <v>127</v>
      </c>
      <c r="H74" s="89" t="s">
        <v>134</v>
      </c>
      <c r="I74" s="89">
        <v>2</v>
      </c>
      <c r="J74" s="89" t="s">
        <v>129</v>
      </c>
      <c r="K74" s="94">
        <v>35000</v>
      </c>
      <c r="L74" s="89" t="s">
        <v>130</v>
      </c>
      <c r="M74" s="95">
        <f t="shared" si="3"/>
        <v>13</v>
      </c>
      <c r="N74" s="96">
        <f t="shared" si="4"/>
        <v>0</v>
      </c>
      <c r="O74" s="96">
        <f t="shared" si="5"/>
        <v>1050</v>
      </c>
      <c r="P74" s="96">
        <f>IF(OR(Employee5[[#This Row],[Location]]="Home",Employee5[[#This Row],[Job Status]]="FT"),Employee5[[#This Row],[Annual Salary]]*0.04,Employee5[[#This Row],[Annual Salary]]*0.025)</f>
        <v>1400</v>
      </c>
      <c r="Q74" s="97">
        <f>IF(Employee5[[#This Row],[Pay Grade]]=1,$Y$4,IF(Employee5[[#This Row],[Pay Grade]]=2,$Y$5,$Y$6))</f>
        <v>5000</v>
      </c>
      <c r="R74" s="97">
        <f>IFERROR(VLOOKUP(L74,HealthPlanRates[],2,FALSE)*12,"Invalid code")</f>
        <v>18000</v>
      </c>
      <c r="S74" s="97"/>
    </row>
    <row r="75" spans="1:19" x14ac:dyDescent="0.35">
      <c r="A75" s="89">
        <v>1095</v>
      </c>
      <c r="B75" s="86" t="s">
        <v>214</v>
      </c>
      <c r="C75" s="90">
        <v>41009</v>
      </c>
      <c r="D75" s="91">
        <v>30147</v>
      </c>
      <c r="E75" s="92" t="s">
        <v>125</v>
      </c>
      <c r="F75" s="92" t="s">
        <v>137</v>
      </c>
      <c r="G75" s="89" t="s">
        <v>127</v>
      </c>
      <c r="H75" s="89" t="s">
        <v>134</v>
      </c>
      <c r="I75" s="89">
        <v>3</v>
      </c>
      <c r="J75" s="89" t="s">
        <v>129</v>
      </c>
      <c r="K75" s="94">
        <v>63750</v>
      </c>
      <c r="L75" s="89" t="s">
        <v>140</v>
      </c>
      <c r="M75" s="95">
        <f t="shared" si="3"/>
        <v>3</v>
      </c>
      <c r="N75" s="96">
        <f t="shared" si="4"/>
        <v>0</v>
      </c>
      <c r="O75" s="96">
        <f t="shared" si="5"/>
        <v>1912.5</v>
      </c>
      <c r="P75" s="96">
        <f>IF(OR(Employee5[[#This Row],[Location]]="Home",Employee5[[#This Row],[Job Status]]="FT"),Employee5[[#This Row],[Annual Salary]]*0.04,Employee5[[#This Row],[Annual Salary]]*0.025)</f>
        <v>2550</v>
      </c>
      <c r="Q75" s="97">
        <f>IF(Employee5[[#This Row],[Pay Grade]]=1,$Y$4,IF(Employee5[[#This Row],[Pay Grade]]=2,$Y$5,$Y$6))</f>
        <v>7500</v>
      </c>
      <c r="R75" s="97">
        <f>IFERROR(VLOOKUP(L75,HealthPlanRates[],2,FALSE)*12,"Invalid code")</f>
        <v>0</v>
      </c>
      <c r="S75" s="97"/>
    </row>
    <row r="76" spans="1:19" x14ac:dyDescent="0.35">
      <c r="A76" s="89">
        <v>1096</v>
      </c>
      <c r="B76" s="86" t="s">
        <v>215</v>
      </c>
      <c r="C76" s="91">
        <v>38601</v>
      </c>
      <c r="D76" s="91">
        <v>24649</v>
      </c>
      <c r="E76" s="92" t="s">
        <v>62</v>
      </c>
      <c r="F76" s="92" t="s">
        <v>126</v>
      </c>
      <c r="G76" s="89" t="s">
        <v>148</v>
      </c>
      <c r="H76" s="89" t="s">
        <v>134</v>
      </c>
      <c r="I76" s="89">
        <v>3</v>
      </c>
      <c r="J76" s="89" t="s">
        <v>129</v>
      </c>
      <c r="K76" s="94">
        <v>93000</v>
      </c>
      <c r="L76" s="89" t="s">
        <v>140</v>
      </c>
      <c r="M76" s="95">
        <f t="shared" si="3"/>
        <v>9</v>
      </c>
      <c r="N76" s="96">
        <f t="shared" si="4"/>
        <v>0</v>
      </c>
      <c r="O76" s="96">
        <f t="shared" si="5"/>
        <v>0</v>
      </c>
      <c r="P76" s="96">
        <f>IF(OR(Employee5[[#This Row],[Location]]="Home",Employee5[[#This Row],[Job Status]]="FT"),Employee5[[#This Row],[Annual Salary]]*0.04,Employee5[[#This Row],[Annual Salary]]*0.025)</f>
        <v>2325</v>
      </c>
      <c r="Q76" s="97">
        <f>IF(Employee5[[#This Row],[Pay Grade]]=1,$Y$4,IF(Employee5[[#This Row],[Pay Grade]]=2,$Y$5,$Y$6))</f>
        <v>7500</v>
      </c>
      <c r="R76" s="97">
        <f>IFERROR(VLOOKUP(L76,HealthPlanRates[],2,FALSE)*12,"Invalid code")</f>
        <v>0</v>
      </c>
      <c r="S76" s="97"/>
    </row>
    <row r="77" spans="1:19" x14ac:dyDescent="0.35">
      <c r="A77" s="89">
        <v>1097</v>
      </c>
      <c r="B77" s="86" t="s">
        <v>216</v>
      </c>
      <c r="C77" s="91">
        <v>39007</v>
      </c>
      <c r="D77" s="91">
        <v>24551</v>
      </c>
      <c r="E77" s="92" t="s">
        <v>125</v>
      </c>
      <c r="F77" s="92" t="s">
        <v>137</v>
      </c>
      <c r="G77" s="89" t="s">
        <v>201</v>
      </c>
      <c r="H77" s="89" t="s">
        <v>134</v>
      </c>
      <c r="I77" s="89">
        <v>3</v>
      </c>
      <c r="J77" s="89" t="s">
        <v>129</v>
      </c>
      <c r="K77" s="94">
        <v>90000</v>
      </c>
      <c r="L77" s="89" t="s">
        <v>140</v>
      </c>
      <c r="M77" s="95">
        <f t="shared" si="3"/>
        <v>8</v>
      </c>
      <c r="N77" s="96">
        <f t="shared" si="4"/>
        <v>0</v>
      </c>
      <c r="O77" s="96">
        <f t="shared" si="5"/>
        <v>0</v>
      </c>
      <c r="P77" s="96">
        <f>IF(OR(Employee5[[#This Row],[Location]]="Home",Employee5[[#This Row],[Job Status]]="FT"),Employee5[[#This Row],[Annual Salary]]*0.04,Employee5[[#This Row],[Annual Salary]]*0.025)</f>
        <v>2250</v>
      </c>
      <c r="Q77" s="97">
        <f>IF(Employee5[[#This Row],[Pay Grade]]=1,$Y$4,IF(Employee5[[#This Row],[Pay Grade]]=2,$Y$5,$Y$6))</f>
        <v>7500</v>
      </c>
      <c r="R77" s="97">
        <f>IFERROR(VLOOKUP(L77,HealthPlanRates[],2,FALSE)*12,"Invalid code")</f>
        <v>0</v>
      </c>
      <c r="S77" s="97"/>
    </row>
    <row r="78" spans="1:19" x14ac:dyDescent="0.35">
      <c r="A78" s="89">
        <v>1098</v>
      </c>
      <c r="B78" s="86" t="s">
        <v>141</v>
      </c>
      <c r="C78" s="90">
        <v>41058</v>
      </c>
      <c r="D78" s="91">
        <v>19464</v>
      </c>
      <c r="E78" s="92" t="s">
        <v>125</v>
      </c>
      <c r="F78" s="92" t="s">
        <v>126</v>
      </c>
      <c r="G78" s="89" t="s">
        <v>127</v>
      </c>
      <c r="H78" s="89" t="s">
        <v>128</v>
      </c>
      <c r="I78" s="89">
        <v>3</v>
      </c>
      <c r="J78" s="89" t="s">
        <v>129</v>
      </c>
      <c r="K78" s="94">
        <v>152400</v>
      </c>
      <c r="L78" s="89" t="s">
        <v>150</v>
      </c>
      <c r="M78" s="95">
        <f t="shared" si="3"/>
        <v>3</v>
      </c>
      <c r="N78" s="96">
        <f t="shared" si="4"/>
        <v>152.4</v>
      </c>
      <c r="O78" s="96">
        <f t="shared" si="5"/>
        <v>4572</v>
      </c>
      <c r="P78" s="96">
        <f>IF(OR(Employee5[[#This Row],[Location]]="Home",Employee5[[#This Row],[Job Status]]="FT"),Employee5[[#This Row],[Annual Salary]]*0.04,Employee5[[#This Row],[Annual Salary]]*0.025)</f>
        <v>6096</v>
      </c>
      <c r="Q78" s="97">
        <f>IF(Employee5[[#This Row],[Pay Grade]]=1,$Y$4,IF(Employee5[[#This Row],[Pay Grade]]=2,$Y$5,$Y$6))</f>
        <v>7500</v>
      </c>
      <c r="R78" s="97">
        <f>IFERROR(VLOOKUP(L78,HealthPlanRates[],2,FALSE)*12,"Invalid code")</f>
        <v>19800</v>
      </c>
      <c r="S78" s="97"/>
    </row>
    <row r="79" spans="1:19" x14ac:dyDescent="0.35">
      <c r="A79" s="89">
        <v>1099</v>
      </c>
      <c r="B79" s="86" t="s">
        <v>217</v>
      </c>
      <c r="C79" s="91">
        <v>39979</v>
      </c>
      <c r="D79" s="91">
        <v>23223</v>
      </c>
      <c r="E79" s="92" t="s">
        <v>62</v>
      </c>
      <c r="F79" s="92" t="s">
        <v>126</v>
      </c>
      <c r="G79" s="89" t="s">
        <v>148</v>
      </c>
      <c r="H79" s="89" t="s">
        <v>134</v>
      </c>
      <c r="I79" s="89">
        <v>1</v>
      </c>
      <c r="J79" s="89" t="s">
        <v>149</v>
      </c>
      <c r="K79" s="94">
        <v>26520</v>
      </c>
      <c r="L79" s="89" t="s">
        <v>140</v>
      </c>
      <c r="M79" s="95">
        <f t="shared" si="3"/>
        <v>6</v>
      </c>
      <c r="N79" s="96">
        <f t="shared" si="4"/>
        <v>0</v>
      </c>
      <c r="O79" s="96">
        <f t="shared" si="5"/>
        <v>0</v>
      </c>
      <c r="P79" s="96">
        <f>IF(OR(Employee5[[#This Row],[Location]]="Home",Employee5[[#This Row],[Job Status]]="FT"),Employee5[[#This Row],[Annual Salary]]*0.04,Employee5[[#This Row],[Annual Salary]]*0.025)</f>
        <v>663</v>
      </c>
      <c r="Q79" s="97">
        <f>IF(Employee5[[#This Row],[Pay Grade]]=1,$Y$4,IF(Employee5[[#This Row],[Pay Grade]]=2,$Y$5,$Y$6))</f>
        <v>2500</v>
      </c>
      <c r="R79" s="97">
        <f>IFERROR(VLOOKUP(L79,HealthPlanRates[],2,FALSE)*12,"Invalid code")</f>
        <v>0</v>
      </c>
      <c r="S79" s="97"/>
    </row>
    <row r="80" spans="1:19" x14ac:dyDescent="0.35">
      <c r="A80" s="89">
        <v>1100</v>
      </c>
      <c r="B80" s="86" t="s">
        <v>218</v>
      </c>
      <c r="C80" s="90">
        <v>41100</v>
      </c>
      <c r="D80" s="91">
        <v>22041</v>
      </c>
      <c r="E80" s="92" t="s">
        <v>125</v>
      </c>
      <c r="F80" s="92" t="s">
        <v>126</v>
      </c>
      <c r="G80" s="89" t="s">
        <v>127</v>
      </c>
      <c r="H80" s="89" t="s">
        <v>128</v>
      </c>
      <c r="I80" s="89">
        <v>2</v>
      </c>
      <c r="J80" s="89" t="s">
        <v>129</v>
      </c>
      <c r="K80" s="94">
        <v>40000</v>
      </c>
      <c r="L80" s="89" t="s">
        <v>143</v>
      </c>
      <c r="M80" s="95">
        <f t="shared" si="3"/>
        <v>2</v>
      </c>
      <c r="N80" s="96">
        <f t="shared" si="4"/>
        <v>40</v>
      </c>
      <c r="O80" s="96">
        <f t="shared" si="5"/>
        <v>1200</v>
      </c>
      <c r="P80" s="96">
        <f>IF(OR(Employee5[[#This Row],[Location]]="Home",Employee5[[#This Row],[Job Status]]="FT"),Employee5[[#This Row],[Annual Salary]]*0.04,Employee5[[#This Row],[Annual Salary]]*0.025)</f>
        <v>1600</v>
      </c>
      <c r="Q80" s="97">
        <f>IF(Employee5[[#This Row],[Pay Grade]]=1,$Y$4,IF(Employee5[[#This Row],[Pay Grade]]=2,$Y$5,$Y$6))</f>
        <v>5000</v>
      </c>
      <c r="R80" s="97">
        <f>IFERROR(VLOOKUP(L80,HealthPlanRates[],2,FALSE)*12,"Invalid code")</f>
        <v>11400</v>
      </c>
      <c r="S80" s="97"/>
    </row>
    <row r="81" spans="1:19" x14ac:dyDescent="0.35">
      <c r="A81" s="89">
        <v>1101</v>
      </c>
      <c r="B81" s="86" t="s">
        <v>219</v>
      </c>
      <c r="C81" s="90">
        <v>41296</v>
      </c>
      <c r="D81" s="91">
        <v>19551</v>
      </c>
      <c r="E81" s="92" t="s">
        <v>62</v>
      </c>
      <c r="F81" s="92" t="s">
        <v>126</v>
      </c>
      <c r="G81" s="89" t="s">
        <v>127</v>
      </c>
      <c r="H81" s="89" t="s">
        <v>134</v>
      </c>
      <c r="I81" s="89">
        <v>2</v>
      </c>
      <c r="J81" s="89" t="s">
        <v>129</v>
      </c>
      <c r="K81" s="94">
        <v>50000</v>
      </c>
      <c r="L81" s="89" t="s">
        <v>130</v>
      </c>
      <c r="M81" s="95">
        <f t="shared" si="3"/>
        <v>2</v>
      </c>
      <c r="N81" s="96">
        <f t="shared" si="4"/>
        <v>0</v>
      </c>
      <c r="O81" s="96">
        <f t="shared" si="5"/>
        <v>1500</v>
      </c>
      <c r="P81" s="96">
        <f>IF(OR(Employee5[[#This Row],[Location]]="Home",Employee5[[#This Row],[Job Status]]="FT"),Employee5[[#This Row],[Annual Salary]]*0.04,Employee5[[#This Row],[Annual Salary]]*0.025)</f>
        <v>2000</v>
      </c>
      <c r="Q81" s="97">
        <f>IF(Employee5[[#This Row],[Pay Grade]]=1,$Y$4,IF(Employee5[[#This Row],[Pay Grade]]=2,$Y$5,$Y$6))</f>
        <v>5000</v>
      </c>
      <c r="R81" s="97">
        <f>IFERROR(VLOOKUP(L81,HealthPlanRates[],2,FALSE)*12,"Invalid code")</f>
        <v>18000</v>
      </c>
      <c r="S81" s="97"/>
    </row>
    <row r="82" spans="1:19" x14ac:dyDescent="0.35">
      <c r="A82" s="89">
        <v>1102</v>
      </c>
      <c r="B82" s="86" t="s">
        <v>220</v>
      </c>
      <c r="C82" s="90">
        <v>41198</v>
      </c>
      <c r="D82" s="91">
        <v>30878</v>
      </c>
      <c r="E82" s="92" t="s">
        <v>62</v>
      </c>
      <c r="F82" s="92" t="s">
        <v>126</v>
      </c>
      <c r="G82" s="89" t="s">
        <v>127</v>
      </c>
      <c r="H82" s="89" t="s">
        <v>128</v>
      </c>
      <c r="I82" s="89">
        <v>3</v>
      </c>
      <c r="J82" s="89" t="s">
        <v>129</v>
      </c>
      <c r="K82" s="94">
        <v>85000</v>
      </c>
      <c r="L82" s="89" t="s">
        <v>143</v>
      </c>
      <c r="M82" s="95">
        <f t="shared" si="3"/>
        <v>2</v>
      </c>
      <c r="N82" s="96">
        <f t="shared" si="4"/>
        <v>85</v>
      </c>
      <c r="O82" s="96">
        <f t="shared" si="5"/>
        <v>2550</v>
      </c>
      <c r="P82" s="96">
        <f>IF(OR(Employee5[[#This Row],[Location]]="Home",Employee5[[#This Row],[Job Status]]="FT"),Employee5[[#This Row],[Annual Salary]]*0.04,Employee5[[#This Row],[Annual Salary]]*0.025)</f>
        <v>3400</v>
      </c>
      <c r="Q82" s="97">
        <f>IF(Employee5[[#This Row],[Pay Grade]]=1,$Y$4,IF(Employee5[[#This Row],[Pay Grade]]=2,$Y$5,$Y$6))</f>
        <v>7500</v>
      </c>
      <c r="R82" s="97">
        <f>IFERROR(VLOOKUP(L82,HealthPlanRates[],2,FALSE)*12,"Invalid code")</f>
        <v>11400</v>
      </c>
      <c r="S82" s="97"/>
    </row>
    <row r="83" spans="1:19" x14ac:dyDescent="0.35">
      <c r="A83" s="89">
        <v>1103</v>
      </c>
      <c r="B83" s="86" t="s">
        <v>221</v>
      </c>
      <c r="C83" s="90">
        <v>41149</v>
      </c>
      <c r="D83" s="91">
        <v>18956</v>
      </c>
      <c r="E83" s="92" t="s">
        <v>62</v>
      </c>
      <c r="F83" s="92" t="s">
        <v>126</v>
      </c>
      <c r="G83" s="89" t="s">
        <v>127</v>
      </c>
      <c r="H83" s="89" t="s">
        <v>134</v>
      </c>
      <c r="I83" s="89">
        <v>1</v>
      </c>
      <c r="J83" s="89" t="s">
        <v>149</v>
      </c>
      <c r="K83" s="94">
        <v>28496</v>
      </c>
      <c r="L83" s="89" t="s">
        <v>145</v>
      </c>
      <c r="M83" s="95">
        <f t="shared" si="3"/>
        <v>2</v>
      </c>
      <c r="N83" s="96">
        <f t="shared" si="4"/>
        <v>0</v>
      </c>
      <c r="O83" s="96">
        <f t="shared" si="5"/>
        <v>854.88</v>
      </c>
      <c r="P83" s="96">
        <f>IF(OR(Employee5[[#This Row],[Location]]="Home",Employee5[[#This Row],[Job Status]]="FT"),Employee5[[#This Row],[Annual Salary]]*0.04,Employee5[[#This Row],[Annual Salary]]*0.025)</f>
        <v>1139.8399999999999</v>
      </c>
      <c r="Q83" s="97">
        <f>IF(Employee5[[#This Row],[Pay Grade]]=1,$Y$4,IF(Employee5[[#This Row],[Pay Grade]]=2,$Y$5,$Y$6))</f>
        <v>2500</v>
      </c>
      <c r="R83" s="97">
        <f>IFERROR(VLOOKUP(L83,HealthPlanRates[],2,FALSE)*12,"Invalid code")</f>
        <v>10500</v>
      </c>
      <c r="S83" s="97"/>
    </row>
    <row r="84" spans="1:19" x14ac:dyDescent="0.35">
      <c r="A84" s="89">
        <v>1104</v>
      </c>
      <c r="B84" s="86" t="s">
        <v>222</v>
      </c>
      <c r="C84" s="91">
        <v>37886</v>
      </c>
      <c r="D84" s="91">
        <v>21555</v>
      </c>
      <c r="E84" s="92" t="s">
        <v>62</v>
      </c>
      <c r="F84" s="89" t="s">
        <v>133</v>
      </c>
      <c r="G84" s="89" t="s">
        <v>127</v>
      </c>
      <c r="H84" s="89" t="s">
        <v>134</v>
      </c>
      <c r="I84" s="89">
        <v>1</v>
      </c>
      <c r="J84" s="89" t="s">
        <v>149</v>
      </c>
      <c r="K84" s="94">
        <v>24752</v>
      </c>
      <c r="L84" s="89" t="s">
        <v>145</v>
      </c>
      <c r="M84" s="95">
        <f t="shared" si="3"/>
        <v>11</v>
      </c>
      <c r="N84" s="96">
        <f t="shared" si="4"/>
        <v>0</v>
      </c>
      <c r="O84" s="96">
        <f t="shared" si="5"/>
        <v>742.56</v>
      </c>
      <c r="P84" s="96">
        <f>IF(OR(Employee5[[#This Row],[Location]]="Home",Employee5[[#This Row],[Job Status]]="FT"),Employee5[[#This Row],[Annual Salary]]*0.04,Employee5[[#This Row],[Annual Salary]]*0.025)</f>
        <v>990.08</v>
      </c>
      <c r="Q84" s="97">
        <f>IF(Employee5[[#This Row],[Pay Grade]]=1,$Y$4,IF(Employee5[[#This Row],[Pay Grade]]=2,$Y$5,$Y$6))</f>
        <v>2500</v>
      </c>
      <c r="R84" s="97">
        <f>IFERROR(VLOOKUP(L84,HealthPlanRates[],2,FALSE)*12,"Invalid code")</f>
        <v>10500</v>
      </c>
      <c r="S84" s="97"/>
    </row>
    <row r="85" spans="1:19" x14ac:dyDescent="0.35">
      <c r="A85" s="89">
        <v>1105</v>
      </c>
      <c r="B85" s="86" t="s">
        <v>223</v>
      </c>
      <c r="C85" s="91">
        <v>38065</v>
      </c>
      <c r="D85" s="91">
        <v>30262</v>
      </c>
      <c r="E85" s="92" t="s">
        <v>125</v>
      </c>
      <c r="F85" s="92" t="s">
        <v>126</v>
      </c>
      <c r="G85" s="89" t="s">
        <v>127</v>
      </c>
      <c r="H85" s="89" t="s">
        <v>128</v>
      </c>
      <c r="I85" s="89">
        <v>3</v>
      </c>
      <c r="J85" s="89" t="s">
        <v>129</v>
      </c>
      <c r="K85" s="94">
        <v>65000</v>
      </c>
      <c r="L85" s="89" t="s">
        <v>145</v>
      </c>
      <c r="M85" s="95">
        <f t="shared" si="3"/>
        <v>11</v>
      </c>
      <c r="N85" s="96">
        <f t="shared" si="4"/>
        <v>65</v>
      </c>
      <c r="O85" s="96">
        <f t="shared" si="5"/>
        <v>1950</v>
      </c>
      <c r="P85" s="96">
        <f>IF(OR(Employee5[[#This Row],[Location]]="Home",Employee5[[#This Row],[Job Status]]="FT"),Employee5[[#This Row],[Annual Salary]]*0.04,Employee5[[#This Row],[Annual Salary]]*0.025)</f>
        <v>2600</v>
      </c>
      <c r="Q85" s="97">
        <f>IF(Employee5[[#This Row],[Pay Grade]]=1,$Y$4,IF(Employee5[[#This Row],[Pay Grade]]=2,$Y$5,$Y$6))</f>
        <v>7500</v>
      </c>
      <c r="R85" s="97">
        <f>IFERROR(VLOOKUP(L85,HealthPlanRates[],2,FALSE)*12,"Invalid code")</f>
        <v>10500</v>
      </c>
      <c r="S85" s="97"/>
    </row>
    <row r="86" spans="1:19" x14ac:dyDescent="0.35">
      <c r="A86" s="89">
        <v>1106</v>
      </c>
      <c r="B86" s="86" t="s">
        <v>224</v>
      </c>
      <c r="C86" s="91">
        <v>39152</v>
      </c>
      <c r="D86" s="91">
        <v>21247</v>
      </c>
      <c r="E86" s="92" t="s">
        <v>62</v>
      </c>
      <c r="F86" s="92" t="s">
        <v>152</v>
      </c>
      <c r="G86" s="89" t="s">
        <v>148</v>
      </c>
      <c r="H86" s="89" t="s">
        <v>134</v>
      </c>
      <c r="I86" s="89">
        <v>1</v>
      </c>
      <c r="J86" s="89" t="s">
        <v>149</v>
      </c>
      <c r="K86" s="94">
        <v>22880</v>
      </c>
      <c r="L86" s="89" t="s">
        <v>150</v>
      </c>
      <c r="M86" s="95">
        <f t="shared" si="3"/>
        <v>8</v>
      </c>
      <c r="N86" s="96">
        <f t="shared" si="4"/>
        <v>0</v>
      </c>
      <c r="O86" s="96">
        <f t="shared" si="5"/>
        <v>0</v>
      </c>
      <c r="P86" s="96">
        <f>IF(OR(Employee5[[#This Row],[Location]]="Home",Employee5[[#This Row],[Job Status]]="FT"),Employee5[[#This Row],[Annual Salary]]*0.04,Employee5[[#This Row],[Annual Salary]]*0.025)</f>
        <v>572</v>
      </c>
      <c r="Q86" s="97">
        <f>IF(Employee5[[#This Row],[Pay Grade]]=1,$Y$4,IF(Employee5[[#This Row],[Pay Grade]]=2,$Y$5,$Y$6))</f>
        <v>2500</v>
      </c>
      <c r="R86" s="97">
        <f>IFERROR(VLOOKUP(L86,HealthPlanRates[],2,FALSE)*12,"Invalid code")</f>
        <v>19800</v>
      </c>
      <c r="S86" s="97"/>
    </row>
    <row r="87" spans="1:19" x14ac:dyDescent="0.35">
      <c r="A87" s="89">
        <v>1107</v>
      </c>
      <c r="B87" s="86" t="s">
        <v>225</v>
      </c>
      <c r="C87" s="90">
        <v>41149</v>
      </c>
      <c r="D87" s="91">
        <v>27795</v>
      </c>
      <c r="E87" s="92" t="s">
        <v>62</v>
      </c>
      <c r="F87" s="92" t="s">
        <v>126</v>
      </c>
      <c r="G87" s="89" t="s">
        <v>127</v>
      </c>
      <c r="H87" s="89" t="s">
        <v>134</v>
      </c>
      <c r="I87" s="89">
        <v>1</v>
      </c>
      <c r="J87" s="89" t="s">
        <v>149</v>
      </c>
      <c r="K87" s="94">
        <v>29016</v>
      </c>
      <c r="L87" s="89" t="s">
        <v>140</v>
      </c>
      <c r="M87" s="95">
        <f t="shared" si="3"/>
        <v>2</v>
      </c>
      <c r="N87" s="96">
        <f t="shared" si="4"/>
        <v>0</v>
      </c>
      <c r="O87" s="96">
        <f t="shared" si="5"/>
        <v>870.48</v>
      </c>
      <c r="P87" s="96">
        <f>IF(OR(Employee5[[#This Row],[Location]]="Home",Employee5[[#This Row],[Job Status]]="FT"),Employee5[[#This Row],[Annual Salary]]*0.04,Employee5[[#This Row],[Annual Salary]]*0.025)</f>
        <v>1160.6400000000001</v>
      </c>
      <c r="Q87" s="97">
        <f>IF(Employee5[[#This Row],[Pay Grade]]=1,$Y$4,IF(Employee5[[#This Row],[Pay Grade]]=2,$Y$5,$Y$6))</f>
        <v>2500</v>
      </c>
      <c r="R87" s="97">
        <f>IFERROR(VLOOKUP(L87,HealthPlanRates[],2,FALSE)*12,"Invalid code")</f>
        <v>0</v>
      </c>
      <c r="S87" s="97"/>
    </row>
    <row r="88" spans="1:19" x14ac:dyDescent="0.35">
      <c r="A88" s="89">
        <v>1108</v>
      </c>
      <c r="B88" s="86" t="s">
        <v>226</v>
      </c>
      <c r="C88" s="91">
        <v>36749</v>
      </c>
      <c r="D88" s="91">
        <v>24564</v>
      </c>
      <c r="E88" s="92" t="s">
        <v>125</v>
      </c>
      <c r="F88" s="92" t="s">
        <v>126</v>
      </c>
      <c r="G88" s="89" t="s">
        <v>127</v>
      </c>
      <c r="H88" s="89" t="s">
        <v>128</v>
      </c>
      <c r="I88" s="89">
        <v>3</v>
      </c>
      <c r="J88" s="89" t="s">
        <v>129</v>
      </c>
      <c r="K88" s="94">
        <v>102500</v>
      </c>
      <c r="L88" s="89" t="s">
        <v>145</v>
      </c>
      <c r="M88" s="95">
        <f t="shared" si="3"/>
        <v>14</v>
      </c>
      <c r="N88" s="96">
        <f t="shared" si="4"/>
        <v>102.5</v>
      </c>
      <c r="O88" s="96">
        <f t="shared" si="5"/>
        <v>3075</v>
      </c>
      <c r="P88" s="96">
        <f>IF(OR(Employee5[[#This Row],[Location]]="Home",Employee5[[#This Row],[Job Status]]="FT"),Employee5[[#This Row],[Annual Salary]]*0.04,Employee5[[#This Row],[Annual Salary]]*0.025)</f>
        <v>4100</v>
      </c>
      <c r="Q88" s="97">
        <f>IF(Employee5[[#This Row],[Pay Grade]]=1,$Y$4,IF(Employee5[[#This Row],[Pay Grade]]=2,$Y$5,$Y$6))</f>
        <v>7500</v>
      </c>
      <c r="R88" s="97">
        <f>IFERROR(VLOOKUP(L88,HealthPlanRates[],2,FALSE)*12,"Invalid code")</f>
        <v>10500</v>
      </c>
      <c r="S88" s="97"/>
    </row>
    <row r="89" spans="1:19" x14ac:dyDescent="0.35">
      <c r="A89" s="89">
        <v>1109</v>
      </c>
      <c r="B89" s="86" t="s">
        <v>227</v>
      </c>
      <c r="C89" s="90">
        <v>41002</v>
      </c>
      <c r="D89" s="91">
        <v>24525</v>
      </c>
      <c r="E89" s="92" t="s">
        <v>62</v>
      </c>
      <c r="F89" s="92" t="s">
        <v>126</v>
      </c>
      <c r="G89" s="89" t="s">
        <v>127</v>
      </c>
      <c r="H89" s="89" t="s">
        <v>134</v>
      </c>
      <c r="I89" s="89">
        <v>2</v>
      </c>
      <c r="J89" s="89" t="s">
        <v>129</v>
      </c>
      <c r="K89" s="94">
        <v>43260</v>
      </c>
      <c r="L89" s="89" t="s">
        <v>150</v>
      </c>
      <c r="M89" s="95">
        <f t="shared" si="3"/>
        <v>3</v>
      </c>
      <c r="N89" s="96">
        <f t="shared" si="4"/>
        <v>0</v>
      </c>
      <c r="O89" s="96">
        <f t="shared" si="5"/>
        <v>1297.8</v>
      </c>
      <c r="P89" s="96">
        <f>IF(OR(Employee5[[#This Row],[Location]]="Home",Employee5[[#This Row],[Job Status]]="FT"),Employee5[[#This Row],[Annual Salary]]*0.04,Employee5[[#This Row],[Annual Salary]]*0.025)</f>
        <v>1730.4</v>
      </c>
      <c r="Q89" s="97">
        <f>IF(Employee5[[#This Row],[Pay Grade]]=1,$Y$4,IF(Employee5[[#This Row],[Pay Grade]]=2,$Y$5,$Y$6))</f>
        <v>5000</v>
      </c>
      <c r="R89" s="97">
        <f>IFERROR(VLOOKUP(L89,HealthPlanRates[],2,FALSE)*12,"Invalid code")</f>
        <v>19800</v>
      </c>
      <c r="S89" s="97"/>
    </row>
    <row r="90" spans="1:19" x14ac:dyDescent="0.35">
      <c r="A90" s="89">
        <v>1110</v>
      </c>
      <c r="B90" s="86" t="s">
        <v>228</v>
      </c>
      <c r="C90" s="91">
        <v>38783</v>
      </c>
      <c r="D90" s="91">
        <v>23788</v>
      </c>
      <c r="E90" s="92" t="s">
        <v>125</v>
      </c>
      <c r="F90" s="92" t="s">
        <v>137</v>
      </c>
      <c r="G90" s="89" t="s">
        <v>127</v>
      </c>
      <c r="H90" s="89" t="s">
        <v>128</v>
      </c>
      <c r="I90" s="89">
        <v>3</v>
      </c>
      <c r="J90" s="89" t="s">
        <v>129</v>
      </c>
      <c r="K90" s="94">
        <v>150000</v>
      </c>
      <c r="L90" s="89" t="s">
        <v>140</v>
      </c>
      <c r="M90" s="95">
        <f t="shared" si="3"/>
        <v>9</v>
      </c>
      <c r="N90" s="96">
        <f t="shared" si="4"/>
        <v>150</v>
      </c>
      <c r="O90" s="96">
        <f t="shared" si="5"/>
        <v>4500</v>
      </c>
      <c r="P90" s="96">
        <f>IF(OR(Employee5[[#This Row],[Location]]="Home",Employee5[[#This Row],[Job Status]]="FT"),Employee5[[#This Row],[Annual Salary]]*0.04,Employee5[[#This Row],[Annual Salary]]*0.025)</f>
        <v>6000</v>
      </c>
      <c r="Q90" s="97">
        <f>IF(Employee5[[#This Row],[Pay Grade]]=1,$Y$4,IF(Employee5[[#This Row],[Pay Grade]]=2,$Y$5,$Y$6))</f>
        <v>7500</v>
      </c>
      <c r="R90" s="97">
        <f>IFERROR(VLOOKUP(L90,HealthPlanRates[],2,FALSE)*12,"Invalid code")</f>
        <v>0</v>
      </c>
      <c r="S90" s="97"/>
    </row>
    <row r="91" spans="1:19" x14ac:dyDescent="0.35">
      <c r="A91" s="89">
        <v>1111</v>
      </c>
      <c r="B91" s="86" t="s">
        <v>229</v>
      </c>
      <c r="C91" s="91">
        <v>39811</v>
      </c>
      <c r="D91" s="91">
        <v>19453</v>
      </c>
      <c r="E91" s="92" t="s">
        <v>62</v>
      </c>
      <c r="F91" s="92" t="s">
        <v>152</v>
      </c>
      <c r="G91" s="89" t="s">
        <v>201</v>
      </c>
      <c r="H91" s="89" t="s">
        <v>134</v>
      </c>
      <c r="I91" s="89">
        <v>3</v>
      </c>
      <c r="J91" s="89" t="s">
        <v>129</v>
      </c>
      <c r="K91" s="94">
        <v>55000</v>
      </c>
      <c r="L91" s="89" t="s">
        <v>140</v>
      </c>
      <c r="M91" s="95">
        <f t="shared" si="3"/>
        <v>6</v>
      </c>
      <c r="N91" s="96">
        <f t="shared" si="4"/>
        <v>0</v>
      </c>
      <c r="O91" s="96">
        <f t="shared" si="5"/>
        <v>0</v>
      </c>
      <c r="P91" s="96">
        <f>IF(OR(Employee5[[#This Row],[Location]]="Home",Employee5[[#This Row],[Job Status]]="FT"),Employee5[[#This Row],[Annual Salary]]*0.04,Employee5[[#This Row],[Annual Salary]]*0.025)</f>
        <v>1375</v>
      </c>
      <c r="Q91" s="97">
        <f>IF(Employee5[[#This Row],[Pay Grade]]=1,$Y$4,IF(Employee5[[#This Row],[Pay Grade]]=2,$Y$5,$Y$6))</f>
        <v>7500</v>
      </c>
      <c r="R91" s="97">
        <f>IFERROR(VLOOKUP(L91,HealthPlanRates[],2,FALSE)*12,"Invalid code")</f>
        <v>0</v>
      </c>
      <c r="S91" s="97"/>
    </row>
    <row r="92" spans="1:19" x14ac:dyDescent="0.35">
      <c r="A92" s="89">
        <v>1112</v>
      </c>
      <c r="B92" s="86" t="s">
        <v>230</v>
      </c>
      <c r="C92" s="90">
        <v>41317</v>
      </c>
      <c r="D92" s="91">
        <v>28934</v>
      </c>
      <c r="E92" s="92" t="s">
        <v>62</v>
      </c>
      <c r="F92" s="92" t="s">
        <v>152</v>
      </c>
      <c r="G92" s="89" t="s">
        <v>127</v>
      </c>
      <c r="H92" s="89" t="s">
        <v>134</v>
      </c>
      <c r="I92" s="89">
        <v>1</v>
      </c>
      <c r="J92" s="89" t="s">
        <v>149</v>
      </c>
      <c r="K92" s="94">
        <v>22880</v>
      </c>
      <c r="L92" s="89" t="s">
        <v>130</v>
      </c>
      <c r="M92" s="95">
        <f t="shared" si="3"/>
        <v>2</v>
      </c>
      <c r="N92" s="96">
        <f t="shared" si="4"/>
        <v>0</v>
      </c>
      <c r="O92" s="96">
        <f t="shared" si="5"/>
        <v>686.4</v>
      </c>
      <c r="P92" s="96">
        <f>IF(OR(Employee5[[#This Row],[Location]]="Home",Employee5[[#This Row],[Job Status]]="FT"),Employee5[[#This Row],[Annual Salary]]*0.04,Employee5[[#This Row],[Annual Salary]]*0.025)</f>
        <v>915.2</v>
      </c>
      <c r="Q92" s="97">
        <f>IF(Employee5[[#This Row],[Pay Grade]]=1,$Y$4,IF(Employee5[[#This Row],[Pay Grade]]=2,$Y$5,$Y$6))</f>
        <v>2500</v>
      </c>
      <c r="R92" s="97">
        <f>IFERROR(VLOOKUP(L92,HealthPlanRates[],2,FALSE)*12,"Invalid code")</f>
        <v>18000</v>
      </c>
      <c r="S92" s="97"/>
    </row>
    <row r="93" spans="1:19" x14ac:dyDescent="0.35">
      <c r="A93" s="89">
        <v>1113</v>
      </c>
      <c r="B93" s="86" t="s">
        <v>231</v>
      </c>
      <c r="C93" s="90">
        <v>41067</v>
      </c>
      <c r="D93" s="91">
        <v>27888</v>
      </c>
      <c r="E93" s="92" t="s">
        <v>62</v>
      </c>
      <c r="F93" s="89" t="s">
        <v>133</v>
      </c>
      <c r="G93" s="89" t="s">
        <v>127</v>
      </c>
      <c r="H93" s="89" t="s">
        <v>134</v>
      </c>
      <c r="I93" s="89">
        <v>1</v>
      </c>
      <c r="J93" s="89" t="s">
        <v>149</v>
      </c>
      <c r="K93" s="94">
        <v>22880</v>
      </c>
      <c r="L93" s="89" t="s">
        <v>145</v>
      </c>
      <c r="M93" s="95">
        <f t="shared" si="3"/>
        <v>3</v>
      </c>
      <c r="N93" s="96">
        <f t="shared" si="4"/>
        <v>0</v>
      </c>
      <c r="O93" s="96">
        <f t="shared" si="5"/>
        <v>686.4</v>
      </c>
      <c r="P93" s="96">
        <f>IF(OR(Employee5[[#This Row],[Location]]="Home",Employee5[[#This Row],[Job Status]]="FT"),Employee5[[#This Row],[Annual Salary]]*0.04,Employee5[[#This Row],[Annual Salary]]*0.025)</f>
        <v>915.2</v>
      </c>
      <c r="Q93" s="97">
        <f>IF(Employee5[[#This Row],[Pay Grade]]=1,$Y$4,IF(Employee5[[#This Row],[Pay Grade]]=2,$Y$5,$Y$6))</f>
        <v>2500</v>
      </c>
      <c r="R93" s="97">
        <f>IFERROR(VLOOKUP(L93,HealthPlanRates[],2,FALSE)*12,"Invalid code")</f>
        <v>10500</v>
      </c>
      <c r="S93" s="97"/>
    </row>
    <row r="94" spans="1:19" x14ac:dyDescent="0.35">
      <c r="A94" s="89">
        <v>1114</v>
      </c>
      <c r="B94" s="86" t="s">
        <v>232</v>
      </c>
      <c r="C94" s="90">
        <v>41296</v>
      </c>
      <c r="D94" s="91">
        <v>33330</v>
      </c>
      <c r="E94" s="92" t="s">
        <v>62</v>
      </c>
      <c r="F94" s="89" t="s">
        <v>133</v>
      </c>
      <c r="G94" s="89" t="s">
        <v>127</v>
      </c>
      <c r="H94" s="89" t="s">
        <v>134</v>
      </c>
      <c r="I94" s="89">
        <v>1</v>
      </c>
      <c r="J94" s="89" t="s">
        <v>149</v>
      </c>
      <c r="K94" s="94">
        <v>23920</v>
      </c>
      <c r="L94" s="89" t="s">
        <v>140</v>
      </c>
      <c r="M94" s="95">
        <f t="shared" si="3"/>
        <v>2</v>
      </c>
      <c r="N94" s="96">
        <f t="shared" si="4"/>
        <v>0</v>
      </c>
      <c r="O94" s="96">
        <f t="shared" si="5"/>
        <v>717.6</v>
      </c>
      <c r="P94" s="96">
        <f>IF(OR(Employee5[[#This Row],[Location]]="Home",Employee5[[#This Row],[Job Status]]="FT"),Employee5[[#This Row],[Annual Salary]]*0.04,Employee5[[#This Row],[Annual Salary]]*0.025)</f>
        <v>956.80000000000007</v>
      </c>
      <c r="Q94" s="97">
        <f>IF(Employee5[[#This Row],[Pay Grade]]=1,$Y$4,IF(Employee5[[#This Row],[Pay Grade]]=2,$Y$5,$Y$6))</f>
        <v>2500</v>
      </c>
      <c r="R94" s="97">
        <f>IFERROR(VLOOKUP(L94,HealthPlanRates[],2,FALSE)*12,"Invalid code")</f>
        <v>0</v>
      </c>
      <c r="S94" s="97"/>
    </row>
    <row r="95" spans="1:19" x14ac:dyDescent="0.35">
      <c r="A95" s="89">
        <v>1115</v>
      </c>
      <c r="B95" s="86" t="s">
        <v>233</v>
      </c>
      <c r="C95" s="90">
        <v>41212</v>
      </c>
      <c r="D95" s="91">
        <v>20572</v>
      </c>
      <c r="E95" s="92" t="s">
        <v>125</v>
      </c>
      <c r="F95" s="92" t="s">
        <v>126</v>
      </c>
      <c r="G95" s="89" t="s">
        <v>127</v>
      </c>
      <c r="H95" s="89" t="s">
        <v>128</v>
      </c>
      <c r="I95" s="89">
        <v>3</v>
      </c>
      <c r="J95" s="89" t="s">
        <v>129</v>
      </c>
      <c r="K95" s="94">
        <v>100000</v>
      </c>
      <c r="L95" s="89" t="s">
        <v>150</v>
      </c>
      <c r="M95" s="95">
        <f t="shared" si="3"/>
        <v>2</v>
      </c>
      <c r="N95" s="96">
        <f t="shared" si="4"/>
        <v>100</v>
      </c>
      <c r="O95" s="96">
        <f t="shared" si="5"/>
        <v>3000</v>
      </c>
      <c r="P95" s="96">
        <f>IF(OR(Employee5[[#This Row],[Location]]="Home",Employee5[[#This Row],[Job Status]]="FT"),Employee5[[#This Row],[Annual Salary]]*0.04,Employee5[[#This Row],[Annual Salary]]*0.025)</f>
        <v>4000</v>
      </c>
      <c r="Q95" s="97">
        <f>IF(Employee5[[#This Row],[Pay Grade]]=1,$Y$4,IF(Employee5[[#This Row],[Pay Grade]]=2,$Y$5,$Y$6))</f>
        <v>7500</v>
      </c>
      <c r="R95" s="97">
        <f>IFERROR(VLOOKUP(L95,HealthPlanRates[],2,FALSE)*12,"Invalid code")</f>
        <v>19800</v>
      </c>
      <c r="S95" s="97"/>
    </row>
    <row r="96" spans="1:19" x14ac:dyDescent="0.35">
      <c r="A96" s="89">
        <v>1116</v>
      </c>
      <c r="B96" s="86" t="s">
        <v>234</v>
      </c>
      <c r="C96" s="90">
        <v>41156</v>
      </c>
      <c r="D96" s="91">
        <v>27340</v>
      </c>
      <c r="E96" s="92" t="s">
        <v>62</v>
      </c>
      <c r="F96" s="92" t="s">
        <v>126</v>
      </c>
      <c r="G96" s="89" t="s">
        <v>127</v>
      </c>
      <c r="H96" s="89" t="s">
        <v>128</v>
      </c>
      <c r="I96" s="89">
        <v>2</v>
      </c>
      <c r="J96" s="89" t="s">
        <v>129</v>
      </c>
      <c r="K96" s="94">
        <v>43000</v>
      </c>
      <c r="L96" s="89" t="s">
        <v>130</v>
      </c>
      <c r="M96" s="95">
        <f t="shared" si="3"/>
        <v>2</v>
      </c>
      <c r="N96" s="96">
        <f t="shared" si="4"/>
        <v>43</v>
      </c>
      <c r="O96" s="96">
        <f t="shared" si="5"/>
        <v>1290</v>
      </c>
      <c r="P96" s="96">
        <f>IF(OR(Employee5[[#This Row],[Location]]="Home",Employee5[[#This Row],[Job Status]]="FT"),Employee5[[#This Row],[Annual Salary]]*0.04,Employee5[[#This Row],[Annual Salary]]*0.025)</f>
        <v>1720</v>
      </c>
      <c r="Q96" s="97">
        <f>IF(Employee5[[#This Row],[Pay Grade]]=1,$Y$4,IF(Employee5[[#This Row],[Pay Grade]]=2,$Y$5,$Y$6))</f>
        <v>5000</v>
      </c>
      <c r="R96" s="97">
        <f>IFERROR(VLOOKUP(L96,HealthPlanRates[],2,FALSE)*12,"Invalid code")</f>
        <v>18000</v>
      </c>
      <c r="S96" s="97"/>
    </row>
    <row r="97" spans="1:19" x14ac:dyDescent="0.35">
      <c r="A97" s="89">
        <v>1117</v>
      </c>
      <c r="B97" s="86" t="s">
        <v>235</v>
      </c>
      <c r="C97" s="91">
        <v>40463</v>
      </c>
      <c r="D97" s="91">
        <v>25585</v>
      </c>
      <c r="E97" s="92" t="s">
        <v>62</v>
      </c>
      <c r="F97" s="92" t="s">
        <v>126</v>
      </c>
      <c r="G97" s="89" t="s">
        <v>148</v>
      </c>
      <c r="H97" s="89" t="s">
        <v>134</v>
      </c>
      <c r="I97" s="89">
        <v>1</v>
      </c>
      <c r="J97" s="89" t="s">
        <v>149</v>
      </c>
      <c r="K97" s="94">
        <v>36004</v>
      </c>
      <c r="L97" s="89" t="s">
        <v>145</v>
      </c>
      <c r="M97" s="95">
        <f t="shared" si="3"/>
        <v>4</v>
      </c>
      <c r="N97" s="96">
        <f t="shared" si="4"/>
        <v>0</v>
      </c>
      <c r="O97" s="96">
        <f t="shared" si="5"/>
        <v>0</v>
      </c>
      <c r="P97" s="96">
        <f>IF(OR(Employee5[[#This Row],[Location]]="Home",Employee5[[#This Row],[Job Status]]="FT"),Employee5[[#This Row],[Annual Salary]]*0.04,Employee5[[#This Row],[Annual Salary]]*0.025)</f>
        <v>900.1</v>
      </c>
      <c r="Q97" s="97">
        <f>IF(Employee5[[#This Row],[Pay Grade]]=1,$Y$4,IF(Employee5[[#This Row],[Pay Grade]]=2,$Y$5,$Y$6))</f>
        <v>2500</v>
      </c>
      <c r="R97" s="97">
        <f>IFERROR(VLOOKUP(L97,HealthPlanRates[],2,FALSE)*12,"Invalid code")</f>
        <v>10500</v>
      </c>
      <c r="S97" s="97"/>
    </row>
    <row r="98" spans="1:19" x14ac:dyDescent="0.35">
      <c r="A98" s="89">
        <v>1118</v>
      </c>
      <c r="B98" s="86" t="s">
        <v>236</v>
      </c>
      <c r="C98" s="91">
        <v>39125</v>
      </c>
      <c r="D98" s="91">
        <v>27222</v>
      </c>
      <c r="E98" s="92" t="s">
        <v>62</v>
      </c>
      <c r="F98" s="92" t="s">
        <v>126</v>
      </c>
      <c r="G98" s="89" t="s">
        <v>127</v>
      </c>
      <c r="H98" s="89" t="s">
        <v>134</v>
      </c>
      <c r="I98" s="89">
        <v>2</v>
      </c>
      <c r="J98" s="89" t="s">
        <v>129</v>
      </c>
      <c r="K98" s="94">
        <v>38500</v>
      </c>
      <c r="L98" s="89" t="s">
        <v>145</v>
      </c>
      <c r="M98" s="95">
        <f t="shared" si="3"/>
        <v>8</v>
      </c>
      <c r="N98" s="96">
        <f t="shared" si="4"/>
        <v>0</v>
      </c>
      <c r="O98" s="96">
        <f t="shared" si="5"/>
        <v>1155</v>
      </c>
      <c r="P98" s="96">
        <f>IF(OR(Employee5[[#This Row],[Location]]="Home",Employee5[[#This Row],[Job Status]]="FT"),Employee5[[#This Row],[Annual Salary]]*0.04,Employee5[[#This Row],[Annual Salary]]*0.025)</f>
        <v>1540</v>
      </c>
      <c r="Q98" s="97">
        <f>IF(Employee5[[#This Row],[Pay Grade]]=1,$Y$4,IF(Employee5[[#This Row],[Pay Grade]]=2,$Y$5,$Y$6))</f>
        <v>5000</v>
      </c>
      <c r="R98" s="97">
        <f>IFERROR(VLOOKUP(L98,HealthPlanRates[],2,FALSE)*12,"Invalid code")</f>
        <v>10500</v>
      </c>
      <c r="S98" s="97"/>
    </row>
    <row r="99" spans="1:19" x14ac:dyDescent="0.35">
      <c r="A99" s="89">
        <v>1119</v>
      </c>
      <c r="B99" s="86" t="s">
        <v>237</v>
      </c>
      <c r="C99" s="91">
        <v>39645</v>
      </c>
      <c r="D99" s="91">
        <v>25730</v>
      </c>
      <c r="E99" s="92" t="s">
        <v>62</v>
      </c>
      <c r="F99" s="92" t="s">
        <v>152</v>
      </c>
      <c r="G99" s="89" t="s">
        <v>127</v>
      </c>
      <c r="H99" s="89" t="s">
        <v>134</v>
      </c>
      <c r="I99" s="89">
        <v>1</v>
      </c>
      <c r="J99" s="89" t="s">
        <v>149</v>
      </c>
      <c r="K99" s="94">
        <v>27851</v>
      </c>
      <c r="L99" s="89" t="s">
        <v>143</v>
      </c>
      <c r="M99" s="95">
        <f t="shared" si="3"/>
        <v>6</v>
      </c>
      <c r="N99" s="96">
        <f t="shared" si="4"/>
        <v>0</v>
      </c>
      <c r="O99" s="96">
        <f t="shared" si="5"/>
        <v>835.53</v>
      </c>
      <c r="P99" s="96">
        <f>IF(OR(Employee5[[#This Row],[Location]]="Home",Employee5[[#This Row],[Job Status]]="FT"),Employee5[[#This Row],[Annual Salary]]*0.04,Employee5[[#This Row],[Annual Salary]]*0.025)</f>
        <v>1114.04</v>
      </c>
      <c r="Q99" s="97">
        <f>IF(Employee5[[#This Row],[Pay Grade]]=1,$Y$4,IF(Employee5[[#This Row],[Pay Grade]]=2,$Y$5,$Y$6))</f>
        <v>2500</v>
      </c>
      <c r="R99" s="97">
        <f>IFERROR(VLOOKUP(L99,HealthPlanRates[],2,FALSE)*12,"Invalid code")</f>
        <v>11400</v>
      </c>
      <c r="S99" s="97"/>
    </row>
    <row r="100" spans="1:19" x14ac:dyDescent="0.35">
      <c r="A100" s="89">
        <v>1120</v>
      </c>
      <c r="B100" s="86" t="s">
        <v>238</v>
      </c>
      <c r="C100" s="90">
        <v>41184</v>
      </c>
      <c r="D100" s="91">
        <v>24999</v>
      </c>
      <c r="E100" s="92" t="s">
        <v>125</v>
      </c>
      <c r="F100" s="92" t="s">
        <v>126</v>
      </c>
      <c r="G100" s="89" t="s">
        <v>127</v>
      </c>
      <c r="H100" s="89" t="s">
        <v>128</v>
      </c>
      <c r="I100" s="89">
        <v>3</v>
      </c>
      <c r="J100" s="89" t="s">
        <v>129</v>
      </c>
      <c r="K100" s="94">
        <v>96000</v>
      </c>
      <c r="L100" s="89" t="s">
        <v>140</v>
      </c>
      <c r="M100" s="95">
        <f t="shared" si="3"/>
        <v>2</v>
      </c>
      <c r="N100" s="96">
        <f t="shared" si="4"/>
        <v>96</v>
      </c>
      <c r="O100" s="96">
        <f t="shared" si="5"/>
        <v>2880</v>
      </c>
      <c r="P100" s="96">
        <f>IF(OR(Employee5[[#This Row],[Location]]="Home",Employee5[[#This Row],[Job Status]]="FT"),Employee5[[#This Row],[Annual Salary]]*0.04,Employee5[[#This Row],[Annual Salary]]*0.025)</f>
        <v>3840</v>
      </c>
      <c r="Q100" s="97">
        <f>IF(Employee5[[#This Row],[Pay Grade]]=1,$Y$4,IF(Employee5[[#This Row],[Pay Grade]]=2,$Y$5,$Y$6))</f>
        <v>7500</v>
      </c>
      <c r="R100" s="97">
        <f>IFERROR(VLOOKUP(L100,HealthPlanRates[],2,FALSE)*12,"Invalid code")</f>
        <v>0</v>
      </c>
      <c r="S100" s="97"/>
    </row>
    <row r="101" spans="1:19" x14ac:dyDescent="0.35">
      <c r="A101" s="89">
        <v>1121</v>
      </c>
      <c r="B101" s="86" t="s">
        <v>239</v>
      </c>
      <c r="C101" s="91">
        <v>38397</v>
      </c>
      <c r="D101" s="91">
        <v>19419</v>
      </c>
      <c r="E101" s="92" t="s">
        <v>62</v>
      </c>
      <c r="F101" s="92" t="s">
        <v>152</v>
      </c>
      <c r="G101" s="89" t="s">
        <v>127</v>
      </c>
      <c r="H101" s="89" t="s">
        <v>134</v>
      </c>
      <c r="I101" s="89">
        <v>1</v>
      </c>
      <c r="J101" s="89" t="s">
        <v>149</v>
      </c>
      <c r="K101" s="94">
        <v>33800</v>
      </c>
      <c r="L101" s="89" t="s">
        <v>150</v>
      </c>
      <c r="M101" s="95">
        <f t="shared" si="3"/>
        <v>10</v>
      </c>
      <c r="N101" s="96">
        <f t="shared" si="4"/>
        <v>0</v>
      </c>
      <c r="O101" s="96">
        <f t="shared" si="5"/>
        <v>1014</v>
      </c>
      <c r="P101" s="96">
        <f>IF(OR(Employee5[[#This Row],[Location]]="Home",Employee5[[#This Row],[Job Status]]="FT"),Employee5[[#This Row],[Annual Salary]]*0.04,Employee5[[#This Row],[Annual Salary]]*0.025)</f>
        <v>1352</v>
      </c>
      <c r="Q101" s="97">
        <f>IF(Employee5[[#This Row],[Pay Grade]]=1,$Y$4,IF(Employee5[[#This Row],[Pay Grade]]=2,$Y$5,$Y$6))</f>
        <v>2500</v>
      </c>
      <c r="R101" s="97">
        <f>IFERROR(VLOOKUP(L101,HealthPlanRates[],2,FALSE)*12,"Invalid code")</f>
        <v>19800</v>
      </c>
      <c r="S101" s="97"/>
    </row>
    <row r="102" spans="1:19" x14ac:dyDescent="0.35">
      <c r="A102" s="89">
        <v>1122</v>
      </c>
      <c r="B102" s="86" t="s">
        <v>240</v>
      </c>
      <c r="C102" s="91">
        <v>37127</v>
      </c>
      <c r="D102" s="91">
        <v>24330</v>
      </c>
      <c r="E102" s="92" t="s">
        <v>62</v>
      </c>
      <c r="F102" s="92" t="s">
        <v>126</v>
      </c>
      <c r="G102" s="89" t="s">
        <v>127</v>
      </c>
      <c r="H102" s="89" t="s">
        <v>134</v>
      </c>
      <c r="I102" s="89">
        <v>1</v>
      </c>
      <c r="J102" s="89" t="s">
        <v>149</v>
      </c>
      <c r="K102" s="94">
        <v>35048</v>
      </c>
      <c r="L102" s="93" t="s">
        <v>143</v>
      </c>
      <c r="M102" s="95">
        <f t="shared" si="3"/>
        <v>13</v>
      </c>
      <c r="N102" s="96">
        <f t="shared" si="4"/>
        <v>0</v>
      </c>
      <c r="O102" s="96">
        <f t="shared" si="5"/>
        <v>1051.44</v>
      </c>
      <c r="P102" s="96">
        <f>IF(OR(Employee5[[#This Row],[Location]]="Home",Employee5[[#This Row],[Job Status]]="FT"),Employee5[[#This Row],[Annual Salary]]*0.04,Employee5[[#This Row],[Annual Salary]]*0.025)</f>
        <v>1401.92</v>
      </c>
      <c r="Q102" s="97">
        <f>IF(Employee5[[#This Row],[Pay Grade]]=1,$Y$4,IF(Employee5[[#This Row],[Pay Grade]]=2,$Y$5,$Y$6))</f>
        <v>2500</v>
      </c>
      <c r="R102" s="97">
        <f>IFERROR(VLOOKUP(L102,HealthPlanRates[],2,FALSE)*12,"Invalid code")</f>
        <v>11400</v>
      </c>
      <c r="S102" s="97"/>
    </row>
    <row r="103" spans="1:19" x14ac:dyDescent="0.35">
      <c r="A103" s="89">
        <v>1123</v>
      </c>
      <c r="B103" s="86" t="s">
        <v>241</v>
      </c>
      <c r="C103" s="90">
        <v>41079</v>
      </c>
      <c r="D103" s="91">
        <v>23340</v>
      </c>
      <c r="E103" s="92" t="s">
        <v>125</v>
      </c>
      <c r="F103" s="92" t="s">
        <v>126</v>
      </c>
      <c r="G103" s="89" t="s">
        <v>127</v>
      </c>
      <c r="H103" s="89" t="s">
        <v>134</v>
      </c>
      <c r="I103" s="89">
        <v>2</v>
      </c>
      <c r="J103" s="89" t="s">
        <v>129</v>
      </c>
      <c r="K103" s="94">
        <v>41000</v>
      </c>
      <c r="L103" s="89" t="s">
        <v>150</v>
      </c>
      <c r="M103" s="95">
        <f t="shared" si="3"/>
        <v>3</v>
      </c>
      <c r="N103" s="96">
        <f t="shared" si="4"/>
        <v>0</v>
      </c>
      <c r="O103" s="96">
        <f t="shared" si="5"/>
        <v>1230</v>
      </c>
      <c r="P103" s="96">
        <f>IF(OR(Employee5[[#This Row],[Location]]="Home",Employee5[[#This Row],[Job Status]]="FT"),Employee5[[#This Row],[Annual Salary]]*0.04,Employee5[[#This Row],[Annual Salary]]*0.025)</f>
        <v>1640</v>
      </c>
      <c r="Q103" s="97">
        <f>IF(Employee5[[#This Row],[Pay Grade]]=1,$Y$4,IF(Employee5[[#This Row],[Pay Grade]]=2,$Y$5,$Y$6))</f>
        <v>5000</v>
      </c>
      <c r="R103" s="97">
        <f>IFERROR(VLOOKUP(L103,HealthPlanRates[],2,FALSE)*12,"Invalid code")</f>
        <v>19800</v>
      </c>
      <c r="S103" s="97"/>
    </row>
  </sheetData>
  <mergeCells count="1">
    <mergeCell ref="D1:S1"/>
  </mergeCells>
  <conditionalFormatting sqref="A4:A103">
    <cfRule type="duplicateValues" dxfId="1" priority="1"/>
  </conditionalFormatting>
  <pageMargins left="0.7" right="0.7" top="0.75" bottom="0.75" header="0.3" footer="0.3"/>
  <pageSetup orientation="portrait" horizontalDpi="200" verticalDpi="200" r:id="rId1"/>
  <drawing r:id="rId2"/>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101"/>
  <sheetViews>
    <sheetView zoomScaleNormal="100" workbookViewId="0">
      <selection activeCell="U33" sqref="U33"/>
    </sheetView>
  </sheetViews>
  <sheetFormatPr defaultColWidth="9.1796875" defaultRowHeight="14.5" x14ac:dyDescent="0.35"/>
  <cols>
    <col min="1" max="1" width="5.453125" style="86" bestFit="1" customWidth="1"/>
    <col min="2" max="2" width="12.36328125" style="86" bestFit="1" customWidth="1"/>
    <col min="3" max="3" width="11.36328125" style="86" customWidth="1"/>
    <col min="4" max="4" width="11.36328125" style="86" bestFit="1" customWidth="1"/>
    <col min="5" max="5" width="4.453125" style="86" bestFit="1" customWidth="1"/>
    <col min="6" max="6" width="13.453125" style="86" customWidth="1"/>
    <col min="7" max="7" width="6.6328125" style="86" bestFit="1" customWidth="1"/>
    <col min="8" max="8" width="5.81640625" style="86" customWidth="1"/>
    <col min="9" max="9" width="6.6328125" style="86" bestFit="1" customWidth="1"/>
    <col min="10" max="10" width="5.453125" style="86" bestFit="1" customWidth="1"/>
    <col min="11" max="11" width="10.36328125" style="86" bestFit="1" customWidth="1"/>
    <col min="12" max="12" width="6.81640625" style="86" bestFit="1" customWidth="1"/>
    <col min="13" max="13" width="7.453125" style="86" bestFit="1" customWidth="1"/>
    <col min="14" max="14" width="9.1796875" style="86"/>
    <col min="15" max="18" width="10.81640625" style="86" bestFit="1" customWidth="1"/>
    <col min="19" max="22" width="9.1796875" style="86"/>
    <col min="23" max="23" width="17.36328125" style="86" bestFit="1" customWidth="1"/>
    <col min="24" max="24" width="17.453125" style="86" bestFit="1" customWidth="1"/>
    <col min="25" max="25" width="9.1796875" style="86"/>
    <col min="26" max="26" width="12.36328125" style="86" customWidth="1"/>
    <col min="27" max="28" width="9.1796875" style="86"/>
    <col min="29" max="29" width="12.36328125" style="86" customWidth="1"/>
    <col min="30" max="16384" width="9.1796875" style="86"/>
  </cols>
  <sheetData>
    <row r="1" spans="1:28" ht="48" customHeight="1" x14ac:dyDescent="0.35">
      <c r="A1" s="82" t="s">
        <v>104</v>
      </c>
      <c r="B1" s="83" t="s">
        <v>105</v>
      </c>
      <c r="C1" s="82" t="s">
        <v>106</v>
      </c>
      <c r="D1" s="84" t="s">
        <v>107</v>
      </c>
      <c r="E1" s="83" t="s">
        <v>108</v>
      </c>
      <c r="F1" s="83" t="s">
        <v>109</v>
      </c>
      <c r="G1" s="82" t="s">
        <v>110</v>
      </c>
      <c r="H1" s="82" t="s">
        <v>111</v>
      </c>
      <c r="I1" s="82" t="s">
        <v>112</v>
      </c>
      <c r="J1" s="82" t="s">
        <v>113</v>
      </c>
      <c r="K1" s="82" t="s">
        <v>114</v>
      </c>
      <c r="L1" s="82" t="s">
        <v>115</v>
      </c>
      <c r="M1" s="82" t="s">
        <v>116</v>
      </c>
      <c r="N1" s="85" t="s">
        <v>117</v>
      </c>
      <c r="O1" s="85" t="s">
        <v>118</v>
      </c>
      <c r="P1" s="85" t="s">
        <v>119</v>
      </c>
      <c r="Q1" s="85" t="s">
        <v>120</v>
      </c>
      <c r="R1" s="85" t="s">
        <v>121</v>
      </c>
      <c r="S1" s="85" t="s">
        <v>122</v>
      </c>
      <c r="AA1" s="87" t="s">
        <v>123</v>
      </c>
      <c r="AB1" s="88">
        <v>41456</v>
      </c>
    </row>
    <row r="2" spans="1:28" x14ac:dyDescent="0.35">
      <c r="A2" s="89">
        <v>1024</v>
      </c>
      <c r="B2" s="86" t="s">
        <v>124</v>
      </c>
      <c r="C2" s="90">
        <v>40783</v>
      </c>
      <c r="D2" s="91">
        <v>24356</v>
      </c>
      <c r="E2" s="92" t="s">
        <v>125</v>
      </c>
      <c r="F2" s="92" t="s">
        <v>126</v>
      </c>
      <c r="G2" s="89" t="s">
        <v>127</v>
      </c>
      <c r="H2" s="93" t="s">
        <v>128</v>
      </c>
      <c r="I2" s="89">
        <v>3</v>
      </c>
      <c r="J2" s="89" t="s">
        <v>129</v>
      </c>
      <c r="K2" s="94">
        <v>85000</v>
      </c>
      <c r="L2" s="93" t="s">
        <v>130</v>
      </c>
      <c r="M2" s="95">
        <f t="shared" ref="M2:M65" si="0">DATEDIF(C2,$AB$1,"y")</f>
        <v>1</v>
      </c>
      <c r="N2" s="96">
        <f t="shared" ref="N2:N65" si="1">IF(H2="Y",K2*0.001,0)</f>
        <v>85</v>
      </c>
      <c r="O2" s="96">
        <f t="shared" ref="O2:O65" si="2">IF(AND(G2="FT",M2&gt;=1),K2*0.03,0)</f>
        <v>2550</v>
      </c>
      <c r="P2" s="96">
        <f>IF(OR(HiddenLookupTable[[#This Row],[Location]]="Home",HiddenLookupTable[[#This Row],[Job Status]]="FT"),HiddenLookupTable[[#This Row],[Annual Salary]]*0.04,HiddenLookupTable[[#This Row],[Annual Salary]]*0.025)</f>
        <v>3400</v>
      </c>
      <c r="Q2" s="97">
        <f>IF(HiddenLookupTable[[#This Row],[Pay Grade]]=1,$Y$2,IF(HiddenLookupTable[[#This Row],[Pay Grade]]=2,$Y$3,$Y$4))</f>
        <v>7500</v>
      </c>
      <c r="R2" s="97">
        <f>IFERROR(VLOOKUP(L2,HealthPlanRates[],2,FALSE)*12,"Invalid code")</f>
        <v>18000</v>
      </c>
      <c r="S2" s="97">
        <f>VLOOKUP(HiddenLookupTable[[#This Row],[Years Service]],Recognition[],2,TRUE)</f>
        <v>100</v>
      </c>
      <c r="X2" s="98" t="s">
        <v>131</v>
      </c>
      <c r="Y2" s="99">
        <v>2750</v>
      </c>
    </row>
    <row r="3" spans="1:28" x14ac:dyDescent="0.35">
      <c r="A3" s="89">
        <v>1025</v>
      </c>
      <c r="B3" s="86" t="s">
        <v>132</v>
      </c>
      <c r="C3" s="91">
        <v>39226</v>
      </c>
      <c r="D3" s="91">
        <v>31458</v>
      </c>
      <c r="E3" s="92" t="s">
        <v>62</v>
      </c>
      <c r="F3" s="89" t="s">
        <v>133</v>
      </c>
      <c r="G3" s="89" t="s">
        <v>127</v>
      </c>
      <c r="H3" s="93" t="s">
        <v>134</v>
      </c>
      <c r="I3" s="89">
        <v>2</v>
      </c>
      <c r="J3" s="89" t="s">
        <v>129</v>
      </c>
      <c r="K3" s="94">
        <v>40000</v>
      </c>
      <c r="L3" s="93" t="s">
        <v>130</v>
      </c>
      <c r="M3" s="95">
        <f t="shared" si="0"/>
        <v>6</v>
      </c>
      <c r="N3" s="96">
        <f t="shared" si="1"/>
        <v>0</v>
      </c>
      <c r="O3" s="96">
        <f t="shared" si="2"/>
        <v>1200</v>
      </c>
      <c r="P3" s="96">
        <f>IF(OR(HiddenLookupTable[[#This Row],[Location]]="Home",HiddenLookupTable[[#This Row],[Job Status]]="FT"),HiddenLookupTable[[#This Row],[Annual Salary]]*0.04,HiddenLookupTable[[#This Row],[Annual Salary]]*0.025)</f>
        <v>1600</v>
      </c>
      <c r="Q3" s="97">
        <f>IF(HiddenLookupTable[[#This Row],[Pay Grade]]=1,$Y$2,IF(HiddenLookupTable[[#This Row],[Pay Grade]]=2,$Y$3,$Y$4))</f>
        <v>5000</v>
      </c>
      <c r="R3" s="97">
        <f>IFERROR(VLOOKUP(L3,HealthPlanRates[],2,FALSE)*12,"Invalid code")</f>
        <v>18000</v>
      </c>
      <c r="S3" s="97">
        <f>VLOOKUP(HiddenLookupTable[[#This Row],[Years Service]],Recognition[],2,TRUE)</f>
        <v>300</v>
      </c>
      <c r="X3" s="98" t="s">
        <v>135</v>
      </c>
      <c r="Y3" s="99">
        <v>5000</v>
      </c>
    </row>
    <row r="4" spans="1:28" x14ac:dyDescent="0.35">
      <c r="A4" s="89">
        <v>1026</v>
      </c>
      <c r="B4" s="86" t="s">
        <v>136</v>
      </c>
      <c r="C4" s="90">
        <v>41023</v>
      </c>
      <c r="D4" s="91">
        <v>25105</v>
      </c>
      <c r="E4" s="92" t="s">
        <v>125</v>
      </c>
      <c r="F4" s="92" t="s">
        <v>137</v>
      </c>
      <c r="G4" s="89" t="s">
        <v>127</v>
      </c>
      <c r="H4" s="89" t="s">
        <v>128</v>
      </c>
      <c r="I4" s="89">
        <v>2</v>
      </c>
      <c r="J4" s="89" t="s">
        <v>129</v>
      </c>
      <c r="K4" s="94">
        <v>37244</v>
      </c>
      <c r="L4" s="89" t="s">
        <v>130</v>
      </c>
      <c r="M4" s="95">
        <f t="shared" si="0"/>
        <v>1</v>
      </c>
      <c r="N4" s="96">
        <f t="shared" si="1"/>
        <v>37.244</v>
      </c>
      <c r="O4" s="96">
        <f t="shared" si="2"/>
        <v>1117.32</v>
      </c>
      <c r="P4" s="96">
        <f>IF(OR(HiddenLookupTable[[#This Row],[Location]]="Home",HiddenLookupTable[[#This Row],[Job Status]]="FT"),HiddenLookupTable[[#This Row],[Annual Salary]]*0.04,HiddenLookupTable[[#This Row],[Annual Salary]]*0.025)</f>
        <v>1489.76</v>
      </c>
      <c r="Q4" s="97">
        <f>IF(HiddenLookupTable[[#This Row],[Pay Grade]]=1,$Y$2,IF(HiddenLookupTable[[#This Row],[Pay Grade]]=2,$Y$3,$Y$4))</f>
        <v>5000</v>
      </c>
      <c r="R4" s="97">
        <f>IFERROR(VLOOKUP(L4,HealthPlanRates[],2,FALSE)*12,"Invalid code")</f>
        <v>18000</v>
      </c>
      <c r="S4" s="97">
        <f>VLOOKUP(HiddenLookupTable[[#This Row],[Years Service]],Recognition[],2,TRUE)</f>
        <v>100</v>
      </c>
      <c r="X4" s="98" t="s">
        <v>138</v>
      </c>
      <c r="Y4" s="99">
        <v>7500</v>
      </c>
    </row>
    <row r="5" spans="1:28" x14ac:dyDescent="0.35">
      <c r="A5" s="89">
        <v>1027</v>
      </c>
      <c r="B5" s="86" t="s">
        <v>139</v>
      </c>
      <c r="C5" s="91">
        <v>40742</v>
      </c>
      <c r="D5" s="91">
        <v>21771</v>
      </c>
      <c r="E5" s="92" t="s">
        <v>62</v>
      </c>
      <c r="F5" s="92" t="s">
        <v>126</v>
      </c>
      <c r="G5" s="89" t="s">
        <v>127</v>
      </c>
      <c r="H5" s="89" t="s">
        <v>134</v>
      </c>
      <c r="I5" s="89">
        <v>3</v>
      </c>
      <c r="J5" s="89" t="s">
        <v>129</v>
      </c>
      <c r="K5" s="94">
        <v>80000</v>
      </c>
      <c r="L5" s="89" t="s">
        <v>140</v>
      </c>
      <c r="M5" s="95">
        <f t="shared" si="0"/>
        <v>1</v>
      </c>
      <c r="N5" s="96">
        <f t="shared" si="1"/>
        <v>0</v>
      </c>
      <c r="O5" s="96">
        <f t="shared" si="2"/>
        <v>2400</v>
      </c>
      <c r="P5" s="96">
        <f>IF(OR(HiddenLookupTable[[#This Row],[Location]]="Home",HiddenLookupTable[[#This Row],[Job Status]]="FT"),HiddenLookupTable[[#This Row],[Annual Salary]]*0.04,HiddenLookupTable[[#This Row],[Annual Salary]]*0.025)</f>
        <v>3200</v>
      </c>
      <c r="Q5" s="97">
        <f>IF(HiddenLookupTable[[#This Row],[Pay Grade]]=1,$Y$2,IF(HiddenLookupTable[[#This Row],[Pay Grade]]=2,$Y$3,$Y$4))</f>
        <v>7500</v>
      </c>
      <c r="R5" s="97">
        <f>IFERROR(VLOOKUP(L5,HealthPlanRates[],2,FALSE)*12,"Invalid code")</f>
        <v>0</v>
      </c>
      <c r="S5" s="97">
        <f>VLOOKUP(HiddenLookupTable[[#This Row],[Years Service]],Recognition[],2,TRUE)</f>
        <v>100</v>
      </c>
    </row>
    <row r="6" spans="1:28" x14ac:dyDescent="0.35">
      <c r="A6" s="89">
        <v>1028</v>
      </c>
      <c r="B6" s="86" t="s">
        <v>141</v>
      </c>
      <c r="C6" s="90">
        <v>41142</v>
      </c>
      <c r="D6" s="91">
        <v>18459</v>
      </c>
      <c r="E6" s="92" t="s">
        <v>125</v>
      </c>
      <c r="F6" s="92" t="s">
        <v>126</v>
      </c>
      <c r="G6" s="89" t="s">
        <v>127</v>
      </c>
      <c r="H6" s="89" t="s">
        <v>128</v>
      </c>
      <c r="I6" s="89">
        <v>3</v>
      </c>
      <c r="J6" s="89" t="s">
        <v>129</v>
      </c>
      <c r="K6" s="94">
        <v>65000</v>
      </c>
      <c r="L6" s="89" t="s">
        <v>140</v>
      </c>
      <c r="M6" s="95">
        <f t="shared" si="0"/>
        <v>0</v>
      </c>
      <c r="N6" s="96">
        <f t="shared" si="1"/>
        <v>65</v>
      </c>
      <c r="O6" s="96">
        <f t="shared" si="2"/>
        <v>0</v>
      </c>
      <c r="P6" s="96">
        <f>IF(OR(HiddenLookupTable[[#This Row],[Location]]="Home",HiddenLookupTable[[#This Row],[Job Status]]="FT"),HiddenLookupTable[[#This Row],[Annual Salary]]*0.04,HiddenLookupTable[[#This Row],[Annual Salary]]*0.025)</f>
        <v>2600</v>
      </c>
      <c r="Q6" s="97">
        <f>IF(HiddenLookupTable[[#This Row],[Pay Grade]]=1,$Y$2,IF(HiddenLookupTable[[#This Row],[Pay Grade]]=2,$Y$3,$Y$4))</f>
        <v>7500</v>
      </c>
      <c r="R6" s="97">
        <f>IFERROR(VLOOKUP(L6,HealthPlanRates[],2,FALSE)*12,"Invalid code")</f>
        <v>0</v>
      </c>
      <c r="S6" s="97">
        <f>VLOOKUP(HiddenLookupTable[[#This Row],[Years Service]],Recognition[],2,TRUE)</f>
        <v>0</v>
      </c>
    </row>
    <row r="7" spans="1:28" x14ac:dyDescent="0.35">
      <c r="A7" s="89">
        <v>1029</v>
      </c>
      <c r="B7" s="86" t="s">
        <v>142</v>
      </c>
      <c r="C7" s="91">
        <v>40973</v>
      </c>
      <c r="D7" s="91">
        <v>21307</v>
      </c>
      <c r="E7" s="92" t="s">
        <v>125</v>
      </c>
      <c r="F7" s="92" t="s">
        <v>137</v>
      </c>
      <c r="G7" s="89" t="s">
        <v>127</v>
      </c>
      <c r="H7" s="89" t="s">
        <v>128</v>
      </c>
      <c r="I7" s="89">
        <v>3</v>
      </c>
      <c r="J7" s="89" t="s">
        <v>129</v>
      </c>
      <c r="K7" s="94">
        <v>125000</v>
      </c>
      <c r="L7" s="89" t="s">
        <v>143</v>
      </c>
      <c r="M7" s="95">
        <f t="shared" si="0"/>
        <v>1</v>
      </c>
      <c r="N7" s="96">
        <f t="shared" si="1"/>
        <v>125</v>
      </c>
      <c r="O7" s="96">
        <f t="shared" si="2"/>
        <v>3750</v>
      </c>
      <c r="P7" s="96">
        <f>IF(OR(HiddenLookupTable[[#This Row],[Location]]="Home",HiddenLookupTable[[#This Row],[Job Status]]="FT"),HiddenLookupTable[[#This Row],[Annual Salary]]*0.04,HiddenLookupTable[[#This Row],[Annual Salary]]*0.025)</f>
        <v>5000</v>
      </c>
      <c r="Q7" s="97">
        <f>IF(HiddenLookupTable[[#This Row],[Pay Grade]]=1,$Y$2,IF(HiddenLookupTable[[#This Row],[Pay Grade]]=2,$Y$3,$Y$4))</f>
        <v>7500</v>
      </c>
      <c r="R7" s="97">
        <f>IFERROR(VLOOKUP(L7,HealthPlanRates[],2,FALSE)*12,"Invalid code")</f>
        <v>11400</v>
      </c>
      <c r="S7" s="97">
        <f>VLOOKUP(HiddenLookupTable[[#This Row],[Years Service]],Recognition[],2,TRUE)</f>
        <v>100</v>
      </c>
    </row>
    <row r="8" spans="1:28" x14ac:dyDescent="0.35">
      <c r="A8" s="89">
        <v>1030</v>
      </c>
      <c r="B8" s="86" t="s">
        <v>144</v>
      </c>
      <c r="C8" s="91">
        <v>40238</v>
      </c>
      <c r="D8" s="91">
        <v>28466</v>
      </c>
      <c r="E8" s="92" t="s">
        <v>125</v>
      </c>
      <c r="F8" s="92" t="s">
        <v>137</v>
      </c>
      <c r="G8" s="89" t="s">
        <v>127</v>
      </c>
      <c r="H8" s="89" t="s">
        <v>134</v>
      </c>
      <c r="I8" s="89">
        <v>3</v>
      </c>
      <c r="J8" s="89" t="s">
        <v>129</v>
      </c>
      <c r="K8" s="94">
        <v>95000</v>
      </c>
      <c r="L8" s="89" t="s">
        <v>145</v>
      </c>
      <c r="M8" s="95">
        <f t="shared" si="0"/>
        <v>3</v>
      </c>
      <c r="N8" s="96">
        <f t="shared" si="1"/>
        <v>0</v>
      </c>
      <c r="O8" s="96">
        <f t="shared" si="2"/>
        <v>2850</v>
      </c>
      <c r="P8" s="96">
        <f>IF(OR(HiddenLookupTable[[#This Row],[Location]]="Home",HiddenLookupTable[[#This Row],[Job Status]]="FT"),HiddenLookupTable[[#This Row],[Annual Salary]]*0.04,HiddenLookupTable[[#This Row],[Annual Salary]]*0.025)</f>
        <v>3800</v>
      </c>
      <c r="Q8" s="97">
        <f>IF(HiddenLookupTable[[#This Row],[Pay Grade]]=1,$Y$2,IF(HiddenLookupTable[[#This Row],[Pay Grade]]=2,$Y$3,$Y$4))</f>
        <v>7500</v>
      </c>
      <c r="R8" s="97">
        <f>IFERROR(VLOOKUP(L8,HealthPlanRates[],2,FALSE)*12,"Invalid code")</f>
        <v>10500</v>
      </c>
      <c r="S8" s="97">
        <f>VLOOKUP(HiddenLookupTable[[#This Row],[Years Service]],Recognition[],2,TRUE)</f>
        <v>200</v>
      </c>
    </row>
    <row r="9" spans="1:28" x14ac:dyDescent="0.35">
      <c r="A9" s="89">
        <v>1031</v>
      </c>
      <c r="B9" s="86" t="s">
        <v>146</v>
      </c>
      <c r="C9" s="90">
        <v>41251</v>
      </c>
      <c r="D9" s="91">
        <v>22619</v>
      </c>
      <c r="E9" s="92" t="s">
        <v>125</v>
      </c>
      <c r="F9" s="92" t="s">
        <v>126</v>
      </c>
      <c r="G9" s="89" t="s">
        <v>127</v>
      </c>
      <c r="H9" s="89" t="s">
        <v>134</v>
      </c>
      <c r="I9" s="89">
        <v>2</v>
      </c>
      <c r="J9" s="89" t="s">
        <v>129</v>
      </c>
      <c r="K9" s="94">
        <v>36000</v>
      </c>
      <c r="L9" s="89" t="s">
        <v>140</v>
      </c>
      <c r="M9" s="95">
        <f t="shared" si="0"/>
        <v>0</v>
      </c>
      <c r="N9" s="96">
        <f t="shared" si="1"/>
        <v>0</v>
      </c>
      <c r="O9" s="96">
        <f t="shared" si="2"/>
        <v>0</v>
      </c>
      <c r="P9" s="96">
        <f>IF(OR(HiddenLookupTable[[#This Row],[Location]]="Home",HiddenLookupTable[[#This Row],[Job Status]]="FT"),HiddenLookupTable[[#This Row],[Annual Salary]]*0.04,HiddenLookupTable[[#This Row],[Annual Salary]]*0.025)</f>
        <v>1440</v>
      </c>
      <c r="Q9" s="97">
        <f>IF(HiddenLookupTable[[#This Row],[Pay Grade]]=1,$Y$2,IF(HiddenLookupTable[[#This Row],[Pay Grade]]=2,$Y$3,$Y$4))</f>
        <v>5000</v>
      </c>
      <c r="R9" s="97">
        <f>IFERROR(VLOOKUP(L9,HealthPlanRates[],2,FALSE)*12,"Invalid code")</f>
        <v>0</v>
      </c>
      <c r="S9" s="97">
        <f>VLOOKUP(HiddenLookupTable[[#This Row],[Years Service]],Recognition[],2,TRUE)</f>
        <v>0</v>
      </c>
    </row>
    <row r="10" spans="1:28" x14ac:dyDescent="0.35">
      <c r="A10" s="89">
        <v>1032</v>
      </c>
      <c r="B10" s="86" t="s">
        <v>147</v>
      </c>
      <c r="C10" s="91">
        <v>39671</v>
      </c>
      <c r="D10" s="91">
        <v>21560</v>
      </c>
      <c r="E10" s="92" t="s">
        <v>62</v>
      </c>
      <c r="F10" s="92" t="s">
        <v>126</v>
      </c>
      <c r="G10" s="89" t="s">
        <v>148</v>
      </c>
      <c r="H10" s="89" t="s">
        <v>134</v>
      </c>
      <c r="I10" s="89">
        <v>1</v>
      </c>
      <c r="J10" s="89" t="s">
        <v>149</v>
      </c>
      <c r="K10" s="94">
        <v>33508</v>
      </c>
      <c r="L10" s="89" t="s">
        <v>150</v>
      </c>
      <c r="M10" s="95">
        <f t="shared" si="0"/>
        <v>4</v>
      </c>
      <c r="N10" s="96">
        <f t="shared" si="1"/>
        <v>0</v>
      </c>
      <c r="O10" s="96">
        <f t="shared" si="2"/>
        <v>0</v>
      </c>
      <c r="P10" s="96">
        <f>IF(OR(HiddenLookupTable[[#This Row],[Location]]="Home",HiddenLookupTable[[#This Row],[Job Status]]="FT"),HiddenLookupTable[[#This Row],[Annual Salary]]*0.04,HiddenLookupTable[[#This Row],[Annual Salary]]*0.025)</f>
        <v>837.7</v>
      </c>
      <c r="Q10" s="97">
        <f>IF(HiddenLookupTable[[#This Row],[Pay Grade]]=1,$Y$2,IF(HiddenLookupTable[[#This Row],[Pay Grade]]=2,$Y$3,$Y$4))</f>
        <v>2750</v>
      </c>
      <c r="R10" s="97">
        <f>IFERROR(VLOOKUP(L10,HealthPlanRates[],2,FALSE)*12,"Invalid code")</f>
        <v>19800</v>
      </c>
      <c r="S10" s="97">
        <f>VLOOKUP(HiddenLookupTable[[#This Row],[Years Service]],Recognition[],2,TRUE)</f>
        <v>200</v>
      </c>
    </row>
    <row r="11" spans="1:28" x14ac:dyDescent="0.35">
      <c r="A11" s="89">
        <v>1033</v>
      </c>
      <c r="B11" s="86" t="s">
        <v>151</v>
      </c>
      <c r="C11" s="91">
        <v>38880</v>
      </c>
      <c r="D11" s="91">
        <v>15371</v>
      </c>
      <c r="E11" s="92" t="s">
        <v>62</v>
      </c>
      <c r="F11" s="92" t="s">
        <v>152</v>
      </c>
      <c r="G11" s="89" t="s">
        <v>127</v>
      </c>
      <c r="H11" s="89" t="s">
        <v>134</v>
      </c>
      <c r="I11" s="89">
        <v>1</v>
      </c>
      <c r="J11" s="89" t="s">
        <v>149</v>
      </c>
      <c r="K11" s="94">
        <v>21840</v>
      </c>
      <c r="L11" s="89" t="s">
        <v>140</v>
      </c>
      <c r="M11" s="95">
        <f t="shared" si="0"/>
        <v>7</v>
      </c>
      <c r="N11" s="96">
        <f t="shared" si="1"/>
        <v>0</v>
      </c>
      <c r="O11" s="96">
        <f t="shared" si="2"/>
        <v>655.19999999999993</v>
      </c>
      <c r="P11" s="96">
        <f>IF(OR(HiddenLookupTable[[#This Row],[Location]]="Home",HiddenLookupTable[[#This Row],[Job Status]]="FT"),HiddenLookupTable[[#This Row],[Annual Salary]]*0.04,HiddenLookupTable[[#This Row],[Annual Salary]]*0.025)</f>
        <v>873.6</v>
      </c>
      <c r="Q11" s="97">
        <f>IF(HiddenLookupTable[[#This Row],[Pay Grade]]=1,$Y$2,IF(HiddenLookupTable[[#This Row],[Pay Grade]]=2,$Y$3,$Y$4))</f>
        <v>2750</v>
      </c>
      <c r="R11" s="97">
        <f>IFERROR(VLOOKUP(L11,HealthPlanRates[],2,FALSE)*12,"Invalid code")</f>
        <v>0</v>
      </c>
      <c r="S11" s="97">
        <f>VLOOKUP(HiddenLookupTable[[#This Row],[Years Service]],Recognition[],2,TRUE)</f>
        <v>500</v>
      </c>
    </row>
    <row r="12" spans="1:28" x14ac:dyDescent="0.35">
      <c r="A12" s="89">
        <v>1034</v>
      </c>
      <c r="B12" s="86" t="s">
        <v>153</v>
      </c>
      <c r="C12" s="91">
        <v>39937</v>
      </c>
      <c r="D12" s="91">
        <v>32747</v>
      </c>
      <c r="E12" s="92" t="s">
        <v>125</v>
      </c>
      <c r="F12" s="92" t="s">
        <v>152</v>
      </c>
      <c r="G12" s="89" t="s">
        <v>127</v>
      </c>
      <c r="H12" s="89" t="s">
        <v>134</v>
      </c>
      <c r="I12" s="89">
        <v>1</v>
      </c>
      <c r="J12" s="89" t="s">
        <v>149</v>
      </c>
      <c r="K12" s="94">
        <v>25792</v>
      </c>
      <c r="L12" s="89" t="s">
        <v>150</v>
      </c>
      <c r="M12" s="95">
        <f t="shared" si="0"/>
        <v>4</v>
      </c>
      <c r="N12" s="96">
        <f t="shared" si="1"/>
        <v>0</v>
      </c>
      <c r="O12" s="96">
        <f t="shared" si="2"/>
        <v>773.76</v>
      </c>
      <c r="P12" s="96">
        <f>IF(OR(HiddenLookupTable[[#This Row],[Location]]="Home",HiddenLookupTable[[#This Row],[Job Status]]="FT"),HiddenLookupTable[[#This Row],[Annual Salary]]*0.04,HiddenLookupTable[[#This Row],[Annual Salary]]*0.025)</f>
        <v>1031.68</v>
      </c>
      <c r="Q12" s="97">
        <f>IF(HiddenLookupTable[[#This Row],[Pay Grade]]=1,$Y$2,IF(HiddenLookupTable[[#This Row],[Pay Grade]]=2,$Y$3,$Y$4))</f>
        <v>2750</v>
      </c>
      <c r="R12" s="97">
        <f>IFERROR(VLOOKUP(L12,HealthPlanRates[],2,FALSE)*12,"Invalid code")</f>
        <v>19800</v>
      </c>
      <c r="S12" s="97">
        <f>VLOOKUP(HiddenLookupTable[[#This Row],[Years Service]],Recognition[],2,TRUE)</f>
        <v>200</v>
      </c>
    </row>
    <row r="13" spans="1:28" x14ac:dyDescent="0.35">
      <c r="A13" s="89">
        <v>1035</v>
      </c>
      <c r="B13" s="86" t="s">
        <v>154</v>
      </c>
      <c r="C13" s="90">
        <v>41261</v>
      </c>
      <c r="D13" s="91">
        <v>24843</v>
      </c>
      <c r="E13" s="92" t="s">
        <v>62</v>
      </c>
      <c r="F13" s="92" t="s">
        <v>126</v>
      </c>
      <c r="G13" s="89" t="s">
        <v>127</v>
      </c>
      <c r="H13" s="89" t="s">
        <v>134</v>
      </c>
      <c r="I13" s="89">
        <v>1</v>
      </c>
      <c r="J13" s="89" t="s">
        <v>149</v>
      </c>
      <c r="K13" s="94">
        <v>32011</v>
      </c>
      <c r="L13" s="89" t="s">
        <v>143</v>
      </c>
      <c r="M13" s="95">
        <f t="shared" si="0"/>
        <v>0</v>
      </c>
      <c r="N13" s="96">
        <f t="shared" si="1"/>
        <v>0</v>
      </c>
      <c r="O13" s="96">
        <f t="shared" si="2"/>
        <v>0</v>
      </c>
      <c r="P13" s="96">
        <f>IF(OR(HiddenLookupTable[[#This Row],[Location]]="Home",HiddenLookupTable[[#This Row],[Job Status]]="FT"),HiddenLookupTable[[#This Row],[Annual Salary]]*0.04,HiddenLookupTable[[#This Row],[Annual Salary]]*0.025)</f>
        <v>1280.44</v>
      </c>
      <c r="Q13" s="97">
        <f>IF(HiddenLookupTable[[#This Row],[Pay Grade]]=1,$Y$2,IF(HiddenLookupTable[[#This Row],[Pay Grade]]=2,$Y$3,$Y$4))</f>
        <v>2750</v>
      </c>
      <c r="R13" s="97">
        <f>IFERROR(VLOOKUP(L13,HealthPlanRates[],2,FALSE)*12,"Invalid code")</f>
        <v>11400</v>
      </c>
      <c r="S13" s="97">
        <f>VLOOKUP(HiddenLookupTable[[#This Row],[Years Service]],Recognition[],2,TRUE)</f>
        <v>0</v>
      </c>
    </row>
    <row r="14" spans="1:28" x14ac:dyDescent="0.35">
      <c r="A14" s="89">
        <v>1036</v>
      </c>
      <c r="B14" s="86" t="s">
        <v>155</v>
      </c>
      <c r="C14" s="91">
        <v>39572</v>
      </c>
      <c r="D14" s="91">
        <v>21303</v>
      </c>
      <c r="E14" s="92" t="s">
        <v>62</v>
      </c>
      <c r="F14" s="92" t="s">
        <v>152</v>
      </c>
      <c r="G14" s="89" t="s">
        <v>127</v>
      </c>
      <c r="H14" s="89" t="s">
        <v>128</v>
      </c>
      <c r="I14" s="89">
        <v>1</v>
      </c>
      <c r="J14" s="89" t="s">
        <v>149</v>
      </c>
      <c r="K14" s="94">
        <v>23920</v>
      </c>
      <c r="L14" s="89" t="s">
        <v>130</v>
      </c>
      <c r="M14" s="95">
        <f t="shared" si="0"/>
        <v>5</v>
      </c>
      <c r="N14" s="96">
        <f t="shared" si="1"/>
        <v>23.92</v>
      </c>
      <c r="O14" s="96">
        <f t="shared" si="2"/>
        <v>717.6</v>
      </c>
      <c r="P14" s="96">
        <f>IF(OR(HiddenLookupTable[[#This Row],[Location]]="Home",HiddenLookupTable[[#This Row],[Job Status]]="FT"),HiddenLookupTable[[#This Row],[Annual Salary]]*0.04,HiddenLookupTable[[#This Row],[Annual Salary]]*0.025)</f>
        <v>956.80000000000007</v>
      </c>
      <c r="Q14" s="97">
        <f>IF(HiddenLookupTable[[#This Row],[Pay Grade]]=1,$Y$2,IF(HiddenLookupTable[[#This Row],[Pay Grade]]=2,$Y$3,$Y$4))</f>
        <v>2750</v>
      </c>
      <c r="R14" s="97">
        <f>IFERROR(VLOOKUP(L14,HealthPlanRates[],2,FALSE)*12,"Invalid code")</f>
        <v>18000</v>
      </c>
      <c r="S14" s="97">
        <f>VLOOKUP(HiddenLookupTable[[#This Row],[Years Service]],Recognition[],2,TRUE)</f>
        <v>300</v>
      </c>
    </row>
    <row r="15" spans="1:28" x14ac:dyDescent="0.35">
      <c r="A15" s="89">
        <v>1037</v>
      </c>
      <c r="B15" s="86" t="s">
        <v>156</v>
      </c>
      <c r="C15" s="91">
        <v>37221</v>
      </c>
      <c r="D15" s="91">
        <v>26210</v>
      </c>
      <c r="E15" s="92" t="s">
        <v>62</v>
      </c>
      <c r="F15" s="92" t="s">
        <v>126</v>
      </c>
      <c r="G15" s="89" t="s">
        <v>127</v>
      </c>
      <c r="H15" s="89" t="s">
        <v>128</v>
      </c>
      <c r="I15" s="89">
        <v>1</v>
      </c>
      <c r="J15" s="89" t="s">
        <v>149</v>
      </c>
      <c r="K15" s="94">
        <v>32011</v>
      </c>
      <c r="L15" s="89" t="s">
        <v>140</v>
      </c>
      <c r="M15" s="95">
        <f t="shared" si="0"/>
        <v>11</v>
      </c>
      <c r="N15" s="96">
        <f t="shared" si="1"/>
        <v>32.011000000000003</v>
      </c>
      <c r="O15" s="96">
        <f t="shared" si="2"/>
        <v>960.32999999999993</v>
      </c>
      <c r="P15" s="96">
        <f>IF(OR(HiddenLookupTable[[#This Row],[Location]]="Home",HiddenLookupTable[[#This Row],[Job Status]]="FT"),HiddenLookupTable[[#This Row],[Annual Salary]]*0.04,HiddenLookupTable[[#This Row],[Annual Salary]]*0.025)</f>
        <v>1280.44</v>
      </c>
      <c r="Q15" s="97">
        <f>IF(HiddenLookupTable[[#This Row],[Pay Grade]]=1,$Y$2,IF(HiddenLookupTable[[#This Row],[Pay Grade]]=2,$Y$3,$Y$4))</f>
        <v>2750</v>
      </c>
      <c r="R15" s="97">
        <f>IFERROR(VLOOKUP(L15,HealthPlanRates[],2,FALSE)*12,"Invalid code")</f>
        <v>0</v>
      </c>
      <c r="S15" s="97">
        <f>VLOOKUP(HiddenLookupTable[[#This Row],[Years Service]],Recognition[],2,TRUE)</f>
        <v>500</v>
      </c>
    </row>
    <row r="16" spans="1:28" x14ac:dyDescent="0.35">
      <c r="A16" s="89">
        <v>1038</v>
      </c>
      <c r="B16" s="86" t="s">
        <v>157</v>
      </c>
      <c r="C16" s="91">
        <v>38405</v>
      </c>
      <c r="D16" s="91">
        <v>21919</v>
      </c>
      <c r="E16" s="92" t="s">
        <v>62</v>
      </c>
      <c r="F16" s="92" t="s">
        <v>152</v>
      </c>
      <c r="G16" s="89" t="s">
        <v>127</v>
      </c>
      <c r="H16" s="89" t="s">
        <v>128</v>
      </c>
      <c r="I16" s="89">
        <v>1</v>
      </c>
      <c r="J16" s="89" t="s">
        <v>149</v>
      </c>
      <c r="K16" s="94">
        <v>21840</v>
      </c>
      <c r="L16" s="89" t="s">
        <v>143</v>
      </c>
      <c r="M16" s="95">
        <f t="shared" si="0"/>
        <v>8</v>
      </c>
      <c r="N16" s="96">
        <f t="shared" si="1"/>
        <v>21.84</v>
      </c>
      <c r="O16" s="96">
        <f t="shared" si="2"/>
        <v>655.19999999999993</v>
      </c>
      <c r="P16" s="96">
        <f>IF(OR(HiddenLookupTable[[#This Row],[Location]]="Home",HiddenLookupTable[[#This Row],[Job Status]]="FT"),HiddenLookupTable[[#This Row],[Annual Salary]]*0.04,HiddenLookupTable[[#This Row],[Annual Salary]]*0.025)</f>
        <v>873.6</v>
      </c>
      <c r="Q16" s="97">
        <f>IF(HiddenLookupTable[[#This Row],[Pay Grade]]=1,$Y$2,IF(HiddenLookupTable[[#This Row],[Pay Grade]]=2,$Y$3,$Y$4))</f>
        <v>2750</v>
      </c>
      <c r="R16" s="97">
        <f>IFERROR(VLOOKUP(L16,HealthPlanRates[],2,FALSE)*12,"Invalid code")</f>
        <v>11400</v>
      </c>
      <c r="S16" s="97">
        <f>VLOOKUP(HiddenLookupTable[[#This Row],[Years Service]],Recognition[],2,TRUE)</f>
        <v>500</v>
      </c>
    </row>
    <row r="17" spans="1:19" x14ac:dyDescent="0.35">
      <c r="A17" s="89">
        <v>1039</v>
      </c>
      <c r="B17" s="86" t="s">
        <v>158</v>
      </c>
      <c r="C17" s="90">
        <v>41247</v>
      </c>
      <c r="D17" s="91">
        <v>25584</v>
      </c>
      <c r="E17" s="92" t="s">
        <v>62</v>
      </c>
      <c r="F17" s="92" t="s">
        <v>126</v>
      </c>
      <c r="G17" s="89" t="s">
        <v>127</v>
      </c>
      <c r="H17" s="89" t="s">
        <v>128</v>
      </c>
      <c r="I17" s="89">
        <v>2</v>
      </c>
      <c r="J17" s="89" t="s">
        <v>129</v>
      </c>
      <c r="K17" s="94">
        <v>55000</v>
      </c>
      <c r="L17" s="89" t="s">
        <v>150</v>
      </c>
      <c r="M17" s="95">
        <f t="shared" si="0"/>
        <v>0</v>
      </c>
      <c r="N17" s="96">
        <f t="shared" si="1"/>
        <v>55</v>
      </c>
      <c r="O17" s="96">
        <f t="shared" si="2"/>
        <v>0</v>
      </c>
      <c r="P17" s="96">
        <f>IF(OR(HiddenLookupTable[[#This Row],[Location]]="Home",HiddenLookupTable[[#This Row],[Job Status]]="FT"),HiddenLookupTable[[#This Row],[Annual Salary]]*0.04,HiddenLookupTable[[#This Row],[Annual Salary]]*0.025)</f>
        <v>2200</v>
      </c>
      <c r="Q17" s="97">
        <f>IF(HiddenLookupTable[[#This Row],[Pay Grade]]=1,$Y$2,IF(HiddenLookupTable[[#This Row],[Pay Grade]]=2,$Y$3,$Y$4))</f>
        <v>5000</v>
      </c>
      <c r="R17" s="97">
        <f>IFERROR(VLOOKUP(L17,HealthPlanRates[],2,FALSE)*12,"Invalid code")</f>
        <v>19800</v>
      </c>
      <c r="S17" s="97">
        <f>VLOOKUP(HiddenLookupTable[[#This Row],[Years Service]],Recognition[],2,TRUE)</f>
        <v>0</v>
      </c>
    </row>
    <row r="18" spans="1:19" x14ac:dyDescent="0.35">
      <c r="A18" s="89">
        <v>1040</v>
      </c>
      <c r="B18" s="86" t="s">
        <v>159</v>
      </c>
      <c r="C18" s="90">
        <v>41194</v>
      </c>
      <c r="D18" s="91">
        <v>31383</v>
      </c>
      <c r="E18" s="92" t="s">
        <v>125</v>
      </c>
      <c r="F18" s="92" t="s">
        <v>152</v>
      </c>
      <c r="G18" s="89" t="s">
        <v>127</v>
      </c>
      <c r="H18" s="89" t="s">
        <v>128</v>
      </c>
      <c r="I18" s="89">
        <v>2</v>
      </c>
      <c r="J18" s="89" t="s">
        <v>129</v>
      </c>
      <c r="K18" s="94">
        <v>65000</v>
      </c>
      <c r="L18" s="89" t="s">
        <v>130</v>
      </c>
      <c r="M18" s="95">
        <f t="shared" si="0"/>
        <v>0</v>
      </c>
      <c r="N18" s="96">
        <f t="shared" si="1"/>
        <v>65</v>
      </c>
      <c r="O18" s="96">
        <f t="shared" si="2"/>
        <v>0</v>
      </c>
      <c r="P18" s="96">
        <f>IF(OR(HiddenLookupTable[[#This Row],[Location]]="Home",HiddenLookupTable[[#This Row],[Job Status]]="FT"),HiddenLookupTable[[#This Row],[Annual Salary]]*0.04,HiddenLookupTable[[#This Row],[Annual Salary]]*0.025)</f>
        <v>2600</v>
      </c>
      <c r="Q18" s="97">
        <f>IF(HiddenLookupTable[[#This Row],[Pay Grade]]=1,$Y$2,IF(HiddenLookupTable[[#This Row],[Pay Grade]]=2,$Y$3,$Y$4))</f>
        <v>5000</v>
      </c>
      <c r="R18" s="97">
        <f>IFERROR(VLOOKUP(L18,HealthPlanRates[],2,FALSE)*12,"Invalid code")</f>
        <v>18000</v>
      </c>
      <c r="S18" s="97">
        <f>VLOOKUP(HiddenLookupTable[[#This Row],[Years Service]],Recognition[],2,TRUE)</f>
        <v>0</v>
      </c>
    </row>
    <row r="19" spans="1:19" x14ac:dyDescent="0.35">
      <c r="A19" s="89">
        <v>1041</v>
      </c>
      <c r="B19" s="86" t="s">
        <v>160</v>
      </c>
      <c r="C19" s="90">
        <v>41247</v>
      </c>
      <c r="D19" s="91">
        <v>21679</v>
      </c>
      <c r="E19" s="92" t="s">
        <v>62</v>
      </c>
      <c r="F19" s="92" t="s">
        <v>137</v>
      </c>
      <c r="G19" s="89" t="s">
        <v>127</v>
      </c>
      <c r="H19" s="89" t="s">
        <v>128</v>
      </c>
      <c r="I19" s="89">
        <v>3</v>
      </c>
      <c r="J19" s="89" t="s">
        <v>129</v>
      </c>
      <c r="K19" s="94">
        <v>125000</v>
      </c>
      <c r="L19" s="89" t="s">
        <v>130</v>
      </c>
      <c r="M19" s="95">
        <f t="shared" si="0"/>
        <v>0</v>
      </c>
      <c r="N19" s="96">
        <f t="shared" si="1"/>
        <v>125</v>
      </c>
      <c r="O19" s="96">
        <f t="shared" si="2"/>
        <v>0</v>
      </c>
      <c r="P19" s="96">
        <f>IF(OR(HiddenLookupTable[[#This Row],[Location]]="Home",HiddenLookupTable[[#This Row],[Job Status]]="FT"),HiddenLookupTable[[#This Row],[Annual Salary]]*0.04,HiddenLookupTable[[#This Row],[Annual Salary]]*0.025)</f>
        <v>5000</v>
      </c>
      <c r="Q19" s="97">
        <f>IF(HiddenLookupTable[[#This Row],[Pay Grade]]=1,$Y$2,IF(HiddenLookupTable[[#This Row],[Pay Grade]]=2,$Y$3,$Y$4))</f>
        <v>7500</v>
      </c>
      <c r="R19" s="97">
        <f>IFERROR(VLOOKUP(L19,HealthPlanRates[],2,FALSE)*12,"Invalid code")</f>
        <v>18000</v>
      </c>
      <c r="S19" s="97">
        <f>VLOOKUP(HiddenLookupTable[[#This Row],[Years Service]],Recognition[],2,TRUE)</f>
        <v>0</v>
      </c>
    </row>
    <row r="20" spans="1:19" x14ac:dyDescent="0.35">
      <c r="A20" s="89">
        <v>1042</v>
      </c>
      <c r="B20" s="86" t="s">
        <v>161</v>
      </c>
      <c r="C20" s="91">
        <v>39412</v>
      </c>
      <c r="D20" s="91">
        <v>24237</v>
      </c>
      <c r="E20" s="92" t="s">
        <v>125</v>
      </c>
      <c r="F20" s="92" t="s">
        <v>126</v>
      </c>
      <c r="G20" s="89" t="s">
        <v>127</v>
      </c>
      <c r="H20" s="89" t="s">
        <v>128</v>
      </c>
      <c r="I20" s="89">
        <v>3</v>
      </c>
      <c r="J20" s="89" t="s">
        <v>129</v>
      </c>
      <c r="K20" s="94">
        <v>80000</v>
      </c>
      <c r="L20" s="89" t="s">
        <v>145</v>
      </c>
      <c r="M20" s="95">
        <f t="shared" si="0"/>
        <v>5</v>
      </c>
      <c r="N20" s="96">
        <f t="shared" si="1"/>
        <v>80</v>
      </c>
      <c r="O20" s="96">
        <f t="shared" si="2"/>
        <v>2400</v>
      </c>
      <c r="P20" s="96">
        <f>IF(OR(HiddenLookupTable[[#This Row],[Location]]="Home",HiddenLookupTable[[#This Row],[Job Status]]="FT"),HiddenLookupTable[[#This Row],[Annual Salary]]*0.04,HiddenLookupTable[[#This Row],[Annual Salary]]*0.025)</f>
        <v>3200</v>
      </c>
      <c r="Q20" s="97">
        <f>IF(HiddenLookupTable[[#This Row],[Pay Grade]]=1,$Y$2,IF(HiddenLookupTable[[#This Row],[Pay Grade]]=2,$Y$3,$Y$4))</f>
        <v>7500</v>
      </c>
      <c r="R20" s="97">
        <f>IFERROR(VLOOKUP(L20,HealthPlanRates[],2,FALSE)*12,"Invalid code")</f>
        <v>10500</v>
      </c>
      <c r="S20" s="97">
        <f>VLOOKUP(HiddenLookupTable[[#This Row],[Years Service]],Recognition[],2,TRUE)</f>
        <v>300</v>
      </c>
    </row>
    <row r="21" spans="1:19" x14ac:dyDescent="0.35">
      <c r="A21" s="89">
        <v>1043</v>
      </c>
      <c r="B21" s="86" t="s">
        <v>162</v>
      </c>
      <c r="C21" s="91">
        <v>40256</v>
      </c>
      <c r="D21" s="91">
        <v>26907</v>
      </c>
      <c r="E21" s="92" t="s">
        <v>62</v>
      </c>
      <c r="F21" s="89" t="s">
        <v>133</v>
      </c>
      <c r="G21" s="89" t="s">
        <v>127</v>
      </c>
      <c r="H21" s="89" t="s">
        <v>134</v>
      </c>
      <c r="I21" s="89">
        <v>3</v>
      </c>
      <c r="J21" s="89" t="s">
        <v>129</v>
      </c>
      <c r="K21" s="94">
        <v>60000</v>
      </c>
      <c r="L21" s="89" t="s">
        <v>140</v>
      </c>
      <c r="M21" s="95">
        <f t="shared" si="0"/>
        <v>3</v>
      </c>
      <c r="N21" s="96">
        <f t="shared" si="1"/>
        <v>0</v>
      </c>
      <c r="O21" s="96">
        <f t="shared" si="2"/>
        <v>1800</v>
      </c>
      <c r="P21" s="96">
        <f>IF(OR(HiddenLookupTable[[#This Row],[Location]]="Home",HiddenLookupTable[[#This Row],[Job Status]]="FT"),HiddenLookupTable[[#This Row],[Annual Salary]]*0.04,HiddenLookupTable[[#This Row],[Annual Salary]]*0.025)</f>
        <v>2400</v>
      </c>
      <c r="Q21" s="97">
        <f>IF(HiddenLookupTable[[#This Row],[Pay Grade]]=1,$Y$2,IF(HiddenLookupTable[[#This Row],[Pay Grade]]=2,$Y$3,$Y$4))</f>
        <v>7500</v>
      </c>
      <c r="R21" s="97">
        <f>IFERROR(VLOOKUP(L21,HealthPlanRates[],2,FALSE)*12,"Invalid code")</f>
        <v>0</v>
      </c>
      <c r="S21" s="97">
        <f>VLOOKUP(HiddenLookupTable[[#This Row],[Years Service]],Recognition[],2,TRUE)</f>
        <v>200</v>
      </c>
    </row>
    <row r="22" spans="1:19" x14ac:dyDescent="0.35">
      <c r="A22" s="89">
        <v>1044</v>
      </c>
      <c r="B22" s="86" t="s">
        <v>163</v>
      </c>
      <c r="C22" s="91">
        <v>37060</v>
      </c>
      <c r="D22" s="91">
        <v>19281</v>
      </c>
      <c r="E22" s="92" t="s">
        <v>125</v>
      </c>
      <c r="F22" s="92" t="s">
        <v>126</v>
      </c>
      <c r="G22" s="89" t="s">
        <v>127</v>
      </c>
      <c r="H22" s="89" t="s">
        <v>128</v>
      </c>
      <c r="I22" s="89">
        <v>3</v>
      </c>
      <c r="J22" s="89" t="s">
        <v>129</v>
      </c>
      <c r="K22" s="94">
        <v>122500</v>
      </c>
      <c r="L22" s="89" t="s">
        <v>130</v>
      </c>
      <c r="M22" s="95">
        <f t="shared" si="0"/>
        <v>12</v>
      </c>
      <c r="N22" s="96">
        <f t="shared" si="1"/>
        <v>122.5</v>
      </c>
      <c r="O22" s="96">
        <f t="shared" si="2"/>
        <v>3675</v>
      </c>
      <c r="P22" s="96">
        <f>IF(OR(HiddenLookupTable[[#This Row],[Location]]="Home",HiddenLookupTable[[#This Row],[Job Status]]="FT"),HiddenLookupTable[[#This Row],[Annual Salary]]*0.04,HiddenLookupTable[[#This Row],[Annual Salary]]*0.025)</f>
        <v>4900</v>
      </c>
      <c r="Q22" s="97">
        <f>IF(HiddenLookupTable[[#This Row],[Pay Grade]]=1,$Y$2,IF(HiddenLookupTable[[#This Row],[Pay Grade]]=2,$Y$3,$Y$4))</f>
        <v>7500</v>
      </c>
      <c r="R22" s="97">
        <f>IFERROR(VLOOKUP(L22,HealthPlanRates[],2,FALSE)*12,"Invalid code")</f>
        <v>18000</v>
      </c>
      <c r="S22" s="97">
        <f>VLOOKUP(HiddenLookupTable[[#This Row],[Years Service]],Recognition[],2,TRUE)</f>
        <v>500</v>
      </c>
    </row>
    <row r="23" spans="1:19" x14ac:dyDescent="0.35">
      <c r="A23" s="89">
        <v>1045</v>
      </c>
      <c r="B23" s="86" t="s">
        <v>164</v>
      </c>
      <c r="C23" s="90">
        <v>41111</v>
      </c>
      <c r="D23" s="91">
        <v>24049</v>
      </c>
      <c r="E23" s="92" t="s">
        <v>125</v>
      </c>
      <c r="F23" s="92" t="s">
        <v>126</v>
      </c>
      <c r="G23" s="89" t="s">
        <v>127</v>
      </c>
      <c r="H23" s="89" t="s">
        <v>128</v>
      </c>
      <c r="I23" s="89">
        <v>3</v>
      </c>
      <c r="J23" s="89" t="s">
        <v>129</v>
      </c>
      <c r="K23" s="94">
        <v>200000</v>
      </c>
      <c r="L23" s="89" t="s">
        <v>130</v>
      </c>
      <c r="M23" s="95">
        <f t="shared" si="0"/>
        <v>0</v>
      </c>
      <c r="N23" s="96">
        <f t="shared" si="1"/>
        <v>200</v>
      </c>
      <c r="O23" s="96">
        <f t="shared" si="2"/>
        <v>0</v>
      </c>
      <c r="P23" s="96">
        <f>IF(OR(HiddenLookupTable[[#This Row],[Location]]="Home",HiddenLookupTable[[#This Row],[Job Status]]="FT"),HiddenLookupTable[[#This Row],[Annual Salary]]*0.04,HiddenLookupTable[[#This Row],[Annual Salary]]*0.025)</f>
        <v>8000</v>
      </c>
      <c r="Q23" s="97">
        <f>IF(HiddenLookupTable[[#This Row],[Pay Grade]]=1,$Y$2,IF(HiddenLookupTable[[#This Row],[Pay Grade]]=2,$Y$3,$Y$4))</f>
        <v>7500</v>
      </c>
      <c r="R23" s="97">
        <f>IFERROR(VLOOKUP(L23,HealthPlanRates[],2,FALSE)*12,"Invalid code")</f>
        <v>18000</v>
      </c>
      <c r="S23" s="97">
        <f>VLOOKUP(HiddenLookupTable[[#This Row],[Years Service]],Recognition[],2,TRUE)</f>
        <v>0</v>
      </c>
    </row>
    <row r="24" spans="1:19" x14ac:dyDescent="0.35">
      <c r="A24" s="89">
        <v>1046</v>
      </c>
      <c r="B24" s="86" t="s">
        <v>165</v>
      </c>
      <c r="C24" s="91">
        <v>40874</v>
      </c>
      <c r="D24" s="91">
        <v>19153</v>
      </c>
      <c r="E24" s="92" t="s">
        <v>62</v>
      </c>
      <c r="F24" s="89" t="s">
        <v>133</v>
      </c>
      <c r="G24" s="89" t="s">
        <v>148</v>
      </c>
      <c r="H24" s="89" t="s">
        <v>134</v>
      </c>
      <c r="I24" s="89">
        <v>1</v>
      </c>
      <c r="J24" s="89" t="s">
        <v>149</v>
      </c>
      <c r="K24" s="94">
        <v>31761</v>
      </c>
      <c r="L24" s="89" t="s">
        <v>145</v>
      </c>
      <c r="M24" s="95">
        <f t="shared" si="0"/>
        <v>1</v>
      </c>
      <c r="N24" s="96">
        <f t="shared" si="1"/>
        <v>0</v>
      </c>
      <c r="O24" s="96">
        <f t="shared" si="2"/>
        <v>0</v>
      </c>
      <c r="P24" s="96">
        <f>IF(OR(HiddenLookupTable[[#This Row],[Location]]="Home",HiddenLookupTable[[#This Row],[Job Status]]="FT"),HiddenLookupTable[[#This Row],[Annual Salary]]*0.04,HiddenLookupTable[[#This Row],[Annual Salary]]*0.025)</f>
        <v>1270.44</v>
      </c>
      <c r="Q24" s="97">
        <f>IF(HiddenLookupTable[[#This Row],[Pay Grade]]=1,$Y$2,IF(HiddenLookupTable[[#This Row],[Pay Grade]]=2,$Y$3,$Y$4))</f>
        <v>2750</v>
      </c>
      <c r="R24" s="97">
        <f>IFERROR(VLOOKUP(L24,HealthPlanRates[],2,FALSE)*12,"Invalid code")</f>
        <v>10500</v>
      </c>
      <c r="S24" s="97">
        <f>VLOOKUP(HiddenLookupTable[[#This Row],[Years Service]],Recognition[],2,TRUE)</f>
        <v>100</v>
      </c>
    </row>
    <row r="25" spans="1:19" x14ac:dyDescent="0.35">
      <c r="A25" s="89">
        <v>1047</v>
      </c>
      <c r="B25" s="86" t="s">
        <v>166</v>
      </c>
      <c r="C25" s="90">
        <v>41324</v>
      </c>
      <c r="D25" s="91">
        <v>22747</v>
      </c>
      <c r="E25" s="92" t="s">
        <v>125</v>
      </c>
      <c r="F25" s="92" t="s">
        <v>126</v>
      </c>
      <c r="G25" s="89" t="s">
        <v>127</v>
      </c>
      <c r="H25" s="89" t="s">
        <v>128</v>
      </c>
      <c r="I25" s="89">
        <v>3</v>
      </c>
      <c r="J25" s="89" t="s">
        <v>129</v>
      </c>
      <c r="K25" s="94">
        <v>65000</v>
      </c>
      <c r="L25" s="89" t="s">
        <v>130</v>
      </c>
      <c r="M25" s="95">
        <f t="shared" si="0"/>
        <v>0</v>
      </c>
      <c r="N25" s="96">
        <f t="shared" si="1"/>
        <v>65</v>
      </c>
      <c r="O25" s="96">
        <f t="shared" si="2"/>
        <v>0</v>
      </c>
      <c r="P25" s="96">
        <f>IF(OR(HiddenLookupTable[[#This Row],[Location]]="Home",HiddenLookupTable[[#This Row],[Job Status]]="FT"),HiddenLookupTable[[#This Row],[Annual Salary]]*0.04,HiddenLookupTable[[#This Row],[Annual Salary]]*0.025)</f>
        <v>2600</v>
      </c>
      <c r="Q25" s="97">
        <f>IF(HiddenLookupTable[[#This Row],[Pay Grade]]=1,$Y$2,IF(HiddenLookupTable[[#This Row],[Pay Grade]]=2,$Y$3,$Y$4))</f>
        <v>7500</v>
      </c>
      <c r="R25" s="97">
        <f>IFERROR(VLOOKUP(L25,HealthPlanRates[],2,FALSE)*12,"Invalid code")</f>
        <v>18000</v>
      </c>
      <c r="S25" s="97">
        <f>VLOOKUP(HiddenLookupTable[[#This Row],[Years Service]],Recognition[],2,TRUE)</f>
        <v>0</v>
      </c>
    </row>
    <row r="26" spans="1:19" x14ac:dyDescent="0.35">
      <c r="A26" s="89">
        <v>1048</v>
      </c>
      <c r="B26" s="86" t="s">
        <v>167</v>
      </c>
      <c r="C26" s="91">
        <v>38538</v>
      </c>
      <c r="D26" s="91">
        <v>21626</v>
      </c>
      <c r="E26" s="92" t="s">
        <v>62</v>
      </c>
      <c r="F26" s="92" t="s">
        <v>126</v>
      </c>
      <c r="G26" s="89" t="s">
        <v>127</v>
      </c>
      <c r="H26" s="89" t="s">
        <v>134</v>
      </c>
      <c r="I26" s="89">
        <v>1</v>
      </c>
      <c r="J26" s="89" t="s">
        <v>149</v>
      </c>
      <c r="K26" s="94">
        <v>24752</v>
      </c>
      <c r="L26" s="89" t="s">
        <v>140</v>
      </c>
      <c r="M26" s="95">
        <f t="shared" si="0"/>
        <v>7</v>
      </c>
      <c r="N26" s="96">
        <f t="shared" si="1"/>
        <v>0</v>
      </c>
      <c r="O26" s="96">
        <f t="shared" si="2"/>
        <v>742.56</v>
      </c>
      <c r="P26" s="96">
        <f>IF(OR(HiddenLookupTable[[#This Row],[Location]]="Home",HiddenLookupTable[[#This Row],[Job Status]]="FT"),HiddenLookupTable[[#This Row],[Annual Salary]]*0.04,HiddenLookupTable[[#This Row],[Annual Salary]]*0.025)</f>
        <v>990.08</v>
      </c>
      <c r="Q26" s="97">
        <f>IF(HiddenLookupTable[[#This Row],[Pay Grade]]=1,$Y$2,IF(HiddenLookupTable[[#This Row],[Pay Grade]]=2,$Y$3,$Y$4))</f>
        <v>2750</v>
      </c>
      <c r="R26" s="97">
        <f>IFERROR(VLOOKUP(L26,HealthPlanRates[],2,FALSE)*12,"Invalid code")</f>
        <v>0</v>
      </c>
      <c r="S26" s="97">
        <f>VLOOKUP(HiddenLookupTable[[#This Row],[Years Service]],Recognition[],2,TRUE)</f>
        <v>500</v>
      </c>
    </row>
    <row r="27" spans="1:19" x14ac:dyDescent="0.35">
      <c r="A27" s="89">
        <v>1049</v>
      </c>
      <c r="B27" s="86" t="s">
        <v>168</v>
      </c>
      <c r="C27" s="91">
        <v>40734</v>
      </c>
      <c r="D27" s="91">
        <v>22382</v>
      </c>
      <c r="E27" s="92" t="s">
        <v>125</v>
      </c>
      <c r="F27" s="92" t="s">
        <v>137</v>
      </c>
      <c r="G27" s="89" t="s">
        <v>127</v>
      </c>
      <c r="H27" s="89" t="s">
        <v>128</v>
      </c>
      <c r="I27" s="89">
        <v>3</v>
      </c>
      <c r="J27" s="89" t="s">
        <v>129</v>
      </c>
      <c r="K27" s="94">
        <v>175000</v>
      </c>
      <c r="L27" s="89" t="s">
        <v>140</v>
      </c>
      <c r="M27" s="95">
        <f t="shared" si="0"/>
        <v>1</v>
      </c>
      <c r="N27" s="96">
        <f t="shared" si="1"/>
        <v>175</v>
      </c>
      <c r="O27" s="96">
        <f t="shared" si="2"/>
        <v>5250</v>
      </c>
      <c r="P27" s="96">
        <f>IF(OR(HiddenLookupTable[[#This Row],[Location]]="Home",HiddenLookupTable[[#This Row],[Job Status]]="FT"),HiddenLookupTable[[#This Row],[Annual Salary]]*0.04,HiddenLookupTable[[#This Row],[Annual Salary]]*0.025)</f>
        <v>7000</v>
      </c>
      <c r="Q27" s="97">
        <f>IF(HiddenLookupTable[[#This Row],[Pay Grade]]=1,$Y$2,IF(HiddenLookupTable[[#This Row],[Pay Grade]]=2,$Y$3,$Y$4))</f>
        <v>7500</v>
      </c>
      <c r="R27" s="97">
        <f>IFERROR(VLOOKUP(L27,HealthPlanRates[],2,FALSE)*12,"Invalid code")</f>
        <v>0</v>
      </c>
      <c r="S27" s="97">
        <f>VLOOKUP(HiddenLookupTable[[#This Row],[Years Service]],Recognition[],2,TRUE)</f>
        <v>100</v>
      </c>
    </row>
    <row r="28" spans="1:19" x14ac:dyDescent="0.35">
      <c r="A28" s="89">
        <v>1050</v>
      </c>
      <c r="B28" s="86" t="s">
        <v>169</v>
      </c>
      <c r="C28" s="90">
        <v>41219</v>
      </c>
      <c r="D28" s="91">
        <v>33565</v>
      </c>
      <c r="E28" s="92" t="s">
        <v>62</v>
      </c>
      <c r="F28" s="92" t="s">
        <v>126</v>
      </c>
      <c r="G28" s="89" t="s">
        <v>127</v>
      </c>
      <c r="H28" s="89" t="s">
        <v>128</v>
      </c>
      <c r="I28" s="89">
        <v>1</v>
      </c>
      <c r="J28" s="89" t="s">
        <v>149</v>
      </c>
      <c r="K28" s="94">
        <v>29120</v>
      </c>
      <c r="L28" s="89" t="s">
        <v>150</v>
      </c>
      <c r="M28" s="95">
        <f t="shared" si="0"/>
        <v>0</v>
      </c>
      <c r="N28" s="96">
        <f t="shared" si="1"/>
        <v>29.12</v>
      </c>
      <c r="O28" s="96">
        <f t="shared" si="2"/>
        <v>0</v>
      </c>
      <c r="P28" s="96">
        <f>IF(OR(HiddenLookupTable[[#This Row],[Location]]="Home",HiddenLookupTable[[#This Row],[Job Status]]="FT"),HiddenLookupTable[[#This Row],[Annual Salary]]*0.04,HiddenLookupTable[[#This Row],[Annual Salary]]*0.025)</f>
        <v>1164.8</v>
      </c>
      <c r="Q28" s="97">
        <f>IF(HiddenLookupTable[[#This Row],[Pay Grade]]=1,$Y$2,IF(HiddenLookupTable[[#This Row],[Pay Grade]]=2,$Y$3,$Y$4))</f>
        <v>2750</v>
      </c>
      <c r="R28" s="97">
        <f>IFERROR(VLOOKUP(L28,HealthPlanRates[],2,FALSE)*12,"Invalid code")</f>
        <v>19800</v>
      </c>
      <c r="S28" s="97">
        <f>VLOOKUP(HiddenLookupTable[[#This Row],[Years Service]],Recognition[],2,TRUE)</f>
        <v>0</v>
      </c>
    </row>
    <row r="29" spans="1:19" x14ac:dyDescent="0.35">
      <c r="A29" s="89">
        <v>1051</v>
      </c>
      <c r="B29" s="86" t="s">
        <v>170</v>
      </c>
      <c r="C29" s="90">
        <v>41247</v>
      </c>
      <c r="D29" s="91">
        <v>24395</v>
      </c>
      <c r="E29" s="92" t="s">
        <v>125</v>
      </c>
      <c r="F29" s="92" t="s">
        <v>137</v>
      </c>
      <c r="G29" s="89" t="s">
        <v>127</v>
      </c>
      <c r="H29" s="89" t="s">
        <v>128</v>
      </c>
      <c r="I29" s="89">
        <v>3</v>
      </c>
      <c r="J29" s="89" t="s">
        <v>129</v>
      </c>
      <c r="K29" s="94">
        <v>75000</v>
      </c>
      <c r="L29" s="89" t="s">
        <v>130</v>
      </c>
      <c r="M29" s="95">
        <f t="shared" si="0"/>
        <v>0</v>
      </c>
      <c r="N29" s="96">
        <f t="shared" si="1"/>
        <v>75</v>
      </c>
      <c r="O29" s="96">
        <f t="shared" si="2"/>
        <v>0</v>
      </c>
      <c r="P29" s="96">
        <f>IF(OR(HiddenLookupTable[[#This Row],[Location]]="Home",HiddenLookupTable[[#This Row],[Job Status]]="FT"),HiddenLookupTable[[#This Row],[Annual Salary]]*0.04,HiddenLookupTable[[#This Row],[Annual Salary]]*0.025)</f>
        <v>3000</v>
      </c>
      <c r="Q29" s="97">
        <f>IF(HiddenLookupTable[[#This Row],[Pay Grade]]=1,$Y$2,IF(HiddenLookupTable[[#This Row],[Pay Grade]]=2,$Y$3,$Y$4))</f>
        <v>7500</v>
      </c>
      <c r="R29" s="97">
        <f>IFERROR(VLOOKUP(L29,HealthPlanRates[],2,FALSE)*12,"Invalid code")</f>
        <v>18000</v>
      </c>
      <c r="S29" s="97">
        <f>VLOOKUP(HiddenLookupTable[[#This Row],[Years Service]],Recognition[],2,TRUE)</f>
        <v>0</v>
      </c>
    </row>
    <row r="30" spans="1:19" x14ac:dyDescent="0.35">
      <c r="A30" s="89">
        <v>1052</v>
      </c>
      <c r="B30" s="86" t="s">
        <v>171</v>
      </c>
      <c r="C30" s="91">
        <v>36609</v>
      </c>
      <c r="D30" s="91">
        <v>23719</v>
      </c>
      <c r="E30" s="92" t="s">
        <v>125</v>
      </c>
      <c r="F30" s="92" t="s">
        <v>126</v>
      </c>
      <c r="G30" s="89" t="s">
        <v>127</v>
      </c>
      <c r="H30" s="89" t="s">
        <v>134</v>
      </c>
      <c r="I30" s="89">
        <v>3</v>
      </c>
      <c r="J30" s="89" t="s">
        <v>129</v>
      </c>
      <c r="K30" s="94">
        <v>60000</v>
      </c>
      <c r="L30" s="89" t="s">
        <v>130</v>
      </c>
      <c r="M30" s="95">
        <f t="shared" si="0"/>
        <v>13</v>
      </c>
      <c r="N30" s="96">
        <f t="shared" si="1"/>
        <v>0</v>
      </c>
      <c r="O30" s="96">
        <f t="shared" si="2"/>
        <v>1800</v>
      </c>
      <c r="P30" s="96">
        <f>IF(OR(HiddenLookupTable[[#This Row],[Location]]="Home",HiddenLookupTable[[#This Row],[Job Status]]="FT"),HiddenLookupTable[[#This Row],[Annual Salary]]*0.04,HiddenLookupTable[[#This Row],[Annual Salary]]*0.025)</f>
        <v>2400</v>
      </c>
      <c r="Q30" s="97">
        <f>IF(HiddenLookupTable[[#This Row],[Pay Grade]]=1,$Y$2,IF(HiddenLookupTable[[#This Row],[Pay Grade]]=2,$Y$3,$Y$4))</f>
        <v>7500</v>
      </c>
      <c r="R30" s="97">
        <f>IFERROR(VLOOKUP(L30,HealthPlanRates[],2,FALSE)*12,"Invalid code")</f>
        <v>18000</v>
      </c>
      <c r="S30" s="97">
        <f>VLOOKUP(HiddenLookupTable[[#This Row],[Years Service]],Recognition[],2,TRUE)</f>
        <v>500</v>
      </c>
    </row>
    <row r="31" spans="1:19" x14ac:dyDescent="0.35">
      <c r="A31" s="89">
        <v>1053</v>
      </c>
      <c r="B31" s="86" t="s">
        <v>172</v>
      </c>
      <c r="C31" s="91">
        <v>39591</v>
      </c>
      <c r="D31" s="91">
        <v>22692</v>
      </c>
      <c r="E31" s="92" t="s">
        <v>125</v>
      </c>
      <c r="F31" s="92" t="s">
        <v>137</v>
      </c>
      <c r="G31" s="89" t="s">
        <v>127</v>
      </c>
      <c r="H31" s="89" t="s">
        <v>128</v>
      </c>
      <c r="I31" s="89">
        <v>4</v>
      </c>
      <c r="J31" s="89" t="s">
        <v>129</v>
      </c>
      <c r="K31" s="94">
        <v>200000</v>
      </c>
      <c r="L31" s="93" t="s">
        <v>130</v>
      </c>
      <c r="M31" s="95">
        <f t="shared" si="0"/>
        <v>5</v>
      </c>
      <c r="N31" s="96">
        <f t="shared" si="1"/>
        <v>200</v>
      </c>
      <c r="O31" s="96">
        <f t="shared" si="2"/>
        <v>6000</v>
      </c>
      <c r="P31" s="96">
        <f>IF(OR(HiddenLookupTable[[#This Row],[Location]]="Home",HiddenLookupTable[[#This Row],[Job Status]]="FT"),HiddenLookupTable[[#This Row],[Annual Salary]]*0.04,HiddenLookupTable[[#This Row],[Annual Salary]]*0.025)</f>
        <v>8000</v>
      </c>
      <c r="Q31" s="97">
        <f>IF(HiddenLookupTable[[#This Row],[Pay Grade]]=1,$Y$2,IF(HiddenLookupTable[[#This Row],[Pay Grade]]=2,$Y$3,$Y$4))</f>
        <v>7500</v>
      </c>
      <c r="R31" s="97">
        <f>IFERROR(VLOOKUP(L31,HealthPlanRates[],2,FALSE)*12,"Invalid code")</f>
        <v>18000</v>
      </c>
      <c r="S31" s="97">
        <f>VLOOKUP(HiddenLookupTable[[#This Row],[Years Service]],Recognition[],2,TRUE)</f>
        <v>300</v>
      </c>
    </row>
    <row r="32" spans="1:19" x14ac:dyDescent="0.35">
      <c r="A32" s="89">
        <v>1054</v>
      </c>
      <c r="B32" s="86" t="s">
        <v>173</v>
      </c>
      <c r="C32" s="91">
        <v>36384</v>
      </c>
      <c r="D32" s="91">
        <v>25126</v>
      </c>
      <c r="E32" s="92" t="s">
        <v>125</v>
      </c>
      <c r="F32" s="92" t="s">
        <v>126</v>
      </c>
      <c r="G32" s="89" t="s">
        <v>127</v>
      </c>
      <c r="H32" s="89" t="s">
        <v>128</v>
      </c>
      <c r="I32" s="89">
        <v>3</v>
      </c>
      <c r="J32" s="89" t="s">
        <v>129</v>
      </c>
      <c r="K32" s="94">
        <v>110000</v>
      </c>
      <c r="L32" s="89" t="s">
        <v>145</v>
      </c>
      <c r="M32" s="95">
        <f t="shared" si="0"/>
        <v>13</v>
      </c>
      <c r="N32" s="96">
        <f t="shared" si="1"/>
        <v>110</v>
      </c>
      <c r="O32" s="96">
        <f t="shared" si="2"/>
        <v>3300</v>
      </c>
      <c r="P32" s="96">
        <f>IF(OR(HiddenLookupTable[[#This Row],[Location]]="Home",HiddenLookupTable[[#This Row],[Job Status]]="FT"),HiddenLookupTable[[#This Row],[Annual Salary]]*0.04,HiddenLookupTable[[#This Row],[Annual Salary]]*0.025)</f>
        <v>4400</v>
      </c>
      <c r="Q32" s="97">
        <f>IF(HiddenLookupTable[[#This Row],[Pay Grade]]=1,$Y$2,IF(HiddenLookupTable[[#This Row],[Pay Grade]]=2,$Y$3,$Y$4))</f>
        <v>7500</v>
      </c>
      <c r="R32" s="97">
        <f>IFERROR(VLOOKUP(L32,HealthPlanRates[],2,FALSE)*12,"Invalid code")</f>
        <v>10500</v>
      </c>
      <c r="S32" s="97">
        <f>VLOOKUP(HiddenLookupTable[[#This Row],[Years Service]],Recognition[],2,TRUE)</f>
        <v>500</v>
      </c>
    </row>
    <row r="33" spans="1:19" x14ac:dyDescent="0.35">
      <c r="A33" s="89">
        <v>1055</v>
      </c>
      <c r="B33" s="86" t="s">
        <v>174</v>
      </c>
      <c r="C33" s="90">
        <v>41219</v>
      </c>
      <c r="D33" s="91">
        <v>26743</v>
      </c>
      <c r="E33" s="92" t="s">
        <v>125</v>
      </c>
      <c r="F33" s="92" t="s">
        <v>152</v>
      </c>
      <c r="G33" s="89" t="s">
        <v>127</v>
      </c>
      <c r="H33" s="89" t="s">
        <v>134</v>
      </c>
      <c r="I33" s="89">
        <v>1</v>
      </c>
      <c r="J33" s="89" t="s">
        <v>149</v>
      </c>
      <c r="K33" s="94">
        <v>22880</v>
      </c>
      <c r="L33" s="89" t="s">
        <v>150</v>
      </c>
      <c r="M33" s="95">
        <f t="shared" si="0"/>
        <v>0</v>
      </c>
      <c r="N33" s="96">
        <f t="shared" si="1"/>
        <v>0</v>
      </c>
      <c r="O33" s="96">
        <f t="shared" si="2"/>
        <v>0</v>
      </c>
      <c r="P33" s="96">
        <f>IF(OR(HiddenLookupTable[[#This Row],[Location]]="Home",HiddenLookupTable[[#This Row],[Job Status]]="FT"),HiddenLookupTable[[#This Row],[Annual Salary]]*0.04,HiddenLookupTable[[#This Row],[Annual Salary]]*0.025)</f>
        <v>915.2</v>
      </c>
      <c r="Q33" s="97">
        <f>IF(HiddenLookupTable[[#This Row],[Pay Grade]]=1,$Y$2,IF(HiddenLookupTable[[#This Row],[Pay Grade]]=2,$Y$3,$Y$4))</f>
        <v>2750</v>
      </c>
      <c r="R33" s="97">
        <f>IFERROR(VLOOKUP(L33,HealthPlanRates[],2,FALSE)*12,"Invalid code")</f>
        <v>19800</v>
      </c>
      <c r="S33" s="97">
        <f>VLOOKUP(HiddenLookupTable[[#This Row],[Years Service]],Recognition[],2,TRUE)</f>
        <v>0</v>
      </c>
    </row>
    <row r="34" spans="1:19" x14ac:dyDescent="0.35">
      <c r="A34" s="89">
        <v>1056</v>
      </c>
      <c r="B34" s="86" t="s">
        <v>175</v>
      </c>
      <c r="C34" s="91">
        <v>39243</v>
      </c>
      <c r="D34" s="91">
        <v>24217</v>
      </c>
      <c r="E34" s="92" t="s">
        <v>62</v>
      </c>
      <c r="F34" s="92" t="s">
        <v>152</v>
      </c>
      <c r="G34" s="89" t="s">
        <v>127</v>
      </c>
      <c r="H34" s="89" t="s">
        <v>134</v>
      </c>
      <c r="I34" s="89">
        <v>1</v>
      </c>
      <c r="J34" s="89" t="s">
        <v>149</v>
      </c>
      <c r="K34" s="94">
        <v>22880</v>
      </c>
      <c r="L34" s="89" t="s">
        <v>145</v>
      </c>
      <c r="M34" s="95">
        <f t="shared" si="0"/>
        <v>6</v>
      </c>
      <c r="N34" s="96">
        <f t="shared" si="1"/>
        <v>0</v>
      </c>
      <c r="O34" s="96">
        <f t="shared" si="2"/>
        <v>686.4</v>
      </c>
      <c r="P34" s="96">
        <f>IF(OR(HiddenLookupTable[[#This Row],[Location]]="Home",HiddenLookupTable[[#This Row],[Job Status]]="FT"),HiddenLookupTable[[#This Row],[Annual Salary]]*0.04,HiddenLookupTable[[#This Row],[Annual Salary]]*0.025)</f>
        <v>915.2</v>
      </c>
      <c r="Q34" s="97">
        <f>IF(HiddenLookupTable[[#This Row],[Pay Grade]]=1,$Y$2,IF(HiddenLookupTable[[#This Row],[Pay Grade]]=2,$Y$3,$Y$4))</f>
        <v>2750</v>
      </c>
      <c r="R34" s="97">
        <f>IFERROR(VLOOKUP(L34,HealthPlanRates[],2,FALSE)*12,"Invalid code")</f>
        <v>10500</v>
      </c>
      <c r="S34" s="97">
        <f>VLOOKUP(HiddenLookupTable[[#This Row],[Years Service]],Recognition[],2,TRUE)</f>
        <v>300</v>
      </c>
    </row>
    <row r="35" spans="1:19" x14ac:dyDescent="0.35">
      <c r="A35" s="89">
        <v>1057</v>
      </c>
      <c r="B35" s="86" t="s">
        <v>176</v>
      </c>
      <c r="C35" s="90">
        <v>41282</v>
      </c>
      <c r="D35" s="91">
        <v>20900</v>
      </c>
      <c r="E35" s="92" t="s">
        <v>125</v>
      </c>
      <c r="F35" s="92" t="s">
        <v>126</v>
      </c>
      <c r="G35" s="89" t="s">
        <v>127</v>
      </c>
      <c r="H35" s="89" t="s">
        <v>128</v>
      </c>
      <c r="I35" s="89">
        <v>3</v>
      </c>
      <c r="J35" s="89" t="s">
        <v>129</v>
      </c>
      <c r="K35" s="94">
        <v>85000</v>
      </c>
      <c r="L35" s="89" t="s">
        <v>145</v>
      </c>
      <c r="M35" s="95">
        <f t="shared" si="0"/>
        <v>0</v>
      </c>
      <c r="N35" s="96">
        <f t="shared" si="1"/>
        <v>85</v>
      </c>
      <c r="O35" s="96">
        <f t="shared" si="2"/>
        <v>0</v>
      </c>
      <c r="P35" s="96">
        <f>IF(OR(HiddenLookupTable[[#This Row],[Location]]="Home",HiddenLookupTable[[#This Row],[Job Status]]="FT"),HiddenLookupTable[[#This Row],[Annual Salary]]*0.04,HiddenLookupTable[[#This Row],[Annual Salary]]*0.025)</f>
        <v>3400</v>
      </c>
      <c r="Q35" s="97">
        <f>IF(HiddenLookupTable[[#This Row],[Pay Grade]]=1,$Y$2,IF(HiddenLookupTable[[#This Row],[Pay Grade]]=2,$Y$3,$Y$4))</f>
        <v>7500</v>
      </c>
      <c r="R35" s="97">
        <f>IFERROR(VLOOKUP(L35,HealthPlanRates[],2,FALSE)*12,"Invalid code")</f>
        <v>10500</v>
      </c>
      <c r="S35" s="97">
        <f>VLOOKUP(HiddenLookupTable[[#This Row],[Years Service]],Recognition[],2,TRUE)</f>
        <v>0</v>
      </c>
    </row>
    <row r="36" spans="1:19" x14ac:dyDescent="0.35">
      <c r="A36" s="89">
        <v>1058</v>
      </c>
      <c r="B36" s="86" t="s">
        <v>177</v>
      </c>
      <c r="C36" s="91">
        <v>39937</v>
      </c>
      <c r="D36" s="91">
        <v>24651</v>
      </c>
      <c r="E36" s="92" t="s">
        <v>125</v>
      </c>
      <c r="F36" s="89" t="s">
        <v>133</v>
      </c>
      <c r="G36" s="89" t="s">
        <v>148</v>
      </c>
      <c r="H36" s="89" t="s">
        <v>134</v>
      </c>
      <c r="I36" s="89">
        <v>2</v>
      </c>
      <c r="J36" s="89" t="s">
        <v>129</v>
      </c>
      <c r="K36" s="94">
        <v>33000</v>
      </c>
      <c r="L36" s="89" t="s">
        <v>130</v>
      </c>
      <c r="M36" s="95">
        <f t="shared" si="0"/>
        <v>4</v>
      </c>
      <c r="N36" s="96">
        <f t="shared" si="1"/>
        <v>0</v>
      </c>
      <c r="O36" s="96">
        <f t="shared" si="2"/>
        <v>0</v>
      </c>
      <c r="P36" s="96">
        <f>IF(OR(HiddenLookupTable[[#This Row],[Location]]="Home",HiddenLookupTable[[#This Row],[Job Status]]="FT"),HiddenLookupTable[[#This Row],[Annual Salary]]*0.04,HiddenLookupTable[[#This Row],[Annual Salary]]*0.025)</f>
        <v>1320</v>
      </c>
      <c r="Q36" s="97">
        <f>IF(HiddenLookupTable[[#This Row],[Pay Grade]]=1,$Y$2,IF(HiddenLookupTable[[#This Row],[Pay Grade]]=2,$Y$3,$Y$4))</f>
        <v>5000</v>
      </c>
      <c r="R36" s="97">
        <f>IFERROR(VLOOKUP(L36,HealthPlanRates[],2,FALSE)*12,"Invalid code")</f>
        <v>18000</v>
      </c>
      <c r="S36" s="97">
        <f>VLOOKUP(HiddenLookupTable[[#This Row],[Years Service]],Recognition[],2,TRUE)</f>
        <v>200</v>
      </c>
    </row>
    <row r="37" spans="1:19" x14ac:dyDescent="0.35">
      <c r="A37" s="89">
        <v>1059</v>
      </c>
      <c r="B37" s="86" t="s">
        <v>178</v>
      </c>
      <c r="C37" s="91">
        <v>39645</v>
      </c>
      <c r="D37" s="91">
        <v>31451</v>
      </c>
      <c r="E37" s="92" t="s">
        <v>62</v>
      </c>
      <c r="F37" s="92" t="s">
        <v>126</v>
      </c>
      <c r="G37" s="89" t="s">
        <v>127</v>
      </c>
      <c r="H37" s="89" t="s">
        <v>134</v>
      </c>
      <c r="I37" s="89">
        <v>3</v>
      </c>
      <c r="J37" s="89" t="s">
        <v>129</v>
      </c>
      <c r="K37" s="94">
        <v>65000</v>
      </c>
      <c r="L37" s="89" t="s">
        <v>140</v>
      </c>
      <c r="M37" s="95">
        <f t="shared" si="0"/>
        <v>4</v>
      </c>
      <c r="N37" s="96">
        <f t="shared" si="1"/>
        <v>0</v>
      </c>
      <c r="O37" s="96">
        <f t="shared" si="2"/>
        <v>1950</v>
      </c>
      <c r="P37" s="96">
        <f>IF(OR(HiddenLookupTable[[#This Row],[Location]]="Home",HiddenLookupTable[[#This Row],[Job Status]]="FT"),HiddenLookupTable[[#This Row],[Annual Salary]]*0.04,HiddenLookupTable[[#This Row],[Annual Salary]]*0.025)</f>
        <v>2600</v>
      </c>
      <c r="Q37" s="97">
        <f>IF(HiddenLookupTable[[#This Row],[Pay Grade]]=1,$Y$2,IF(HiddenLookupTable[[#This Row],[Pay Grade]]=2,$Y$3,$Y$4))</f>
        <v>7500</v>
      </c>
      <c r="R37" s="97">
        <f>IFERROR(VLOOKUP(L37,HealthPlanRates[],2,FALSE)*12,"Invalid code")</f>
        <v>0</v>
      </c>
      <c r="S37" s="97">
        <f>VLOOKUP(HiddenLookupTable[[#This Row],[Years Service]],Recognition[],2,TRUE)</f>
        <v>200</v>
      </c>
    </row>
    <row r="38" spans="1:19" x14ac:dyDescent="0.35">
      <c r="A38" s="89">
        <v>1060</v>
      </c>
      <c r="B38" s="86" t="s">
        <v>179</v>
      </c>
      <c r="C38" s="91">
        <v>38454</v>
      </c>
      <c r="D38" s="91">
        <v>31606</v>
      </c>
      <c r="E38" s="92" t="s">
        <v>62</v>
      </c>
      <c r="F38" s="92" t="s">
        <v>152</v>
      </c>
      <c r="G38" s="89" t="s">
        <v>127</v>
      </c>
      <c r="H38" s="89" t="s">
        <v>134</v>
      </c>
      <c r="I38" s="89">
        <v>1</v>
      </c>
      <c r="J38" s="89" t="s">
        <v>149</v>
      </c>
      <c r="K38" s="94">
        <v>21299</v>
      </c>
      <c r="L38" s="89" t="s">
        <v>130</v>
      </c>
      <c r="M38" s="95">
        <f t="shared" si="0"/>
        <v>8</v>
      </c>
      <c r="N38" s="96">
        <f t="shared" si="1"/>
        <v>0</v>
      </c>
      <c r="O38" s="96">
        <f t="shared" si="2"/>
        <v>638.97</v>
      </c>
      <c r="P38" s="96">
        <f>IF(OR(HiddenLookupTable[[#This Row],[Location]]="Home",HiddenLookupTable[[#This Row],[Job Status]]="FT"),HiddenLookupTable[[#This Row],[Annual Salary]]*0.04,HiddenLookupTable[[#This Row],[Annual Salary]]*0.025)</f>
        <v>851.96</v>
      </c>
      <c r="Q38" s="97">
        <f>IF(HiddenLookupTable[[#This Row],[Pay Grade]]=1,$Y$2,IF(HiddenLookupTable[[#This Row],[Pay Grade]]=2,$Y$3,$Y$4))</f>
        <v>2750</v>
      </c>
      <c r="R38" s="97">
        <f>IFERROR(VLOOKUP(L38,HealthPlanRates[],2,FALSE)*12,"Invalid code")</f>
        <v>18000</v>
      </c>
      <c r="S38" s="97">
        <f>VLOOKUP(HiddenLookupTable[[#This Row],[Years Service]],Recognition[],2,TRUE)</f>
        <v>500</v>
      </c>
    </row>
    <row r="39" spans="1:19" x14ac:dyDescent="0.35">
      <c r="A39" s="89">
        <v>1061</v>
      </c>
      <c r="B39" s="86" t="s">
        <v>180</v>
      </c>
      <c r="C39" s="91">
        <v>39885</v>
      </c>
      <c r="D39" s="91">
        <v>18087</v>
      </c>
      <c r="E39" s="92" t="s">
        <v>125</v>
      </c>
      <c r="F39" s="92" t="s">
        <v>137</v>
      </c>
      <c r="G39" s="89" t="s">
        <v>127</v>
      </c>
      <c r="H39" s="89" t="s">
        <v>128</v>
      </c>
      <c r="I39" s="89">
        <v>3</v>
      </c>
      <c r="J39" s="89" t="s">
        <v>129</v>
      </c>
      <c r="K39" s="94">
        <v>95000</v>
      </c>
      <c r="L39" s="89" t="s">
        <v>140</v>
      </c>
      <c r="M39" s="95">
        <f t="shared" si="0"/>
        <v>4</v>
      </c>
      <c r="N39" s="96">
        <f t="shared" si="1"/>
        <v>95</v>
      </c>
      <c r="O39" s="96">
        <f t="shared" si="2"/>
        <v>2850</v>
      </c>
      <c r="P39" s="96">
        <f>IF(OR(HiddenLookupTable[[#This Row],[Location]]="Home",HiddenLookupTable[[#This Row],[Job Status]]="FT"),HiddenLookupTable[[#This Row],[Annual Salary]]*0.04,HiddenLookupTable[[#This Row],[Annual Salary]]*0.025)</f>
        <v>3800</v>
      </c>
      <c r="Q39" s="97">
        <f>IF(HiddenLookupTable[[#This Row],[Pay Grade]]=1,$Y$2,IF(HiddenLookupTable[[#This Row],[Pay Grade]]=2,$Y$3,$Y$4))</f>
        <v>7500</v>
      </c>
      <c r="R39" s="97">
        <f>IFERROR(VLOOKUP(L39,HealthPlanRates[],2,FALSE)*12,"Invalid code")</f>
        <v>0</v>
      </c>
      <c r="S39" s="97">
        <f>VLOOKUP(HiddenLookupTable[[#This Row],[Years Service]],Recognition[],2,TRUE)</f>
        <v>200</v>
      </c>
    </row>
    <row r="40" spans="1:19" x14ac:dyDescent="0.35">
      <c r="A40" s="89">
        <v>1062</v>
      </c>
      <c r="B40" s="86" t="s">
        <v>181</v>
      </c>
      <c r="C40" s="90">
        <v>41129</v>
      </c>
      <c r="D40" s="91">
        <v>20790</v>
      </c>
      <c r="E40" s="92" t="s">
        <v>125</v>
      </c>
      <c r="F40" s="92" t="s">
        <v>137</v>
      </c>
      <c r="G40" s="89" t="s">
        <v>127</v>
      </c>
      <c r="H40" s="89" t="s">
        <v>128</v>
      </c>
      <c r="I40" s="89">
        <v>3</v>
      </c>
      <c r="J40" s="89" t="s">
        <v>129</v>
      </c>
      <c r="K40" s="94">
        <v>80000</v>
      </c>
      <c r="L40" s="89" t="s">
        <v>145</v>
      </c>
      <c r="M40" s="95">
        <f t="shared" si="0"/>
        <v>0</v>
      </c>
      <c r="N40" s="96">
        <f t="shared" si="1"/>
        <v>80</v>
      </c>
      <c r="O40" s="96">
        <f t="shared" si="2"/>
        <v>0</v>
      </c>
      <c r="P40" s="96">
        <f>IF(OR(HiddenLookupTable[[#This Row],[Location]]="Home",HiddenLookupTable[[#This Row],[Job Status]]="FT"),HiddenLookupTable[[#This Row],[Annual Salary]]*0.04,HiddenLookupTable[[#This Row],[Annual Salary]]*0.025)</f>
        <v>3200</v>
      </c>
      <c r="Q40" s="97">
        <f>IF(HiddenLookupTable[[#This Row],[Pay Grade]]=1,$Y$2,IF(HiddenLookupTable[[#This Row],[Pay Grade]]=2,$Y$3,$Y$4))</f>
        <v>7500</v>
      </c>
      <c r="R40" s="97">
        <f>IFERROR(VLOOKUP(L40,HealthPlanRates[],2,FALSE)*12,"Invalid code")</f>
        <v>10500</v>
      </c>
      <c r="S40" s="97">
        <f>VLOOKUP(HiddenLookupTable[[#This Row],[Years Service]],Recognition[],2,TRUE)</f>
        <v>0</v>
      </c>
    </row>
    <row r="41" spans="1:19" x14ac:dyDescent="0.35">
      <c r="A41" s="89">
        <v>1063</v>
      </c>
      <c r="B41" s="86" t="s">
        <v>182</v>
      </c>
      <c r="C41" s="90">
        <v>41107</v>
      </c>
      <c r="D41" s="91">
        <v>21743</v>
      </c>
      <c r="E41" s="92" t="s">
        <v>125</v>
      </c>
      <c r="F41" s="92" t="s">
        <v>152</v>
      </c>
      <c r="G41" s="89" t="s">
        <v>127</v>
      </c>
      <c r="H41" s="89" t="s">
        <v>134</v>
      </c>
      <c r="I41" s="89">
        <v>1</v>
      </c>
      <c r="J41" s="89" t="s">
        <v>149</v>
      </c>
      <c r="K41" s="94">
        <v>25792</v>
      </c>
      <c r="L41" s="89" t="s">
        <v>150</v>
      </c>
      <c r="M41" s="95">
        <f t="shared" si="0"/>
        <v>0</v>
      </c>
      <c r="N41" s="96">
        <f t="shared" si="1"/>
        <v>0</v>
      </c>
      <c r="O41" s="96">
        <f t="shared" si="2"/>
        <v>0</v>
      </c>
      <c r="P41" s="96">
        <f>IF(OR(HiddenLookupTable[[#This Row],[Location]]="Home",HiddenLookupTable[[#This Row],[Job Status]]="FT"),HiddenLookupTable[[#This Row],[Annual Salary]]*0.04,HiddenLookupTable[[#This Row],[Annual Salary]]*0.025)</f>
        <v>1031.68</v>
      </c>
      <c r="Q41" s="97">
        <f>IF(HiddenLookupTable[[#This Row],[Pay Grade]]=1,$Y$2,IF(HiddenLookupTable[[#This Row],[Pay Grade]]=2,$Y$3,$Y$4))</f>
        <v>2750</v>
      </c>
      <c r="R41" s="97">
        <f>IFERROR(VLOOKUP(L41,HealthPlanRates[],2,FALSE)*12,"Invalid code")</f>
        <v>19800</v>
      </c>
      <c r="S41" s="97">
        <f>VLOOKUP(HiddenLookupTable[[#This Row],[Years Service]],Recognition[],2,TRUE)</f>
        <v>0</v>
      </c>
    </row>
    <row r="42" spans="1:19" x14ac:dyDescent="0.35">
      <c r="A42" s="89">
        <v>1064</v>
      </c>
      <c r="B42" s="86" t="s">
        <v>173</v>
      </c>
      <c r="C42" s="91">
        <v>40916</v>
      </c>
      <c r="D42" s="91">
        <v>25633</v>
      </c>
      <c r="E42" s="92" t="s">
        <v>62</v>
      </c>
      <c r="F42" s="92" t="s">
        <v>137</v>
      </c>
      <c r="G42" s="89" t="s">
        <v>127</v>
      </c>
      <c r="H42" s="89" t="s">
        <v>134</v>
      </c>
      <c r="I42" s="89">
        <v>3</v>
      </c>
      <c r="J42" s="89" t="s">
        <v>129</v>
      </c>
      <c r="K42" s="94">
        <v>70000</v>
      </c>
      <c r="L42" s="89" t="s">
        <v>130</v>
      </c>
      <c r="M42" s="95">
        <f t="shared" si="0"/>
        <v>1</v>
      </c>
      <c r="N42" s="96">
        <f t="shared" si="1"/>
        <v>0</v>
      </c>
      <c r="O42" s="96">
        <f t="shared" si="2"/>
        <v>2100</v>
      </c>
      <c r="P42" s="96">
        <f>IF(OR(HiddenLookupTable[[#This Row],[Location]]="Home",HiddenLookupTable[[#This Row],[Job Status]]="FT"),HiddenLookupTable[[#This Row],[Annual Salary]]*0.04,HiddenLookupTable[[#This Row],[Annual Salary]]*0.025)</f>
        <v>2800</v>
      </c>
      <c r="Q42" s="97">
        <f>IF(HiddenLookupTable[[#This Row],[Pay Grade]]=1,$Y$2,IF(HiddenLookupTable[[#This Row],[Pay Grade]]=2,$Y$3,$Y$4))</f>
        <v>7500</v>
      </c>
      <c r="R42" s="97">
        <f>IFERROR(VLOOKUP(L42,HealthPlanRates[],2,FALSE)*12,"Invalid code")</f>
        <v>18000</v>
      </c>
      <c r="S42" s="97">
        <f>VLOOKUP(HiddenLookupTable[[#This Row],[Years Service]],Recognition[],2,TRUE)</f>
        <v>100</v>
      </c>
    </row>
    <row r="43" spans="1:19" x14ac:dyDescent="0.35">
      <c r="A43" s="89">
        <v>1065</v>
      </c>
      <c r="B43" s="86" t="s">
        <v>183</v>
      </c>
      <c r="C43" s="91">
        <v>40455</v>
      </c>
      <c r="D43" s="91">
        <v>21848</v>
      </c>
      <c r="E43" s="92" t="s">
        <v>62</v>
      </c>
      <c r="F43" s="92" t="s">
        <v>126</v>
      </c>
      <c r="G43" s="89" t="s">
        <v>127</v>
      </c>
      <c r="H43" s="89" t="s">
        <v>134</v>
      </c>
      <c r="I43" s="89">
        <v>3</v>
      </c>
      <c r="J43" s="89" t="s">
        <v>129</v>
      </c>
      <c r="K43" s="94">
        <v>73500</v>
      </c>
      <c r="L43" s="89" t="s">
        <v>150</v>
      </c>
      <c r="M43" s="95">
        <f t="shared" si="0"/>
        <v>2</v>
      </c>
      <c r="N43" s="96">
        <f t="shared" si="1"/>
        <v>0</v>
      </c>
      <c r="O43" s="96">
        <f t="shared" si="2"/>
        <v>2205</v>
      </c>
      <c r="P43" s="96">
        <f>IF(OR(HiddenLookupTable[[#This Row],[Location]]="Home",HiddenLookupTable[[#This Row],[Job Status]]="FT"),HiddenLookupTable[[#This Row],[Annual Salary]]*0.04,HiddenLookupTable[[#This Row],[Annual Salary]]*0.025)</f>
        <v>2940</v>
      </c>
      <c r="Q43" s="97">
        <f>IF(HiddenLookupTable[[#This Row],[Pay Grade]]=1,$Y$2,IF(HiddenLookupTable[[#This Row],[Pay Grade]]=2,$Y$3,$Y$4))</f>
        <v>7500</v>
      </c>
      <c r="R43" s="97">
        <f>IFERROR(VLOOKUP(L43,HealthPlanRates[],2,FALSE)*12,"Invalid code")</f>
        <v>19800</v>
      </c>
      <c r="S43" s="97">
        <f>VLOOKUP(HiddenLookupTable[[#This Row],[Years Service]],Recognition[],2,TRUE)</f>
        <v>100</v>
      </c>
    </row>
    <row r="44" spans="1:19" x14ac:dyDescent="0.35">
      <c r="A44" s="89">
        <v>1066</v>
      </c>
      <c r="B44" s="86" t="s">
        <v>184</v>
      </c>
      <c r="C44" s="91">
        <v>40063</v>
      </c>
      <c r="D44" s="91">
        <v>22351</v>
      </c>
      <c r="E44" s="92" t="s">
        <v>62</v>
      </c>
      <c r="F44" s="92" t="s">
        <v>152</v>
      </c>
      <c r="G44" s="89" t="s">
        <v>127</v>
      </c>
      <c r="H44" s="89" t="s">
        <v>134</v>
      </c>
      <c r="I44" s="89">
        <v>1</v>
      </c>
      <c r="J44" s="89" t="s">
        <v>149</v>
      </c>
      <c r="K44" s="94">
        <v>21299</v>
      </c>
      <c r="L44" s="89" t="s">
        <v>150</v>
      </c>
      <c r="M44" s="95">
        <f t="shared" si="0"/>
        <v>3</v>
      </c>
      <c r="N44" s="96">
        <f t="shared" si="1"/>
        <v>0</v>
      </c>
      <c r="O44" s="96">
        <f t="shared" si="2"/>
        <v>638.97</v>
      </c>
      <c r="P44" s="96">
        <f>IF(OR(HiddenLookupTable[[#This Row],[Location]]="Home",HiddenLookupTable[[#This Row],[Job Status]]="FT"),HiddenLookupTable[[#This Row],[Annual Salary]]*0.04,HiddenLookupTable[[#This Row],[Annual Salary]]*0.025)</f>
        <v>851.96</v>
      </c>
      <c r="Q44" s="97">
        <f>IF(HiddenLookupTable[[#This Row],[Pay Grade]]=1,$Y$2,IF(HiddenLookupTable[[#This Row],[Pay Grade]]=2,$Y$3,$Y$4))</f>
        <v>2750</v>
      </c>
      <c r="R44" s="97">
        <f>IFERROR(VLOOKUP(L44,HealthPlanRates[],2,FALSE)*12,"Invalid code")</f>
        <v>19800</v>
      </c>
      <c r="S44" s="97">
        <f>VLOOKUP(HiddenLookupTable[[#This Row],[Years Service]],Recognition[],2,TRUE)</f>
        <v>200</v>
      </c>
    </row>
    <row r="45" spans="1:19" x14ac:dyDescent="0.35">
      <c r="A45" s="89">
        <v>1067</v>
      </c>
      <c r="B45" s="86" t="s">
        <v>185</v>
      </c>
      <c r="C45" s="91">
        <v>40762</v>
      </c>
      <c r="D45" s="91">
        <v>20756</v>
      </c>
      <c r="E45" s="92" t="s">
        <v>62</v>
      </c>
      <c r="F45" s="92" t="s">
        <v>126</v>
      </c>
      <c r="G45" s="89" t="s">
        <v>127</v>
      </c>
      <c r="H45" s="89" t="s">
        <v>134</v>
      </c>
      <c r="I45" s="89">
        <v>1</v>
      </c>
      <c r="J45" s="89" t="s">
        <v>149</v>
      </c>
      <c r="K45" s="94">
        <v>39000</v>
      </c>
      <c r="L45" s="89" t="s">
        <v>140</v>
      </c>
      <c r="M45" s="95">
        <f t="shared" si="0"/>
        <v>1</v>
      </c>
      <c r="N45" s="96">
        <f t="shared" si="1"/>
        <v>0</v>
      </c>
      <c r="O45" s="96">
        <f t="shared" si="2"/>
        <v>1170</v>
      </c>
      <c r="P45" s="96">
        <f>IF(OR(HiddenLookupTable[[#This Row],[Location]]="Home",HiddenLookupTable[[#This Row],[Job Status]]="FT"),HiddenLookupTable[[#This Row],[Annual Salary]]*0.04,HiddenLookupTable[[#This Row],[Annual Salary]]*0.025)</f>
        <v>1560</v>
      </c>
      <c r="Q45" s="97">
        <f>IF(HiddenLookupTable[[#This Row],[Pay Grade]]=1,$Y$2,IF(HiddenLookupTable[[#This Row],[Pay Grade]]=2,$Y$3,$Y$4))</f>
        <v>2750</v>
      </c>
      <c r="R45" s="97">
        <f>IFERROR(VLOOKUP(L45,HealthPlanRates[],2,FALSE)*12,"Invalid code")</f>
        <v>0</v>
      </c>
      <c r="S45" s="97">
        <f>VLOOKUP(HiddenLookupTable[[#This Row],[Years Service]],Recognition[],2,TRUE)</f>
        <v>100</v>
      </c>
    </row>
    <row r="46" spans="1:19" x14ac:dyDescent="0.35">
      <c r="A46" s="89">
        <v>1068</v>
      </c>
      <c r="B46" s="86" t="s">
        <v>186</v>
      </c>
      <c r="C46" s="90">
        <v>41058</v>
      </c>
      <c r="D46" s="91">
        <v>18496</v>
      </c>
      <c r="E46" s="92" t="s">
        <v>125</v>
      </c>
      <c r="F46" s="92" t="s">
        <v>126</v>
      </c>
      <c r="G46" s="89" t="s">
        <v>127</v>
      </c>
      <c r="H46" s="89" t="s">
        <v>128</v>
      </c>
      <c r="I46" s="89">
        <v>3</v>
      </c>
      <c r="J46" s="89" t="s">
        <v>129</v>
      </c>
      <c r="K46" s="94">
        <v>115000</v>
      </c>
      <c r="L46" s="89" t="s">
        <v>130</v>
      </c>
      <c r="M46" s="95">
        <f t="shared" si="0"/>
        <v>1</v>
      </c>
      <c r="N46" s="96">
        <f t="shared" si="1"/>
        <v>115</v>
      </c>
      <c r="O46" s="96">
        <f t="shared" si="2"/>
        <v>3450</v>
      </c>
      <c r="P46" s="96">
        <f>IF(OR(HiddenLookupTable[[#This Row],[Location]]="Home",HiddenLookupTable[[#This Row],[Job Status]]="FT"),HiddenLookupTable[[#This Row],[Annual Salary]]*0.04,HiddenLookupTable[[#This Row],[Annual Salary]]*0.025)</f>
        <v>4600</v>
      </c>
      <c r="Q46" s="97">
        <f>IF(HiddenLookupTable[[#This Row],[Pay Grade]]=1,$Y$2,IF(HiddenLookupTable[[#This Row],[Pay Grade]]=2,$Y$3,$Y$4))</f>
        <v>7500</v>
      </c>
      <c r="R46" s="97">
        <f>IFERROR(VLOOKUP(L46,HealthPlanRates[],2,FALSE)*12,"Invalid code")</f>
        <v>18000</v>
      </c>
      <c r="S46" s="97">
        <f>VLOOKUP(HiddenLookupTable[[#This Row],[Years Service]],Recognition[],2,TRUE)</f>
        <v>100</v>
      </c>
    </row>
    <row r="47" spans="1:19" x14ac:dyDescent="0.35">
      <c r="A47" s="89">
        <v>1069</v>
      </c>
      <c r="B47" s="86" t="s">
        <v>187</v>
      </c>
      <c r="C47" s="91">
        <v>38004</v>
      </c>
      <c r="D47" s="91">
        <v>18940</v>
      </c>
      <c r="E47" s="92" t="s">
        <v>62</v>
      </c>
      <c r="F47" s="92" t="s">
        <v>152</v>
      </c>
      <c r="G47" s="89" t="s">
        <v>127</v>
      </c>
      <c r="H47" s="89" t="s">
        <v>134</v>
      </c>
      <c r="I47" s="89">
        <v>1</v>
      </c>
      <c r="J47" s="89" t="s">
        <v>149</v>
      </c>
      <c r="K47" s="94">
        <v>21840</v>
      </c>
      <c r="L47" s="89" t="s">
        <v>143</v>
      </c>
      <c r="M47" s="95">
        <f t="shared" si="0"/>
        <v>9</v>
      </c>
      <c r="N47" s="96">
        <f t="shared" si="1"/>
        <v>0</v>
      </c>
      <c r="O47" s="96">
        <f t="shared" si="2"/>
        <v>655.19999999999993</v>
      </c>
      <c r="P47" s="96">
        <f>IF(OR(HiddenLookupTable[[#This Row],[Location]]="Home",HiddenLookupTable[[#This Row],[Job Status]]="FT"),HiddenLookupTable[[#This Row],[Annual Salary]]*0.04,HiddenLookupTable[[#This Row],[Annual Salary]]*0.025)</f>
        <v>873.6</v>
      </c>
      <c r="Q47" s="97">
        <f>IF(HiddenLookupTable[[#This Row],[Pay Grade]]=1,$Y$2,IF(HiddenLookupTable[[#This Row],[Pay Grade]]=2,$Y$3,$Y$4))</f>
        <v>2750</v>
      </c>
      <c r="R47" s="97">
        <f>IFERROR(VLOOKUP(L47,HealthPlanRates[],2,FALSE)*12,"Invalid code")</f>
        <v>11400</v>
      </c>
      <c r="S47" s="97">
        <f>VLOOKUP(HiddenLookupTable[[#This Row],[Years Service]],Recognition[],2,TRUE)</f>
        <v>500</v>
      </c>
    </row>
    <row r="48" spans="1:19" x14ac:dyDescent="0.35">
      <c r="A48" s="89">
        <v>1070</v>
      </c>
      <c r="B48" s="86" t="s">
        <v>188</v>
      </c>
      <c r="C48" s="90">
        <v>41275</v>
      </c>
      <c r="D48" s="91">
        <v>24268</v>
      </c>
      <c r="E48" s="92" t="s">
        <v>125</v>
      </c>
      <c r="F48" s="92" t="s">
        <v>126</v>
      </c>
      <c r="G48" s="89" t="s">
        <v>127</v>
      </c>
      <c r="H48" s="89" t="s">
        <v>128</v>
      </c>
      <c r="I48" s="89">
        <v>3</v>
      </c>
      <c r="J48" s="89" t="s">
        <v>129</v>
      </c>
      <c r="K48" s="94">
        <v>123000</v>
      </c>
      <c r="L48" s="89" t="s">
        <v>150</v>
      </c>
      <c r="M48" s="95">
        <f t="shared" si="0"/>
        <v>0</v>
      </c>
      <c r="N48" s="96">
        <f t="shared" si="1"/>
        <v>123</v>
      </c>
      <c r="O48" s="96">
        <f t="shared" si="2"/>
        <v>0</v>
      </c>
      <c r="P48" s="96">
        <f>IF(OR(HiddenLookupTable[[#This Row],[Location]]="Home",HiddenLookupTable[[#This Row],[Job Status]]="FT"),HiddenLookupTable[[#This Row],[Annual Salary]]*0.04,HiddenLookupTable[[#This Row],[Annual Salary]]*0.025)</f>
        <v>4920</v>
      </c>
      <c r="Q48" s="97">
        <f>IF(HiddenLookupTable[[#This Row],[Pay Grade]]=1,$Y$2,IF(HiddenLookupTable[[#This Row],[Pay Grade]]=2,$Y$3,$Y$4))</f>
        <v>7500</v>
      </c>
      <c r="R48" s="97">
        <f>IFERROR(VLOOKUP(L48,HealthPlanRates[],2,FALSE)*12,"Invalid code")</f>
        <v>19800</v>
      </c>
      <c r="S48" s="97">
        <f>VLOOKUP(HiddenLookupTable[[#This Row],[Years Service]],Recognition[],2,TRUE)</f>
        <v>0</v>
      </c>
    </row>
    <row r="49" spans="1:19" x14ac:dyDescent="0.35">
      <c r="A49" s="89">
        <v>1071</v>
      </c>
      <c r="B49" s="86" t="s">
        <v>189</v>
      </c>
      <c r="C49" s="91">
        <v>36899</v>
      </c>
      <c r="D49" s="91">
        <v>33595</v>
      </c>
      <c r="E49" s="92" t="s">
        <v>125</v>
      </c>
      <c r="F49" s="92" t="s">
        <v>126</v>
      </c>
      <c r="G49" s="89" t="s">
        <v>127</v>
      </c>
      <c r="H49" s="89" t="s">
        <v>128</v>
      </c>
      <c r="I49" s="89">
        <v>3</v>
      </c>
      <c r="J49" s="89" t="s">
        <v>129</v>
      </c>
      <c r="K49" s="94">
        <v>90000</v>
      </c>
      <c r="L49" s="89" t="s">
        <v>143</v>
      </c>
      <c r="M49" s="95">
        <f t="shared" si="0"/>
        <v>12</v>
      </c>
      <c r="N49" s="96">
        <f t="shared" si="1"/>
        <v>90</v>
      </c>
      <c r="O49" s="96">
        <f t="shared" si="2"/>
        <v>2700</v>
      </c>
      <c r="P49" s="96">
        <f>IF(OR(HiddenLookupTable[[#This Row],[Location]]="Home",HiddenLookupTable[[#This Row],[Job Status]]="FT"),HiddenLookupTable[[#This Row],[Annual Salary]]*0.04,HiddenLookupTable[[#This Row],[Annual Salary]]*0.025)</f>
        <v>3600</v>
      </c>
      <c r="Q49" s="97">
        <f>IF(HiddenLookupTable[[#This Row],[Pay Grade]]=1,$Y$2,IF(HiddenLookupTable[[#This Row],[Pay Grade]]=2,$Y$3,$Y$4))</f>
        <v>7500</v>
      </c>
      <c r="R49" s="97">
        <f>IFERROR(VLOOKUP(L49,HealthPlanRates[],2,FALSE)*12,"Invalid code")</f>
        <v>11400</v>
      </c>
      <c r="S49" s="97">
        <f>VLOOKUP(HiddenLookupTable[[#This Row],[Years Service]],Recognition[],2,TRUE)</f>
        <v>500</v>
      </c>
    </row>
    <row r="50" spans="1:19" x14ac:dyDescent="0.35">
      <c r="A50" s="89">
        <v>1072</v>
      </c>
      <c r="B50" s="86" t="s">
        <v>190</v>
      </c>
      <c r="C50" s="91">
        <v>38097</v>
      </c>
      <c r="D50" s="91">
        <v>20636</v>
      </c>
      <c r="E50" s="92" t="s">
        <v>125</v>
      </c>
      <c r="F50" s="92" t="s">
        <v>126</v>
      </c>
      <c r="G50" s="89" t="s">
        <v>127</v>
      </c>
      <c r="H50" s="89" t="s">
        <v>128</v>
      </c>
      <c r="I50" s="89">
        <v>3</v>
      </c>
      <c r="J50" s="89" t="s">
        <v>129</v>
      </c>
      <c r="K50" s="94">
        <v>110000</v>
      </c>
      <c r="L50" s="89" t="s">
        <v>145</v>
      </c>
      <c r="M50" s="95">
        <f t="shared" si="0"/>
        <v>9</v>
      </c>
      <c r="N50" s="96">
        <f t="shared" si="1"/>
        <v>110</v>
      </c>
      <c r="O50" s="96">
        <f t="shared" si="2"/>
        <v>3300</v>
      </c>
      <c r="P50" s="96">
        <f>IF(OR(HiddenLookupTable[[#This Row],[Location]]="Home",HiddenLookupTable[[#This Row],[Job Status]]="FT"),HiddenLookupTable[[#This Row],[Annual Salary]]*0.04,HiddenLookupTable[[#This Row],[Annual Salary]]*0.025)</f>
        <v>4400</v>
      </c>
      <c r="Q50" s="97">
        <f>IF(HiddenLookupTable[[#This Row],[Pay Grade]]=1,$Y$2,IF(HiddenLookupTable[[#This Row],[Pay Grade]]=2,$Y$3,$Y$4))</f>
        <v>7500</v>
      </c>
      <c r="R50" s="97">
        <f>IFERROR(VLOOKUP(L50,HealthPlanRates[],2,FALSE)*12,"Invalid code")</f>
        <v>10500</v>
      </c>
      <c r="S50" s="97">
        <f>VLOOKUP(HiddenLookupTable[[#This Row],[Years Service]],Recognition[],2,TRUE)</f>
        <v>500</v>
      </c>
    </row>
    <row r="51" spans="1:19" x14ac:dyDescent="0.35">
      <c r="A51" s="89">
        <v>1073</v>
      </c>
      <c r="B51" s="86" t="s">
        <v>191</v>
      </c>
      <c r="C51" s="91">
        <v>38153</v>
      </c>
      <c r="D51" s="91">
        <v>18382</v>
      </c>
      <c r="E51" s="92" t="s">
        <v>62</v>
      </c>
      <c r="F51" s="92" t="s">
        <v>126</v>
      </c>
      <c r="G51" s="89" t="s">
        <v>127</v>
      </c>
      <c r="H51" s="89" t="s">
        <v>128</v>
      </c>
      <c r="I51" s="89">
        <v>3</v>
      </c>
      <c r="J51" s="89" t="s">
        <v>129</v>
      </c>
      <c r="K51" s="94">
        <v>75000</v>
      </c>
      <c r="L51" s="89" t="s">
        <v>140</v>
      </c>
      <c r="M51" s="95">
        <f t="shared" si="0"/>
        <v>9</v>
      </c>
      <c r="N51" s="96">
        <f t="shared" si="1"/>
        <v>75</v>
      </c>
      <c r="O51" s="96">
        <f t="shared" si="2"/>
        <v>2250</v>
      </c>
      <c r="P51" s="96">
        <f>IF(OR(HiddenLookupTable[[#This Row],[Location]]="Home",HiddenLookupTable[[#This Row],[Job Status]]="FT"),HiddenLookupTable[[#This Row],[Annual Salary]]*0.04,HiddenLookupTable[[#This Row],[Annual Salary]]*0.025)</f>
        <v>3000</v>
      </c>
      <c r="Q51" s="97">
        <f>IF(HiddenLookupTable[[#This Row],[Pay Grade]]=1,$Y$2,IF(HiddenLookupTable[[#This Row],[Pay Grade]]=2,$Y$3,$Y$4))</f>
        <v>7500</v>
      </c>
      <c r="R51" s="97">
        <f>IFERROR(VLOOKUP(L51,HealthPlanRates[],2,FALSE)*12,"Invalid code")</f>
        <v>0</v>
      </c>
      <c r="S51" s="97">
        <f>VLOOKUP(HiddenLookupTable[[#This Row],[Years Service]],Recognition[],2,TRUE)</f>
        <v>500</v>
      </c>
    </row>
    <row r="52" spans="1:19" x14ac:dyDescent="0.35">
      <c r="A52" s="89">
        <v>1074</v>
      </c>
      <c r="B52" s="86" t="s">
        <v>192</v>
      </c>
      <c r="C52" s="91">
        <v>39236</v>
      </c>
      <c r="D52" s="91">
        <v>19526</v>
      </c>
      <c r="E52" s="92" t="s">
        <v>125</v>
      </c>
      <c r="F52" s="92" t="s">
        <v>137</v>
      </c>
      <c r="G52" s="89" t="s">
        <v>127</v>
      </c>
      <c r="H52" s="89" t="s">
        <v>128</v>
      </c>
      <c r="I52" s="89">
        <v>3</v>
      </c>
      <c r="J52" s="89" t="s">
        <v>129</v>
      </c>
      <c r="K52" s="94">
        <v>80000</v>
      </c>
      <c r="L52" s="89" t="s">
        <v>145</v>
      </c>
      <c r="M52" s="95">
        <f t="shared" si="0"/>
        <v>6</v>
      </c>
      <c r="N52" s="96">
        <f t="shared" si="1"/>
        <v>80</v>
      </c>
      <c r="O52" s="96">
        <f t="shared" si="2"/>
        <v>2400</v>
      </c>
      <c r="P52" s="96">
        <f>IF(OR(HiddenLookupTable[[#This Row],[Location]]="Home",HiddenLookupTable[[#This Row],[Job Status]]="FT"),HiddenLookupTable[[#This Row],[Annual Salary]]*0.04,HiddenLookupTable[[#This Row],[Annual Salary]]*0.025)</f>
        <v>3200</v>
      </c>
      <c r="Q52" s="97">
        <f>IF(HiddenLookupTable[[#This Row],[Pay Grade]]=1,$Y$2,IF(HiddenLookupTable[[#This Row],[Pay Grade]]=2,$Y$3,$Y$4))</f>
        <v>7500</v>
      </c>
      <c r="R52" s="97">
        <f>IFERROR(VLOOKUP(L52,HealthPlanRates[],2,FALSE)*12,"Invalid code")</f>
        <v>10500</v>
      </c>
      <c r="S52" s="97">
        <f>VLOOKUP(HiddenLookupTable[[#This Row],[Years Service]],Recognition[],2,TRUE)</f>
        <v>300</v>
      </c>
    </row>
    <row r="53" spans="1:19" x14ac:dyDescent="0.35">
      <c r="A53" s="89">
        <v>1075</v>
      </c>
      <c r="B53" s="86" t="s">
        <v>193</v>
      </c>
      <c r="C53" s="90">
        <v>41303</v>
      </c>
      <c r="D53" s="91">
        <v>30256</v>
      </c>
      <c r="E53" s="92" t="s">
        <v>62</v>
      </c>
      <c r="F53" s="92" t="s">
        <v>126</v>
      </c>
      <c r="G53" s="89" t="s">
        <v>127</v>
      </c>
      <c r="H53" s="89" t="s">
        <v>128</v>
      </c>
      <c r="I53" s="89">
        <v>2</v>
      </c>
      <c r="J53" s="89" t="s">
        <v>129</v>
      </c>
      <c r="K53" s="94">
        <v>45000</v>
      </c>
      <c r="L53" s="89" t="s">
        <v>143</v>
      </c>
      <c r="M53" s="95">
        <f t="shared" si="0"/>
        <v>0</v>
      </c>
      <c r="N53" s="96">
        <f t="shared" si="1"/>
        <v>45</v>
      </c>
      <c r="O53" s="96">
        <f t="shared" si="2"/>
        <v>0</v>
      </c>
      <c r="P53" s="96">
        <f>IF(OR(HiddenLookupTable[[#This Row],[Location]]="Home",HiddenLookupTable[[#This Row],[Job Status]]="FT"),HiddenLookupTable[[#This Row],[Annual Salary]]*0.04,HiddenLookupTable[[#This Row],[Annual Salary]]*0.025)</f>
        <v>1800</v>
      </c>
      <c r="Q53" s="97">
        <f>IF(HiddenLookupTable[[#This Row],[Pay Grade]]=1,$Y$2,IF(HiddenLookupTable[[#This Row],[Pay Grade]]=2,$Y$3,$Y$4))</f>
        <v>5000</v>
      </c>
      <c r="R53" s="97">
        <f>IFERROR(VLOOKUP(L53,HealthPlanRates[],2,FALSE)*12,"Invalid code")</f>
        <v>11400</v>
      </c>
      <c r="S53" s="97">
        <f>VLOOKUP(HiddenLookupTable[[#This Row],[Years Service]],Recognition[],2,TRUE)</f>
        <v>0</v>
      </c>
    </row>
    <row r="54" spans="1:19" x14ac:dyDescent="0.35">
      <c r="A54" s="89">
        <v>1076</v>
      </c>
      <c r="B54" s="86" t="s">
        <v>194</v>
      </c>
      <c r="C54" s="91">
        <v>39296</v>
      </c>
      <c r="D54" s="91">
        <v>22853</v>
      </c>
      <c r="E54" s="92" t="s">
        <v>62</v>
      </c>
      <c r="F54" s="92" t="s">
        <v>152</v>
      </c>
      <c r="G54" s="89" t="s">
        <v>127</v>
      </c>
      <c r="H54" s="89" t="s">
        <v>134</v>
      </c>
      <c r="I54" s="89">
        <v>1</v>
      </c>
      <c r="J54" s="89" t="s">
        <v>149</v>
      </c>
      <c r="K54" s="94">
        <v>22048</v>
      </c>
      <c r="L54" s="93" t="s">
        <v>130</v>
      </c>
      <c r="M54" s="95">
        <f t="shared" si="0"/>
        <v>5</v>
      </c>
      <c r="N54" s="96">
        <f t="shared" si="1"/>
        <v>0</v>
      </c>
      <c r="O54" s="96">
        <f t="shared" si="2"/>
        <v>661.43999999999994</v>
      </c>
      <c r="P54" s="96">
        <f>IF(OR(HiddenLookupTable[[#This Row],[Location]]="Home",HiddenLookupTable[[#This Row],[Job Status]]="FT"),HiddenLookupTable[[#This Row],[Annual Salary]]*0.04,HiddenLookupTable[[#This Row],[Annual Salary]]*0.025)</f>
        <v>881.92000000000007</v>
      </c>
      <c r="Q54" s="97">
        <f>IF(HiddenLookupTable[[#This Row],[Pay Grade]]=1,$Y$2,IF(HiddenLookupTable[[#This Row],[Pay Grade]]=2,$Y$3,$Y$4))</f>
        <v>2750</v>
      </c>
      <c r="R54" s="97">
        <f>IFERROR(VLOOKUP(L54,HealthPlanRates[],2,FALSE)*12,"Invalid code")</f>
        <v>18000</v>
      </c>
      <c r="S54" s="97">
        <f>VLOOKUP(HiddenLookupTable[[#This Row],[Years Service]],Recognition[],2,TRUE)</f>
        <v>300</v>
      </c>
    </row>
    <row r="55" spans="1:19" x14ac:dyDescent="0.35">
      <c r="A55" s="89">
        <v>1077</v>
      </c>
      <c r="B55" s="86" t="s">
        <v>195</v>
      </c>
      <c r="C55" s="90">
        <v>41149</v>
      </c>
      <c r="D55" s="91">
        <v>27173</v>
      </c>
      <c r="E55" s="92" t="s">
        <v>125</v>
      </c>
      <c r="F55" s="92" t="s">
        <v>126</v>
      </c>
      <c r="G55" s="89" t="s">
        <v>127</v>
      </c>
      <c r="H55" s="89" t="s">
        <v>134</v>
      </c>
      <c r="I55" s="89">
        <v>2</v>
      </c>
      <c r="J55" s="89" t="s">
        <v>129</v>
      </c>
      <c r="K55" s="94">
        <v>47000</v>
      </c>
      <c r="L55" s="89" t="s">
        <v>145</v>
      </c>
      <c r="M55" s="95">
        <f t="shared" si="0"/>
        <v>0</v>
      </c>
      <c r="N55" s="96">
        <f t="shared" si="1"/>
        <v>0</v>
      </c>
      <c r="O55" s="96">
        <f t="shared" si="2"/>
        <v>0</v>
      </c>
      <c r="P55" s="96">
        <f>IF(OR(HiddenLookupTable[[#This Row],[Location]]="Home",HiddenLookupTable[[#This Row],[Job Status]]="FT"),HiddenLookupTable[[#This Row],[Annual Salary]]*0.04,HiddenLookupTable[[#This Row],[Annual Salary]]*0.025)</f>
        <v>1880</v>
      </c>
      <c r="Q55" s="97">
        <f>IF(HiddenLookupTable[[#This Row],[Pay Grade]]=1,$Y$2,IF(HiddenLookupTable[[#This Row],[Pay Grade]]=2,$Y$3,$Y$4))</f>
        <v>5000</v>
      </c>
      <c r="R55" s="97">
        <f>IFERROR(VLOOKUP(L55,HealthPlanRates[],2,FALSE)*12,"Invalid code")</f>
        <v>10500</v>
      </c>
      <c r="S55" s="97">
        <f>VLOOKUP(HiddenLookupTable[[#This Row],[Years Service]],Recognition[],2,TRUE)</f>
        <v>0</v>
      </c>
    </row>
    <row r="56" spans="1:19" x14ac:dyDescent="0.35">
      <c r="A56" s="89">
        <v>1078</v>
      </c>
      <c r="B56" s="86" t="s">
        <v>196</v>
      </c>
      <c r="C56" s="91">
        <v>38296</v>
      </c>
      <c r="D56" s="91">
        <v>18779</v>
      </c>
      <c r="E56" s="92" t="s">
        <v>62</v>
      </c>
      <c r="F56" s="92" t="s">
        <v>152</v>
      </c>
      <c r="G56" s="89" t="s">
        <v>127</v>
      </c>
      <c r="H56" s="89" t="s">
        <v>134</v>
      </c>
      <c r="I56" s="89">
        <v>1</v>
      </c>
      <c r="J56" s="89" t="s">
        <v>149</v>
      </c>
      <c r="K56" s="94">
        <v>26000</v>
      </c>
      <c r="L56" s="89" t="s">
        <v>140</v>
      </c>
      <c r="M56" s="95">
        <f t="shared" si="0"/>
        <v>8</v>
      </c>
      <c r="N56" s="96">
        <f t="shared" si="1"/>
        <v>0</v>
      </c>
      <c r="O56" s="96">
        <f t="shared" si="2"/>
        <v>780</v>
      </c>
      <c r="P56" s="96">
        <f>IF(OR(HiddenLookupTable[[#This Row],[Location]]="Home",HiddenLookupTable[[#This Row],[Job Status]]="FT"),HiddenLookupTable[[#This Row],[Annual Salary]]*0.04,HiddenLookupTable[[#This Row],[Annual Salary]]*0.025)</f>
        <v>1040</v>
      </c>
      <c r="Q56" s="97">
        <f>IF(HiddenLookupTable[[#This Row],[Pay Grade]]=1,$Y$2,IF(HiddenLookupTable[[#This Row],[Pay Grade]]=2,$Y$3,$Y$4))</f>
        <v>2750</v>
      </c>
      <c r="R56" s="97">
        <f>IFERROR(VLOOKUP(L56,HealthPlanRates[],2,FALSE)*12,"Invalid code")</f>
        <v>0</v>
      </c>
      <c r="S56" s="97">
        <f>VLOOKUP(HiddenLookupTable[[#This Row],[Years Service]],Recognition[],2,TRUE)</f>
        <v>500</v>
      </c>
    </row>
    <row r="57" spans="1:19" x14ac:dyDescent="0.35">
      <c r="A57" s="89">
        <v>1079</v>
      </c>
      <c r="B57" s="86" t="s">
        <v>197</v>
      </c>
      <c r="C57" s="90">
        <v>41107</v>
      </c>
      <c r="D57" s="91">
        <v>30970</v>
      </c>
      <c r="E57" s="92" t="s">
        <v>125</v>
      </c>
      <c r="F57" s="92" t="s">
        <v>152</v>
      </c>
      <c r="G57" s="89" t="s">
        <v>148</v>
      </c>
      <c r="H57" s="89" t="s">
        <v>134</v>
      </c>
      <c r="I57" s="89">
        <v>1</v>
      </c>
      <c r="J57" s="89" t="s">
        <v>149</v>
      </c>
      <c r="K57" s="94">
        <v>25792</v>
      </c>
      <c r="L57" s="89" t="s">
        <v>145</v>
      </c>
      <c r="M57" s="95">
        <f t="shared" si="0"/>
        <v>0</v>
      </c>
      <c r="N57" s="96">
        <f t="shared" si="1"/>
        <v>0</v>
      </c>
      <c r="O57" s="96">
        <f t="shared" si="2"/>
        <v>0</v>
      </c>
      <c r="P57" s="96">
        <f>IF(OR(HiddenLookupTable[[#This Row],[Location]]="Home",HiddenLookupTable[[#This Row],[Job Status]]="FT"),HiddenLookupTable[[#This Row],[Annual Salary]]*0.04,HiddenLookupTable[[#This Row],[Annual Salary]]*0.025)</f>
        <v>644.80000000000007</v>
      </c>
      <c r="Q57" s="97">
        <f>IF(HiddenLookupTable[[#This Row],[Pay Grade]]=1,$Y$2,IF(HiddenLookupTable[[#This Row],[Pay Grade]]=2,$Y$3,$Y$4))</f>
        <v>2750</v>
      </c>
      <c r="R57" s="97">
        <f>IFERROR(VLOOKUP(L57,HealthPlanRates[],2,FALSE)*12,"Invalid code")</f>
        <v>10500</v>
      </c>
      <c r="S57" s="97">
        <f>VLOOKUP(HiddenLookupTable[[#This Row],[Years Service]],Recognition[],2,TRUE)</f>
        <v>0</v>
      </c>
    </row>
    <row r="58" spans="1:19" x14ac:dyDescent="0.35">
      <c r="A58" s="89">
        <v>1080</v>
      </c>
      <c r="B58" s="86" t="s">
        <v>198</v>
      </c>
      <c r="C58" s="91">
        <v>39264</v>
      </c>
      <c r="D58" s="91">
        <v>33520</v>
      </c>
      <c r="E58" s="92" t="s">
        <v>62</v>
      </c>
      <c r="F58" s="92" t="s">
        <v>152</v>
      </c>
      <c r="G58" s="89" t="s">
        <v>127</v>
      </c>
      <c r="H58" s="89" t="s">
        <v>134</v>
      </c>
      <c r="I58" s="89">
        <v>1</v>
      </c>
      <c r="J58" s="89" t="s">
        <v>149</v>
      </c>
      <c r="K58" s="94">
        <v>27560</v>
      </c>
      <c r="L58" s="89" t="s">
        <v>150</v>
      </c>
      <c r="M58" s="95">
        <f t="shared" si="0"/>
        <v>6</v>
      </c>
      <c r="N58" s="96">
        <f t="shared" si="1"/>
        <v>0</v>
      </c>
      <c r="O58" s="96">
        <f t="shared" si="2"/>
        <v>826.8</v>
      </c>
      <c r="P58" s="96">
        <f>IF(OR(HiddenLookupTable[[#This Row],[Location]]="Home",HiddenLookupTable[[#This Row],[Job Status]]="FT"),HiddenLookupTable[[#This Row],[Annual Salary]]*0.04,HiddenLookupTable[[#This Row],[Annual Salary]]*0.025)</f>
        <v>1102.4000000000001</v>
      </c>
      <c r="Q58" s="97">
        <f>IF(HiddenLookupTable[[#This Row],[Pay Grade]]=1,$Y$2,IF(HiddenLookupTable[[#This Row],[Pay Grade]]=2,$Y$3,$Y$4))</f>
        <v>2750</v>
      </c>
      <c r="R58" s="97">
        <f>IFERROR(VLOOKUP(L58,HealthPlanRates[],2,FALSE)*12,"Invalid code")</f>
        <v>19800</v>
      </c>
      <c r="S58" s="97">
        <f>VLOOKUP(HiddenLookupTable[[#This Row],[Years Service]],Recognition[],2,TRUE)</f>
        <v>300</v>
      </c>
    </row>
    <row r="59" spans="1:19" x14ac:dyDescent="0.35">
      <c r="A59" s="89">
        <v>1081</v>
      </c>
      <c r="B59" s="86" t="s">
        <v>199</v>
      </c>
      <c r="C59" s="90">
        <v>41107</v>
      </c>
      <c r="D59" s="91">
        <v>17930</v>
      </c>
      <c r="E59" s="92" t="s">
        <v>125</v>
      </c>
      <c r="F59" s="92" t="s">
        <v>126</v>
      </c>
      <c r="G59" s="89" t="s">
        <v>127</v>
      </c>
      <c r="H59" s="89" t="s">
        <v>128</v>
      </c>
      <c r="I59" s="89">
        <v>3</v>
      </c>
      <c r="J59" s="89" t="s">
        <v>129</v>
      </c>
      <c r="K59" s="94">
        <v>150000</v>
      </c>
      <c r="L59" s="89" t="s">
        <v>143</v>
      </c>
      <c r="M59" s="95">
        <f t="shared" si="0"/>
        <v>0</v>
      </c>
      <c r="N59" s="96">
        <f t="shared" si="1"/>
        <v>150</v>
      </c>
      <c r="O59" s="96">
        <f t="shared" si="2"/>
        <v>0</v>
      </c>
      <c r="P59" s="96">
        <f>IF(OR(HiddenLookupTable[[#This Row],[Location]]="Home",HiddenLookupTable[[#This Row],[Job Status]]="FT"),HiddenLookupTable[[#This Row],[Annual Salary]]*0.04,HiddenLookupTable[[#This Row],[Annual Salary]]*0.025)</f>
        <v>6000</v>
      </c>
      <c r="Q59" s="97">
        <f>IF(HiddenLookupTable[[#This Row],[Pay Grade]]=1,$Y$2,IF(HiddenLookupTable[[#This Row],[Pay Grade]]=2,$Y$3,$Y$4))</f>
        <v>7500</v>
      </c>
      <c r="R59" s="97">
        <f>IFERROR(VLOOKUP(L59,HealthPlanRates[],2,FALSE)*12,"Invalid code")</f>
        <v>11400</v>
      </c>
      <c r="S59" s="97">
        <f>VLOOKUP(HiddenLookupTable[[#This Row],[Years Service]],Recognition[],2,TRUE)</f>
        <v>0</v>
      </c>
    </row>
    <row r="60" spans="1:19" x14ac:dyDescent="0.35">
      <c r="A60" s="89">
        <v>1082</v>
      </c>
      <c r="B60" s="86" t="s">
        <v>200</v>
      </c>
      <c r="C60" s="91">
        <v>39520</v>
      </c>
      <c r="D60" s="91">
        <v>25335</v>
      </c>
      <c r="E60" s="92" t="s">
        <v>125</v>
      </c>
      <c r="F60" s="92" t="s">
        <v>126</v>
      </c>
      <c r="G60" s="89" t="s">
        <v>201</v>
      </c>
      <c r="H60" s="89" t="s">
        <v>134</v>
      </c>
      <c r="I60" s="89">
        <v>3</v>
      </c>
      <c r="J60" s="89" t="s">
        <v>129</v>
      </c>
      <c r="K60" s="94">
        <v>54000</v>
      </c>
      <c r="L60" s="89" t="s">
        <v>140</v>
      </c>
      <c r="M60" s="95">
        <f t="shared" si="0"/>
        <v>5</v>
      </c>
      <c r="N60" s="96">
        <f t="shared" si="1"/>
        <v>0</v>
      </c>
      <c r="O60" s="96">
        <f t="shared" si="2"/>
        <v>0</v>
      </c>
      <c r="P60" s="96">
        <f>IF(OR(HiddenLookupTable[[#This Row],[Location]]="Home",HiddenLookupTable[[#This Row],[Job Status]]="FT"),HiddenLookupTable[[#This Row],[Annual Salary]]*0.04,HiddenLookupTable[[#This Row],[Annual Salary]]*0.025)</f>
        <v>1350</v>
      </c>
      <c r="Q60" s="97">
        <f>IF(HiddenLookupTable[[#This Row],[Pay Grade]]=1,$Y$2,IF(HiddenLookupTable[[#This Row],[Pay Grade]]=2,$Y$3,$Y$4))</f>
        <v>7500</v>
      </c>
      <c r="R60" s="97">
        <f>IFERROR(VLOOKUP(L60,HealthPlanRates[],2,FALSE)*12,"Invalid code")</f>
        <v>0</v>
      </c>
      <c r="S60" s="97">
        <f>VLOOKUP(HiddenLookupTable[[#This Row],[Years Service]],Recognition[],2,TRUE)</f>
        <v>300</v>
      </c>
    </row>
    <row r="61" spans="1:19" x14ac:dyDescent="0.35">
      <c r="A61" s="89">
        <v>1083</v>
      </c>
      <c r="B61" s="86" t="s">
        <v>202</v>
      </c>
      <c r="C61" s="90">
        <v>41114</v>
      </c>
      <c r="D61" s="91">
        <v>21848</v>
      </c>
      <c r="E61" s="92" t="s">
        <v>125</v>
      </c>
      <c r="F61" s="92" t="s">
        <v>126</v>
      </c>
      <c r="G61" s="89" t="s">
        <v>127</v>
      </c>
      <c r="H61" s="89" t="s">
        <v>128</v>
      </c>
      <c r="I61" s="89">
        <v>3</v>
      </c>
      <c r="J61" s="89" t="s">
        <v>129</v>
      </c>
      <c r="K61" s="94">
        <v>85000</v>
      </c>
      <c r="L61" s="89" t="s">
        <v>150</v>
      </c>
      <c r="M61" s="95">
        <f t="shared" si="0"/>
        <v>0</v>
      </c>
      <c r="N61" s="96">
        <f t="shared" si="1"/>
        <v>85</v>
      </c>
      <c r="O61" s="96">
        <f t="shared" si="2"/>
        <v>0</v>
      </c>
      <c r="P61" s="96">
        <f>IF(OR(HiddenLookupTable[[#This Row],[Location]]="Home",HiddenLookupTable[[#This Row],[Job Status]]="FT"),HiddenLookupTable[[#This Row],[Annual Salary]]*0.04,HiddenLookupTable[[#This Row],[Annual Salary]]*0.025)</f>
        <v>3400</v>
      </c>
      <c r="Q61" s="97">
        <f>IF(HiddenLookupTable[[#This Row],[Pay Grade]]=1,$Y$2,IF(HiddenLookupTable[[#This Row],[Pay Grade]]=2,$Y$3,$Y$4))</f>
        <v>7500</v>
      </c>
      <c r="R61" s="97">
        <f>IFERROR(VLOOKUP(L61,HealthPlanRates[],2,FALSE)*12,"Invalid code")</f>
        <v>19800</v>
      </c>
      <c r="S61" s="97">
        <f>VLOOKUP(HiddenLookupTable[[#This Row],[Years Service]],Recognition[],2,TRUE)</f>
        <v>0</v>
      </c>
    </row>
    <row r="62" spans="1:19" x14ac:dyDescent="0.35">
      <c r="A62" s="89">
        <v>1084</v>
      </c>
      <c r="B62" s="86" t="s">
        <v>203</v>
      </c>
      <c r="C62" s="90">
        <v>40579</v>
      </c>
      <c r="D62" s="91">
        <v>17185</v>
      </c>
      <c r="E62" s="92" t="s">
        <v>62</v>
      </c>
      <c r="F62" s="92" t="s">
        <v>126</v>
      </c>
      <c r="G62" s="89" t="s">
        <v>127</v>
      </c>
      <c r="H62" s="89" t="s">
        <v>134</v>
      </c>
      <c r="I62" s="89">
        <v>2</v>
      </c>
      <c r="J62" s="89" t="s">
        <v>129</v>
      </c>
      <c r="K62" s="94">
        <v>42000</v>
      </c>
      <c r="L62" s="89" t="s">
        <v>130</v>
      </c>
      <c r="M62" s="95">
        <f t="shared" si="0"/>
        <v>2</v>
      </c>
      <c r="N62" s="96">
        <f t="shared" si="1"/>
        <v>0</v>
      </c>
      <c r="O62" s="96">
        <f t="shared" si="2"/>
        <v>1260</v>
      </c>
      <c r="P62" s="96">
        <f>IF(OR(HiddenLookupTable[[#This Row],[Location]]="Home",HiddenLookupTable[[#This Row],[Job Status]]="FT"),HiddenLookupTable[[#This Row],[Annual Salary]]*0.04,HiddenLookupTable[[#This Row],[Annual Salary]]*0.025)</f>
        <v>1680</v>
      </c>
      <c r="Q62" s="97">
        <f>IF(HiddenLookupTable[[#This Row],[Pay Grade]]=1,$Y$2,IF(HiddenLookupTable[[#This Row],[Pay Grade]]=2,$Y$3,$Y$4))</f>
        <v>5000</v>
      </c>
      <c r="R62" s="97">
        <f>IFERROR(VLOOKUP(L62,HealthPlanRates[],2,FALSE)*12,"Invalid code")</f>
        <v>18000</v>
      </c>
      <c r="S62" s="97">
        <f>VLOOKUP(HiddenLookupTable[[#This Row],[Years Service]],Recognition[],2,TRUE)</f>
        <v>100</v>
      </c>
    </row>
    <row r="63" spans="1:19" x14ac:dyDescent="0.35">
      <c r="A63" s="89">
        <v>1085</v>
      </c>
      <c r="B63" s="86" t="s">
        <v>204</v>
      </c>
      <c r="C63" s="91">
        <v>38791</v>
      </c>
      <c r="D63" s="91">
        <v>22343</v>
      </c>
      <c r="E63" s="92" t="s">
        <v>62</v>
      </c>
      <c r="F63" s="92" t="s">
        <v>152</v>
      </c>
      <c r="G63" s="89" t="s">
        <v>127</v>
      </c>
      <c r="H63" s="89" t="s">
        <v>128</v>
      </c>
      <c r="I63" s="89">
        <v>1</v>
      </c>
      <c r="J63" s="89" t="s">
        <v>149</v>
      </c>
      <c r="K63" s="94">
        <v>29640</v>
      </c>
      <c r="L63" s="89" t="s">
        <v>145</v>
      </c>
      <c r="M63" s="95">
        <f t="shared" si="0"/>
        <v>7</v>
      </c>
      <c r="N63" s="96">
        <f t="shared" si="1"/>
        <v>29.64</v>
      </c>
      <c r="O63" s="96">
        <f t="shared" si="2"/>
        <v>889.19999999999993</v>
      </c>
      <c r="P63" s="96">
        <f>IF(OR(HiddenLookupTable[[#This Row],[Location]]="Home",HiddenLookupTable[[#This Row],[Job Status]]="FT"),HiddenLookupTable[[#This Row],[Annual Salary]]*0.04,HiddenLookupTable[[#This Row],[Annual Salary]]*0.025)</f>
        <v>1185.6000000000001</v>
      </c>
      <c r="Q63" s="97">
        <f>IF(HiddenLookupTable[[#This Row],[Pay Grade]]=1,$Y$2,IF(HiddenLookupTable[[#This Row],[Pay Grade]]=2,$Y$3,$Y$4))</f>
        <v>2750</v>
      </c>
      <c r="R63" s="97">
        <f>IFERROR(VLOOKUP(L63,HealthPlanRates[],2,FALSE)*12,"Invalid code")</f>
        <v>10500</v>
      </c>
      <c r="S63" s="97">
        <f>VLOOKUP(HiddenLookupTable[[#This Row],[Years Service]],Recognition[],2,TRUE)</f>
        <v>500</v>
      </c>
    </row>
    <row r="64" spans="1:19" x14ac:dyDescent="0.35">
      <c r="A64" s="89">
        <v>1086</v>
      </c>
      <c r="B64" s="86" t="s">
        <v>205</v>
      </c>
      <c r="C64" s="91">
        <v>37571</v>
      </c>
      <c r="D64" s="91">
        <v>28623</v>
      </c>
      <c r="E64" s="92" t="s">
        <v>125</v>
      </c>
      <c r="F64" s="92" t="s">
        <v>126</v>
      </c>
      <c r="G64" s="89" t="s">
        <v>127</v>
      </c>
      <c r="H64" s="89" t="s">
        <v>128</v>
      </c>
      <c r="I64" s="89">
        <v>3</v>
      </c>
      <c r="J64" s="89" t="s">
        <v>129</v>
      </c>
      <c r="K64" s="94">
        <v>110000</v>
      </c>
      <c r="L64" s="89" t="s">
        <v>130</v>
      </c>
      <c r="M64" s="95">
        <f t="shared" si="0"/>
        <v>10</v>
      </c>
      <c r="N64" s="96">
        <f t="shared" si="1"/>
        <v>110</v>
      </c>
      <c r="O64" s="96">
        <f t="shared" si="2"/>
        <v>3300</v>
      </c>
      <c r="P64" s="96">
        <f>IF(OR(HiddenLookupTable[[#This Row],[Location]]="Home",HiddenLookupTable[[#This Row],[Job Status]]="FT"),HiddenLookupTable[[#This Row],[Annual Salary]]*0.04,HiddenLookupTable[[#This Row],[Annual Salary]]*0.025)</f>
        <v>4400</v>
      </c>
      <c r="Q64" s="97">
        <f>IF(HiddenLookupTable[[#This Row],[Pay Grade]]=1,$Y$2,IF(HiddenLookupTable[[#This Row],[Pay Grade]]=2,$Y$3,$Y$4))</f>
        <v>7500</v>
      </c>
      <c r="R64" s="97">
        <f>IFERROR(VLOOKUP(L64,HealthPlanRates[],2,FALSE)*12,"Invalid code")</f>
        <v>18000</v>
      </c>
      <c r="S64" s="97">
        <f>VLOOKUP(HiddenLookupTable[[#This Row],[Years Service]],Recognition[],2,TRUE)</f>
        <v>500</v>
      </c>
    </row>
    <row r="65" spans="1:19" x14ac:dyDescent="0.35">
      <c r="A65" s="89">
        <v>1087</v>
      </c>
      <c r="B65" s="86" t="s">
        <v>206</v>
      </c>
      <c r="C65" s="91">
        <v>40798</v>
      </c>
      <c r="D65" s="91">
        <v>31679</v>
      </c>
      <c r="E65" s="92" t="s">
        <v>62</v>
      </c>
      <c r="F65" s="92" t="s">
        <v>126</v>
      </c>
      <c r="G65" s="89" t="s">
        <v>201</v>
      </c>
      <c r="H65" s="89" t="s">
        <v>134</v>
      </c>
      <c r="I65" s="89">
        <v>3</v>
      </c>
      <c r="J65" s="89" t="s">
        <v>129</v>
      </c>
      <c r="K65" s="94">
        <v>66000</v>
      </c>
      <c r="L65" s="89" t="s">
        <v>140</v>
      </c>
      <c r="M65" s="95">
        <f t="shared" si="0"/>
        <v>1</v>
      </c>
      <c r="N65" s="96">
        <f t="shared" si="1"/>
        <v>0</v>
      </c>
      <c r="O65" s="96">
        <f t="shared" si="2"/>
        <v>0</v>
      </c>
      <c r="P65" s="96">
        <f>IF(OR(HiddenLookupTable[[#This Row],[Location]]="Home",HiddenLookupTable[[#This Row],[Job Status]]="FT"),HiddenLookupTable[[#This Row],[Annual Salary]]*0.04,HiddenLookupTable[[#This Row],[Annual Salary]]*0.025)</f>
        <v>1650</v>
      </c>
      <c r="Q65" s="97">
        <f>IF(HiddenLookupTable[[#This Row],[Pay Grade]]=1,$Y$2,IF(HiddenLookupTable[[#This Row],[Pay Grade]]=2,$Y$3,$Y$4))</f>
        <v>7500</v>
      </c>
      <c r="R65" s="97">
        <f>IFERROR(VLOOKUP(L65,HealthPlanRates[],2,FALSE)*12,"Invalid code")</f>
        <v>0</v>
      </c>
      <c r="S65" s="97">
        <f>VLOOKUP(HiddenLookupTable[[#This Row],[Years Service]],Recognition[],2,TRUE)</f>
        <v>100</v>
      </c>
    </row>
    <row r="66" spans="1:19" x14ac:dyDescent="0.35">
      <c r="A66" s="89">
        <v>1088</v>
      </c>
      <c r="B66" s="86" t="s">
        <v>207</v>
      </c>
      <c r="C66" s="91">
        <v>37882</v>
      </c>
      <c r="D66" s="91">
        <v>19526</v>
      </c>
      <c r="E66" s="92" t="s">
        <v>62</v>
      </c>
      <c r="F66" s="92" t="s">
        <v>126</v>
      </c>
      <c r="G66" s="89" t="s">
        <v>127</v>
      </c>
      <c r="H66" s="89" t="s">
        <v>134</v>
      </c>
      <c r="I66" s="89">
        <v>2</v>
      </c>
      <c r="J66" s="89" t="s">
        <v>129</v>
      </c>
      <c r="K66" s="94">
        <v>52000</v>
      </c>
      <c r="L66" s="89" t="s">
        <v>130</v>
      </c>
      <c r="M66" s="95">
        <f t="shared" ref="M66:M101" si="3">DATEDIF(C66,$AB$1,"y")</f>
        <v>9</v>
      </c>
      <c r="N66" s="96">
        <f t="shared" ref="N66:N101" si="4">IF(H66="Y",K66*0.001,0)</f>
        <v>0</v>
      </c>
      <c r="O66" s="96">
        <f t="shared" ref="O66:O101" si="5">IF(AND(G66="FT",M66&gt;=1),K66*0.03,0)</f>
        <v>1560</v>
      </c>
      <c r="P66" s="96">
        <f>IF(OR(HiddenLookupTable[[#This Row],[Location]]="Home",HiddenLookupTable[[#This Row],[Job Status]]="FT"),HiddenLookupTable[[#This Row],[Annual Salary]]*0.04,HiddenLookupTable[[#This Row],[Annual Salary]]*0.025)</f>
        <v>2080</v>
      </c>
      <c r="Q66" s="97">
        <f>IF(HiddenLookupTable[[#This Row],[Pay Grade]]=1,$Y$2,IF(HiddenLookupTable[[#This Row],[Pay Grade]]=2,$Y$3,$Y$4))</f>
        <v>5000</v>
      </c>
      <c r="R66" s="97">
        <f>IFERROR(VLOOKUP(L66,HealthPlanRates[],2,FALSE)*12,"Invalid code")</f>
        <v>18000</v>
      </c>
      <c r="S66" s="97">
        <f>VLOOKUP(HiddenLookupTable[[#This Row],[Years Service]],Recognition[],2,TRUE)</f>
        <v>500</v>
      </c>
    </row>
    <row r="67" spans="1:19" x14ac:dyDescent="0.35">
      <c r="A67" s="89">
        <v>1089</v>
      </c>
      <c r="B67" s="86" t="s">
        <v>208</v>
      </c>
      <c r="C67" s="90">
        <v>41226</v>
      </c>
      <c r="D67" s="91">
        <v>20373</v>
      </c>
      <c r="E67" s="92" t="s">
        <v>62</v>
      </c>
      <c r="F67" s="92" t="s">
        <v>126</v>
      </c>
      <c r="G67" s="89" t="s">
        <v>127</v>
      </c>
      <c r="H67" s="89" t="s">
        <v>128</v>
      </c>
      <c r="I67" s="89">
        <v>3</v>
      </c>
      <c r="J67" s="89" t="s">
        <v>129</v>
      </c>
      <c r="K67" s="94">
        <v>85000</v>
      </c>
      <c r="L67" s="89" t="s">
        <v>130</v>
      </c>
      <c r="M67" s="95">
        <f t="shared" si="3"/>
        <v>0</v>
      </c>
      <c r="N67" s="96">
        <f t="shared" si="4"/>
        <v>85</v>
      </c>
      <c r="O67" s="96">
        <f t="shared" si="5"/>
        <v>0</v>
      </c>
      <c r="P67" s="96">
        <f>IF(OR(HiddenLookupTable[[#This Row],[Location]]="Home",HiddenLookupTable[[#This Row],[Job Status]]="FT"),HiddenLookupTable[[#This Row],[Annual Salary]]*0.04,HiddenLookupTable[[#This Row],[Annual Salary]]*0.025)</f>
        <v>3400</v>
      </c>
      <c r="Q67" s="97">
        <f>IF(HiddenLookupTable[[#This Row],[Pay Grade]]=1,$Y$2,IF(HiddenLookupTable[[#This Row],[Pay Grade]]=2,$Y$3,$Y$4))</f>
        <v>7500</v>
      </c>
      <c r="R67" s="97">
        <f>IFERROR(VLOOKUP(L67,HealthPlanRates[],2,FALSE)*12,"Invalid code")</f>
        <v>18000</v>
      </c>
      <c r="S67" s="97">
        <f>VLOOKUP(HiddenLookupTable[[#This Row],[Years Service]],Recognition[],2,TRUE)</f>
        <v>0</v>
      </c>
    </row>
    <row r="68" spans="1:19" x14ac:dyDescent="0.35">
      <c r="A68" s="89">
        <v>1090</v>
      </c>
      <c r="B68" s="86" t="s">
        <v>209</v>
      </c>
      <c r="C68" s="91">
        <v>40888</v>
      </c>
      <c r="D68" s="91">
        <v>27091</v>
      </c>
      <c r="E68" s="92" t="s">
        <v>125</v>
      </c>
      <c r="F68" s="92" t="s">
        <v>126</v>
      </c>
      <c r="G68" s="89" t="s">
        <v>127</v>
      </c>
      <c r="H68" s="89" t="s">
        <v>128</v>
      </c>
      <c r="I68" s="89">
        <v>3</v>
      </c>
      <c r="J68" s="89" t="s">
        <v>129</v>
      </c>
      <c r="K68" s="94">
        <v>130000</v>
      </c>
      <c r="L68" s="89" t="s">
        <v>140</v>
      </c>
      <c r="M68" s="95">
        <f t="shared" si="3"/>
        <v>1</v>
      </c>
      <c r="N68" s="96">
        <f t="shared" si="4"/>
        <v>130</v>
      </c>
      <c r="O68" s="96">
        <f t="shared" si="5"/>
        <v>3900</v>
      </c>
      <c r="P68" s="96">
        <f>IF(OR(HiddenLookupTable[[#This Row],[Location]]="Home",HiddenLookupTable[[#This Row],[Job Status]]="FT"),HiddenLookupTable[[#This Row],[Annual Salary]]*0.04,HiddenLookupTable[[#This Row],[Annual Salary]]*0.025)</f>
        <v>5200</v>
      </c>
      <c r="Q68" s="97">
        <f>IF(HiddenLookupTable[[#This Row],[Pay Grade]]=1,$Y$2,IF(HiddenLookupTable[[#This Row],[Pay Grade]]=2,$Y$3,$Y$4))</f>
        <v>7500</v>
      </c>
      <c r="R68" s="97">
        <f>IFERROR(VLOOKUP(L68,HealthPlanRates[],2,FALSE)*12,"Invalid code")</f>
        <v>0</v>
      </c>
      <c r="S68" s="97">
        <f>VLOOKUP(HiddenLookupTable[[#This Row],[Years Service]],Recognition[],2,TRUE)</f>
        <v>100</v>
      </c>
    </row>
    <row r="69" spans="1:19" x14ac:dyDescent="0.35">
      <c r="A69" s="89">
        <v>1091</v>
      </c>
      <c r="B69" s="86" t="s">
        <v>210</v>
      </c>
      <c r="C69" s="91">
        <v>39215</v>
      </c>
      <c r="D69" s="91">
        <v>21706</v>
      </c>
      <c r="E69" s="92" t="s">
        <v>125</v>
      </c>
      <c r="F69" s="92" t="s">
        <v>137</v>
      </c>
      <c r="G69" s="89" t="s">
        <v>127</v>
      </c>
      <c r="H69" s="89" t="s">
        <v>128</v>
      </c>
      <c r="I69" s="89">
        <v>3</v>
      </c>
      <c r="J69" s="89" t="s">
        <v>129</v>
      </c>
      <c r="K69" s="94">
        <v>110000</v>
      </c>
      <c r="L69" s="89" t="s">
        <v>150</v>
      </c>
      <c r="M69" s="95">
        <f t="shared" si="3"/>
        <v>6</v>
      </c>
      <c r="N69" s="96">
        <f t="shared" si="4"/>
        <v>110</v>
      </c>
      <c r="O69" s="96">
        <f t="shared" si="5"/>
        <v>3300</v>
      </c>
      <c r="P69" s="96">
        <f>IF(OR(HiddenLookupTable[[#This Row],[Location]]="Home",HiddenLookupTable[[#This Row],[Job Status]]="FT"),HiddenLookupTable[[#This Row],[Annual Salary]]*0.04,HiddenLookupTable[[#This Row],[Annual Salary]]*0.025)</f>
        <v>4400</v>
      </c>
      <c r="Q69" s="97">
        <f>IF(HiddenLookupTable[[#This Row],[Pay Grade]]=1,$Y$2,IF(HiddenLookupTable[[#This Row],[Pay Grade]]=2,$Y$3,$Y$4))</f>
        <v>7500</v>
      </c>
      <c r="R69" s="97">
        <f>IFERROR(VLOOKUP(L69,HealthPlanRates[],2,FALSE)*12,"Invalid code")</f>
        <v>19800</v>
      </c>
      <c r="S69" s="97">
        <f>VLOOKUP(HiddenLookupTable[[#This Row],[Years Service]],Recognition[],2,TRUE)</f>
        <v>300</v>
      </c>
    </row>
    <row r="70" spans="1:19" x14ac:dyDescent="0.35">
      <c r="A70" s="89">
        <v>1092</v>
      </c>
      <c r="B70" s="86" t="s">
        <v>211</v>
      </c>
      <c r="C70" s="91">
        <v>40508</v>
      </c>
      <c r="D70" s="91">
        <v>20150</v>
      </c>
      <c r="E70" s="92" t="s">
        <v>125</v>
      </c>
      <c r="F70" s="92" t="s">
        <v>126</v>
      </c>
      <c r="G70" s="89" t="s">
        <v>148</v>
      </c>
      <c r="H70" s="89" t="s">
        <v>134</v>
      </c>
      <c r="I70" s="89">
        <v>1</v>
      </c>
      <c r="J70" s="89" t="s">
        <v>149</v>
      </c>
      <c r="K70" s="94">
        <v>33280</v>
      </c>
      <c r="L70" s="89" t="s">
        <v>145</v>
      </c>
      <c r="M70" s="95">
        <f t="shared" si="3"/>
        <v>2</v>
      </c>
      <c r="N70" s="96">
        <f t="shared" si="4"/>
        <v>0</v>
      </c>
      <c r="O70" s="96">
        <f t="shared" si="5"/>
        <v>0</v>
      </c>
      <c r="P70" s="96">
        <f>IF(OR(HiddenLookupTable[[#This Row],[Location]]="Home",HiddenLookupTable[[#This Row],[Job Status]]="FT"),HiddenLookupTable[[#This Row],[Annual Salary]]*0.04,HiddenLookupTable[[#This Row],[Annual Salary]]*0.025)</f>
        <v>832</v>
      </c>
      <c r="Q70" s="97">
        <f>IF(HiddenLookupTable[[#This Row],[Pay Grade]]=1,$Y$2,IF(HiddenLookupTable[[#This Row],[Pay Grade]]=2,$Y$3,$Y$4))</f>
        <v>2750</v>
      </c>
      <c r="R70" s="97">
        <f>IFERROR(VLOOKUP(L70,HealthPlanRates[],2,FALSE)*12,"Invalid code")</f>
        <v>10500</v>
      </c>
      <c r="S70" s="97">
        <f>VLOOKUP(HiddenLookupTable[[#This Row],[Years Service]],Recognition[],2,TRUE)</f>
        <v>100</v>
      </c>
    </row>
    <row r="71" spans="1:19" x14ac:dyDescent="0.35">
      <c r="A71" s="89">
        <v>1093</v>
      </c>
      <c r="B71" s="86" t="s">
        <v>212</v>
      </c>
      <c r="C71" s="91">
        <v>37128</v>
      </c>
      <c r="D71" s="91">
        <v>23510</v>
      </c>
      <c r="E71" s="92" t="s">
        <v>62</v>
      </c>
      <c r="F71" s="92" t="s">
        <v>126</v>
      </c>
      <c r="G71" s="89" t="s">
        <v>148</v>
      </c>
      <c r="H71" s="89" t="s">
        <v>134</v>
      </c>
      <c r="I71" s="89">
        <v>2</v>
      </c>
      <c r="J71" s="89" t="s">
        <v>129</v>
      </c>
      <c r="K71" s="94">
        <v>45000</v>
      </c>
      <c r="L71" s="89" t="s">
        <v>140</v>
      </c>
      <c r="M71" s="95">
        <f t="shared" si="3"/>
        <v>11</v>
      </c>
      <c r="N71" s="96">
        <f t="shared" si="4"/>
        <v>0</v>
      </c>
      <c r="O71" s="96">
        <f t="shared" si="5"/>
        <v>0</v>
      </c>
      <c r="P71" s="96">
        <f>IF(OR(HiddenLookupTable[[#This Row],[Location]]="Home",HiddenLookupTable[[#This Row],[Job Status]]="FT"),HiddenLookupTable[[#This Row],[Annual Salary]]*0.04,HiddenLookupTable[[#This Row],[Annual Salary]]*0.025)</f>
        <v>1125</v>
      </c>
      <c r="Q71" s="97">
        <f>IF(HiddenLookupTable[[#This Row],[Pay Grade]]=1,$Y$2,IF(HiddenLookupTable[[#This Row],[Pay Grade]]=2,$Y$3,$Y$4))</f>
        <v>5000</v>
      </c>
      <c r="R71" s="97">
        <f>IFERROR(VLOOKUP(L71,HealthPlanRates[],2,FALSE)*12,"Invalid code")</f>
        <v>0</v>
      </c>
      <c r="S71" s="97">
        <f>VLOOKUP(HiddenLookupTable[[#This Row],[Years Service]],Recognition[],2,TRUE)</f>
        <v>500</v>
      </c>
    </row>
    <row r="72" spans="1:19" x14ac:dyDescent="0.35">
      <c r="A72" s="89">
        <v>1094</v>
      </c>
      <c r="B72" s="86" t="s">
        <v>213</v>
      </c>
      <c r="C72" s="91">
        <v>37215</v>
      </c>
      <c r="D72" s="91">
        <v>18569</v>
      </c>
      <c r="E72" s="92" t="s">
        <v>62</v>
      </c>
      <c r="F72" s="92" t="s">
        <v>126</v>
      </c>
      <c r="G72" s="89" t="s">
        <v>127</v>
      </c>
      <c r="H72" s="89" t="s">
        <v>134</v>
      </c>
      <c r="I72" s="89">
        <v>2</v>
      </c>
      <c r="J72" s="89" t="s">
        <v>129</v>
      </c>
      <c r="K72" s="94">
        <v>35000</v>
      </c>
      <c r="L72" s="89" t="s">
        <v>130</v>
      </c>
      <c r="M72" s="95">
        <f t="shared" si="3"/>
        <v>11</v>
      </c>
      <c r="N72" s="96">
        <f t="shared" si="4"/>
        <v>0</v>
      </c>
      <c r="O72" s="96">
        <f t="shared" si="5"/>
        <v>1050</v>
      </c>
      <c r="P72" s="96">
        <f>IF(OR(HiddenLookupTable[[#This Row],[Location]]="Home",HiddenLookupTable[[#This Row],[Job Status]]="FT"),HiddenLookupTable[[#This Row],[Annual Salary]]*0.04,HiddenLookupTable[[#This Row],[Annual Salary]]*0.025)</f>
        <v>1400</v>
      </c>
      <c r="Q72" s="97">
        <f>IF(HiddenLookupTable[[#This Row],[Pay Grade]]=1,$Y$2,IF(HiddenLookupTable[[#This Row],[Pay Grade]]=2,$Y$3,$Y$4))</f>
        <v>5000</v>
      </c>
      <c r="R72" s="97">
        <f>IFERROR(VLOOKUP(L72,HealthPlanRates[],2,FALSE)*12,"Invalid code")</f>
        <v>18000</v>
      </c>
      <c r="S72" s="97">
        <f>VLOOKUP(HiddenLookupTable[[#This Row],[Years Service]],Recognition[],2,TRUE)</f>
        <v>500</v>
      </c>
    </row>
    <row r="73" spans="1:19" x14ac:dyDescent="0.35">
      <c r="A73" s="89">
        <v>1095</v>
      </c>
      <c r="B73" s="86" t="s">
        <v>214</v>
      </c>
      <c r="C73" s="90">
        <v>41009</v>
      </c>
      <c r="D73" s="91">
        <v>30147</v>
      </c>
      <c r="E73" s="92" t="s">
        <v>125</v>
      </c>
      <c r="F73" s="92" t="s">
        <v>137</v>
      </c>
      <c r="G73" s="89" t="s">
        <v>127</v>
      </c>
      <c r="H73" s="89" t="s">
        <v>134</v>
      </c>
      <c r="I73" s="89">
        <v>3</v>
      </c>
      <c r="J73" s="89" t="s">
        <v>129</v>
      </c>
      <c r="K73" s="94">
        <v>63750</v>
      </c>
      <c r="L73" s="89" t="s">
        <v>140</v>
      </c>
      <c r="M73" s="95">
        <f t="shared" si="3"/>
        <v>1</v>
      </c>
      <c r="N73" s="96">
        <f t="shared" si="4"/>
        <v>0</v>
      </c>
      <c r="O73" s="96">
        <f t="shared" si="5"/>
        <v>1912.5</v>
      </c>
      <c r="P73" s="96">
        <f>IF(OR(HiddenLookupTable[[#This Row],[Location]]="Home",HiddenLookupTable[[#This Row],[Job Status]]="FT"),HiddenLookupTable[[#This Row],[Annual Salary]]*0.04,HiddenLookupTable[[#This Row],[Annual Salary]]*0.025)</f>
        <v>2550</v>
      </c>
      <c r="Q73" s="97">
        <f>IF(HiddenLookupTable[[#This Row],[Pay Grade]]=1,$Y$2,IF(HiddenLookupTable[[#This Row],[Pay Grade]]=2,$Y$3,$Y$4))</f>
        <v>7500</v>
      </c>
      <c r="R73" s="97">
        <f>IFERROR(VLOOKUP(L73,HealthPlanRates[],2,FALSE)*12,"Invalid code")</f>
        <v>0</v>
      </c>
      <c r="S73" s="97">
        <f>VLOOKUP(HiddenLookupTable[[#This Row],[Years Service]],Recognition[],2,TRUE)</f>
        <v>100</v>
      </c>
    </row>
    <row r="74" spans="1:19" x14ac:dyDescent="0.35">
      <c r="A74" s="89">
        <v>1096</v>
      </c>
      <c r="B74" s="86" t="s">
        <v>215</v>
      </c>
      <c r="C74" s="91">
        <v>38601</v>
      </c>
      <c r="D74" s="91">
        <v>24649</v>
      </c>
      <c r="E74" s="92" t="s">
        <v>62</v>
      </c>
      <c r="F74" s="92" t="s">
        <v>126</v>
      </c>
      <c r="G74" s="89" t="s">
        <v>148</v>
      </c>
      <c r="H74" s="89" t="s">
        <v>134</v>
      </c>
      <c r="I74" s="89">
        <v>3</v>
      </c>
      <c r="J74" s="89" t="s">
        <v>129</v>
      </c>
      <c r="K74" s="94">
        <v>93000</v>
      </c>
      <c r="L74" s="89" t="s">
        <v>140</v>
      </c>
      <c r="M74" s="95">
        <f t="shared" si="3"/>
        <v>7</v>
      </c>
      <c r="N74" s="96">
        <f t="shared" si="4"/>
        <v>0</v>
      </c>
      <c r="O74" s="96">
        <f t="shared" si="5"/>
        <v>0</v>
      </c>
      <c r="P74" s="96">
        <f>IF(OR(HiddenLookupTable[[#This Row],[Location]]="Home",HiddenLookupTable[[#This Row],[Job Status]]="FT"),HiddenLookupTable[[#This Row],[Annual Salary]]*0.04,HiddenLookupTable[[#This Row],[Annual Salary]]*0.025)</f>
        <v>2325</v>
      </c>
      <c r="Q74" s="97">
        <f>IF(HiddenLookupTable[[#This Row],[Pay Grade]]=1,$Y$2,IF(HiddenLookupTable[[#This Row],[Pay Grade]]=2,$Y$3,$Y$4))</f>
        <v>7500</v>
      </c>
      <c r="R74" s="97">
        <f>IFERROR(VLOOKUP(L74,HealthPlanRates[],2,FALSE)*12,"Invalid code")</f>
        <v>0</v>
      </c>
      <c r="S74" s="97">
        <f>VLOOKUP(HiddenLookupTable[[#This Row],[Years Service]],Recognition[],2,TRUE)</f>
        <v>500</v>
      </c>
    </row>
    <row r="75" spans="1:19" x14ac:dyDescent="0.35">
      <c r="A75" s="89">
        <v>1097</v>
      </c>
      <c r="B75" s="86" t="s">
        <v>216</v>
      </c>
      <c r="C75" s="91">
        <v>39007</v>
      </c>
      <c r="D75" s="91">
        <v>24551</v>
      </c>
      <c r="E75" s="92" t="s">
        <v>125</v>
      </c>
      <c r="F75" s="92" t="s">
        <v>137</v>
      </c>
      <c r="G75" s="89" t="s">
        <v>201</v>
      </c>
      <c r="H75" s="89" t="s">
        <v>134</v>
      </c>
      <c r="I75" s="89">
        <v>3</v>
      </c>
      <c r="J75" s="89" t="s">
        <v>129</v>
      </c>
      <c r="K75" s="94">
        <v>90000</v>
      </c>
      <c r="L75" s="89" t="s">
        <v>140</v>
      </c>
      <c r="M75" s="95">
        <f t="shared" si="3"/>
        <v>6</v>
      </c>
      <c r="N75" s="96">
        <f t="shared" si="4"/>
        <v>0</v>
      </c>
      <c r="O75" s="96">
        <f t="shared" si="5"/>
        <v>0</v>
      </c>
      <c r="P75" s="96">
        <f>IF(OR(HiddenLookupTable[[#This Row],[Location]]="Home",HiddenLookupTable[[#This Row],[Job Status]]="FT"),HiddenLookupTable[[#This Row],[Annual Salary]]*0.04,HiddenLookupTable[[#This Row],[Annual Salary]]*0.025)</f>
        <v>2250</v>
      </c>
      <c r="Q75" s="97">
        <f>IF(HiddenLookupTable[[#This Row],[Pay Grade]]=1,$Y$2,IF(HiddenLookupTable[[#This Row],[Pay Grade]]=2,$Y$3,$Y$4))</f>
        <v>7500</v>
      </c>
      <c r="R75" s="97">
        <f>IFERROR(VLOOKUP(L75,HealthPlanRates[],2,FALSE)*12,"Invalid code")</f>
        <v>0</v>
      </c>
      <c r="S75" s="97">
        <f>VLOOKUP(HiddenLookupTable[[#This Row],[Years Service]],Recognition[],2,TRUE)</f>
        <v>300</v>
      </c>
    </row>
    <row r="76" spans="1:19" x14ac:dyDescent="0.35">
      <c r="A76" s="89">
        <v>1098</v>
      </c>
      <c r="B76" s="86" t="s">
        <v>141</v>
      </c>
      <c r="C76" s="90">
        <v>41058</v>
      </c>
      <c r="D76" s="91">
        <v>19464</v>
      </c>
      <c r="E76" s="92" t="s">
        <v>125</v>
      </c>
      <c r="F76" s="92" t="s">
        <v>126</v>
      </c>
      <c r="G76" s="89" t="s">
        <v>127</v>
      </c>
      <c r="H76" s="89" t="s">
        <v>128</v>
      </c>
      <c r="I76" s="89">
        <v>3</v>
      </c>
      <c r="J76" s="89" t="s">
        <v>129</v>
      </c>
      <c r="K76" s="94">
        <v>152400</v>
      </c>
      <c r="L76" s="89" t="s">
        <v>150</v>
      </c>
      <c r="M76" s="95">
        <f t="shared" si="3"/>
        <v>1</v>
      </c>
      <c r="N76" s="96">
        <f t="shared" si="4"/>
        <v>152.4</v>
      </c>
      <c r="O76" s="96">
        <f t="shared" si="5"/>
        <v>4572</v>
      </c>
      <c r="P76" s="96">
        <f>IF(OR(HiddenLookupTable[[#This Row],[Location]]="Home",HiddenLookupTable[[#This Row],[Job Status]]="FT"),HiddenLookupTable[[#This Row],[Annual Salary]]*0.04,HiddenLookupTable[[#This Row],[Annual Salary]]*0.025)</f>
        <v>6096</v>
      </c>
      <c r="Q76" s="97">
        <f>IF(HiddenLookupTable[[#This Row],[Pay Grade]]=1,$Y$2,IF(HiddenLookupTable[[#This Row],[Pay Grade]]=2,$Y$3,$Y$4))</f>
        <v>7500</v>
      </c>
      <c r="R76" s="97">
        <f>IFERROR(VLOOKUP(L76,HealthPlanRates[],2,FALSE)*12,"Invalid code")</f>
        <v>19800</v>
      </c>
      <c r="S76" s="97">
        <f>VLOOKUP(HiddenLookupTable[[#This Row],[Years Service]],Recognition[],2,TRUE)</f>
        <v>100</v>
      </c>
    </row>
    <row r="77" spans="1:19" x14ac:dyDescent="0.35">
      <c r="A77" s="89">
        <v>1099</v>
      </c>
      <c r="B77" s="86" t="s">
        <v>217</v>
      </c>
      <c r="C77" s="91">
        <v>39979</v>
      </c>
      <c r="D77" s="91">
        <v>23223</v>
      </c>
      <c r="E77" s="92" t="s">
        <v>62</v>
      </c>
      <c r="F77" s="92" t="s">
        <v>126</v>
      </c>
      <c r="G77" s="89" t="s">
        <v>148</v>
      </c>
      <c r="H77" s="89" t="s">
        <v>134</v>
      </c>
      <c r="I77" s="89">
        <v>1</v>
      </c>
      <c r="J77" s="89" t="s">
        <v>149</v>
      </c>
      <c r="K77" s="94">
        <v>26520</v>
      </c>
      <c r="L77" s="89" t="s">
        <v>140</v>
      </c>
      <c r="M77" s="95">
        <f t="shared" si="3"/>
        <v>4</v>
      </c>
      <c r="N77" s="96">
        <f t="shared" si="4"/>
        <v>0</v>
      </c>
      <c r="O77" s="96">
        <f t="shared" si="5"/>
        <v>0</v>
      </c>
      <c r="P77" s="96">
        <f>IF(OR(HiddenLookupTable[[#This Row],[Location]]="Home",HiddenLookupTable[[#This Row],[Job Status]]="FT"),HiddenLookupTable[[#This Row],[Annual Salary]]*0.04,HiddenLookupTable[[#This Row],[Annual Salary]]*0.025)</f>
        <v>663</v>
      </c>
      <c r="Q77" s="97">
        <f>IF(HiddenLookupTable[[#This Row],[Pay Grade]]=1,$Y$2,IF(HiddenLookupTable[[#This Row],[Pay Grade]]=2,$Y$3,$Y$4))</f>
        <v>2750</v>
      </c>
      <c r="R77" s="97">
        <f>IFERROR(VLOOKUP(L77,HealthPlanRates[],2,FALSE)*12,"Invalid code")</f>
        <v>0</v>
      </c>
      <c r="S77" s="97">
        <f>VLOOKUP(HiddenLookupTable[[#This Row],[Years Service]],Recognition[],2,TRUE)</f>
        <v>200</v>
      </c>
    </row>
    <row r="78" spans="1:19" x14ac:dyDescent="0.35">
      <c r="A78" s="89">
        <v>1100</v>
      </c>
      <c r="B78" s="86" t="s">
        <v>218</v>
      </c>
      <c r="C78" s="90">
        <v>41100</v>
      </c>
      <c r="D78" s="91">
        <v>22041</v>
      </c>
      <c r="E78" s="92" t="s">
        <v>125</v>
      </c>
      <c r="F78" s="92" t="s">
        <v>126</v>
      </c>
      <c r="G78" s="89" t="s">
        <v>127</v>
      </c>
      <c r="H78" s="89" t="s">
        <v>128</v>
      </c>
      <c r="I78" s="89">
        <v>2</v>
      </c>
      <c r="J78" s="89" t="s">
        <v>129</v>
      </c>
      <c r="K78" s="94">
        <v>40000</v>
      </c>
      <c r="L78" s="89" t="s">
        <v>143</v>
      </c>
      <c r="M78" s="95">
        <f t="shared" si="3"/>
        <v>0</v>
      </c>
      <c r="N78" s="96">
        <f t="shared" si="4"/>
        <v>40</v>
      </c>
      <c r="O78" s="96">
        <f t="shared" si="5"/>
        <v>0</v>
      </c>
      <c r="P78" s="96">
        <f>IF(OR(HiddenLookupTable[[#This Row],[Location]]="Home",HiddenLookupTable[[#This Row],[Job Status]]="FT"),HiddenLookupTable[[#This Row],[Annual Salary]]*0.04,HiddenLookupTable[[#This Row],[Annual Salary]]*0.025)</f>
        <v>1600</v>
      </c>
      <c r="Q78" s="97">
        <f>IF(HiddenLookupTable[[#This Row],[Pay Grade]]=1,$Y$2,IF(HiddenLookupTable[[#This Row],[Pay Grade]]=2,$Y$3,$Y$4))</f>
        <v>5000</v>
      </c>
      <c r="R78" s="97">
        <f>IFERROR(VLOOKUP(L78,HealthPlanRates[],2,FALSE)*12,"Invalid code")</f>
        <v>11400</v>
      </c>
      <c r="S78" s="97">
        <f>VLOOKUP(HiddenLookupTable[[#This Row],[Years Service]],Recognition[],2,TRUE)</f>
        <v>0</v>
      </c>
    </row>
    <row r="79" spans="1:19" x14ac:dyDescent="0.35">
      <c r="A79" s="89">
        <v>1101</v>
      </c>
      <c r="B79" s="86" t="s">
        <v>219</v>
      </c>
      <c r="C79" s="90">
        <v>41296</v>
      </c>
      <c r="D79" s="91">
        <v>19551</v>
      </c>
      <c r="E79" s="92" t="s">
        <v>62</v>
      </c>
      <c r="F79" s="92" t="s">
        <v>126</v>
      </c>
      <c r="G79" s="89" t="s">
        <v>127</v>
      </c>
      <c r="H79" s="89" t="s">
        <v>134</v>
      </c>
      <c r="I79" s="89">
        <v>2</v>
      </c>
      <c r="J79" s="89" t="s">
        <v>129</v>
      </c>
      <c r="K79" s="94">
        <v>50000</v>
      </c>
      <c r="L79" s="89" t="s">
        <v>130</v>
      </c>
      <c r="M79" s="95">
        <f t="shared" si="3"/>
        <v>0</v>
      </c>
      <c r="N79" s="96">
        <f t="shared" si="4"/>
        <v>0</v>
      </c>
      <c r="O79" s="96">
        <f t="shared" si="5"/>
        <v>0</v>
      </c>
      <c r="P79" s="96">
        <f>IF(OR(HiddenLookupTable[[#This Row],[Location]]="Home",HiddenLookupTable[[#This Row],[Job Status]]="FT"),HiddenLookupTable[[#This Row],[Annual Salary]]*0.04,HiddenLookupTable[[#This Row],[Annual Salary]]*0.025)</f>
        <v>2000</v>
      </c>
      <c r="Q79" s="97">
        <f>IF(HiddenLookupTable[[#This Row],[Pay Grade]]=1,$Y$2,IF(HiddenLookupTable[[#This Row],[Pay Grade]]=2,$Y$3,$Y$4))</f>
        <v>5000</v>
      </c>
      <c r="R79" s="97">
        <f>IFERROR(VLOOKUP(L79,HealthPlanRates[],2,FALSE)*12,"Invalid code")</f>
        <v>18000</v>
      </c>
      <c r="S79" s="97">
        <f>VLOOKUP(HiddenLookupTable[[#This Row],[Years Service]],Recognition[],2,TRUE)</f>
        <v>0</v>
      </c>
    </row>
    <row r="80" spans="1:19" x14ac:dyDescent="0.35">
      <c r="A80" s="89">
        <v>1102</v>
      </c>
      <c r="B80" s="86" t="s">
        <v>220</v>
      </c>
      <c r="C80" s="90">
        <v>41198</v>
      </c>
      <c r="D80" s="91">
        <v>30878</v>
      </c>
      <c r="E80" s="92" t="s">
        <v>62</v>
      </c>
      <c r="F80" s="92" t="s">
        <v>126</v>
      </c>
      <c r="G80" s="89" t="s">
        <v>127</v>
      </c>
      <c r="H80" s="89" t="s">
        <v>128</v>
      </c>
      <c r="I80" s="89">
        <v>3</v>
      </c>
      <c r="J80" s="89" t="s">
        <v>129</v>
      </c>
      <c r="K80" s="94">
        <v>85000</v>
      </c>
      <c r="L80" s="89" t="s">
        <v>143</v>
      </c>
      <c r="M80" s="95">
        <f t="shared" si="3"/>
        <v>0</v>
      </c>
      <c r="N80" s="96">
        <f t="shared" si="4"/>
        <v>85</v>
      </c>
      <c r="O80" s="96">
        <f t="shared" si="5"/>
        <v>0</v>
      </c>
      <c r="P80" s="96">
        <f>IF(OR(HiddenLookupTable[[#This Row],[Location]]="Home",HiddenLookupTable[[#This Row],[Job Status]]="FT"),HiddenLookupTable[[#This Row],[Annual Salary]]*0.04,HiddenLookupTable[[#This Row],[Annual Salary]]*0.025)</f>
        <v>3400</v>
      </c>
      <c r="Q80" s="97">
        <f>IF(HiddenLookupTable[[#This Row],[Pay Grade]]=1,$Y$2,IF(HiddenLookupTable[[#This Row],[Pay Grade]]=2,$Y$3,$Y$4))</f>
        <v>7500</v>
      </c>
      <c r="R80" s="97">
        <f>IFERROR(VLOOKUP(L80,HealthPlanRates[],2,FALSE)*12,"Invalid code")</f>
        <v>11400</v>
      </c>
      <c r="S80" s="97">
        <f>VLOOKUP(HiddenLookupTable[[#This Row],[Years Service]],Recognition[],2,TRUE)</f>
        <v>0</v>
      </c>
    </row>
    <row r="81" spans="1:19" x14ac:dyDescent="0.35">
      <c r="A81" s="89">
        <v>1103</v>
      </c>
      <c r="B81" s="86" t="s">
        <v>221</v>
      </c>
      <c r="C81" s="90">
        <v>41149</v>
      </c>
      <c r="D81" s="91">
        <v>18956</v>
      </c>
      <c r="E81" s="92" t="s">
        <v>62</v>
      </c>
      <c r="F81" s="92" t="s">
        <v>126</v>
      </c>
      <c r="G81" s="89" t="s">
        <v>127</v>
      </c>
      <c r="H81" s="89" t="s">
        <v>134</v>
      </c>
      <c r="I81" s="89">
        <v>1</v>
      </c>
      <c r="J81" s="89" t="s">
        <v>149</v>
      </c>
      <c r="K81" s="94">
        <v>28496</v>
      </c>
      <c r="L81" s="89" t="s">
        <v>145</v>
      </c>
      <c r="M81" s="95">
        <f t="shared" si="3"/>
        <v>0</v>
      </c>
      <c r="N81" s="96">
        <f t="shared" si="4"/>
        <v>0</v>
      </c>
      <c r="O81" s="96">
        <f t="shared" si="5"/>
        <v>0</v>
      </c>
      <c r="P81" s="96">
        <f>IF(OR(HiddenLookupTable[[#This Row],[Location]]="Home",HiddenLookupTable[[#This Row],[Job Status]]="FT"),HiddenLookupTable[[#This Row],[Annual Salary]]*0.04,HiddenLookupTable[[#This Row],[Annual Salary]]*0.025)</f>
        <v>1139.8399999999999</v>
      </c>
      <c r="Q81" s="97">
        <f>IF(HiddenLookupTable[[#This Row],[Pay Grade]]=1,$Y$2,IF(HiddenLookupTable[[#This Row],[Pay Grade]]=2,$Y$3,$Y$4))</f>
        <v>2750</v>
      </c>
      <c r="R81" s="97">
        <f>IFERROR(VLOOKUP(L81,HealthPlanRates[],2,FALSE)*12,"Invalid code")</f>
        <v>10500</v>
      </c>
      <c r="S81" s="97">
        <f>VLOOKUP(HiddenLookupTable[[#This Row],[Years Service]],Recognition[],2,TRUE)</f>
        <v>0</v>
      </c>
    </row>
    <row r="82" spans="1:19" x14ac:dyDescent="0.35">
      <c r="A82" s="89">
        <v>1104</v>
      </c>
      <c r="B82" s="86" t="s">
        <v>222</v>
      </c>
      <c r="C82" s="91">
        <v>37886</v>
      </c>
      <c r="D82" s="91">
        <v>21555</v>
      </c>
      <c r="E82" s="92" t="s">
        <v>62</v>
      </c>
      <c r="F82" s="89" t="s">
        <v>133</v>
      </c>
      <c r="G82" s="89" t="s">
        <v>127</v>
      </c>
      <c r="H82" s="89" t="s">
        <v>134</v>
      </c>
      <c r="I82" s="89">
        <v>1</v>
      </c>
      <c r="J82" s="89" t="s">
        <v>149</v>
      </c>
      <c r="K82" s="94">
        <v>24752</v>
      </c>
      <c r="L82" s="89" t="s">
        <v>145</v>
      </c>
      <c r="M82" s="95">
        <f t="shared" si="3"/>
        <v>9</v>
      </c>
      <c r="N82" s="96">
        <f t="shared" si="4"/>
        <v>0</v>
      </c>
      <c r="O82" s="96">
        <f t="shared" si="5"/>
        <v>742.56</v>
      </c>
      <c r="P82" s="96">
        <f>IF(OR(HiddenLookupTable[[#This Row],[Location]]="Home",HiddenLookupTable[[#This Row],[Job Status]]="FT"),HiddenLookupTable[[#This Row],[Annual Salary]]*0.04,HiddenLookupTable[[#This Row],[Annual Salary]]*0.025)</f>
        <v>990.08</v>
      </c>
      <c r="Q82" s="97">
        <f>IF(HiddenLookupTable[[#This Row],[Pay Grade]]=1,$Y$2,IF(HiddenLookupTable[[#This Row],[Pay Grade]]=2,$Y$3,$Y$4))</f>
        <v>2750</v>
      </c>
      <c r="R82" s="97">
        <f>IFERROR(VLOOKUP(L82,HealthPlanRates[],2,FALSE)*12,"Invalid code")</f>
        <v>10500</v>
      </c>
      <c r="S82" s="97">
        <f>VLOOKUP(HiddenLookupTable[[#This Row],[Years Service]],Recognition[],2,TRUE)</f>
        <v>500</v>
      </c>
    </row>
    <row r="83" spans="1:19" x14ac:dyDescent="0.35">
      <c r="A83" s="89">
        <v>1105</v>
      </c>
      <c r="B83" s="86" t="s">
        <v>223</v>
      </c>
      <c r="C83" s="91">
        <v>38065</v>
      </c>
      <c r="D83" s="91">
        <v>30262</v>
      </c>
      <c r="E83" s="92" t="s">
        <v>125</v>
      </c>
      <c r="F83" s="92" t="s">
        <v>126</v>
      </c>
      <c r="G83" s="89" t="s">
        <v>127</v>
      </c>
      <c r="H83" s="89" t="s">
        <v>128</v>
      </c>
      <c r="I83" s="89">
        <v>3</v>
      </c>
      <c r="J83" s="89" t="s">
        <v>129</v>
      </c>
      <c r="K83" s="94">
        <v>65000</v>
      </c>
      <c r="L83" s="89" t="s">
        <v>145</v>
      </c>
      <c r="M83" s="95">
        <f t="shared" si="3"/>
        <v>9</v>
      </c>
      <c r="N83" s="96">
        <f t="shared" si="4"/>
        <v>65</v>
      </c>
      <c r="O83" s="96">
        <f t="shared" si="5"/>
        <v>1950</v>
      </c>
      <c r="P83" s="96">
        <f>IF(OR(HiddenLookupTable[[#This Row],[Location]]="Home",HiddenLookupTable[[#This Row],[Job Status]]="FT"),HiddenLookupTable[[#This Row],[Annual Salary]]*0.04,HiddenLookupTable[[#This Row],[Annual Salary]]*0.025)</f>
        <v>2600</v>
      </c>
      <c r="Q83" s="97">
        <f>IF(HiddenLookupTable[[#This Row],[Pay Grade]]=1,$Y$2,IF(HiddenLookupTable[[#This Row],[Pay Grade]]=2,$Y$3,$Y$4))</f>
        <v>7500</v>
      </c>
      <c r="R83" s="97">
        <f>IFERROR(VLOOKUP(L83,HealthPlanRates[],2,FALSE)*12,"Invalid code")</f>
        <v>10500</v>
      </c>
      <c r="S83" s="97">
        <f>VLOOKUP(HiddenLookupTable[[#This Row],[Years Service]],Recognition[],2,TRUE)</f>
        <v>500</v>
      </c>
    </row>
    <row r="84" spans="1:19" x14ac:dyDescent="0.35">
      <c r="A84" s="89">
        <v>1106</v>
      </c>
      <c r="B84" s="86" t="s">
        <v>224</v>
      </c>
      <c r="C84" s="91">
        <v>39152</v>
      </c>
      <c r="D84" s="91">
        <v>21247</v>
      </c>
      <c r="E84" s="92" t="s">
        <v>62</v>
      </c>
      <c r="F84" s="92" t="s">
        <v>152</v>
      </c>
      <c r="G84" s="89" t="s">
        <v>148</v>
      </c>
      <c r="H84" s="89" t="s">
        <v>134</v>
      </c>
      <c r="I84" s="89">
        <v>1</v>
      </c>
      <c r="J84" s="89" t="s">
        <v>149</v>
      </c>
      <c r="K84" s="94">
        <v>22880</v>
      </c>
      <c r="L84" s="89" t="s">
        <v>150</v>
      </c>
      <c r="M84" s="95">
        <f t="shared" si="3"/>
        <v>6</v>
      </c>
      <c r="N84" s="96">
        <f t="shared" si="4"/>
        <v>0</v>
      </c>
      <c r="O84" s="96">
        <f t="shared" si="5"/>
        <v>0</v>
      </c>
      <c r="P84" s="96">
        <f>IF(OR(HiddenLookupTable[[#This Row],[Location]]="Home",HiddenLookupTable[[#This Row],[Job Status]]="FT"),HiddenLookupTable[[#This Row],[Annual Salary]]*0.04,HiddenLookupTable[[#This Row],[Annual Salary]]*0.025)</f>
        <v>572</v>
      </c>
      <c r="Q84" s="97">
        <f>IF(HiddenLookupTable[[#This Row],[Pay Grade]]=1,$Y$2,IF(HiddenLookupTable[[#This Row],[Pay Grade]]=2,$Y$3,$Y$4))</f>
        <v>2750</v>
      </c>
      <c r="R84" s="97">
        <f>IFERROR(VLOOKUP(L84,HealthPlanRates[],2,FALSE)*12,"Invalid code")</f>
        <v>19800</v>
      </c>
      <c r="S84" s="97">
        <f>VLOOKUP(HiddenLookupTable[[#This Row],[Years Service]],Recognition[],2,TRUE)</f>
        <v>300</v>
      </c>
    </row>
    <row r="85" spans="1:19" x14ac:dyDescent="0.35">
      <c r="A85" s="89">
        <v>1107</v>
      </c>
      <c r="B85" s="86" t="s">
        <v>225</v>
      </c>
      <c r="C85" s="90">
        <v>41149</v>
      </c>
      <c r="D85" s="91">
        <v>27795</v>
      </c>
      <c r="E85" s="92" t="s">
        <v>62</v>
      </c>
      <c r="F85" s="92" t="s">
        <v>126</v>
      </c>
      <c r="G85" s="89" t="s">
        <v>127</v>
      </c>
      <c r="H85" s="89" t="s">
        <v>134</v>
      </c>
      <c r="I85" s="89">
        <v>1</v>
      </c>
      <c r="J85" s="89" t="s">
        <v>149</v>
      </c>
      <c r="K85" s="94">
        <v>29016</v>
      </c>
      <c r="L85" s="89" t="s">
        <v>140</v>
      </c>
      <c r="M85" s="95">
        <f t="shared" si="3"/>
        <v>0</v>
      </c>
      <c r="N85" s="96">
        <f t="shared" si="4"/>
        <v>0</v>
      </c>
      <c r="O85" s="96">
        <f t="shared" si="5"/>
        <v>0</v>
      </c>
      <c r="P85" s="96">
        <f>IF(OR(HiddenLookupTable[[#This Row],[Location]]="Home",HiddenLookupTable[[#This Row],[Job Status]]="FT"),HiddenLookupTable[[#This Row],[Annual Salary]]*0.04,HiddenLookupTable[[#This Row],[Annual Salary]]*0.025)</f>
        <v>1160.6400000000001</v>
      </c>
      <c r="Q85" s="97">
        <f>IF(HiddenLookupTable[[#This Row],[Pay Grade]]=1,$Y$2,IF(HiddenLookupTable[[#This Row],[Pay Grade]]=2,$Y$3,$Y$4))</f>
        <v>2750</v>
      </c>
      <c r="R85" s="97">
        <f>IFERROR(VLOOKUP(L85,HealthPlanRates[],2,FALSE)*12,"Invalid code")</f>
        <v>0</v>
      </c>
      <c r="S85" s="97">
        <f>VLOOKUP(HiddenLookupTable[[#This Row],[Years Service]],Recognition[],2,TRUE)</f>
        <v>0</v>
      </c>
    </row>
    <row r="86" spans="1:19" x14ac:dyDescent="0.35">
      <c r="A86" s="89">
        <v>1108</v>
      </c>
      <c r="B86" s="86" t="s">
        <v>226</v>
      </c>
      <c r="C86" s="91">
        <v>36749</v>
      </c>
      <c r="D86" s="91">
        <v>24564</v>
      </c>
      <c r="E86" s="92" t="s">
        <v>125</v>
      </c>
      <c r="F86" s="92" t="s">
        <v>126</v>
      </c>
      <c r="G86" s="89" t="s">
        <v>127</v>
      </c>
      <c r="H86" s="89" t="s">
        <v>128</v>
      </c>
      <c r="I86" s="89">
        <v>3</v>
      </c>
      <c r="J86" s="89" t="s">
        <v>129</v>
      </c>
      <c r="K86" s="94">
        <v>102500</v>
      </c>
      <c r="L86" s="89" t="s">
        <v>145</v>
      </c>
      <c r="M86" s="95">
        <f t="shared" si="3"/>
        <v>12</v>
      </c>
      <c r="N86" s="96">
        <f t="shared" si="4"/>
        <v>102.5</v>
      </c>
      <c r="O86" s="96">
        <f t="shared" si="5"/>
        <v>3075</v>
      </c>
      <c r="P86" s="96">
        <f>IF(OR(HiddenLookupTable[[#This Row],[Location]]="Home",HiddenLookupTable[[#This Row],[Job Status]]="FT"),HiddenLookupTable[[#This Row],[Annual Salary]]*0.04,HiddenLookupTable[[#This Row],[Annual Salary]]*0.025)</f>
        <v>4100</v>
      </c>
      <c r="Q86" s="97">
        <f>IF(HiddenLookupTable[[#This Row],[Pay Grade]]=1,$Y$2,IF(HiddenLookupTable[[#This Row],[Pay Grade]]=2,$Y$3,$Y$4))</f>
        <v>7500</v>
      </c>
      <c r="R86" s="97">
        <f>IFERROR(VLOOKUP(L86,HealthPlanRates[],2,FALSE)*12,"Invalid code")</f>
        <v>10500</v>
      </c>
      <c r="S86" s="97">
        <f>VLOOKUP(HiddenLookupTable[[#This Row],[Years Service]],Recognition[],2,TRUE)</f>
        <v>500</v>
      </c>
    </row>
    <row r="87" spans="1:19" x14ac:dyDescent="0.35">
      <c r="A87" s="89">
        <v>1109</v>
      </c>
      <c r="B87" s="86" t="s">
        <v>227</v>
      </c>
      <c r="C87" s="90">
        <v>41002</v>
      </c>
      <c r="D87" s="91">
        <v>24525</v>
      </c>
      <c r="E87" s="92" t="s">
        <v>62</v>
      </c>
      <c r="F87" s="92" t="s">
        <v>126</v>
      </c>
      <c r="G87" s="89" t="s">
        <v>127</v>
      </c>
      <c r="H87" s="89" t="s">
        <v>134</v>
      </c>
      <c r="I87" s="89">
        <v>2</v>
      </c>
      <c r="J87" s="89" t="s">
        <v>129</v>
      </c>
      <c r="K87" s="94">
        <v>43260</v>
      </c>
      <c r="L87" s="89" t="s">
        <v>150</v>
      </c>
      <c r="M87" s="95">
        <f t="shared" si="3"/>
        <v>1</v>
      </c>
      <c r="N87" s="96">
        <f t="shared" si="4"/>
        <v>0</v>
      </c>
      <c r="O87" s="96">
        <f t="shared" si="5"/>
        <v>1297.8</v>
      </c>
      <c r="P87" s="96">
        <f>IF(OR(HiddenLookupTable[[#This Row],[Location]]="Home",HiddenLookupTable[[#This Row],[Job Status]]="FT"),HiddenLookupTable[[#This Row],[Annual Salary]]*0.04,HiddenLookupTable[[#This Row],[Annual Salary]]*0.025)</f>
        <v>1730.4</v>
      </c>
      <c r="Q87" s="97">
        <f>IF(HiddenLookupTable[[#This Row],[Pay Grade]]=1,$Y$2,IF(HiddenLookupTable[[#This Row],[Pay Grade]]=2,$Y$3,$Y$4))</f>
        <v>5000</v>
      </c>
      <c r="R87" s="97">
        <f>IFERROR(VLOOKUP(L87,HealthPlanRates[],2,FALSE)*12,"Invalid code")</f>
        <v>19800</v>
      </c>
      <c r="S87" s="97">
        <f>VLOOKUP(HiddenLookupTable[[#This Row],[Years Service]],Recognition[],2,TRUE)</f>
        <v>100</v>
      </c>
    </row>
    <row r="88" spans="1:19" x14ac:dyDescent="0.35">
      <c r="A88" s="89">
        <v>1110</v>
      </c>
      <c r="B88" s="86" t="s">
        <v>228</v>
      </c>
      <c r="C88" s="91">
        <v>38783</v>
      </c>
      <c r="D88" s="91">
        <v>23788</v>
      </c>
      <c r="E88" s="92" t="s">
        <v>125</v>
      </c>
      <c r="F88" s="92" t="s">
        <v>137</v>
      </c>
      <c r="G88" s="89" t="s">
        <v>127</v>
      </c>
      <c r="H88" s="89" t="s">
        <v>128</v>
      </c>
      <c r="I88" s="89">
        <v>3</v>
      </c>
      <c r="J88" s="89" t="s">
        <v>129</v>
      </c>
      <c r="K88" s="94">
        <v>150000</v>
      </c>
      <c r="L88" s="89" t="s">
        <v>140</v>
      </c>
      <c r="M88" s="95">
        <f t="shared" si="3"/>
        <v>7</v>
      </c>
      <c r="N88" s="96">
        <f t="shared" si="4"/>
        <v>150</v>
      </c>
      <c r="O88" s="96">
        <f t="shared" si="5"/>
        <v>4500</v>
      </c>
      <c r="P88" s="96">
        <f>IF(OR(HiddenLookupTable[[#This Row],[Location]]="Home",HiddenLookupTable[[#This Row],[Job Status]]="FT"),HiddenLookupTable[[#This Row],[Annual Salary]]*0.04,HiddenLookupTable[[#This Row],[Annual Salary]]*0.025)</f>
        <v>6000</v>
      </c>
      <c r="Q88" s="97">
        <f>IF(HiddenLookupTable[[#This Row],[Pay Grade]]=1,$Y$2,IF(HiddenLookupTable[[#This Row],[Pay Grade]]=2,$Y$3,$Y$4))</f>
        <v>7500</v>
      </c>
      <c r="R88" s="97">
        <f>IFERROR(VLOOKUP(L88,HealthPlanRates[],2,FALSE)*12,"Invalid code")</f>
        <v>0</v>
      </c>
      <c r="S88" s="97">
        <f>VLOOKUP(HiddenLookupTable[[#This Row],[Years Service]],Recognition[],2,TRUE)</f>
        <v>500</v>
      </c>
    </row>
    <row r="89" spans="1:19" x14ac:dyDescent="0.35">
      <c r="A89" s="89">
        <v>1111</v>
      </c>
      <c r="B89" s="86" t="s">
        <v>229</v>
      </c>
      <c r="C89" s="91">
        <v>39811</v>
      </c>
      <c r="D89" s="91">
        <v>19453</v>
      </c>
      <c r="E89" s="92" t="s">
        <v>62</v>
      </c>
      <c r="F89" s="92" t="s">
        <v>152</v>
      </c>
      <c r="G89" s="89" t="s">
        <v>201</v>
      </c>
      <c r="H89" s="89" t="s">
        <v>134</v>
      </c>
      <c r="I89" s="89">
        <v>3</v>
      </c>
      <c r="J89" s="89" t="s">
        <v>129</v>
      </c>
      <c r="K89" s="94">
        <v>55000</v>
      </c>
      <c r="L89" s="89" t="s">
        <v>140</v>
      </c>
      <c r="M89" s="95">
        <f t="shared" si="3"/>
        <v>4</v>
      </c>
      <c r="N89" s="96">
        <f t="shared" si="4"/>
        <v>0</v>
      </c>
      <c r="O89" s="96">
        <f t="shared" si="5"/>
        <v>0</v>
      </c>
      <c r="P89" s="96">
        <f>IF(OR(HiddenLookupTable[[#This Row],[Location]]="Home",HiddenLookupTable[[#This Row],[Job Status]]="FT"),HiddenLookupTable[[#This Row],[Annual Salary]]*0.04,HiddenLookupTable[[#This Row],[Annual Salary]]*0.025)</f>
        <v>1375</v>
      </c>
      <c r="Q89" s="97">
        <f>IF(HiddenLookupTable[[#This Row],[Pay Grade]]=1,$Y$2,IF(HiddenLookupTable[[#This Row],[Pay Grade]]=2,$Y$3,$Y$4))</f>
        <v>7500</v>
      </c>
      <c r="R89" s="97">
        <f>IFERROR(VLOOKUP(L89,HealthPlanRates[],2,FALSE)*12,"Invalid code")</f>
        <v>0</v>
      </c>
      <c r="S89" s="97">
        <f>VLOOKUP(HiddenLookupTable[[#This Row],[Years Service]],Recognition[],2,TRUE)</f>
        <v>200</v>
      </c>
    </row>
    <row r="90" spans="1:19" x14ac:dyDescent="0.35">
      <c r="A90" s="89">
        <v>1112</v>
      </c>
      <c r="B90" s="86" t="s">
        <v>230</v>
      </c>
      <c r="C90" s="90">
        <v>41317</v>
      </c>
      <c r="D90" s="91">
        <v>28934</v>
      </c>
      <c r="E90" s="92" t="s">
        <v>62</v>
      </c>
      <c r="F90" s="92" t="s">
        <v>152</v>
      </c>
      <c r="G90" s="89" t="s">
        <v>127</v>
      </c>
      <c r="H90" s="89" t="s">
        <v>134</v>
      </c>
      <c r="I90" s="89">
        <v>1</v>
      </c>
      <c r="J90" s="89" t="s">
        <v>149</v>
      </c>
      <c r="K90" s="94">
        <v>22880</v>
      </c>
      <c r="L90" s="89" t="s">
        <v>130</v>
      </c>
      <c r="M90" s="95">
        <f t="shared" si="3"/>
        <v>0</v>
      </c>
      <c r="N90" s="96">
        <f t="shared" si="4"/>
        <v>0</v>
      </c>
      <c r="O90" s="96">
        <f t="shared" si="5"/>
        <v>0</v>
      </c>
      <c r="P90" s="96">
        <f>IF(OR(HiddenLookupTable[[#This Row],[Location]]="Home",HiddenLookupTable[[#This Row],[Job Status]]="FT"),HiddenLookupTable[[#This Row],[Annual Salary]]*0.04,HiddenLookupTable[[#This Row],[Annual Salary]]*0.025)</f>
        <v>915.2</v>
      </c>
      <c r="Q90" s="97">
        <f>IF(HiddenLookupTable[[#This Row],[Pay Grade]]=1,$Y$2,IF(HiddenLookupTable[[#This Row],[Pay Grade]]=2,$Y$3,$Y$4))</f>
        <v>2750</v>
      </c>
      <c r="R90" s="97">
        <f>IFERROR(VLOOKUP(L90,HealthPlanRates[],2,FALSE)*12,"Invalid code")</f>
        <v>18000</v>
      </c>
      <c r="S90" s="97">
        <f>VLOOKUP(HiddenLookupTable[[#This Row],[Years Service]],Recognition[],2,TRUE)</f>
        <v>0</v>
      </c>
    </row>
    <row r="91" spans="1:19" x14ac:dyDescent="0.35">
      <c r="A91" s="89">
        <v>1113</v>
      </c>
      <c r="B91" s="86" t="s">
        <v>231</v>
      </c>
      <c r="C91" s="90">
        <v>41067</v>
      </c>
      <c r="D91" s="91">
        <v>27888</v>
      </c>
      <c r="E91" s="92" t="s">
        <v>62</v>
      </c>
      <c r="F91" s="89" t="s">
        <v>133</v>
      </c>
      <c r="G91" s="89" t="s">
        <v>127</v>
      </c>
      <c r="H91" s="89" t="s">
        <v>134</v>
      </c>
      <c r="I91" s="89">
        <v>1</v>
      </c>
      <c r="J91" s="89" t="s">
        <v>149</v>
      </c>
      <c r="K91" s="94">
        <v>22880</v>
      </c>
      <c r="L91" s="89" t="s">
        <v>145</v>
      </c>
      <c r="M91" s="95">
        <f t="shared" si="3"/>
        <v>1</v>
      </c>
      <c r="N91" s="96">
        <f t="shared" si="4"/>
        <v>0</v>
      </c>
      <c r="O91" s="96">
        <f t="shared" si="5"/>
        <v>686.4</v>
      </c>
      <c r="P91" s="96">
        <f>IF(OR(HiddenLookupTable[[#This Row],[Location]]="Home",HiddenLookupTable[[#This Row],[Job Status]]="FT"),HiddenLookupTable[[#This Row],[Annual Salary]]*0.04,HiddenLookupTable[[#This Row],[Annual Salary]]*0.025)</f>
        <v>915.2</v>
      </c>
      <c r="Q91" s="97">
        <f>IF(HiddenLookupTable[[#This Row],[Pay Grade]]=1,$Y$2,IF(HiddenLookupTable[[#This Row],[Pay Grade]]=2,$Y$3,$Y$4))</f>
        <v>2750</v>
      </c>
      <c r="R91" s="97">
        <f>IFERROR(VLOOKUP(L91,HealthPlanRates[],2,FALSE)*12,"Invalid code")</f>
        <v>10500</v>
      </c>
      <c r="S91" s="97">
        <f>VLOOKUP(HiddenLookupTable[[#This Row],[Years Service]],Recognition[],2,TRUE)</f>
        <v>100</v>
      </c>
    </row>
    <row r="92" spans="1:19" x14ac:dyDescent="0.35">
      <c r="A92" s="89">
        <v>1114</v>
      </c>
      <c r="B92" s="86" t="s">
        <v>232</v>
      </c>
      <c r="C92" s="90">
        <v>41296</v>
      </c>
      <c r="D92" s="91">
        <v>33330</v>
      </c>
      <c r="E92" s="92" t="s">
        <v>62</v>
      </c>
      <c r="F92" s="89" t="s">
        <v>133</v>
      </c>
      <c r="G92" s="89" t="s">
        <v>127</v>
      </c>
      <c r="H92" s="89" t="s">
        <v>134</v>
      </c>
      <c r="I92" s="89">
        <v>1</v>
      </c>
      <c r="J92" s="89" t="s">
        <v>149</v>
      </c>
      <c r="K92" s="94">
        <v>23920</v>
      </c>
      <c r="L92" s="89" t="s">
        <v>140</v>
      </c>
      <c r="M92" s="95">
        <f t="shared" si="3"/>
        <v>0</v>
      </c>
      <c r="N92" s="96">
        <f t="shared" si="4"/>
        <v>0</v>
      </c>
      <c r="O92" s="96">
        <f t="shared" si="5"/>
        <v>0</v>
      </c>
      <c r="P92" s="96">
        <f>IF(OR(HiddenLookupTable[[#This Row],[Location]]="Home",HiddenLookupTable[[#This Row],[Job Status]]="FT"),HiddenLookupTable[[#This Row],[Annual Salary]]*0.04,HiddenLookupTable[[#This Row],[Annual Salary]]*0.025)</f>
        <v>956.80000000000007</v>
      </c>
      <c r="Q92" s="97">
        <f>IF(HiddenLookupTable[[#This Row],[Pay Grade]]=1,$Y$2,IF(HiddenLookupTable[[#This Row],[Pay Grade]]=2,$Y$3,$Y$4))</f>
        <v>2750</v>
      </c>
      <c r="R92" s="97">
        <f>IFERROR(VLOOKUP(L92,HealthPlanRates[],2,FALSE)*12,"Invalid code")</f>
        <v>0</v>
      </c>
      <c r="S92" s="97">
        <f>VLOOKUP(HiddenLookupTable[[#This Row],[Years Service]],Recognition[],2,TRUE)</f>
        <v>0</v>
      </c>
    </row>
    <row r="93" spans="1:19" x14ac:dyDescent="0.35">
      <c r="A93" s="89">
        <v>1115</v>
      </c>
      <c r="B93" s="86" t="s">
        <v>233</v>
      </c>
      <c r="C93" s="90">
        <v>41212</v>
      </c>
      <c r="D93" s="91">
        <v>20572</v>
      </c>
      <c r="E93" s="92" t="s">
        <v>125</v>
      </c>
      <c r="F93" s="92" t="s">
        <v>126</v>
      </c>
      <c r="G93" s="89" t="s">
        <v>127</v>
      </c>
      <c r="H93" s="89" t="s">
        <v>128</v>
      </c>
      <c r="I93" s="89">
        <v>3</v>
      </c>
      <c r="J93" s="89" t="s">
        <v>129</v>
      </c>
      <c r="K93" s="94">
        <v>100000</v>
      </c>
      <c r="L93" s="89" t="s">
        <v>150</v>
      </c>
      <c r="M93" s="95">
        <f t="shared" si="3"/>
        <v>0</v>
      </c>
      <c r="N93" s="96">
        <f t="shared" si="4"/>
        <v>100</v>
      </c>
      <c r="O93" s="96">
        <f t="shared" si="5"/>
        <v>0</v>
      </c>
      <c r="P93" s="96">
        <f>IF(OR(HiddenLookupTable[[#This Row],[Location]]="Home",HiddenLookupTable[[#This Row],[Job Status]]="FT"),HiddenLookupTable[[#This Row],[Annual Salary]]*0.04,HiddenLookupTable[[#This Row],[Annual Salary]]*0.025)</f>
        <v>4000</v>
      </c>
      <c r="Q93" s="97">
        <f>IF(HiddenLookupTable[[#This Row],[Pay Grade]]=1,$Y$2,IF(HiddenLookupTable[[#This Row],[Pay Grade]]=2,$Y$3,$Y$4))</f>
        <v>7500</v>
      </c>
      <c r="R93" s="97">
        <f>IFERROR(VLOOKUP(L93,HealthPlanRates[],2,FALSE)*12,"Invalid code")</f>
        <v>19800</v>
      </c>
      <c r="S93" s="97">
        <f>VLOOKUP(HiddenLookupTable[[#This Row],[Years Service]],Recognition[],2,TRUE)</f>
        <v>0</v>
      </c>
    </row>
    <row r="94" spans="1:19" x14ac:dyDescent="0.35">
      <c r="A94" s="89">
        <v>1116</v>
      </c>
      <c r="B94" s="86" t="s">
        <v>234</v>
      </c>
      <c r="C94" s="90">
        <v>41156</v>
      </c>
      <c r="D94" s="91">
        <v>27340</v>
      </c>
      <c r="E94" s="92" t="s">
        <v>62</v>
      </c>
      <c r="F94" s="92" t="s">
        <v>126</v>
      </c>
      <c r="G94" s="89" t="s">
        <v>127</v>
      </c>
      <c r="H94" s="89" t="s">
        <v>128</v>
      </c>
      <c r="I94" s="89">
        <v>2</v>
      </c>
      <c r="J94" s="89" t="s">
        <v>129</v>
      </c>
      <c r="K94" s="94">
        <v>43000</v>
      </c>
      <c r="L94" s="89" t="s">
        <v>130</v>
      </c>
      <c r="M94" s="95">
        <f t="shared" si="3"/>
        <v>0</v>
      </c>
      <c r="N94" s="96">
        <f t="shared" si="4"/>
        <v>43</v>
      </c>
      <c r="O94" s="96">
        <f t="shared" si="5"/>
        <v>0</v>
      </c>
      <c r="P94" s="96">
        <f>IF(OR(HiddenLookupTable[[#This Row],[Location]]="Home",HiddenLookupTable[[#This Row],[Job Status]]="FT"),HiddenLookupTable[[#This Row],[Annual Salary]]*0.04,HiddenLookupTable[[#This Row],[Annual Salary]]*0.025)</f>
        <v>1720</v>
      </c>
      <c r="Q94" s="97">
        <f>IF(HiddenLookupTable[[#This Row],[Pay Grade]]=1,$Y$2,IF(HiddenLookupTable[[#This Row],[Pay Grade]]=2,$Y$3,$Y$4))</f>
        <v>5000</v>
      </c>
      <c r="R94" s="97">
        <f>IFERROR(VLOOKUP(L94,HealthPlanRates[],2,FALSE)*12,"Invalid code")</f>
        <v>18000</v>
      </c>
      <c r="S94" s="97">
        <f>VLOOKUP(HiddenLookupTable[[#This Row],[Years Service]],Recognition[],2,TRUE)</f>
        <v>0</v>
      </c>
    </row>
    <row r="95" spans="1:19" x14ac:dyDescent="0.35">
      <c r="A95" s="89">
        <v>1117</v>
      </c>
      <c r="B95" s="86" t="s">
        <v>235</v>
      </c>
      <c r="C95" s="91">
        <v>40463</v>
      </c>
      <c r="D95" s="91">
        <v>25585</v>
      </c>
      <c r="E95" s="92" t="s">
        <v>62</v>
      </c>
      <c r="F95" s="92" t="s">
        <v>126</v>
      </c>
      <c r="G95" s="89" t="s">
        <v>148</v>
      </c>
      <c r="H95" s="89" t="s">
        <v>134</v>
      </c>
      <c r="I95" s="89">
        <v>1</v>
      </c>
      <c r="J95" s="89" t="s">
        <v>149</v>
      </c>
      <c r="K95" s="94">
        <v>36004</v>
      </c>
      <c r="L95" s="89" t="s">
        <v>145</v>
      </c>
      <c r="M95" s="95">
        <f t="shared" si="3"/>
        <v>2</v>
      </c>
      <c r="N95" s="96">
        <f t="shared" si="4"/>
        <v>0</v>
      </c>
      <c r="O95" s="96">
        <f t="shared" si="5"/>
        <v>0</v>
      </c>
      <c r="P95" s="96">
        <f>IF(OR(HiddenLookupTable[[#This Row],[Location]]="Home",HiddenLookupTable[[#This Row],[Job Status]]="FT"),HiddenLookupTable[[#This Row],[Annual Salary]]*0.04,HiddenLookupTable[[#This Row],[Annual Salary]]*0.025)</f>
        <v>900.1</v>
      </c>
      <c r="Q95" s="97">
        <f>IF(HiddenLookupTable[[#This Row],[Pay Grade]]=1,$Y$2,IF(HiddenLookupTable[[#This Row],[Pay Grade]]=2,$Y$3,$Y$4))</f>
        <v>2750</v>
      </c>
      <c r="R95" s="97">
        <f>IFERROR(VLOOKUP(L95,HealthPlanRates[],2,FALSE)*12,"Invalid code")</f>
        <v>10500</v>
      </c>
      <c r="S95" s="97">
        <f>VLOOKUP(HiddenLookupTable[[#This Row],[Years Service]],Recognition[],2,TRUE)</f>
        <v>100</v>
      </c>
    </row>
    <row r="96" spans="1:19" x14ac:dyDescent="0.35">
      <c r="A96" s="89">
        <v>1118</v>
      </c>
      <c r="B96" s="86" t="s">
        <v>236</v>
      </c>
      <c r="C96" s="91">
        <v>39125</v>
      </c>
      <c r="D96" s="91">
        <v>27222</v>
      </c>
      <c r="E96" s="92" t="s">
        <v>62</v>
      </c>
      <c r="F96" s="92" t="s">
        <v>126</v>
      </c>
      <c r="G96" s="89" t="s">
        <v>127</v>
      </c>
      <c r="H96" s="89" t="s">
        <v>134</v>
      </c>
      <c r="I96" s="89">
        <v>2</v>
      </c>
      <c r="J96" s="89" t="s">
        <v>129</v>
      </c>
      <c r="K96" s="94">
        <v>38500</v>
      </c>
      <c r="L96" s="89" t="s">
        <v>145</v>
      </c>
      <c r="M96" s="95">
        <f t="shared" si="3"/>
        <v>6</v>
      </c>
      <c r="N96" s="96">
        <f t="shared" si="4"/>
        <v>0</v>
      </c>
      <c r="O96" s="96">
        <f t="shared" si="5"/>
        <v>1155</v>
      </c>
      <c r="P96" s="96">
        <f>IF(OR(HiddenLookupTable[[#This Row],[Location]]="Home",HiddenLookupTable[[#This Row],[Job Status]]="FT"),HiddenLookupTable[[#This Row],[Annual Salary]]*0.04,HiddenLookupTable[[#This Row],[Annual Salary]]*0.025)</f>
        <v>1540</v>
      </c>
      <c r="Q96" s="97">
        <f>IF(HiddenLookupTable[[#This Row],[Pay Grade]]=1,$Y$2,IF(HiddenLookupTable[[#This Row],[Pay Grade]]=2,$Y$3,$Y$4))</f>
        <v>5000</v>
      </c>
      <c r="R96" s="97">
        <f>IFERROR(VLOOKUP(L96,HealthPlanRates[],2,FALSE)*12,"Invalid code")</f>
        <v>10500</v>
      </c>
      <c r="S96" s="97">
        <f>VLOOKUP(HiddenLookupTable[[#This Row],[Years Service]],Recognition[],2,TRUE)</f>
        <v>300</v>
      </c>
    </row>
    <row r="97" spans="1:19" x14ac:dyDescent="0.35">
      <c r="A97" s="89">
        <v>1119</v>
      </c>
      <c r="B97" s="86" t="s">
        <v>237</v>
      </c>
      <c r="C97" s="91">
        <v>39645</v>
      </c>
      <c r="D97" s="91">
        <v>25730</v>
      </c>
      <c r="E97" s="92" t="s">
        <v>62</v>
      </c>
      <c r="F97" s="92" t="s">
        <v>152</v>
      </c>
      <c r="G97" s="89" t="s">
        <v>127</v>
      </c>
      <c r="H97" s="89" t="s">
        <v>134</v>
      </c>
      <c r="I97" s="89">
        <v>1</v>
      </c>
      <c r="J97" s="89" t="s">
        <v>149</v>
      </c>
      <c r="K97" s="94">
        <v>27851</v>
      </c>
      <c r="L97" s="89" t="s">
        <v>143</v>
      </c>
      <c r="M97" s="95">
        <f t="shared" si="3"/>
        <v>4</v>
      </c>
      <c r="N97" s="96">
        <f t="shared" si="4"/>
        <v>0</v>
      </c>
      <c r="O97" s="96">
        <f t="shared" si="5"/>
        <v>835.53</v>
      </c>
      <c r="P97" s="96">
        <f>IF(OR(HiddenLookupTable[[#This Row],[Location]]="Home",HiddenLookupTable[[#This Row],[Job Status]]="FT"),HiddenLookupTable[[#This Row],[Annual Salary]]*0.04,HiddenLookupTable[[#This Row],[Annual Salary]]*0.025)</f>
        <v>1114.04</v>
      </c>
      <c r="Q97" s="97">
        <f>IF(HiddenLookupTable[[#This Row],[Pay Grade]]=1,$Y$2,IF(HiddenLookupTable[[#This Row],[Pay Grade]]=2,$Y$3,$Y$4))</f>
        <v>2750</v>
      </c>
      <c r="R97" s="97">
        <f>IFERROR(VLOOKUP(L97,HealthPlanRates[],2,FALSE)*12,"Invalid code")</f>
        <v>11400</v>
      </c>
      <c r="S97" s="97">
        <f>VLOOKUP(HiddenLookupTable[[#This Row],[Years Service]],Recognition[],2,TRUE)</f>
        <v>200</v>
      </c>
    </row>
    <row r="98" spans="1:19" x14ac:dyDescent="0.35">
      <c r="A98" s="89">
        <v>1120</v>
      </c>
      <c r="B98" s="86" t="s">
        <v>238</v>
      </c>
      <c r="C98" s="90">
        <v>41184</v>
      </c>
      <c r="D98" s="91">
        <v>24999</v>
      </c>
      <c r="E98" s="92" t="s">
        <v>125</v>
      </c>
      <c r="F98" s="92" t="s">
        <v>126</v>
      </c>
      <c r="G98" s="89" t="s">
        <v>127</v>
      </c>
      <c r="H98" s="89" t="s">
        <v>128</v>
      </c>
      <c r="I98" s="89">
        <v>3</v>
      </c>
      <c r="J98" s="89" t="s">
        <v>129</v>
      </c>
      <c r="K98" s="94">
        <v>96000</v>
      </c>
      <c r="L98" s="89" t="s">
        <v>140</v>
      </c>
      <c r="M98" s="95">
        <f t="shared" si="3"/>
        <v>0</v>
      </c>
      <c r="N98" s="96">
        <f t="shared" si="4"/>
        <v>96</v>
      </c>
      <c r="O98" s="96">
        <f t="shared" si="5"/>
        <v>0</v>
      </c>
      <c r="P98" s="96">
        <f>IF(OR(HiddenLookupTable[[#This Row],[Location]]="Home",HiddenLookupTable[[#This Row],[Job Status]]="FT"),HiddenLookupTable[[#This Row],[Annual Salary]]*0.04,HiddenLookupTable[[#This Row],[Annual Salary]]*0.025)</f>
        <v>3840</v>
      </c>
      <c r="Q98" s="97">
        <f>IF(HiddenLookupTable[[#This Row],[Pay Grade]]=1,$Y$2,IF(HiddenLookupTable[[#This Row],[Pay Grade]]=2,$Y$3,$Y$4))</f>
        <v>7500</v>
      </c>
      <c r="R98" s="97">
        <f>IFERROR(VLOOKUP(L98,HealthPlanRates[],2,FALSE)*12,"Invalid code")</f>
        <v>0</v>
      </c>
      <c r="S98" s="97">
        <f>VLOOKUP(HiddenLookupTable[[#This Row],[Years Service]],Recognition[],2,TRUE)</f>
        <v>0</v>
      </c>
    </row>
    <row r="99" spans="1:19" x14ac:dyDescent="0.35">
      <c r="A99" s="89">
        <v>1121</v>
      </c>
      <c r="B99" s="86" t="s">
        <v>239</v>
      </c>
      <c r="C99" s="91">
        <v>38397</v>
      </c>
      <c r="D99" s="91">
        <v>19419</v>
      </c>
      <c r="E99" s="92" t="s">
        <v>62</v>
      </c>
      <c r="F99" s="92" t="s">
        <v>152</v>
      </c>
      <c r="G99" s="89" t="s">
        <v>127</v>
      </c>
      <c r="H99" s="89" t="s">
        <v>134</v>
      </c>
      <c r="I99" s="89">
        <v>1</v>
      </c>
      <c r="J99" s="89" t="s">
        <v>149</v>
      </c>
      <c r="K99" s="94">
        <v>33800</v>
      </c>
      <c r="L99" s="89" t="s">
        <v>150</v>
      </c>
      <c r="M99" s="95">
        <f t="shared" si="3"/>
        <v>8</v>
      </c>
      <c r="N99" s="96">
        <f t="shared" si="4"/>
        <v>0</v>
      </c>
      <c r="O99" s="96">
        <f t="shared" si="5"/>
        <v>1014</v>
      </c>
      <c r="P99" s="96">
        <f>IF(OR(HiddenLookupTable[[#This Row],[Location]]="Home",HiddenLookupTable[[#This Row],[Job Status]]="FT"),HiddenLookupTable[[#This Row],[Annual Salary]]*0.04,HiddenLookupTable[[#This Row],[Annual Salary]]*0.025)</f>
        <v>1352</v>
      </c>
      <c r="Q99" s="97">
        <f>IF(HiddenLookupTable[[#This Row],[Pay Grade]]=1,$Y$2,IF(HiddenLookupTable[[#This Row],[Pay Grade]]=2,$Y$3,$Y$4))</f>
        <v>2750</v>
      </c>
      <c r="R99" s="97">
        <f>IFERROR(VLOOKUP(L99,HealthPlanRates[],2,FALSE)*12,"Invalid code")</f>
        <v>19800</v>
      </c>
      <c r="S99" s="97">
        <f>VLOOKUP(HiddenLookupTable[[#This Row],[Years Service]],Recognition[],2,TRUE)</f>
        <v>500</v>
      </c>
    </row>
    <row r="100" spans="1:19" x14ac:dyDescent="0.35">
      <c r="A100" s="89">
        <v>1122</v>
      </c>
      <c r="B100" s="86" t="s">
        <v>240</v>
      </c>
      <c r="C100" s="91">
        <v>37127</v>
      </c>
      <c r="D100" s="91">
        <v>24330</v>
      </c>
      <c r="E100" s="92" t="s">
        <v>62</v>
      </c>
      <c r="F100" s="92" t="s">
        <v>126</v>
      </c>
      <c r="G100" s="89" t="s">
        <v>127</v>
      </c>
      <c r="H100" s="89" t="s">
        <v>134</v>
      </c>
      <c r="I100" s="89">
        <v>1</v>
      </c>
      <c r="J100" s="89" t="s">
        <v>149</v>
      </c>
      <c r="K100" s="94">
        <v>35048</v>
      </c>
      <c r="L100" s="93" t="s">
        <v>143</v>
      </c>
      <c r="M100" s="95">
        <f t="shared" si="3"/>
        <v>11</v>
      </c>
      <c r="N100" s="96">
        <f t="shared" si="4"/>
        <v>0</v>
      </c>
      <c r="O100" s="96">
        <f t="shared" si="5"/>
        <v>1051.44</v>
      </c>
      <c r="P100" s="96">
        <f>IF(OR(HiddenLookupTable[[#This Row],[Location]]="Home",HiddenLookupTable[[#This Row],[Job Status]]="FT"),HiddenLookupTable[[#This Row],[Annual Salary]]*0.04,HiddenLookupTable[[#This Row],[Annual Salary]]*0.025)</f>
        <v>1401.92</v>
      </c>
      <c r="Q100" s="97">
        <f>IF(HiddenLookupTable[[#This Row],[Pay Grade]]=1,$Y$2,IF(HiddenLookupTable[[#This Row],[Pay Grade]]=2,$Y$3,$Y$4))</f>
        <v>2750</v>
      </c>
      <c r="R100" s="97">
        <f>IFERROR(VLOOKUP(L100,HealthPlanRates[],2,FALSE)*12,"Invalid code")</f>
        <v>11400</v>
      </c>
      <c r="S100" s="97">
        <f>VLOOKUP(HiddenLookupTable[[#This Row],[Years Service]],Recognition[],2,TRUE)</f>
        <v>500</v>
      </c>
    </row>
    <row r="101" spans="1:19" x14ac:dyDescent="0.35">
      <c r="A101" s="89">
        <v>1123</v>
      </c>
      <c r="B101" s="86" t="s">
        <v>241</v>
      </c>
      <c r="C101" s="90">
        <v>41079</v>
      </c>
      <c r="D101" s="91">
        <v>23340</v>
      </c>
      <c r="E101" s="92" t="s">
        <v>125</v>
      </c>
      <c r="F101" s="92" t="s">
        <v>126</v>
      </c>
      <c r="G101" s="89" t="s">
        <v>127</v>
      </c>
      <c r="H101" s="89" t="s">
        <v>134</v>
      </c>
      <c r="I101" s="89">
        <v>2</v>
      </c>
      <c r="J101" s="89" t="s">
        <v>129</v>
      </c>
      <c r="K101" s="94">
        <v>41000</v>
      </c>
      <c r="L101" s="89" t="s">
        <v>150</v>
      </c>
      <c r="M101" s="95">
        <f t="shared" si="3"/>
        <v>1</v>
      </c>
      <c r="N101" s="96">
        <f t="shared" si="4"/>
        <v>0</v>
      </c>
      <c r="O101" s="96">
        <f t="shared" si="5"/>
        <v>1230</v>
      </c>
      <c r="P101" s="96">
        <f>IF(OR(HiddenLookupTable[[#This Row],[Location]]="Home",HiddenLookupTable[[#This Row],[Job Status]]="FT"),HiddenLookupTable[[#This Row],[Annual Salary]]*0.04,HiddenLookupTable[[#This Row],[Annual Salary]]*0.025)</f>
        <v>1640</v>
      </c>
      <c r="Q101" s="97">
        <f>IF(HiddenLookupTable[[#This Row],[Pay Grade]]=1,$Y$2,IF(HiddenLookupTable[[#This Row],[Pay Grade]]=2,$Y$3,$Y$4))</f>
        <v>5000</v>
      </c>
      <c r="R101" s="97">
        <f>IFERROR(VLOOKUP(L101,HealthPlanRates[],2,FALSE)*12,"Invalid code")</f>
        <v>19800</v>
      </c>
      <c r="S101" s="97">
        <f>VLOOKUP(HiddenLookupTable[[#This Row],[Years Service]],Recognition[],2,TRUE)</f>
        <v>100</v>
      </c>
    </row>
  </sheetData>
  <conditionalFormatting sqref="A2:A101">
    <cfRule type="duplicateValues" dxfId="0" priority="1"/>
  </conditionalFormatting>
  <pageMargins left="0.7" right="0.7" top="0.75" bottom="0.75" header="0.3" footer="0.3"/>
  <pageSetup orientation="portrait" horizontalDpi="200" verticalDpi="20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5"/>
  <sheetViews>
    <sheetView zoomScale="80" zoomScaleNormal="80" workbookViewId="0">
      <selection activeCell="G21" sqref="G21"/>
    </sheetView>
  </sheetViews>
  <sheetFormatPr defaultColWidth="8.81640625" defaultRowHeight="12.5" x14ac:dyDescent="0.25"/>
  <cols>
    <col min="1" max="1" width="4.453125" customWidth="1"/>
    <col min="2" max="2" width="22.1796875" customWidth="1"/>
    <col min="3" max="3" width="18" customWidth="1"/>
    <col min="4" max="4" width="3.36328125" customWidth="1"/>
    <col min="5" max="5" width="17.1796875" customWidth="1"/>
    <col min="6" max="6" width="13.6328125" customWidth="1"/>
    <col min="7" max="7" width="9.81640625" customWidth="1"/>
    <col min="8" max="8" width="3.1796875" hidden="1" customWidth="1"/>
  </cols>
  <sheetData>
    <row r="1" spans="1:10" ht="23" x14ac:dyDescent="0.5">
      <c r="A1" s="140" t="s">
        <v>272</v>
      </c>
      <c r="B1" s="141"/>
      <c r="C1" s="141"/>
      <c r="D1" s="141"/>
      <c r="E1" s="141"/>
      <c r="F1" s="141"/>
      <c r="G1" s="142"/>
    </row>
    <row r="2" spans="1:10" ht="18.5" thickBot="1" x14ac:dyDescent="0.45">
      <c r="A2" s="143" t="s">
        <v>273</v>
      </c>
      <c r="B2" s="148"/>
      <c r="C2" s="148"/>
      <c r="D2" s="148"/>
      <c r="E2" s="148"/>
      <c r="F2" s="148"/>
      <c r="G2" s="149"/>
      <c r="H2" s="5"/>
    </row>
    <row r="3" spans="1:10" ht="23" x14ac:dyDescent="0.5">
      <c r="A3" s="6"/>
      <c r="B3" s="7"/>
      <c r="C3" s="7"/>
      <c r="D3" s="7"/>
      <c r="E3" s="7"/>
      <c r="F3" s="7"/>
      <c r="G3" s="7"/>
      <c r="H3" s="8"/>
    </row>
    <row r="4" spans="1:10" ht="20" x14ac:dyDescent="0.4">
      <c r="A4" s="9" t="s">
        <v>0</v>
      </c>
      <c r="B4" s="10"/>
      <c r="C4" s="10"/>
      <c r="D4" s="10"/>
      <c r="E4" s="10"/>
      <c r="F4" s="10"/>
      <c r="G4" s="10"/>
      <c r="H4" s="11"/>
    </row>
    <row r="5" spans="1:10" ht="18.5" thickBot="1" x14ac:dyDescent="0.45">
      <c r="A5" s="64" t="s">
        <v>70</v>
      </c>
      <c r="B5" s="12"/>
      <c r="C5" s="12"/>
      <c r="D5" s="12"/>
      <c r="E5" s="12"/>
      <c r="F5" s="12"/>
      <c r="G5" s="12"/>
      <c r="H5" s="13"/>
    </row>
    <row r="6" spans="1:10" ht="13" thickBot="1" x14ac:dyDescent="0.3">
      <c r="J6" s="43"/>
    </row>
    <row r="7" spans="1:10" ht="16" thickBot="1" x14ac:dyDescent="0.4">
      <c r="B7" s="180" t="s">
        <v>77</v>
      </c>
      <c r="C7" s="181"/>
    </row>
    <row r="8" spans="1:10" ht="15.5" x14ac:dyDescent="0.35">
      <c r="B8" s="150" t="s">
        <v>1</v>
      </c>
      <c r="C8" s="151" t="s">
        <v>2</v>
      </c>
    </row>
    <row r="9" spans="1:10" ht="16" thickBot="1" x14ac:dyDescent="0.4">
      <c r="B9" s="152" t="s">
        <v>79</v>
      </c>
      <c r="C9" s="153" t="s">
        <v>80</v>
      </c>
    </row>
    <row r="11" spans="1:10" ht="19.5" customHeight="1" thickBot="1" x14ac:dyDescent="0.3"/>
    <row r="12" spans="1:10" ht="15.5" x14ac:dyDescent="0.35">
      <c r="B12" s="15" t="s">
        <v>3</v>
      </c>
      <c r="C12" s="16" t="s">
        <v>4</v>
      </c>
    </row>
    <row r="13" spans="1:10" ht="15.5" x14ac:dyDescent="0.35">
      <c r="B13" s="18" t="s">
        <v>7</v>
      </c>
      <c r="C13" s="19" t="s">
        <v>8</v>
      </c>
      <c r="E13" s="154" t="s">
        <v>258</v>
      </c>
      <c r="F13" s="155"/>
      <c r="G13" s="155"/>
    </row>
    <row r="14" spans="1:10" ht="15.5" x14ac:dyDescent="0.35">
      <c r="B14" s="18" t="s">
        <v>10</v>
      </c>
      <c r="C14" s="19" t="s">
        <v>11</v>
      </c>
      <c r="E14" s="154" t="s">
        <v>278</v>
      </c>
      <c r="F14" s="155"/>
      <c r="G14" s="155"/>
    </row>
    <row r="15" spans="1:10" ht="15.5" x14ac:dyDescent="0.35">
      <c r="B15" s="18" t="s">
        <v>13</v>
      </c>
      <c r="C15" s="19" t="s">
        <v>14</v>
      </c>
      <c r="E15" s="118"/>
      <c r="F15" s="105"/>
      <c r="G15" s="105"/>
    </row>
    <row r="16" spans="1:10" ht="15.5" x14ac:dyDescent="0.35">
      <c r="B16" s="76" t="s">
        <v>15</v>
      </c>
      <c r="C16" s="19" t="s">
        <v>16</v>
      </c>
      <c r="E16" s="118"/>
      <c r="F16" s="105"/>
      <c r="G16" s="105"/>
    </row>
    <row r="17" spans="2:7" ht="15.5" x14ac:dyDescent="0.35">
      <c r="B17" s="18" t="s">
        <v>17</v>
      </c>
      <c r="C17" s="19" t="s">
        <v>18</v>
      </c>
    </row>
    <row r="18" spans="2:7" ht="15.5" x14ac:dyDescent="0.35">
      <c r="B18" s="18" t="s">
        <v>19</v>
      </c>
      <c r="C18" s="19" t="s">
        <v>20</v>
      </c>
      <c r="E18" s="17" t="s">
        <v>5</v>
      </c>
      <c r="F18" s="17" t="s">
        <v>6</v>
      </c>
    </row>
    <row r="19" spans="2:7" ht="15.5" x14ac:dyDescent="0.35">
      <c r="B19" s="18" t="s">
        <v>21</v>
      </c>
      <c r="C19" s="19" t="s">
        <v>22</v>
      </c>
      <c r="E19" s="42" t="s">
        <v>9</v>
      </c>
      <c r="F19" s="44" t="str">
        <f>VLOOKUP(E19,B$12:C$25,2)</f>
        <v>475-1797</v>
      </c>
    </row>
    <row r="20" spans="2:7" ht="15.5" x14ac:dyDescent="0.35">
      <c r="B20" s="47" t="s">
        <v>9</v>
      </c>
      <c r="C20" s="48" t="s">
        <v>23</v>
      </c>
      <c r="E20" s="42" t="s">
        <v>26</v>
      </c>
      <c r="F20" s="44" t="str">
        <f>VLOOKUP(E20,B$12:C$25,2)</f>
        <v>417-5732</v>
      </c>
    </row>
    <row r="21" spans="2:7" ht="15.5" x14ac:dyDescent="0.35">
      <c r="B21" s="18" t="s">
        <v>24</v>
      </c>
      <c r="C21" s="19" t="s">
        <v>25</v>
      </c>
      <c r="E21" s="42" t="s">
        <v>12</v>
      </c>
      <c r="F21" s="44"/>
      <c r="G21" t="s">
        <v>302</v>
      </c>
    </row>
    <row r="22" spans="2:7" ht="15.5" x14ac:dyDescent="0.35">
      <c r="B22" s="47" t="s">
        <v>26</v>
      </c>
      <c r="C22" s="48" t="s">
        <v>27</v>
      </c>
    </row>
    <row r="23" spans="2:7" ht="15.5" x14ac:dyDescent="0.35">
      <c r="B23" s="76" t="s">
        <v>26</v>
      </c>
      <c r="C23" s="19" t="s">
        <v>49</v>
      </c>
    </row>
    <row r="24" spans="2:7" ht="15.5" x14ac:dyDescent="0.35">
      <c r="B24" s="18" t="s">
        <v>28</v>
      </c>
      <c r="C24" s="19" t="s">
        <v>29</v>
      </c>
    </row>
    <row r="25" spans="2:7" ht="16" thickBot="1" x14ac:dyDescent="0.4">
      <c r="B25" s="20" t="s">
        <v>30</v>
      </c>
      <c r="C25" s="21" t="s">
        <v>31</v>
      </c>
    </row>
  </sheetData>
  <mergeCells count="1">
    <mergeCell ref="B7:C7"/>
  </mergeCells>
  <printOptions gridLines="1" gridLinesSet="0"/>
  <pageMargins left="0.75" right="0.75" top="1" bottom="1" header="0.5" footer="0.5"/>
  <pageSetup orientation="portrait" horizontalDpi="300" verticalDpi="300" r:id="rId1"/>
  <headerFooter alignWithMargins="0">
    <oddHeader>&amp;A</oddHeader>
    <oddFooter>Page &amp;P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topLeftCell="A119" zoomScaleNormal="100" workbookViewId="0">
      <selection activeCell="O140" sqref="O140"/>
    </sheetView>
  </sheetViews>
  <sheetFormatPr defaultColWidth="9.1796875" defaultRowHeight="12.5" x14ac:dyDescent="0.25"/>
  <cols>
    <col min="1" max="1" width="4.453125" style="156" customWidth="1"/>
    <col min="2" max="2" width="22.1796875" style="156" customWidth="1"/>
    <col min="3" max="3" width="15.453125" style="156" customWidth="1"/>
    <col min="4" max="4" width="3.36328125" style="156" customWidth="1"/>
    <col min="5" max="5" width="17.1796875" style="156" customWidth="1"/>
    <col min="6" max="6" width="13.6328125" style="156" customWidth="1"/>
    <col min="7" max="7" width="8.36328125" style="156" customWidth="1"/>
    <col min="8" max="8" width="3.1796875" style="156" hidden="1" customWidth="1"/>
    <col min="9" max="16384" width="9.1796875" style="156"/>
  </cols>
  <sheetData>
    <row r="1" spans="1:10" ht="23" x14ac:dyDescent="0.5">
      <c r="A1" s="184" t="s">
        <v>59</v>
      </c>
      <c r="B1" s="185"/>
      <c r="C1" s="185"/>
      <c r="D1" s="185"/>
      <c r="E1" s="185"/>
      <c r="F1" s="185"/>
      <c r="G1" s="185"/>
      <c r="H1" s="185"/>
      <c r="I1" s="185"/>
      <c r="J1" s="186"/>
    </row>
    <row r="2" spans="1:10" ht="23.5" thickBot="1" x14ac:dyDescent="0.55000000000000004">
      <c r="A2" s="187" t="s">
        <v>286</v>
      </c>
      <c r="B2" s="188"/>
      <c r="C2" s="188"/>
      <c r="D2" s="188"/>
      <c r="E2" s="188"/>
      <c r="F2" s="188"/>
      <c r="G2" s="188"/>
      <c r="H2" s="188"/>
      <c r="I2" s="188"/>
      <c r="J2" s="189"/>
    </row>
  </sheetData>
  <mergeCells count="2">
    <mergeCell ref="A1:J1"/>
    <mergeCell ref="A2:J2"/>
  </mergeCells>
  <phoneticPr fontId="0" type="noConversion"/>
  <printOptions gridLines="1" gridLinesSet="0"/>
  <pageMargins left="0.75" right="0.75" top="1" bottom="1" header="0.5" footer="0.5"/>
  <pageSetup orientation="portrait" horizontalDpi="300" verticalDpi="300" r:id="rId1"/>
  <headerFooter alignWithMargins="0">
    <oddHeader>&amp;A</oddHeader>
    <oddFooter>Page &amp;P</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8"/>
  <sheetViews>
    <sheetView topLeftCell="A4" workbookViewId="0">
      <selection activeCell="M22" sqref="M22"/>
    </sheetView>
  </sheetViews>
  <sheetFormatPr defaultColWidth="8.81640625" defaultRowHeight="12.5" x14ac:dyDescent="0.25"/>
  <cols>
    <col min="1" max="1" width="4.453125" customWidth="1"/>
    <col min="2" max="2" width="22.1796875" customWidth="1"/>
    <col min="3" max="3" width="18" customWidth="1"/>
    <col min="4" max="4" width="3.36328125" customWidth="1"/>
    <col min="5" max="5" width="17.1796875" customWidth="1"/>
    <col min="6" max="6" width="13.6328125" customWidth="1"/>
    <col min="7" max="7" width="9.81640625" customWidth="1"/>
    <col min="8" max="8" width="3.1796875" hidden="1" customWidth="1"/>
  </cols>
  <sheetData>
    <row r="1" spans="1:10" ht="23" x14ac:dyDescent="0.5">
      <c r="A1" s="184" t="s">
        <v>251</v>
      </c>
      <c r="B1" s="185"/>
      <c r="C1" s="185"/>
      <c r="D1" s="185"/>
      <c r="E1" s="185"/>
      <c r="F1" s="185"/>
      <c r="G1" s="186"/>
    </row>
    <row r="2" spans="1:10" ht="23.5" thickBot="1" x14ac:dyDescent="0.55000000000000004">
      <c r="A2" s="157" t="s">
        <v>85</v>
      </c>
      <c r="B2" s="148"/>
      <c r="C2" s="148"/>
      <c r="D2" s="148"/>
      <c r="E2" s="148"/>
      <c r="F2" s="148"/>
      <c r="G2" s="149"/>
      <c r="H2" s="5"/>
    </row>
    <row r="3" spans="1:10" ht="23" x14ac:dyDescent="0.5">
      <c r="A3" s="6"/>
      <c r="B3" s="7"/>
      <c r="C3" s="7"/>
      <c r="D3" s="7"/>
      <c r="E3" s="7"/>
      <c r="F3" s="7"/>
      <c r="G3" s="7"/>
      <c r="H3" s="8"/>
    </row>
    <row r="4" spans="1:10" ht="20" x14ac:dyDescent="0.4">
      <c r="A4" s="9" t="s">
        <v>256</v>
      </c>
      <c r="B4" s="10"/>
      <c r="C4" s="10"/>
      <c r="D4" s="10"/>
      <c r="E4" s="10"/>
      <c r="F4" s="10"/>
      <c r="G4" s="10"/>
      <c r="H4" s="11"/>
    </row>
    <row r="5" spans="1:10" ht="18.5" thickBot="1" x14ac:dyDescent="0.45">
      <c r="A5" s="64" t="s">
        <v>70</v>
      </c>
      <c r="B5" s="12"/>
      <c r="C5" s="12"/>
      <c r="D5" s="12"/>
      <c r="E5" s="12"/>
      <c r="F5" s="12"/>
      <c r="G5" s="12"/>
      <c r="H5" s="13"/>
    </row>
    <row r="6" spans="1:10" x14ac:dyDescent="0.25">
      <c r="J6" s="43"/>
    </row>
    <row r="7" spans="1:10" x14ac:dyDescent="0.25">
      <c r="J7" s="43"/>
    </row>
    <row r="8" spans="1:10" x14ac:dyDescent="0.25">
      <c r="J8" s="43"/>
    </row>
    <row r="9" spans="1:10" ht="13" thickBot="1" x14ac:dyDescent="0.3">
      <c r="J9" s="43"/>
    </row>
    <row r="10" spans="1:10" ht="16" thickBot="1" x14ac:dyDescent="0.4">
      <c r="B10" s="180" t="s">
        <v>77</v>
      </c>
      <c r="C10" s="181"/>
    </row>
    <row r="11" spans="1:10" ht="15.5" x14ac:dyDescent="0.35">
      <c r="B11" s="73" t="s">
        <v>1</v>
      </c>
      <c r="C11" s="71" t="s">
        <v>2</v>
      </c>
    </row>
    <row r="12" spans="1:10" ht="16" thickBot="1" x14ac:dyDescent="0.4">
      <c r="B12" s="74" t="s">
        <v>79</v>
      </c>
      <c r="C12" s="72" t="s">
        <v>80</v>
      </c>
    </row>
    <row r="14" spans="1:10" ht="13" thickBot="1" x14ac:dyDescent="0.3"/>
    <row r="15" spans="1:10" ht="15.5" x14ac:dyDescent="0.35">
      <c r="B15" s="15" t="s">
        <v>3</v>
      </c>
      <c r="C15" s="16" t="s">
        <v>4</v>
      </c>
      <c r="E15" s="154" t="s">
        <v>258</v>
      </c>
      <c r="F15" s="155"/>
      <c r="G15" s="155"/>
    </row>
    <row r="16" spans="1:10" ht="15.5" x14ac:dyDescent="0.35">
      <c r="B16" s="18" t="s">
        <v>7</v>
      </c>
      <c r="C16" s="19" t="s">
        <v>8</v>
      </c>
      <c r="E16" s="154" t="s">
        <v>250</v>
      </c>
      <c r="F16" s="155"/>
      <c r="G16" s="155"/>
    </row>
    <row r="17" spans="2:6" ht="15.5" x14ac:dyDescent="0.35">
      <c r="B17" s="18" t="s">
        <v>10</v>
      </c>
      <c r="C17" s="19" t="s">
        <v>11</v>
      </c>
    </row>
    <row r="18" spans="2:6" ht="15.5" x14ac:dyDescent="0.35">
      <c r="B18" s="18" t="s">
        <v>13</v>
      </c>
      <c r="C18" s="19" t="s">
        <v>14</v>
      </c>
      <c r="E18" s="17" t="s">
        <v>5</v>
      </c>
      <c r="F18" s="17" t="s">
        <v>6</v>
      </c>
    </row>
    <row r="19" spans="2:6" ht="15.5" x14ac:dyDescent="0.35">
      <c r="B19" s="76" t="s">
        <v>15</v>
      </c>
      <c r="C19" s="19" t="s">
        <v>16</v>
      </c>
      <c r="E19" s="42" t="s">
        <v>9</v>
      </c>
      <c r="F19" s="44" t="str">
        <f>VLOOKUP(E19, $B$15:$C$28,2,FALSE)</f>
        <v>475-1797</v>
      </c>
    </row>
    <row r="20" spans="2:6" ht="15.5" x14ac:dyDescent="0.35">
      <c r="B20" s="18" t="s">
        <v>17</v>
      </c>
      <c r="C20" s="19" t="s">
        <v>18</v>
      </c>
      <c r="E20" s="42" t="s">
        <v>26</v>
      </c>
      <c r="F20" s="44" t="str">
        <f>VLOOKUP(E20,B15:C28,2,FALSE)</f>
        <v>483-2078</v>
      </c>
    </row>
    <row r="21" spans="2:6" ht="15.5" x14ac:dyDescent="0.35">
      <c r="B21" s="18" t="s">
        <v>19</v>
      </c>
      <c r="C21" s="19" t="s">
        <v>20</v>
      </c>
      <c r="E21" s="158" t="s">
        <v>12</v>
      </c>
      <c r="F21" s="44" t="e">
        <f t="shared" ref="F21" si="0">VLOOKUP(E21, $B$15:$C$28,2,FALSE)</f>
        <v>#N/A</v>
      </c>
    </row>
    <row r="22" spans="2:6" ht="15.5" x14ac:dyDescent="0.35">
      <c r="B22" s="18" t="s">
        <v>21</v>
      </c>
      <c r="C22" s="19" t="s">
        <v>22</v>
      </c>
    </row>
    <row r="23" spans="2:6" ht="15.5" x14ac:dyDescent="0.35">
      <c r="B23" s="47" t="s">
        <v>9</v>
      </c>
      <c r="C23" s="48" t="s">
        <v>23</v>
      </c>
    </row>
    <row r="24" spans="2:6" ht="15.5" x14ac:dyDescent="0.35">
      <c r="B24" s="18" t="s">
        <v>24</v>
      </c>
      <c r="C24" s="19" t="s">
        <v>25</v>
      </c>
    </row>
    <row r="25" spans="2:6" ht="15.5" x14ac:dyDescent="0.35">
      <c r="B25" s="47" t="s">
        <v>26</v>
      </c>
      <c r="C25" s="48" t="s">
        <v>27</v>
      </c>
    </row>
    <row r="26" spans="2:6" ht="15.5" x14ac:dyDescent="0.35">
      <c r="B26" s="76" t="s">
        <v>26</v>
      </c>
      <c r="C26" s="19" t="s">
        <v>49</v>
      </c>
    </row>
    <row r="27" spans="2:6" ht="15.5" x14ac:dyDescent="0.35">
      <c r="B27" s="18" t="s">
        <v>28</v>
      </c>
      <c r="C27" s="19" t="s">
        <v>29</v>
      </c>
    </row>
    <row r="28" spans="2:6" ht="16" thickBot="1" x14ac:dyDescent="0.4">
      <c r="B28" s="20" t="s">
        <v>30</v>
      </c>
      <c r="C28" s="21" t="s">
        <v>31</v>
      </c>
    </row>
  </sheetData>
  <mergeCells count="2">
    <mergeCell ref="B10:C10"/>
    <mergeCell ref="A1:G1"/>
  </mergeCells>
  <printOptions gridLines="1" gridLinesSet="0"/>
  <pageMargins left="0.75" right="0.75" top="1" bottom="1" header="0.5" footer="0.5"/>
  <pageSetup orientation="portrait" horizontalDpi="300" verticalDpi="300" r:id="rId1"/>
  <headerFooter alignWithMargins="0">
    <oddHeader>&amp;A</oddHeader>
    <oddFooter>Page &amp;P</oddFoot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7"/>
  <sheetViews>
    <sheetView showGridLines="0" topLeftCell="A2" workbookViewId="0">
      <selection activeCell="P15" sqref="P15"/>
    </sheetView>
  </sheetViews>
  <sheetFormatPr defaultColWidth="9.1796875" defaultRowHeight="12.5" x14ac:dyDescent="0.25"/>
  <cols>
    <col min="1" max="9" width="9.1796875" style="156"/>
    <col min="10" max="10" width="17.1796875" style="156" customWidth="1"/>
    <col min="11" max="16384" width="9.1796875" style="156"/>
  </cols>
  <sheetData>
    <row r="1" spans="1:15" ht="25" x14ac:dyDescent="0.5">
      <c r="A1" s="190" t="s">
        <v>101</v>
      </c>
      <c r="B1" s="191"/>
      <c r="C1" s="191"/>
      <c r="D1" s="191"/>
      <c r="E1" s="191"/>
      <c r="F1" s="191"/>
      <c r="G1" s="191"/>
      <c r="H1" s="191"/>
      <c r="I1" s="191"/>
      <c r="J1" s="192"/>
    </row>
    <row r="6" spans="1:15" x14ac:dyDescent="0.25">
      <c r="L6" s="105"/>
      <c r="M6" s="105"/>
      <c r="N6" s="105"/>
      <c r="O6" s="105"/>
    </row>
    <row r="7" spans="1:15" x14ac:dyDescent="0.25">
      <c r="L7" s="105" t="e">
        <f>9/0</f>
        <v>#DIV/0!</v>
      </c>
      <c r="M7" s="105"/>
      <c r="N7" s="105"/>
      <c r="O7" s="105"/>
    </row>
    <row r="8" spans="1:15" x14ac:dyDescent="0.25">
      <c r="L8" s="105"/>
      <c r="M8" s="105"/>
      <c r="N8" s="105"/>
      <c r="O8" s="105"/>
    </row>
    <row r="9" spans="1:15" x14ac:dyDescent="0.25">
      <c r="L9" s="105"/>
      <c r="M9" s="105"/>
      <c r="N9" s="105"/>
      <c r="O9" s="105"/>
    </row>
    <row r="10" spans="1:15" x14ac:dyDescent="0.25">
      <c r="L10" s="105"/>
      <c r="M10" s="105"/>
      <c r="N10" s="105"/>
      <c r="O10" s="105"/>
    </row>
    <row r="11" spans="1:15" x14ac:dyDescent="0.25">
      <c r="L11" s="105"/>
      <c r="M11" s="105"/>
      <c r="N11" s="105"/>
      <c r="O11" s="105"/>
    </row>
    <row r="12" spans="1:15" x14ac:dyDescent="0.25">
      <c r="L12" s="105"/>
      <c r="M12" s="105"/>
      <c r="N12" s="105"/>
      <c r="O12" s="105"/>
    </row>
    <row r="13" spans="1:15" x14ac:dyDescent="0.25">
      <c r="L13" s="105"/>
      <c r="M13" s="105"/>
      <c r="N13" s="105"/>
      <c r="O13" s="105"/>
    </row>
    <row r="14" spans="1:15" x14ac:dyDescent="0.25">
      <c r="L14" s="105"/>
      <c r="M14" s="105"/>
      <c r="N14" s="105"/>
      <c r="O14" s="105"/>
    </row>
    <row r="15" spans="1:15" x14ac:dyDescent="0.25">
      <c r="L15" s="105"/>
      <c r="M15" s="105"/>
      <c r="N15" s="105"/>
      <c r="O15" s="105"/>
    </row>
    <row r="16" spans="1:15" x14ac:dyDescent="0.25">
      <c r="L16" s="105"/>
      <c r="M16" s="105"/>
      <c r="N16" s="105"/>
      <c r="O16" s="105"/>
    </row>
    <row r="17" spans="12:15" x14ac:dyDescent="0.25">
      <c r="L17" s="105"/>
      <c r="M17" s="105"/>
      <c r="N17" s="105"/>
      <c r="O17" s="105"/>
    </row>
  </sheetData>
  <mergeCells count="1">
    <mergeCell ref="A1:J1"/>
  </mergeCells>
  <phoneticPr fontId="24" type="noConversion"/>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67"/>
  <sheetViews>
    <sheetView showGridLines="0" topLeftCell="B8" workbookViewId="0">
      <selection activeCell="J20" sqref="J20"/>
    </sheetView>
  </sheetViews>
  <sheetFormatPr defaultColWidth="9.1796875" defaultRowHeight="12.5" x14ac:dyDescent="0.25"/>
  <cols>
    <col min="1" max="1" width="9.1796875" style="69"/>
    <col min="2" max="2" width="22.6328125" style="69" customWidth="1"/>
    <col min="3" max="3" width="11" style="69" bestFit="1" customWidth="1"/>
    <col min="4" max="4" width="9.1796875" style="69"/>
    <col min="5" max="5" width="17.6328125" style="69" customWidth="1"/>
    <col min="6" max="6" width="10" style="69" bestFit="1" customWidth="1"/>
    <col min="7" max="7" width="9.1796875" style="69"/>
    <col min="8" max="9" width="10.36328125" style="69" customWidth="1"/>
    <col min="10" max="10" width="9.1796875" style="69"/>
    <col min="11" max="11" width="17" style="69" bestFit="1" customWidth="1"/>
    <col min="12" max="12" width="39" style="69" bestFit="1" customWidth="1"/>
    <col min="13" max="16384" width="9.1796875" style="69"/>
  </cols>
  <sheetData>
    <row r="1" spans="1:8" ht="25" x14ac:dyDescent="0.5">
      <c r="A1" s="194" t="s">
        <v>99</v>
      </c>
      <c r="B1" s="195"/>
      <c r="C1" s="195"/>
      <c r="D1" s="195"/>
      <c r="E1" s="195"/>
      <c r="F1" s="195"/>
      <c r="G1" s="195"/>
      <c r="H1" s="196"/>
    </row>
    <row r="2" spans="1:8" ht="23.5" thickBot="1" x14ac:dyDescent="0.55000000000000004">
      <c r="A2" s="197" t="s">
        <v>261</v>
      </c>
      <c r="B2" s="198"/>
      <c r="C2" s="198"/>
      <c r="D2" s="198"/>
      <c r="E2" s="198"/>
      <c r="F2" s="198"/>
      <c r="G2" s="198"/>
      <c r="H2" s="199"/>
    </row>
    <row r="17" spans="10:12" x14ac:dyDescent="0.25">
      <c r="J17" s="105"/>
      <c r="K17" s="105" t="s">
        <v>303</v>
      </c>
      <c r="L17" s="105"/>
    </row>
    <row r="18" spans="10:12" x14ac:dyDescent="0.25">
      <c r="J18" s="105"/>
      <c r="K18" s="105"/>
      <c r="L18" s="105"/>
    </row>
    <row r="19" spans="10:12" x14ac:dyDescent="0.25">
      <c r="J19" s="105">
        <v>0</v>
      </c>
      <c r="K19" s="105"/>
      <c r="L19" s="105"/>
    </row>
    <row r="20" spans="10:12" x14ac:dyDescent="0.25">
      <c r="J20" s="105"/>
      <c r="K20" s="105" t="b">
        <f>IF(J19 &lt;= -1,TRUE,FALSE)</f>
        <v>0</v>
      </c>
      <c r="L20" s="105"/>
    </row>
    <row r="21" spans="10:12" x14ac:dyDescent="0.25">
      <c r="J21" s="105"/>
      <c r="K21" s="105"/>
      <c r="L21" s="105"/>
    </row>
    <row r="22" spans="10:12" x14ac:dyDescent="0.25">
      <c r="J22" s="105"/>
      <c r="K22" s="105" t="str">
        <f>IFERROR("a"/0,"cannot divide string by number")</f>
        <v>cannot divide string by number</v>
      </c>
      <c r="L22" s="105"/>
    </row>
    <row r="23" spans="10:12" x14ac:dyDescent="0.25">
      <c r="J23" s="105"/>
      <c r="K23" s="105"/>
      <c r="L23" s="105"/>
    </row>
    <row r="24" spans="10:12" x14ac:dyDescent="0.25">
      <c r="J24" s="105"/>
      <c r="K24" s="105"/>
      <c r="L24" s="105"/>
    </row>
    <row r="25" spans="10:12" x14ac:dyDescent="0.25">
      <c r="J25" s="105"/>
      <c r="K25" s="105"/>
      <c r="L25" s="105"/>
    </row>
    <row r="53" spans="2:16" ht="13" thickBot="1" x14ac:dyDescent="0.3"/>
    <row r="54" spans="2:16" ht="15.5" x14ac:dyDescent="0.35">
      <c r="B54" s="15" t="s">
        <v>3</v>
      </c>
      <c r="C54" s="16" t="s">
        <v>4</v>
      </c>
      <c r="D54"/>
      <c r="E54"/>
      <c r="F54"/>
      <c r="G54"/>
      <c r="H54" s="105"/>
      <c r="I54" s="105"/>
      <c r="J54" s="121"/>
      <c r="K54" s="121"/>
      <c r="L54" s="121"/>
      <c r="M54" s="121"/>
      <c r="N54" s="121"/>
      <c r="O54" s="121"/>
      <c r="P54" s="121"/>
    </row>
    <row r="55" spans="2:16" ht="15.5" x14ac:dyDescent="0.35">
      <c r="B55" s="18" t="s">
        <v>7</v>
      </c>
      <c r="C55" s="19" t="s">
        <v>8</v>
      </c>
      <c r="D55"/>
      <c r="E55"/>
      <c r="F55"/>
      <c r="G55"/>
      <c r="H55" s="105"/>
      <c r="I55" s="105"/>
      <c r="J55" s="121"/>
      <c r="K55" s="121"/>
      <c r="L55" s="121"/>
      <c r="M55" s="121"/>
      <c r="N55" s="121"/>
      <c r="O55" s="121"/>
      <c r="P55" s="121"/>
    </row>
    <row r="56" spans="2:16" ht="16.5" x14ac:dyDescent="0.35">
      <c r="B56" s="18" t="s">
        <v>10</v>
      </c>
      <c r="C56" s="19" t="s">
        <v>11</v>
      </c>
      <c r="D56"/>
      <c r="E56" s="193" t="s">
        <v>252</v>
      </c>
      <c r="F56" s="193"/>
      <c r="G56"/>
      <c r="H56" s="105"/>
      <c r="I56" s="105"/>
      <c r="J56" s="121"/>
      <c r="K56" s="121"/>
      <c r="L56" s="121"/>
      <c r="M56" s="121"/>
      <c r="N56" s="121"/>
      <c r="O56" s="121"/>
      <c r="P56" s="121"/>
    </row>
    <row r="57" spans="2:16" ht="15.5" x14ac:dyDescent="0.35">
      <c r="B57" s="18" t="s">
        <v>13</v>
      </c>
      <c r="C57" s="19" t="s">
        <v>14</v>
      </c>
      <c r="D57"/>
      <c r="E57" s="17" t="s">
        <v>5</v>
      </c>
      <c r="F57" s="17" t="s">
        <v>6</v>
      </c>
      <c r="G57"/>
      <c r="H57" s="105"/>
      <c r="I57" s="105"/>
      <c r="J57" s="121"/>
      <c r="K57" s="121"/>
      <c r="L57" s="121"/>
      <c r="M57" s="121"/>
      <c r="N57" s="121"/>
      <c r="O57" s="121"/>
      <c r="P57" s="121"/>
    </row>
    <row r="58" spans="2:16" ht="15.5" x14ac:dyDescent="0.35">
      <c r="B58" s="76" t="s">
        <v>15</v>
      </c>
      <c r="C58" s="19" t="s">
        <v>16</v>
      </c>
      <c r="D58"/>
      <c r="E58" s="42" t="s">
        <v>9</v>
      </c>
      <c r="F58" s="44" t="str">
        <f>VLOOKUP(E58, $B$54:$C$67,2,FALSE)</f>
        <v>475-1797</v>
      </c>
      <c r="G58"/>
      <c r="H58" s="105"/>
      <c r="I58" s="105"/>
      <c r="J58" s="121"/>
      <c r="K58" s="121"/>
      <c r="L58" s="121"/>
      <c r="M58" s="121"/>
      <c r="N58" s="121"/>
      <c r="O58" s="121"/>
      <c r="P58" s="121"/>
    </row>
    <row r="59" spans="2:16" ht="15.5" x14ac:dyDescent="0.35">
      <c r="B59" s="18" t="s">
        <v>17</v>
      </c>
      <c r="C59" s="19" t="s">
        <v>18</v>
      </c>
      <c r="D59"/>
      <c r="E59" s="42" t="s">
        <v>26</v>
      </c>
      <c r="F59" s="44" t="str">
        <f>VLOOKUP(E59, $B$54:$C$67,2,FALSE)</f>
        <v>483-2078</v>
      </c>
      <c r="G59"/>
      <c r="H59" s="105"/>
      <c r="I59" s="105"/>
      <c r="J59" s="121"/>
      <c r="K59" s="121"/>
      <c r="L59" s="121"/>
      <c r="M59" s="121"/>
      <c r="N59" s="121"/>
      <c r="O59" s="121"/>
      <c r="P59" s="121"/>
    </row>
    <row r="60" spans="2:16" ht="15.5" x14ac:dyDescent="0.35">
      <c r="B60" s="18" t="s">
        <v>19</v>
      </c>
      <c r="C60" s="19" t="s">
        <v>20</v>
      </c>
      <c r="D60"/>
      <c r="E60" s="42" t="s">
        <v>12</v>
      </c>
      <c r="F60" s="44" t="e">
        <f>VLOOKUP(E60, $B$54:$C$67,2,FALSE)</f>
        <v>#N/A</v>
      </c>
      <c r="G60"/>
      <c r="H60" s="105"/>
      <c r="I60" s="105"/>
      <c r="J60" s="121"/>
      <c r="K60" s="121"/>
      <c r="L60" s="121"/>
      <c r="M60" s="121"/>
      <c r="N60" s="121"/>
      <c r="O60" s="121"/>
      <c r="P60" s="121"/>
    </row>
    <row r="61" spans="2:16" ht="15.5" x14ac:dyDescent="0.35">
      <c r="B61" s="18" t="s">
        <v>21</v>
      </c>
      <c r="C61" s="19" t="s">
        <v>22</v>
      </c>
      <c r="D61"/>
      <c r="E61"/>
      <c r="F61"/>
      <c r="G61"/>
      <c r="H61" s="105"/>
      <c r="I61" s="105"/>
      <c r="J61" s="121"/>
      <c r="K61" s="121"/>
      <c r="L61" s="121"/>
      <c r="M61" s="121"/>
      <c r="N61" s="121"/>
      <c r="O61" s="121"/>
      <c r="P61" s="121"/>
    </row>
    <row r="62" spans="2:16" ht="16.5" x14ac:dyDescent="0.35">
      <c r="B62" s="47" t="s">
        <v>9</v>
      </c>
      <c r="C62" s="48" t="s">
        <v>23</v>
      </c>
      <c r="D62"/>
      <c r="E62" s="193" t="s">
        <v>253</v>
      </c>
      <c r="F62" s="193"/>
      <c r="G62"/>
      <c r="H62" s="105"/>
      <c r="I62" s="105"/>
      <c r="J62" s="121"/>
      <c r="K62" s="193" t="s">
        <v>279</v>
      </c>
      <c r="L62" s="193"/>
      <c r="M62" s="121"/>
      <c r="N62" s="121"/>
      <c r="O62" s="121"/>
      <c r="P62" s="121"/>
    </row>
    <row r="63" spans="2:16" ht="15.5" x14ac:dyDescent="0.35">
      <c r="B63" s="18" t="s">
        <v>24</v>
      </c>
      <c r="C63" s="19" t="s">
        <v>25</v>
      </c>
      <c r="D63"/>
      <c r="E63" s="17" t="s">
        <v>5</v>
      </c>
      <c r="F63" s="17" t="s">
        <v>6</v>
      </c>
      <c r="G63"/>
      <c r="H63" s="105"/>
      <c r="I63" s="105"/>
      <c r="J63" s="121"/>
      <c r="K63" s="17" t="s">
        <v>5</v>
      </c>
      <c r="L63" s="17" t="s">
        <v>6</v>
      </c>
      <c r="M63" s="121"/>
      <c r="N63" s="121"/>
      <c r="O63" s="121"/>
      <c r="P63" s="121"/>
    </row>
    <row r="64" spans="2:16" ht="15.5" x14ac:dyDescent="0.35">
      <c r="B64" s="47" t="s">
        <v>26</v>
      </c>
      <c r="C64" s="48" t="s">
        <v>27</v>
      </c>
      <c r="D64"/>
      <c r="E64" s="42" t="s">
        <v>9</v>
      </c>
      <c r="F64" s="44"/>
      <c r="G64"/>
      <c r="H64" s="105"/>
      <c r="I64" s="105"/>
      <c r="J64" s="121"/>
      <c r="K64" s="42" t="s">
        <v>9</v>
      </c>
      <c r="L64" s="44" t="str">
        <f>IFERROR(VLOOKUP(K64, $B$54:$C$67,2,FALSE), "The name is not in the phone book.")</f>
        <v>475-1797</v>
      </c>
      <c r="M64" s="121"/>
      <c r="N64" s="121"/>
      <c r="O64" s="121"/>
      <c r="P64" s="121"/>
    </row>
    <row r="65" spans="2:16" ht="15.5" x14ac:dyDescent="0.35">
      <c r="B65" s="76" t="s">
        <v>26</v>
      </c>
      <c r="C65" s="19" t="s">
        <v>49</v>
      </c>
      <c r="D65"/>
      <c r="E65" s="42" t="s">
        <v>26</v>
      </c>
      <c r="F65" s="44"/>
      <c r="G65"/>
      <c r="H65" s="105"/>
      <c r="I65" s="105"/>
      <c r="J65" s="121"/>
      <c r="K65" s="42" t="s">
        <v>26</v>
      </c>
      <c r="L65" s="44" t="str">
        <f>IFERROR(VLOOKUP(K65, $B$54:$C$67,2,FALSE), "The name is not in the phone book.")</f>
        <v>483-2078</v>
      </c>
      <c r="M65" s="121"/>
      <c r="N65" s="121"/>
      <c r="O65" s="121"/>
      <c r="P65" s="121"/>
    </row>
    <row r="66" spans="2:16" ht="15.5" x14ac:dyDescent="0.35">
      <c r="B66" s="18" t="s">
        <v>28</v>
      </c>
      <c r="C66" s="19" t="s">
        <v>29</v>
      </c>
      <c r="D66"/>
      <c r="E66" s="42" t="s">
        <v>12</v>
      </c>
      <c r="F66" s="104"/>
      <c r="G66"/>
      <c r="H66" s="105"/>
      <c r="I66" s="105"/>
      <c r="J66" s="121"/>
      <c r="K66" s="42" t="s">
        <v>12</v>
      </c>
      <c r="L66" s="104" t="str">
        <f>IFERROR(VLOOKUP(K66, $B$54:$C$67,2,FALSE), "The name is not in the phone book.")</f>
        <v>The name is not in the phone book.</v>
      </c>
      <c r="M66" s="121"/>
      <c r="N66" s="121"/>
      <c r="O66" s="121"/>
      <c r="P66" s="121"/>
    </row>
    <row r="67" spans="2:16" ht="16" thickBot="1" x14ac:dyDescent="0.4">
      <c r="B67" s="20" t="s">
        <v>30</v>
      </c>
      <c r="C67" s="21" t="s">
        <v>31</v>
      </c>
      <c r="D67"/>
      <c r="E67"/>
      <c r="F67"/>
      <c r="G67"/>
      <c r="H67" s="105"/>
      <c r="I67" s="105"/>
      <c r="J67" s="121"/>
      <c r="K67" s="121"/>
      <c r="L67" s="121"/>
      <c r="M67" s="121"/>
      <c r="N67" s="121"/>
      <c r="O67" s="121"/>
      <c r="P67" s="121"/>
    </row>
  </sheetData>
  <mergeCells count="5">
    <mergeCell ref="E62:F62"/>
    <mergeCell ref="A1:H1"/>
    <mergeCell ref="A2:H2"/>
    <mergeCell ref="E56:F56"/>
    <mergeCell ref="K62:L62"/>
  </mergeCells>
  <pageMargins left="0.75" right="0.75" top="1" bottom="1" header="0.5" footer="0.5"/>
  <pageSetup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85B0-DB26-41F4-AF26-B956B128BB90}">
  <dimension ref="A1"/>
  <sheetViews>
    <sheetView workbookViewId="0"/>
  </sheetViews>
  <sheetFormatPr defaultRowHeight="12.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31"/>
  <sheetViews>
    <sheetView topLeftCell="A16" workbookViewId="0">
      <selection activeCell="C26" sqref="C26"/>
    </sheetView>
  </sheetViews>
  <sheetFormatPr defaultColWidth="8.81640625" defaultRowHeight="12.5" x14ac:dyDescent="0.25"/>
  <cols>
    <col min="2" max="2" width="16.453125" customWidth="1"/>
    <col min="3" max="3" width="11.453125" customWidth="1"/>
    <col min="4" max="4" width="14.81640625" customWidth="1"/>
    <col min="5" max="5" width="18.453125" customWidth="1"/>
    <col min="7" max="7" width="3.1796875" customWidth="1"/>
  </cols>
  <sheetData>
    <row r="1" spans="1:8" ht="23" x14ac:dyDescent="0.5">
      <c r="A1" s="140" t="s">
        <v>287</v>
      </c>
      <c r="B1" s="141"/>
      <c r="C1" s="141"/>
      <c r="D1" s="141"/>
      <c r="E1" s="141"/>
      <c r="F1" s="141"/>
      <c r="G1" s="138"/>
      <c r="H1" s="24"/>
    </row>
    <row r="2" spans="1:8" ht="23.5" thickBot="1" x14ac:dyDescent="0.55000000000000004">
      <c r="A2" s="157" t="s">
        <v>288</v>
      </c>
      <c r="B2" s="144"/>
      <c r="C2" s="144"/>
      <c r="D2" s="144"/>
      <c r="E2" s="144"/>
      <c r="F2" s="144"/>
      <c r="G2" s="139"/>
      <c r="H2" s="24"/>
    </row>
    <row r="5" spans="1:8" ht="15.5" x14ac:dyDescent="0.35">
      <c r="B5" s="200" t="s">
        <v>77</v>
      </c>
      <c r="C5" s="200"/>
      <c r="D5" s="200"/>
      <c r="E5" s="200"/>
    </row>
    <row r="6" spans="1:8" ht="15.5" x14ac:dyDescent="0.35">
      <c r="B6" s="116" t="s">
        <v>1</v>
      </c>
      <c r="C6" s="116" t="s">
        <v>2</v>
      </c>
      <c r="D6" s="116" t="s">
        <v>32</v>
      </c>
      <c r="E6" s="116" t="s">
        <v>78</v>
      </c>
    </row>
    <row r="7" spans="1:8" ht="16" thickBot="1" x14ac:dyDescent="0.4">
      <c r="B7" s="62" t="s">
        <v>33</v>
      </c>
      <c r="C7" s="62" t="s">
        <v>34</v>
      </c>
      <c r="D7" s="63" t="s">
        <v>35</v>
      </c>
      <c r="E7" s="62" t="s">
        <v>36</v>
      </c>
    </row>
    <row r="8" spans="1:8" ht="16" thickBot="1" x14ac:dyDescent="0.4">
      <c r="B8" s="60">
        <v>14685</v>
      </c>
      <c r="C8" s="61">
        <v>2.75</v>
      </c>
      <c r="D8" s="25">
        <v>4.5</v>
      </c>
      <c r="E8" s="26" t="s">
        <v>37</v>
      </c>
    </row>
    <row r="9" spans="1:8" ht="15.5" x14ac:dyDescent="0.35">
      <c r="B9" s="27">
        <v>15237</v>
      </c>
      <c r="C9" s="28">
        <v>1.9</v>
      </c>
      <c r="D9" s="28">
        <v>3.8</v>
      </c>
      <c r="E9" s="29" t="s">
        <v>38</v>
      </c>
    </row>
    <row r="10" spans="1:8" ht="15.5" x14ac:dyDescent="0.35">
      <c r="B10" s="30">
        <v>16743</v>
      </c>
      <c r="C10" s="28">
        <v>3.9</v>
      </c>
      <c r="D10" s="28">
        <v>6.25</v>
      </c>
      <c r="E10" s="31" t="s">
        <v>39</v>
      </c>
    </row>
    <row r="11" spans="1:8" ht="15.5" x14ac:dyDescent="0.35">
      <c r="B11" s="27">
        <v>17663</v>
      </c>
      <c r="C11" s="28">
        <v>3.25</v>
      </c>
      <c r="D11" s="28">
        <v>5.95</v>
      </c>
      <c r="E11" s="29" t="s">
        <v>40</v>
      </c>
    </row>
    <row r="12" spans="1:8" ht="16" thickBot="1" x14ac:dyDescent="0.4">
      <c r="B12" s="58">
        <v>18659</v>
      </c>
      <c r="C12" s="32">
        <v>4.0999999999999996</v>
      </c>
      <c r="D12" s="59">
        <v>7.5</v>
      </c>
      <c r="E12" s="33" t="s">
        <v>41</v>
      </c>
    </row>
    <row r="14" spans="1:8" ht="18" x14ac:dyDescent="0.4">
      <c r="B14" s="201" t="s">
        <v>56</v>
      </c>
      <c r="C14" s="201"/>
      <c r="D14" s="201"/>
      <c r="E14" s="201"/>
    </row>
    <row r="15" spans="1:8" ht="18.5" thickBot="1" x14ac:dyDescent="0.45">
      <c r="B15" s="2"/>
      <c r="C15" s="2"/>
      <c r="D15" s="2"/>
      <c r="E15" s="2"/>
    </row>
    <row r="16" spans="1:8" ht="18.5" thickBot="1" x14ac:dyDescent="0.45">
      <c r="B16" s="41" t="s">
        <v>50</v>
      </c>
      <c r="C16" s="117" t="str">
        <f>VLOOKUP(B10,B8:E12,4)</f>
        <v>Morning Delight</v>
      </c>
      <c r="D16" s="67"/>
      <c r="E16" s="3"/>
    </row>
    <row r="17" spans="2:5" ht="18" x14ac:dyDescent="0.4">
      <c r="B17" s="2"/>
      <c r="E17" s="3"/>
    </row>
    <row r="18" spans="2:5" ht="18" x14ac:dyDescent="0.4">
      <c r="B18" s="2"/>
      <c r="E18" s="3"/>
    </row>
    <row r="19" spans="2:5" ht="18" x14ac:dyDescent="0.4">
      <c r="B19" s="201" t="s">
        <v>57</v>
      </c>
      <c r="C19" s="201"/>
      <c r="D19" s="201"/>
      <c r="E19" s="201"/>
    </row>
    <row r="20" spans="2:5" ht="18.5" thickBot="1" x14ac:dyDescent="0.45">
      <c r="B20" s="2"/>
      <c r="E20" s="3"/>
    </row>
    <row r="21" spans="2:5" ht="18.5" thickBot="1" x14ac:dyDescent="0.45">
      <c r="B21" s="41" t="s">
        <v>50</v>
      </c>
      <c r="C21" s="68">
        <f>VLOOKUP(B12,B8:E12,3)</f>
        <v>7.5</v>
      </c>
    </row>
    <row r="22" spans="2:5" ht="18" x14ac:dyDescent="0.4">
      <c r="B22" s="2"/>
    </row>
    <row r="23" spans="2:5" ht="17.5" x14ac:dyDescent="0.35">
      <c r="B23" s="34"/>
    </row>
    <row r="24" spans="2:5" ht="18" x14ac:dyDescent="0.4">
      <c r="B24" s="201" t="s">
        <v>61</v>
      </c>
      <c r="C24" s="201"/>
      <c r="D24" s="201"/>
      <c r="E24" s="201"/>
    </row>
    <row r="25" spans="2:5" ht="18.5" thickBot="1" x14ac:dyDescent="0.45">
      <c r="B25" s="2"/>
    </row>
    <row r="26" spans="2:5" ht="18.5" thickBot="1" x14ac:dyDescent="0.45">
      <c r="B26" s="41" t="s">
        <v>50</v>
      </c>
      <c r="C26" s="68">
        <f>VLOOKUP(B8,B8:E12,2)</f>
        <v>2.75</v>
      </c>
    </row>
    <row r="27" spans="2:5" ht="18" x14ac:dyDescent="0.4">
      <c r="B27" s="2"/>
    </row>
    <row r="29" spans="2:5" ht="18" x14ac:dyDescent="0.4">
      <c r="B29" s="201" t="s">
        <v>73</v>
      </c>
      <c r="C29" s="201"/>
      <c r="D29" s="201"/>
      <c r="E29" s="201"/>
    </row>
    <row r="30" spans="2:5" ht="18.5" thickBot="1" x14ac:dyDescent="0.45">
      <c r="B30" s="2"/>
    </row>
    <row r="31" spans="2:5" ht="18.5" thickBot="1" x14ac:dyDescent="0.45">
      <c r="B31" s="41" t="s">
        <v>50</v>
      </c>
      <c r="C31" s="108"/>
    </row>
  </sheetData>
  <mergeCells count="5">
    <mergeCell ref="B5:E5"/>
    <mergeCell ref="B14:E14"/>
    <mergeCell ref="B19:E19"/>
    <mergeCell ref="B24:E24"/>
    <mergeCell ref="B29:E2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Table Lookups</vt:lpstr>
      <vt:lpstr>Miniature Phone Book</vt:lpstr>
      <vt:lpstr>Phone Book Example</vt:lpstr>
      <vt:lpstr>VLOOKUP Screen Captures</vt:lpstr>
      <vt:lpstr>Phone Book Example Solved</vt:lpstr>
      <vt:lpstr>Error-Code Summary</vt:lpstr>
      <vt:lpstr>The IFERROR Function</vt:lpstr>
      <vt:lpstr>Sheet1</vt:lpstr>
      <vt:lpstr>VLOOKUP Example 2</vt:lpstr>
      <vt:lpstr>VLOOKUP Example 2 Solved</vt:lpstr>
      <vt:lpstr>HLOOKUP Example</vt:lpstr>
      <vt:lpstr>An Interval Search Example</vt:lpstr>
      <vt:lpstr>More About the Example</vt:lpstr>
      <vt:lpstr>Implementation of the Example</vt:lpstr>
      <vt:lpstr>Completion of the Example</vt:lpstr>
      <vt:lpstr>LOOKUP Function</vt:lpstr>
      <vt:lpstr>VLOOKUP #1 at Talent Tracs</vt:lpstr>
      <vt:lpstr>VLOOKUP #1 in Employee Data</vt:lpstr>
      <vt:lpstr>VLOOKUP #2 at Talent Tracs</vt:lpstr>
      <vt:lpstr>VLOOKUP #2 in Employee Data</vt:lpstr>
      <vt:lpstr>An Excel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Case Problem 4</dc:title>
  <dc:subject/>
  <dc:creator> </dc:creator>
  <cp:keywords/>
  <dc:description/>
  <cp:lastModifiedBy>User</cp:lastModifiedBy>
  <dcterms:created xsi:type="dcterms:W3CDTF">1996-03-13T20:03:41Z</dcterms:created>
  <dcterms:modified xsi:type="dcterms:W3CDTF">2022-04-02T05:12:45Z</dcterms:modified>
  <cp:category/>
</cp:coreProperties>
</file>