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/Desktop/GitHub/STARS/energy and climate/OP 5-6/"/>
    </mc:Choice>
  </mc:AlternateContent>
  <xr:revisionPtr revIDLastSave="0" documentId="13_ncr:1_{D10BD272-ED3A-4A40-921D-69F01979E04D}" xr6:coauthVersionLast="47" xr6:coauthVersionMax="47" xr10:uidLastSave="{00000000-0000-0000-0000-000000000000}"/>
  <bookViews>
    <workbookView xWindow="4380" yWindow="1100" windowWidth="27240" windowHeight="16440" xr2:uid="{A8C8CE63-09ED-AA40-BDD6-B11C770C4FEB}"/>
  </bookViews>
  <sheets>
    <sheet name="Summa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2" l="1"/>
  <c r="I52" i="2"/>
  <c r="H52" i="2"/>
  <c r="F52" i="2"/>
  <c r="E52" i="2"/>
  <c r="D52" i="2"/>
  <c r="C52" i="2"/>
  <c r="N52" i="2" s="1"/>
  <c r="I51" i="2"/>
  <c r="H51" i="2"/>
  <c r="F51" i="2"/>
  <c r="D51" i="2"/>
  <c r="C51" i="2"/>
  <c r="L50" i="2"/>
  <c r="L51" i="2" s="1"/>
  <c r="K50" i="2"/>
  <c r="K51" i="2" s="1"/>
  <c r="J50" i="2"/>
  <c r="J51" i="2" s="1"/>
  <c r="G50" i="2"/>
  <c r="G52" i="2" s="1"/>
  <c r="E50" i="2"/>
  <c r="E51" i="2" s="1"/>
  <c r="D50" i="2"/>
  <c r="C50" i="2"/>
  <c r="I49" i="2"/>
  <c r="H49" i="2"/>
  <c r="F49" i="2"/>
  <c r="E49" i="2"/>
  <c r="D49" i="2"/>
  <c r="C49" i="2"/>
  <c r="N49" i="2" s="1"/>
  <c r="I48" i="2"/>
  <c r="H48" i="2"/>
  <c r="F48" i="2"/>
  <c r="D48" i="2"/>
  <c r="C48" i="2"/>
  <c r="N48" i="2" s="1"/>
  <c r="L47" i="2"/>
  <c r="L48" i="2" s="1"/>
  <c r="K47" i="2"/>
  <c r="K48" i="2" s="1"/>
  <c r="J47" i="2"/>
  <c r="J49" i="2" s="1"/>
  <c r="E47" i="2"/>
  <c r="E48" i="2" s="1"/>
  <c r="D47" i="2"/>
  <c r="C47" i="2"/>
  <c r="I46" i="2"/>
  <c r="H46" i="2"/>
  <c r="G46" i="2"/>
  <c r="F46" i="2"/>
  <c r="E46" i="2"/>
  <c r="D46" i="2"/>
  <c r="C46" i="2"/>
  <c r="N46" i="2" s="1"/>
  <c r="J45" i="2"/>
  <c r="I45" i="2"/>
  <c r="H45" i="2"/>
  <c r="F45" i="2"/>
  <c r="E45" i="2"/>
  <c r="D45" i="2"/>
  <c r="C45" i="2"/>
  <c r="L44" i="2"/>
  <c r="L45" i="2" s="1"/>
  <c r="K44" i="2"/>
  <c r="K45" i="2" s="1"/>
  <c r="J44" i="2"/>
  <c r="M45" i="2" s="1"/>
  <c r="G44" i="2"/>
  <c r="G45" i="2" s="1"/>
  <c r="E44" i="2"/>
  <c r="D44" i="2"/>
  <c r="C44" i="2"/>
  <c r="I43" i="2"/>
  <c r="H43" i="2"/>
  <c r="G43" i="2"/>
  <c r="F43" i="2"/>
  <c r="E43" i="2"/>
  <c r="M42" i="2"/>
  <c r="L42" i="2"/>
  <c r="K42" i="2"/>
  <c r="J42" i="2"/>
  <c r="O42" i="2" s="1"/>
  <c r="I42" i="2"/>
  <c r="H42" i="2"/>
  <c r="F42" i="2"/>
  <c r="E42" i="2"/>
  <c r="D42" i="2"/>
  <c r="C42" i="2"/>
  <c r="N42" i="2" s="1"/>
  <c r="P42" i="2" s="1"/>
  <c r="B60" i="2" s="1"/>
  <c r="C60" i="2" s="1"/>
  <c r="L41" i="2"/>
  <c r="K41" i="2"/>
  <c r="K43" i="2" s="1"/>
  <c r="J41" i="2"/>
  <c r="J43" i="2" s="1"/>
  <c r="G41" i="2"/>
  <c r="G42" i="2" s="1"/>
  <c r="E41" i="2"/>
  <c r="D41" i="2"/>
  <c r="D43" i="2" s="1"/>
  <c r="C41" i="2"/>
  <c r="C43" i="2" s="1"/>
  <c r="N43" i="2" s="1"/>
  <c r="I40" i="2"/>
  <c r="H40" i="2"/>
  <c r="G40" i="2"/>
  <c r="F40" i="2"/>
  <c r="M39" i="2"/>
  <c r="L39" i="2"/>
  <c r="I39" i="2"/>
  <c r="H39" i="2"/>
  <c r="F39" i="2"/>
  <c r="E39" i="2"/>
  <c r="L38" i="2"/>
  <c r="K38" i="2"/>
  <c r="K39" i="2" s="1"/>
  <c r="J38" i="2"/>
  <c r="J39" i="2" s="1"/>
  <c r="O39" i="2" s="1"/>
  <c r="G38" i="2"/>
  <c r="G39" i="2" s="1"/>
  <c r="E38" i="2"/>
  <c r="E40" i="2" s="1"/>
  <c r="D38" i="2"/>
  <c r="D40" i="2" s="1"/>
  <c r="C38" i="2"/>
  <c r="C39" i="2" s="1"/>
  <c r="I37" i="2"/>
  <c r="H37" i="2"/>
  <c r="F37" i="2"/>
  <c r="D37" i="2"/>
  <c r="C37" i="2"/>
  <c r="I36" i="2"/>
  <c r="H36" i="2"/>
  <c r="F36" i="2"/>
  <c r="D36" i="2"/>
  <c r="C36" i="2"/>
  <c r="L35" i="2"/>
  <c r="L36" i="2" s="1"/>
  <c r="K35" i="2"/>
  <c r="K37" i="2" s="1"/>
  <c r="J35" i="2"/>
  <c r="M36" i="2" s="1"/>
  <c r="G35" i="2"/>
  <c r="G37" i="2" s="1"/>
  <c r="E35" i="2"/>
  <c r="E36" i="2" s="1"/>
  <c r="D35" i="2"/>
  <c r="C35" i="2"/>
  <c r="I34" i="2"/>
  <c r="H34" i="2"/>
  <c r="G34" i="2"/>
  <c r="F34" i="2"/>
  <c r="E34" i="2"/>
  <c r="D34" i="2"/>
  <c r="C34" i="2"/>
  <c r="N34" i="2" s="1"/>
  <c r="J33" i="2"/>
  <c r="I33" i="2"/>
  <c r="H33" i="2"/>
  <c r="F33" i="2"/>
  <c r="E33" i="2"/>
  <c r="D33" i="2"/>
  <c r="C33" i="2"/>
  <c r="N33" i="2" s="1"/>
  <c r="L32" i="2"/>
  <c r="L33" i="2" s="1"/>
  <c r="K32" i="2"/>
  <c r="K33" i="2" s="1"/>
  <c r="J32" i="2"/>
  <c r="M33" i="2" s="1"/>
  <c r="G32" i="2"/>
  <c r="G33" i="2" s="1"/>
  <c r="E32" i="2"/>
  <c r="D32" i="2"/>
  <c r="C32" i="2"/>
  <c r="G29" i="2"/>
  <c r="Q24" i="2"/>
  <c r="Q21" i="2"/>
  <c r="Q18" i="2"/>
  <c r="Q15" i="2"/>
  <c r="Q12" i="2"/>
  <c r="Q9" i="2"/>
  <c r="Q6" i="2"/>
  <c r="Q3" i="2"/>
  <c r="O45" i="2" l="1"/>
  <c r="N45" i="2"/>
  <c r="P45" i="2" s="1"/>
  <c r="B61" i="2" s="1"/>
  <c r="C61" i="2" s="1"/>
  <c r="M43" i="2"/>
  <c r="O43" i="2" s="1"/>
  <c r="P43" i="2" s="1"/>
  <c r="D60" i="2" s="1"/>
  <c r="E60" i="2" s="1"/>
  <c r="O33" i="2"/>
  <c r="P33" i="2" s="1"/>
  <c r="B57" i="2" s="1"/>
  <c r="C57" i="2" s="1"/>
  <c r="M49" i="2"/>
  <c r="K46" i="2"/>
  <c r="J36" i="2"/>
  <c r="J40" i="2"/>
  <c r="J34" i="2"/>
  <c r="D39" i="2"/>
  <c r="N39" i="2" s="1"/>
  <c r="P39" i="2" s="1"/>
  <c r="B59" i="2" s="1"/>
  <c r="C59" i="2" s="1"/>
  <c r="J46" i="2"/>
  <c r="K49" i="2"/>
  <c r="O49" i="2" s="1"/>
  <c r="P49" i="2" s="1"/>
  <c r="D62" i="2" s="1"/>
  <c r="E62" i="2" s="1"/>
  <c r="G51" i="2"/>
  <c r="N51" i="2" s="1"/>
  <c r="K34" i="2"/>
  <c r="K36" i="2"/>
  <c r="E37" i="2"/>
  <c r="N37" i="2" s="1"/>
  <c r="C40" i="2"/>
  <c r="N40" i="2" s="1"/>
  <c r="K40" i="2"/>
  <c r="M48" i="2"/>
  <c r="J52" i="2"/>
  <c r="J48" i="2"/>
  <c r="O48" i="2" s="1"/>
  <c r="P48" i="2" s="1"/>
  <c r="B62" i="2" s="1"/>
  <c r="C62" i="2" s="1"/>
  <c r="M51" i="2"/>
  <c r="O51" i="2" s="1"/>
  <c r="G36" i="2"/>
  <c r="N36" i="2" s="1"/>
  <c r="J37" i="2"/>
  <c r="K52" i="2"/>
  <c r="P51" i="2" l="1"/>
  <c r="B63" i="2" s="1"/>
  <c r="C63" i="2" s="1"/>
  <c r="B71" i="2"/>
  <c r="C71" i="2" s="1"/>
  <c r="C72" i="2" s="1"/>
  <c r="B68" i="2"/>
  <c r="C68" i="2" s="1"/>
  <c r="C69" i="2" s="1"/>
  <c r="P40" i="2"/>
  <c r="D59" i="2" s="1"/>
  <c r="E59" i="2" s="1"/>
  <c r="M34" i="2"/>
  <c r="O34" i="2" s="1"/>
  <c r="P34" i="2" s="1"/>
  <c r="D57" i="2" s="1"/>
  <c r="M37" i="2"/>
  <c r="O37" i="2" s="1"/>
  <c r="P37" i="2" s="1"/>
  <c r="D58" i="2" s="1"/>
  <c r="E58" i="2" s="1"/>
  <c r="M40" i="2"/>
  <c r="O40" i="2"/>
  <c r="O36" i="2"/>
  <c r="P36" i="2" s="1"/>
  <c r="B58" i="2" s="1"/>
  <c r="C58" i="2" s="1"/>
  <c r="M52" i="2"/>
  <c r="O52" i="2"/>
  <c r="P52" i="2" s="1"/>
  <c r="D63" i="2" s="1"/>
  <c r="E63" i="2" s="1"/>
  <c r="M46" i="2"/>
  <c r="O46" i="2" s="1"/>
  <c r="P46" i="2" s="1"/>
  <c r="D61" i="2" s="1"/>
  <c r="E61" i="2" s="1"/>
  <c r="D71" i="2" l="1"/>
  <c r="E71" i="2" s="1"/>
  <c r="E72" i="2" s="1"/>
  <c r="D68" i="2"/>
  <c r="E68" i="2" s="1"/>
  <c r="E69" i="2" s="1"/>
  <c r="E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2" authorId="0" shapeId="0" xr:uid="{D38998F4-B166-9849-807F-57F3293124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Got directly from SCott needs to be fully updated
</t>
        </r>
      </text>
    </comment>
  </commentList>
</comments>
</file>

<file path=xl/sharedStrings.xml><?xml version="1.0" encoding="utf-8"?>
<sst xmlns="http://schemas.openxmlformats.org/spreadsheetml/2006/main" count="117" uniqueCount="68">
  <si>
    <t>Summary</t>
  </si>
  <si>
    <t>Year</t>
  </si>
  <si>
    <t>Date</t>
  </si>
  <si>
    <t>NG Small (therms)</t>
  </si>
  <si>
    <t>NG Cogen (therms)</t>
  </si>
  <si>
    <t>NG Main (therms)</t>
  </si>
  <si>
    <t>EL Small (kWh)</t>
  </si>
  <si>
    <t>EL Main (kWh)</t>
  </si>
  <si>
    <t>EL Produced - Total</t>
  </si>
  <si>
    <t>CTG</t>
  </si>
  <si>
    <t xml:space="preserve"> STG</t>
  </si>
  <si>
    <t>CFD</t>
  </si>
  <si>
    <t>Oil/Diesel (gallons)</t>
  </si>
  <si>
    <t>Propane (gallons)</t>
  </si>
  <si>
    <t>Wood Pellets (tons)</t>
  </si>
  <si>
    <t>Water/Sewer (ccf)</t>
  </si>
  <si>
    <t>CO2 lbs/Mwh</t>
  </si>
  <si>
    <t>Co2 MT/MWh</t>
  </si>
  <si>
    <t>FY23</t>
  </si>
  <si>
    <t>FY22</t>
  </si>
  <si>
    <t>FY21</t>
  </si>
  <si>
    <t>FY20</t>
  </si>
  <si>
    <t>FY19</t>
  </si>
  <si>
    <t>FY18</t>
  </si>
  <si>
    <t>FY17</t>
  </si>
  <si>
    <t>FY16</t>
  </si>
  <si>
    <t>EMISSIONS FACTORS</t>
  </si>
  <si>
    <t>Distillate Oil #2 (gallons)</t>
  </si>
  <si>
    <t>Natural Gas (Dth)</t>
  </si>
  <si>
    <t>Residual Oil #6 (gallons)</t>
  </si>
  <si>
    <t>Diesel (gallons)</t>
  </si>
  <si>
    <t>Gasoline (gallons)</t>
  </si>
  <si>
    <t>Purchased Electricity (Main)</t>
  </si>
  <si>
    <t>Purchased Electricity (non-main)</t>
  </si>
  <si>
    <t>Transmission Loss (EL)</t>
  </si>
  <si>
    <t>Unit</t>
  </si>
  <si>
    <t>gal</t>
  </si>
  <si>
    <t>Dth</t>
  </si>
  <si>
    <t>lb</t>
  </si>
  <si>
    <t>MWh</t>
  </si>
  <si>
    <t>MT CO2e/ Unit</t>
  </si>
  <si>
    <t>Kbtu/Unit</t>
  </si>
  <si>
    <t>Scope 1 Subtotal</t>
  </si>
  <si>
    <t>Scope 2 Subtotal</t>
  </si>
  <si>
    <t>FY Totals</t>
  </si>
  <si>
    <t>FY 23</t>
  </si>
  <si>
    <t>Value</t>
  </si>
  <si>
    <t>Kbtu</t>
  </si>
  <si>
    <t>MT CO2e</t>
  </si>
  <si>
    <t>FY 22</t>
  </si>
  <si>
    <t xml:space="preserve"> Kbtu </t>
  </si>
  <si>
    <t>FY 21</t>
  </si>
  <si>
    <t>FY 20</t>
  </si>
  <si>
    <t>FY 19</t>
  </si>
  <si>
    <t>FY 18</t>
  </si>
  <si>
    <t>FY 17</t>
  </si>
  <si>
    <t>kWh</t>
  </si>
  <si>
    <t>MT CO2</t>
  </si>
  <si>
    <t>kg CO2</t>
  </si>
  <si>
    <t>STARS 3.0 Point Estimation</t>
  </si>
  <si>
    <t>building area (gsm)</t>
  </si>
  <si>
    <t>kWh/sq meter</t>
  </si>
  <si>
    <t>points</t>
  </si>
  <si>
    <t>kg/sq meter</t>
  </si>
  <si>
    <t>fte (students + staff)</t>
  </si>
  <si>
    <t>kWh/person</t>
  </si>
  <si>
    <t>kg/person</t>
  </si>
  <si>
    <t>Estimation by Sara (1/21/24)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</si>
</sst>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0.000"/>
    <numFmt numFmtId="167" formatCode="0.0000"/>
    <numFmt numFmtId="168" formatCode="_-* #,##0.00_-;\-* #,##0.00_-;_-* &quot;-&quot;??_-;_-@_-"/>
    <numFmt numFmtId="169" formatCode="_-* #,##0_-;\-* #,##0_-;_-* &quot;-&quot;??_-;_-@_-"/>
  </numFmts>
  <fonts count="14">
    <font>
      <sz val="10"/>
      <color rgb="FF000000"/>
      <name val="Calibri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000000"/>
      <name val="Avenir Next Medium"/>
      <family val="2"/>
    </font>
    <font>
      <sz val="10"/>
      <color rgb="FF000000"/>
      <name val="Avenir Next Regular"/>
    </font>
    <font>
      <sz val="10"/>
      <color theme="1"/>
      <name val="Avenir Next Regular"/>
    </font>
    <font>
      <sz val="11"/>
      <color rgb="FF000000"/>
      <name val="Avenir Next Regular"/>
    </font>
    <font>
      <b/>
      <sz val="10"/>
      <name val="Calibri"/>
      <family val="2"/>
    </font>
    <font>
      <sz val="10"/>
      <name val="Avenir Next Regula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10"/>
      <name val="Avenir Next Regular"/>
    </font>
    <font>
      <sz val="12"/>
      <color rgb="FF000000"/>
      <name val="Calibri"/>
      <family val="2"/>
    </font>
    <font>
      <sz val="11"/>
      <color theme="1"/>
      <name val="Avenir Next Regula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theme="3" tint="0.34998626667073579"/>
      </left>
      <right style="thin">
        <color theme="3" tint="0.34998626667073579"/>
      </right>
      <top style="thin">
        <color theme="3" tint="0.34998626667073579"/>
      </top>
      <bottom style="thin">
        <color theme="3" tint="0.34998626667073579"/>
      </bottom>
      <diagonal/>
    </border>
    <border>
      <left/>
      <right style="thin">
        <color theme="2" tint="-0.14999847407452621"/>
      </right>
      <top style="thin">
        <color theme="3" tint="0.34998626667073579"/>
      </top>
      <bottom style="thin">
        <color theme="3" tint="0.34998626667073579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3" tint="0.34998626667073579"/>
      </top>
      <bottom style="thin">
        <color theme="3" tint="0.34998626667073579"/>
      </bottom>
      <diagonal/>
    </border>
    <border>
      <left style="thin">
        <color theme="2" tint="-0.14999847407452621"/>
      </left>
      <right style="thin">
        <color theme="3" tint="0.34998626667073579"/>
      </right>
      <top style="thin">
        <color theme="3" tint="0.34998626667073579"/>
      </top>
      <bottom style="thin">
        <color theme="3" tint="0.34998626667073579"/>
      </bottom>
      <diagonal/>
    </border>
    <border>
      <left style="thin">
        <color theme="3" tint="0.34998626667073579"/>
      </left>
      <right style="thin">
        <color theme="3" tint="0.34998626667073579"/>
      </right>
      <top/>
      <bottom style="thin">
        <color theme="2" tint="-0.14999847407452621"/>
      </bottom>
      <diagonal/>
    </border>
    <border>
      <left/>
      <right style="thin">
        <color theme="2" tint="-0.14999847407452621"/>
      </right>
      <top/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3" tint="0.34998626667073579"/>
      </right>
      <top/>
      <bottom style="thin">
        <color theme="2" tint="-0.14999847407452621"/>
      </bottom>
      <diagonal/>
    </border>
    <border>
      <left style="thin">
        <color theme="3" tint="0.34998626667073579"/>
      </left>
      <right style="thin">
        <color theme="3" tint="0.34998626667073579"/>
      </right>
      <top style="thin">
        <color theme="2" tint="-0.14999847407452621"/>
      </top>
      <bottom style="thin">
        <color theme="2" tint="-0.14999847407452621"/>
      </bottom>
      <diagonal/>
    </border>
    <border>
      <left/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3" tint="0.34998626667073579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4.9989318521683403E-2"/>
      </left>
      <right/>
      <top/>
      <bottom style="thin">
        <color theme="2" tint="-4.9989318521683403E-2"/>
      </bottom>
      <diagonal/>
    </border>
    <border>
      <left style="thin">
        <color theme="3" tint="0.34998626667073579"/>
      </left>
      <right style="thin">
        <color theme="3" tint="0.34998626667073579"/>
      </right>
      <top style="thin">
        <color theme="2" tint="-0.14999847407452621"/>
      </top>
      <bottom style="thin">
        <color theme="3" tint="0.34998626667073579"/>
      </bottom>
      <diagonal/>
    </border>
    <border>
      <left/>
      <right style="thin">
        <color theme="2" tint="-0.14999847407452621"/>
      </right>
      <top style="thin">
        <color theme="2" tint="-0.14999847407452621"/>
      </top>
      <bottom style="thin">
        <color theme="3" tint="0.34998626667073579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3" tint="0.34998626667073579"/>
      </bottom>
      <diagonal/>
    </border>
    <border>
      <left style="thin">
        <color theme="2" tint="-0.14999847407452621"/>
      </left>
      <right style="thin">
        <color theme="3" tint="0.34998626667073579"/>
      </right>
      <top style="thin">
        <color theme="2" tint="-0.14999847407452621"/>
      </top>
      <bottom style="thin">
        <color theme="3" tint="0.34998626667073579"/>
      </bottom>
      <diagonal/>
    </border>
    <border>
      <left/>
      <right/>
      <top style="thin">
        <color theme="2" tint="-0.14999847407452621"/>
      </top>
      <bottom/>
      <diagonal/>
    </border>
    <border>
      <left/>
      <right/>
      <top/>
      <bottom style="thin">
        <color theme="3" tint="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theme="3" tint="0.3499862666707357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3" tint="0.34998626667073579"/>
      </left>
      <right/>
      <top style="thin">
        <color theme="3" tint="0.34998626667073579"/>
      </top>
      <bottom style="thin">
        <color theme="3" tint="0.34998626667073579"/>
      </bottom>
      <diagonal/>
    </border>
    <border>
      <left/>
      <right/>
      <top style="thin">
        <color theme="3" tint="0.34998626667073579"/>
      </top>
      <bottom style="thin">
        <color theme="3" tint="0.34998626667073579"/>
      </bottom>
      <diagonal/>
    </border>
    <border>
      <left/>
      <right style="thin">
        <color theme="3" tint="0.34998626667073579"/>
      </right>
      <top style="thin">
        <color theme="3" tint="0.34998626667073579"/>
      </top>
      <bottom style="thin">
        <color theme="3" tint="0.34998626667073579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3" tint="0.34998626667073579"/>
      </left>
      <right/>
      <top/>
      <bottom/>
      <diagonal/>
    </border>
    <border>
      <left/>
      <right style="thin">
        <color theme="3" tint="0.34998626667073579"/>
      </right>
      <top/>
      <bottom/>
      <diagonal/>
    </border>
    <border>
      <left style="thin">
        <color theme="3" tint="0.34998626667073579"/>
      </left>
      <right/>
      <top/>
      <bottom style="thin">
        <color theme="3" tint="0.34998626667073579"/>
      </bottom>
      <diagonal/>
    </border>
    <border>
      <left/>
      <right style="thin">
        <color theme="3" tint="0.34998626667073579"/>
      </right>
      <top/>
      <bottom style="thin">
        <color theme="3" tint="0.34998626667073579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3" tint="0.249977111117893"/>
      </bottom>
      <diagonal/>
    </border>
    <border>
      <left style="thin">
        <color theme="3" tint="0.34998626667073579"/>
      </left>
      <right style="thin">
        <color theme="3" tint="0.499984740745262"/>
      </right>
      <top style="thin">
        <color theme="3" tint="0.34998626667073579"/>
      </top>
      <bottom/>
      <diagonal/>
    </border>
    <border>
      <left/>
      <right style="thin">
        <color theme="3" tint="0.34998626667073579"/>
      </right>
      <top style="thin">
        <color theme="3" tint="0.34998626667073579"/>
      </top>
      <bottom/>
      <diagonal/>
    </border>
    <border>
      <left style="thin">
        <color theme="3" tint="0.34998626667073579"/>
      </left>
      <right style="thin">
        <color theme="3" tint="0.499984740745262"/>
      </right>
      <top/>
      <bottom/>
      <diagonal/>
    </border>
    <border>
      <left style="thin">
        <color theme="3" tint="0.34998626667073579"/>
      </left>
      <right style="thin">
        <color theme="3" tint="0.499984740745262"/>
      </right>
      <top/>
      <bottom style="thin">
        <color theme="3" tint="0.34998626667073579"/>
      </bottom>
      <diagonal/>
    </border>
    <border>
      <left style="thin">
        <color theme="3" tint="0.249977111117893"/>
      </left>
      <right style="thin">
        <color theme="3" tint="0.499984740745262"/>
      </right>
      <top style="thin">
        <color theme="3" tint="0.249977111117893"/>
      </top>
      <bottom style="thin">
        <color theme="2" tint="-0.14999847407452621"/>
      </bottom>
      <diagonal/>
    </border>
    <border>
      <left style="thin">
        <color theme="3" tint="0.499984740745262"/>
      </left>
      <right/>
      <top style="thin">
        <color theme="3" tint="0.249977111117893"/>
      </top>
      <bottom/>
      <diagonal/>
    </border>
    <border>
      <left/>
      <right/>
      <top style="thin">
        <color theme="3" tint="0.249977111117893"/>
      </top>
      <bottom/>
      <diagonal/>
    </border>
    <border>
      <left/>
      <right style="thin">
        <color theme="3" tint="0.249977111117893"/>
      </right>
      <top style="thin">
        <color theme="3" tint="0.249977111117893"/>
      </top>
      <bottom/>
      <diagonal/>
    </border>
    <border>
      <left style="thin">
        <color theme="3" tint="0.249977111117893"/>
      </left>
      <right style="thin">
        <color theme="3" tint="0.499984740745262"/>
      </right>
      <top style="thin">
        <color theme="2" tint="-0.14999847407452621"/>
      </top>
      <bottom/>
      <diagonal/>
    </border>
    <border>
      <left/>
      <right style="thin">
        <color theme="3" tint="0.249977111117893"/>
      </right>
      <top/>
      <bottom/>
      <diagonal/>
    </border>
    <border>
      <left style="thin">
        <color theme="3" tint="0.249977111117893"/>
      </left>
      <right style="thin">
        <color theme="3" tint="0.499984740745262"/>
      </right>
      <top/>
      <bottom/>
      <diagonal/>
    </border>
    <border>
      <left style="thin">
        <color theme="3" tint="0.249977111117893"/>
      </left>
      <right style="thin">
        <color theme="3" tint="0.499984740745262"/>
      </right>
      <top/>
      <bottom style="thin">
        <color theme="3" tint="0.249977111117893"/>
      </bottom>
      <diagonal/>
    </border>
    <border>
      <left/>
      <right/>
      <top/>
      <bottom style="thin">
        <color theme="3" tint="0.249977111117893"/>
      </bottom>
      <diagonal/>
    </border>
    <border>
      <left/>
      <right style="thin">
        <color theme="3" tint="0.249977111117893"/>
      </right>
      <top/>
      <bottom style="thin">
        <color theme="3" tint="0.249977111117893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3" tint="0.249977111117893"/>
      </right>
      <top style="thin">
        <color theme="3" tint="0.499984740745262"/>
      </top>
      <bottom style="thin">
        <color theme="3" tint="0.249977111117893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9" fillId="0" borderId="0"/>
    <xf numFmtId="43" fontId="9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</cellStyleXfs>
  <cellXfs count="132">
    <xf numFmtId="0" fontId="0" fillId="0" borderId="0" xfId="0"/>
    <xf numFmtId="0" fontId="8" fillId="8" borderId="0" xfId="1" applyFont="1" applyFill="1" applyAlignment="1">
      <alignment horizontal="center"/>
    </xf>
    <xf numFmtId="168" fontId="8" fillId="8" borderId="0" xfId="2" applyNumberFormat="1" applyFont="1" applyFill="1" applyBorder="1" applyAlignment="1">
      <alignment horizontal="center"/>
    </xf>
    <xf numFmtId="165" fontId="8" fillId="8" borderId="0" xfId="2" applyNumberFormat="1" applyFont="1" applyFill="1" applyBorder="1" applyAlignment="1">
      <alignment horizontal="center"/>
    </xf>
    <xf numFmtId="0" fontId="8" fillId="2" borderId="0" xfId="1" applyFont="1" applyFill="1" applyAlignment="1">
      <alignment horizontal="left"/>
    </xf>
    <xf numFmtId="165" fontId="8" fillId="3" borderId="0" xfId="2" applyNumberFormat="1" applyFont="1" applyFill="1" applyBorder="1" applyAlignment="1">
      <alignment horizontal="center"/>
    </xf>
    <xf numFmtId="169" fontId="8" fillId="3" borderId="0" xfId="2" applyNumberFormat="1" applyFont="1" applyFill="1" applyBorder="1" applyAlignment="1">
      <alignment horizontal="center"/>
    </xf>
    <xf numFmtId="168" fontId="8" fillId="3" borderId="0" xfId="2" applyNumberFormat="1" applyFont="1" applyFill="1" applyBorder="1" applyAlignment="1">
      <alignment horizontal="center"/>
    </xf>
    <xf numFmtId="0" fontId="3" fillId="0" borderId="0" xfId="3" applyFont="1"/>
    <xf numFmtId="0" fontId="4" fillId="0" borderId="0" xfId="3" applyFont="1"/>
    <xf numFmtId="0" fontId="4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4" fillId="3" borderId="3" xfId="3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6" fillId="0" borderId="0" xfId="3" applyFont="1" applyAlignment="1">
      <alignment horizontal="left" wrapText="1"/>
    </xf>
    <xf numFmtId="0" fontId="4" fillId="0" borderId="5" xfId="3" applyFont="1" applyBorder="1" applyAlignment="1">
      <alignment horizontal="center"/>
    </xf>
    <xf numFmtId="164" fontId="5" fillId="0" borderId="6" xfId="3" applyNumberFormat="1" applyFont="1" applyBorder="1" applyAlignment="1">
      <alignment horizontal="center"/>
    </xf>
    <xf numFmtId="165" fontId="5" fillId="0" borderId="7" xfId="3" applyNumberFormat="1" applyFont="1" applyBorder="1"/>
    <xf numFmtId="0" fontId="4" fillId="4" borderId="7" xfId="3" applyFont="1" applyFill="1" applyBorder="1"/>
    <xf numFmtId="166" fontId="4" fillId="4" borderId="8" xfId="3" applyNumberFormat="1" applyFont="1" applyFill="1" applyBorder="1"/>
    <xf numFmtId="0" fontId="10" fillId="0" borderId="0" xfId="3"/>
    <xf numFmtId="0" fontId="4" fillId="0" borderId="9" xfId="3" applyFont="1" applyBorder="1" applyAlignment="1">
      <alignment horizontal="center"/>
    </xf>
    <xf numFmtId="0" fontId="4" fillId="0" borderId="10" xfId="3" applyFont="1" applyBorder="1" applyAlignment="1">
      <alignment horizontal="center"/>
    </xf>
    <xf numFmtId="0" fontId="4" fillId="0" borderId="11" xfId="3" applyFont="1" applyBorder="1"/>
    <xf numFmtId="0" fontId="4" fillId="0" borderId="12" xfId="3" applyFont="1" applyBorder="1"/>
    <xf numFmtId="164" fontId="5" fillId="0" borderId="10" xfId="3" applyNumberFormat="1" applyFont="1" applyBorder="1" applyAlignment="1">
      <alignment horizontal="center"/>
    </xf>
    <xf numFmtId="165" fontId="5" fillId="0" borderId="11" xfId="3" applyNumberFormat="1" applyFont="1" applyBorder="1"/>
    <xf numFmtId="0" fontId="4" fillId="4" borderId="11" xfId="3" applyFont="1" applyFill="1" applyBorder="1"/>
    <xf numFmtId="166" fontId="4" fillId="4" borderId="12" xfId="3" applyNumberFormat="1" applyFont="1" applyFill="1" applyBorder="1"/>
    <xf numFmtId="0" fontId="10" fillId="0" borderId="13" xfId="3" applyBorder="1"/>
    <xf numFmtId="0" fontId="4" fillId="0" borderId="14" xfId="3" applyFont="1" applyBorder="1" applyAlignment="1">
      <alignment horizontal="center"/>
    </xf>
    <xf numFmtId="164" fontId="5" fillId="0" borderId="15" xfId="3" applyNumberFormat="1" applyFont="1" applyBorder="1" applyAlignment="1">
      <alignment horizontal="center"/>
    </xf>
    <xf numFmtId="165" fontId="5" fillId="0" borderId="16" xfId="3" applyNumberFormat="1" applyFont="1" applyBorder="1"/>
    <xf numFmtId="0" fontId="4" fillId="0" borderId="16" xfId="3" applyFont="1" applyBorder="1"/>
    <xf numFmtId="165" fontId="5" fillId="0" borderId="40" xfId="3" applyNumberFormat="1" applyFont="1" applyBorder="1"/>
    <xf numFmtId="0" fontId="4" fillId="4" borderId="16" xfId="3" applyFont="1" applyFill="1" applyBorder="1"/>
    <xf numFmtId="166" fontId="4" fillId="4" borderId="17" xfId="3" applyNumberFormat="1" applyFont="1" applyFill="1" applyBorder="1"/>
    <xf numFmtId="0" fontId="4" fillId="0" borderId="21" xfId="3" applyFont="1" applyBorder="1" applyAlignment="1">
      <alignment wrapText="1"/>
    </xf>
    <xf numFmtId="0" fontId="8" fillId="5" borderId="21" xfId="3" applyFont="1" applyFill="1" applyBorder="1" applyAlignment="1">
      <alignment horizontal="center" vertical="center" wrapText="1"/>
    </xf>
    <xf numFmtId="0" fontId="8" fillId="5" borderId="21" xfId="1" applyFont="1" applyFill="1" applyBorder="1" applyAlignment="1">
      <alignment horizontal="center" vertical="center" wrapText="1"/>
    </xf>
    <xf numFmtId="0" fontId="8" fillId="6" borderId="21" xfId="3" applyFont="1" applyFill="1" applyBorder="1" applyAlignment="1">
      <alignment horizontal="center" vertical="center" wrapText="1"/>
    </xf>
    <xf numFmtId="0" fontId="8" fillId="6" borderId="42" xfId="1" applyFont="1" applyFill="1" applyBorder="1" applyAlignment="1">
      <alignment horizontal="center" vertical="center" wrapText="1"/>
    </xf>
    <xf numFmtId="0" fontId="10" fillId="0" borderId="0" xfId="3" applyAlignment="1">
      <alignment wrapText="1"/>
    </xf>
    <xf numFmtId="0" fontId="8" fillId="7" borderId="0" xfId="3" applyFont="1" applyFill="1" applyAlignment="1">
      <alignment horizontal="left" wrapText="1"/>
    </xf>
    <xf numFmtId="0" fontId="8" fillId="8" borderId="0" xfId="3" applyFont="1" applyFill="1" applyAlignment="1">
      <alignment horizontal="center"/>
    </xf>
    <xf numFmtId="0" fontId="8" fillId="8" borderId="37" xfId="1" applyFont="1" applyFill="1" applyBorder="1" applyAlignment="1">
      <alignment horizontal="center"/>
    </xf>
    <xf numFmtId="0" fontId="8" fillId="0" borderId="0" xfId="3" applyFont="1" applyAlignment="1">
      <alignment horizontal="left" wrapText="1"/>
    </xf>
    <xf numFmtId="167" fontId="8" fillId="5" borderId="0" xfId="3" applyNumberFormat="1" applyFont="1" applyFill="1" applyAlignment="1">
      <alignment horizontal="right"/>
    </xf>
    <xf numFmtId="167" fontId="8" fillId="6" borderId="0" xfId="3" applyNumberFormat="1" applyFont="1" applyFill="1" applyAlignment="1">
      <alignment horizontal="center"/>
    </xf>
    <xf numFmtId="167" fontId="8" fillId="6" borderId="37" xfId="3" applyNumberFormat="1" applyFont="1" applyFill="1" applyBorder="1" applyAlignment="1">
      <alignment horizontal="center"/>
    </xf>
    <xf numFmtId="0" fontId="8" fillId="0" borderId="19" xfId="3" applyFont="1" applyBorder="1" applyAlignment="1">
      <alignment horizontal="left" wrapText="1"/>
    </xf>
    <xf numFmtId="43" fontId="8" fillId="5" borderId="19" xfId="4" applyFont="1" applyFill="1" applyBorder="1" applyAlignment="1">
      <alignment horizontal="right"/>
    </xf>
    <xf numFmtId="165" fontId="8" fillId="5" borderId="19" xfId="4" applyNumberFormat="1" applyFont="1" applyFill="1" applyBorder="1" applyAlignment="1">
      <alignment horizontal="right"/>
    </xf>
    <xf numFmtId="165" fontId="8" fillId="6" borderId="19" xfId="4" applyNumberFormat="1" applyFont="1" applyFill="1" applyBorder="1" applyAlignment="1">
      <alignment horizontal="center"/>
    </xf>
    <xf numFmtId="165" fontId="8" fillId="6" borderId="39" xfId="4" applyNumberFormat="1" applyFont="1" applyFill="1" applyBorder="1" applyAlignment="1">
      <alignment horizontal="center"/>
    </xf>
    <xf numFmtId="0" fontId="10" fillId="9" borderId="45" xfId="3" applyFill="1" applyBorder="1" applyAlignment="1">
      <alignment horizontal="center" vertical="center" wrapText="1"/>
    </xf>
    <xf numFmtId="0" fontId="4" fillId="10" borderId="46" xfId="3" applyFont="1" applyFill="1" applyBorder="1" applyAlignment="1">
      <alignment horizontal="center" vertical="center" wrapText="1"/>
    </xf>
    <xf numFmtId="0" fontId="8" fillId="5" borderId="47" xfId="3" applyFont="1" applyFill="1" applyBorder="1" applyAlignment="1">
      <alignment horizontal="center" vertical="center" wrapText="1"/>
    </xf>
    <xf numFmtId="0" fontId="8" fillId="5" borderId="47" xfId="1" applyFont="1" applyFill="1" applyBorder="1" applyAlignment="1">
      <alignment horizontal="center" vertical="center" wrapText="1"/>
    </xf>
    <xf numFmtId="0" fontId="8" fillId="6" borderId="47" xfId="3" applyFont="1" applyFill="1" applyBorder="1" applyAlignment="1">
      <alignment horizontal="center" vertical="center" wrapText="1"/>
    </xf>
    <xf numFmtId="0" fontId="8" fillId="6" borderId="47" xfId="1" applyFont="1" applyFill="1" applyBorder="1" applyAlignment="1">
      <alignment horizontal="center" vertical="center" wrapText="1"/>
    </xf>
    <xf numFmtId="0" fontId="11" fillId="11" borderId="48" xfId="3" applyFont="1" applyFill="1" applyBorder="1" applyAlignment="1">
      <alignment horizontal="center" vertical="center" wrapText="1"/>
    </xf>
    <xf numFmtId="0" fontId="10" fillId="0" borderId="0" xfId="3" applyAlignment="1">
      <alignment horizontal="center" vertical="center" wrapText="1"/>
    </xf>
    <xf numFmtId="0" fontId="8" fillId="8" borderId="0" xfId="3" applyFont="1" applyFill="1" applyAlignment="1">
      <alignment horizontal="left" wrapText="1"/>
    </xf>
    <xf numFmtId="165" fontId="8" fillId="8" borderId="0" xfId="4" applyNumberFormat="1" applyFont="1" applyFill="1" applyBorder="1" applyAlignment="1">
      <alignment horizontal="center"/>
    </xf>
    <xf numFmtId="1" fontId="11" fillId="8" borderId="50" xfId="3" applyNumberFormat="1" applyFont="1" applyFill="1" applyBorder="1"/>
    <xf numFmtId="165" fontId="8" fillId="12" borderId="0" xfId="4" applyNumberFormat="1" applyFont="1" applyFill="1" applyBorder="1" applyAlignment="1">
      <alignment horizontal="left" wrapText="1"/>
    </xf>
    <xf numFmtId="165" fontId="8" fillId="13" borderId="0" xfId="4" applyNumberFormat="1" applyFont="1" applyFill="1" applyBorder="1" applyAlignment="1">
      <alignment horizontal="center"/>
    </xf>
    <xf numFmtId="165" fontId="8" fillId="13" borderId="50" xfId="4" applyNumberFormat="1" applyFont="1" applyFill="1" applyBorder="1"/>
    <xf numFmtId="165" fontId="8" fillId="3" borderId="0" xfId="4" applyNumberFormat="1" applyFont="1" applyFill="1" applyBorder="1" applyAlignment="1">
      <alignment horizontal="center"/>
    </xf>
    <xf numFmtId="165" fontId="8" fillId="3" borderId="50" xfId="4" applyNumberFormat="1" applyFont="1" applyFill="1" applyBorder="1"/>
    <xf numFmtId="165" fontId="8" fillId="8" borderId="50" xfId="4" applyNumberFormat="1" applyFont="1" applyFill="1" applyBorder="1"/>
    <xf numFmtId="0" fontId="10" fillId="0" borderId="18" xfId="3" applyBorder="1"/>
    <xf numFmtId="0" fontId="8" fillId="2" borderId="53" xfId="1" applyFont="1" applyFill="1" applyBorder="1" applyAlignment="1">
      <alignment horizontal="left"/>
    </xf>
    <xf numFmtId="165" fontId="8" fillId="3" borderId="53" xfId="4" applyNumberFormat="1" applyFont="1" applyFill="1" applyBorder="1" applyAlignment="1">
      <alignment horizontal="center"/>
    </xf>
    <xf numFmtId="165" fontId="8" fillId="3" borderId="53" xfId="2" applyNumberFormat="1" applyFont="1" applyFill="1" applyBorder="1" applyAlignment="1">
      <alignment horizontal="center"/>
    </xf>
    <xf numFmtId="169" fontId="8" fillId="3" borderId="53" xfId="2" applyNumberFormat="1" applyFont="1" applyFill="1" applyBorder="1" applyAlignment="1">
      <alignment horizontal="center"/>
    </xf>
    <xf numFmtId="168" fontId="8" fillId="3" borderId="53" xfId="2" applyNumberFormat="1" applyFont="1" applyFill="1" applyBorder="1" applyAlignment="1">
      <alignment horizontal="center"/>
    </xf>
    <xf numFmtId="165" fontId="8" fillId="3" borderId="54" xfId="4" applyNumberFormat="1" applyFont="1" applyFill="1" applyBorder="1"/>
    <xf numFmtId="0" fontId="6" fillId="0" borderId="36" xfId="3" applyFont="1" applyBorder="1"/>
    <xf numFmtId="0" fontId="12" fillId="4" borderId="20" xfId="3" applyFont="1" applyFill="1" applyBorder="1"/>
    <xf numFmtId="0" fontId="12" fillId="4" borderId="0" xfId="3" applyFont="1" applyFill="1"/>
    <xf numFmtId="0" fontId="10" fillId="0" borderId="55" xfId="3" applyBorder="1"/>
    <xf numFmtId="0" fontId="6" fillId="0" borderId="22" xfId="3" applyFont="1" applyBorder="1"/>
    <xf numFmtId="0" fontId="12" fillId="4" borderId="22" xfId="3" applyFont="1" applyFill="1" applyBorder="1"/>
    <xf numFmtId="0" fontId="10" fillId="0" borderId="23" xfId="3" applyBorder="1"/>
    <xf numFmtId="0" fontId="10" fillId="0" borderId="24" xfId="3" applyBorder="1"/>
    <xf numFmtId="0" fontId="10" fillId="0" borderId="25" xfId="3" applyBorder="1"/>
    <xf numFmtId="0" fontId="10" fillId="0" borderId="29" xfId="3" applyBorder="1" applyAlignment="1">
      <alignment horizontal="left"/>
    </xf>
    <xf numFmtId="0" fontId="10" fillId="0" borderId="55" xfId="3" applyBorder="1" applyAlignment="1">
      <alignment horizontal="left"/>
    </xf>
    <xf numFmtId="0" fontId="10" fillId="0" borderId="25" xfId="3" applyBorder="1" applyAlignment="1">
      <alignment horizontal="left"/>
    </xf>
    <xf numFmtId="0" fontId="10" fillId="0" borderId="0" xfId="3" applyAlignment="1">
      <alignment horizontal="left"/>
    </xf>
    <xf numFmtId="0" fontId="4" fillId="2" borderId="30" xfId="3" applyFont="1" applyFill="1" applyBorder="1"/>
    <xf numFmtId="43" fontId="13" fillId="2" borderId="31" xfId="4" applyFont="1" applyFill="1" applyBorder="1" applyAlignment="1">
      <alignment horizontal="center"/>
    </xf>
    <xf numFmtId="0" fontId="13" fillId="2" borderId="32" xfId="3" applyFont="1" applyFill="1" applyBorder="1" applyAlignment="1">
      <alignment horizontal="center"/>
    </xf>
    <xf numFmtId="165" fontId="13" fillId="2" borderId="32" xfId="4" applyNumberFormat="1" applyFont="1" applyFill="1" applyBorder="1" applyAlignment="1">
      <alignment horizontal="center"/>
    </xf>
    <xf numFmtId="0" fontId="13" fillId="2" borderId="56" xfId="3" applyFont="1" applyFill="1" applyBorder="1" applyAlignment="1">
      <alignment horizontal="center"/>
    </xf>
    <xf numFmtId="0" fontId="4" fillId="0" borderId="33" xfId="3" applyFont="1" applyBorder="1" applyAlignment="1">
      <alignment horizontal="center"/>
    </xf>
    <xf numFmtId="165" fontId="5" fillId="0" borderId="34" xfId="4" applyNumberFormat="1" applyFont="1" applyFill="1" applyBorder="1"/>
    <xf numFmtId="165" fontId="5" fillId="0" borderId="0" xfId="3" applyNumberFormat="1" applyFont="1"/>
    <xf numFmtId="165" fontId="5" fillId="0" borderId="57" xfId="3" applyNumberFormat="1" applyFont="1" applyBorder="1"/>
    <xf numFmtId="165" fontId="5" fillId="0" borderId="48" xfId="3" applyNumberFormat="1" applyFont="1" applyBorder="1"/>
    <xf numFmtId="165" fontId="5" fillId="0" borderId="34" xfId="3" applyNumberFormat="1" applyFont="1" applyBorder="1"/>
    <xf numFmtId="165" fontId="5" fillId="0" borderId="50" xfId="3" applyNumberFormat="1" applyFont="1" applyBorder="1"/>
    <xf numFmtId="0" fontId="10" fillId="0" borderId="35" xfId="3" applyBorder="1"/>
    <xf numFmtId="0" fontId="4" fillId="0" borderId="30" xfId="3" applyFont="1" applyBorder="1" applyAlignment="1">
      <alignment horizontal="center"/>
    </xf>
    <xf numFmtId="165" fontId="5" fillId="0" borderId="31" xfId="3" applyNumberFormat="1" applyFont="1" applyBorder="1"/>
    <xf numFmtId="165" fontId="5" fillId="0" borderId="32" xfId="3" applyNumberFormat="1" applyFont="1" applyBorder="1"/>
    <xf numFmtId="165" fontId="5" fillId="0" borderId="54" xfId="3" applyNumberFormat="1" applyFont="1" applyBorder="1"/>
    <xf numFmtId="3" fontId="4" fillId="0" borderId="36" xfId="3" applyNumberFormat="1" applyFont="1" applyBorder="1"/>
    <xf numFmtId="166" fontId="4" fillId="0" borderId="0" xfId="3" applyNumberFormat="1" applyFont="1"/>
    <xf numFmtId="166" fontId="4" fillId="0" borderId="37" xfId="3" applyNumberFormat="1" applyFont="1" applyBorder="1"/>
    <xf numFmtId="0" fontId="4" fillId="0" borderId="36" xfId="3" applyFont="1" applyBorder="1"/>
    <xf numFmtId="166" fontId="4" fillId="2" borderId="1" xfId="3" applyNumberFormat="1" applyFont="1" applyFill="1" applyBorder="1" applyAlignment="1">
      <alignment horizontal="center" vertical="center" wrapText="1"/>
    </xf>
    <xf numFmtId="0" fontId="4" fillId="0" borderId="38" xfId="3" applyFont="1" applyBorder="1"/>
    <xf numFmtId="0" fontId="4" fillId="0" borderId="19" xfId="3" applyFont="1" applyBorder="1"/>
    <xf numFmtId="166" fontId="4" fillId="0" borderId="19" xfId="3" applyNumberFormat="1" applyFont="1" applyBorder="1"/>
    <xf numFmtId="166" fontId="4" fillId="0" borderId="39" xfId="3" applyNumberFormat="1" applyFont="1" applyBorder="1"/>
    <xf numFmtId="0" fontId="6" fillId="0" borderId="0" xfId="3" applyFont="1"/>
    <xf numFmtId="0" fontId="7" fillId="0" borderId="51" xfId="3" applyFont="1" applyBorder="1" applyAlignment="1">
      <alignment horizontal="center" vertical="center"/>
    </xf>
    <xf numFmtId="0" fontId="7" fillId="0" borderId="52" xfId="3" applyFont="1" applyBorder="1" applyAlignment="1">
      <alignment horizontal="center" vertical="center"/>
    </xf>
    <xf numFmtId="0" fontId="6" fillId="14" borderId="26" xfId="3" applyFont="1" applyFill="1" applyBorder="1" applyAlignment="1">
      <alignment horizontal="left"/>
    </xf>
    <xf numFmtId="0" fontId="6" fillId="14" borderId="27" xfId="3" applyFont="1" applyFill="1" applyBorder="1" applyAlignment="1">
      <alignment horizontal="left"/>
    </xf>
    <xf numFmtId="0" fontId="6" fillId="14" borderId="42" xfId="3" applyFont="1" applyFill="1" applyBorder="1" applyAlignment="1">
      <alignment horizontal="left"/>
    </xf>
    <xf numFmtId="0" fontId="6" fillId="15" borderId="26" xfId="3" applyFont="1" applyFill="1" applyBorder="1" applyAlignment="1">
      <alignment horizontal="left"/>
    </xf>
    <xf numFmtId="0" fontId="6" fillId="15" borderId="27" xfId="3" applyFont="1" applyFill="1" applyBorder="1" applyAlignment="1">
      <alignment horizontal="left"/>
    </xf>
    <xf numFmtId="0" fontId="6" fillId="15" borderId="28" xfId="3" applyFont="1" applyFill="1" applyBorder="1" applyAlignment="1">
      <alignment horizontal="left"/>
    </xf>
    <xf numFmtId="0" fontId="7" fillId="0" borderId="41" xfId="3" applyFont="1" applyBorder="1" applyAlignment="1">
      <alignment horizontal="center" vertical="center" wrapText="1"/>
    </xf>
    <xf numFmtId="0" fontId="7" fillId="0" borderId="43" xfId="3" applyFont="1" applyBorder="1" applyAlignment="1">
      <alignment horizontal="center" vertical="center" wrapText="1"/>
    </xf>
    <xf numFmtId="0" fontId="7" fillId="0" borderId="44" xfId="3" applyFont="1" applyBorder="1" applyAlignment="1">
      <alignment horizontal="center" vertical="center" wrapText="1"/>
    </xf>
    <xf numFmtId="0" fontId="7" fillId="0" borderId="49" xfId="3" applyFont="1" applyBorder="1" applyAlignment="1">
      <alignment horizontal="center" vertical="center"/>
    </xf>
  </cellXfs>
  <cellStyles count="5">
    <cellStyle name="Comma 2" xfId="2" xr:uid="{791464C3-C2BA-CB4D-90EB-F3FCFBD63258}"/>
    <cellStyle name="Comma 3" xfId="4" xr:uid="{0478FB1D-4203-2540-B12B-AC60AC58A155}"/>
    <cellStyle name="Normal" xfId="0" builtinId="0"/>
    <cellStyle name="Normal 2" xfId="1" xr:uid="{4ED7AE48-C01A-2642-97A7-97EB6E433D88}"/>
    <cellStyle name="Normal 3" xfId="3" xr:uid="{24E3DED7-3F02-DD45-A007-E41B550DDE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F06B-81A8-5345-946C-8FD340956799}">
  <dimension ref="A1:S72"/>
  <sheetViews>
    <sheetView tabSelected="1" topLeftCell="A40" workbookViewId="0">
      <selection activeCell="A55" sqref="A55:E55"/>
    </sheetView>
  </sheetViews>
  <sheetFormatPr baseColWidth="10" defaultRowHeight="16"/>
  <cols>
    <col min="1" max="1" width="13.19921875" style="119" customWidth="1"/>
    <col min="2" max="2" width="16.796875" style="21" customWidth="1"/>
    <col min="3" max="3" width="14" style="21" customWidth="1"/>
    <col min="4" max="4" width="14.59765625" style="21" customWidth="1"/>
    <col min="5" max="5" width="14.3984375" style="21" customWidth="1"/>
    <col min="6" max="6" width="14.19921875" style="21" customWidth="1"/>
    <col min="7" max="7" width="15.59765625" style="21" customWidth="1"/>
    <col min="8" max="10" width="14.19921875" style="21" customWidth="1"/>
    <col min="11" max="11" width="14" style="21" customWidth="1"/>
    <col min="12" max="13" width="13.3984375" style="21" customWidth="1"/>
    <col min="14" max="14" width="17.3984375" style="21" customWidth="1"/>
    <col min="15" max="15" width="17.19921875" style="21" customWidth="1"/>
    <col min="16" max="16" width="17.796875" style="21" customWidth="1"/>
    <col min="17" max="17" width="13.19921875" style="21" customWidth="1"/>
    <col min="18" max="16384" width="11" style="21"/>
  </cols>
  <sheetData>
    <row r="1" spans="1:18" s="9" customFormat="1" ht="22" customHeight="1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N1" s="8"/>
    </row>
    <row r="2" spans="1:18" s="15" customFormat="1" ht="38" customHeight="1">
      <c r="A2" s="10" t="s">
        <v>1</v>
      </c>
      <c r="B2" s="11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3" t="s">
        <v>16</v>
      </c>
      <c r="Q2" s="14" t="s">
        <v>17</v>
      </c>
    </row>
    <row r="3" spans="1:18" ht="15">
      <c r="A3" s="16" t="s">
        <v>18</v>
      </c>
      <c r="B3" s="17">
        <v>45078</v>
      </c>
      <c r="C3" s="18">
        <v>174561.4</v>
      </c>
      <c r="D3" s="18">
        <v>1226462</v>
      </c>
      <c r="E3" s="18">
        <v>788723</v>
      </c>
      <c r="F3" s="18">
        <v>2422870.0999999996</v>
      </c>
      <c r="G3" s="18">
        <v>9565500</v>
      </c>
      <c r="H3" s="18">
        <v>7062546.0172999986</v>
      </c>
      <c r="I3" s="18">
        <v>7062546.0172999986</v>
      </c>
      <c r="J3" s="18">
        <v>0</v>
      </c>
      <c r="K3" s="18">
        <v>8287280.3178805932</v>
      </c>
      <c r="L3" s="18">
        <v>6689.7</v>
      </c>
      <c r="M3" s="18">
        <v>5166.2</v>
      </c>
      <c r="N3" s="18">
        <v>57.22</v>
      </c>
      <c r="O3" s="18">
        <v>53093</v>
      </c>
      <c r="P3" s="19">
        <v>565</v>
      </c>
      <c r="Q3" s="20">
        <f>P3/2204.62</f>
        <v>0.25627999383113642</v>
      </c>
    </row>
    <row r="4" spans="1:18" ht="15">
      <c r="A4" s="22"/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5"/>
    </row>
    <row r="5" spans="1:18" ht="15">
      <c r="A5" s="22"/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5"/>
    </row>
    <row r="6" spans="1:18" ht="15">
      <c r="A6" s="22" t="s">
        <v>19</v>
      </c>
      <c r="B6" s="26">
        <v>44713</v>
      </c>
      <c r="C6" s="27">
        <v>180705.80000000002</v>
      </c>
      <c r="D6" s="27">
        <v>1358893</v>
      </c>
      <c r="E6" s="27">
        <v>804984</v>
      </c>
      <c r="F6" s="27">
        <v>2335159.3000000003</v>
      </c>
      <c r="G6" s="27">
        <v>8410500</v>
      </c>
      <c r="H6" s="27">
        <v>8061014.1446100008</v>
      </c>
      <c r="I6" s="27">
        <v>8061014.1446100008</v>
      </c>
      <c r="J6" s="27">
        <v>0</v>
      </c>
      <c r="K6" s="27">
        <v>4749022.9839949533</v>
      </c>
      <c r="L6" s="27">
        <v>7304.0999999999995</v>
      </c>
      <c r="M6" s="27">
        <v>4992.5</v>
      </c>
      <c r="N6" s="27">
        <v>43.94</v>
      </c>
      <c r="O6" s="27">
        <v>48534</v>
      </c>
      <c r="P6" s="28">
        <v>574</v>
      </c>
      <c r="Q6" s="29">
        <f>P6/2204.62</f>
        <v>0.26036233001605719</v>
      </c>
    </row>
    <row r="7" spans="1:18" ht="15">
      <c r="A7" s="22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5"/>
    </row>
    <row r="8" spans="1:18" ht="15">
      <c r="A8" s="22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5"/>
    </row>
    <row r="9" spans="1:18" ht="15">
      <c r="A9" s="22" t="s">
        <v>20</v>
      </c>
      <c r="B9" s="26">
        <v>44348</v>
      </c>
      <c r="C9" s="27">
        <v>165623.09999999998</v>
      </c>
      <c r="D9" s="27">
        <v>1382922</v>
      </c>
      <c r="E9" s="27">
        <v>694115</v>
      </c>
      <c r="F9" s="27">
        <v>1969552.0999999999</v>
      </c>
      <c r="G9" s="27">
        <v>6680100</v>
      </c>
      <c r="H9" s="27">
        <v>8018045.0016220007</v>
      </c>
      <c r="I9" s="27">
        <v>8013205.6736219991</v>
      </c>
      <c r="J9" s="27">
        <v>4839.3280000000004</v>
      </c>
      <c r="K9" s="27">
        <v>0</v>
      </c>
      <c r="L9" s="27">
        <v>6946.6</v>
      </c>
      <c r="M9" s="27">
        <v>4974.5</v>
      </c>
      <c r="N9" s="27">
        <v>59.330000000000005</v>
      </c>
      <c r="O9" s="27">
        <v>39778.800000000003</v>
      </c>
      <c r="P9" s="24">
        <v>544</v>
      </c>
      <c r="Q9" s="29">
        <f>P9/2204.62</f>
        <v>0.246754542732988</v>
      </c>
      <c r="R9" s="30"/>
    </row>
    <row r="10" spans="1:18" ht="15">
      <c r="A10" s="22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4"/>
      <c r="Q10" s="25"/>
    </row>
    <row r="11" spans="1:18" ht="15">
      <c r="A11" s="22"/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4"/>
      <c r="Q11" s="25"/>
    </row>
    <row r="12" spans="1:18" ht="15">
      <c r="A12" s="22" t="s">
        <v>21</v>
      </c>
      <c r="B12" s="26">
        <v>43983</v>
      </c>
      <c r="C12" s="27">
        <v>164291.4</v>
      </c>
      <c r="D12" s="27">
        <v>1419167</v>
      </c>
      <c r="E12" s="27">
        <v>676832</v>
      </c>
      <c r="F12" s="27">
        <v>2218004.48</v>
      </c>
      <c r="G12" s="27">
        <v>7465500</v>
      </c>
      <c r="H12" s="27">
        <v>7974785.5847999984</v>
      </c>
      <c r="I12" s="27">
        <v>7933624.6267999997</v>
      </c>
      <c r="J12" s="27">
        <v>41160.958000000006</v>
      </c>
      <c r="K12" s="27">
        <v>0</v>
      </c>
      <c r="L12" s="27">
        <v>7505.6000000000013</v>
      </c>
      <c r="M12" s="27">
        <v>5597.0171714365097</v>
      </c>
      <c r="N12" s="27">
        <v>57.166000000000004</v>
      </c>
      <c r="O12" s="27">
        <v>44353</v>
      </c>
      <c r="P12" s="28">
        <v>560</v>
      </c>
      <c r="Q12" s="29">
        <f>P12/2204.62</f>
        <v>0.25401202928395822</v>
      </c>
    </row>
    <row r="13" spans="1:18" ht="15">
      <c r="A13" s="22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5"/>
    </row>
    <row r="14" spans="1:18" ht="15">
      <c r="A14" s="22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</row>
    <row r="15" spans="1:18" ht="15">
      <c r="A15" s="22" t="s">
        <v>22</v>
      </c>
      <c r="B15" s="26">
        <v>43617</v>
      </c>
      <c r="C15" s="27">
        <v>175829.59999999998</v>
      </c>
      <c r="D15" s="27">
        <v>1207109</v>
      </c>
      <c r="E15" s="27">
        <v>1055868</v>
      </c>
      <c r="F15" s="27">
        <v>2368393.6</v>
      </c>
      <c r="G15" s="27">
        <v>11477340</v>
      </c>
      <c r="H15" s="27">
        <v>7132346.9211799987</v>
      </c>
      <c r="I15" s="27">
        <v>6759679.5839999998</v>
      </c>
      <c r="J15" s="27">
        <v>372667.33718000003</v>
      </c>
      <c r="K15" s="27">
        <v>0</v>
      </c>
      <c r="L15" s="27">
        <v>7977.3</v>
      </c>
      <c r="M15" s="27">
        <v>5269.0000000000009</v>
      </c>
      <c r="N15" s="27">
        <v>41.55</v>
      </c>
      <c r="O15" s="27">
        <v>48979</v>
      </c>
      <c r="P15" s="28">
        <v>658</v>
      </c>
      <c r="Q15" s="29">
        <f>P15/2204.62</f>
        <v>0.29846413440865094</v>
      </c>
    </row>
    <row r="16" spans="1:18" ht="15">
      <c r="A16" s="22"/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5"/>
    </row>
    <row r="17" spans="1:17" ht="15">
      <c r="A17" s="22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5"/>
    </row>
    <row r="18" spans="1:17" ht="15">
      <c r="A18" s="22" t="s">
        <v>23</v>
      </c>
      <c r="B18" s="26">
        <v>43252</v>
      </c>
      <c r="C18" s="27">
        <v>183711.10000000003</v>
      </c>
      <c r="D18" s="27">
        <v>1298917</v>
      </c>
      <c r="E18" s="27">
        <v>1197173</v>
      </c>
      <c r="F18" s="27">
        <v>2198699.6</v>
      </c>
      <c r="G18" s="27">
        <v>10384500</v>
      </c>
      <c r="H18" s="27">
        <v>8479913.9840159994</v>
      </c>
      <c r="I18" s="27">
        <v>7404100.6146159992</v>
      </c>
      <c r="J18" s="27">
        <v>1075813.3694</v>
      </c>
      <c r="K18" s="27">
        <v>0</v>
      </c>
      <c r="L18" s="27">
        <v>21341.5</v>
      </c>
      <c r="M18" s="27">
        <v>4122.9000000000005</v>
      </c>
      <c r="N18" s="27">
        <v>51.591000000000001</v>
      </c>
      <c r="O18" s="27">
        <v>51276</v>
      </c>
      <c r="P18" s="28">
        <v>682</v>
      </c>
      <c r="Q18" s="29">
        <f>P18/2204.62</f>
        <v>0.30935036423510631</v>
      </c>
    </row>
    <row r="19" spans="1:17" ht="15">
      <c r="A19" s="22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5"/>
    </row>
    <row r="20" spans="1:17" ht="15">
      <c r="A20" s="22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5"/>
    </row>
    <row r="21" spans="1:17" ht="15">
      <c r="A21" s="22" t="s">
        <v>24</v>
      </c>
      <c r="B21" s="26">
        <v>42903</v>
      </c>
      <c r="C21" s="27">
        <v>177094</v>
      </c>
      <c r="D21" s="27">
        <v>1427216</v>
      </c>
      <c r="E21" s="27">
        <v>1030452</v>
      </c>
      <c r="F21" s="27">
        <v>2215716.5</v>
      </c>
      <c r="G21" s="27">
        <v>9662100</v>
      </c>
      <c r="H21" s="27"/>
      <c r="I21" s="27"/>
      <c r="J21" s="27"/>
      <c r="K21" s="27">
        <v>0</v>
      </c>
      <c r="L21" s="27">
        <v>6965.8</v>
      </c>
      <c r="M21" s="27">
        <v>4453.4000000000005</v>
      </c>
      <c r="N21" s="27">
        <v>29.261000000000003</v>
      </c>
      <c r="O21" s="27">
        <v>63124</v>
      </c>
      <c r="P21" s="28">
        <v>710</v>
      </c>
      <c r="Q21" s="29">
        <f>P21/2204.62</f>
        <v>0.32205096569930419</v>
      </c>
    </row>
    <row r="22" spans="1:17" ht="15">
      <c r="A22" s="22"/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5"/>
    </row>
    <row r="23" spans="1:17" ht="15">
      <c r="A23" s="22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/>
    </row>
    <row r="24" spans="1:17" ht="15">
      <c r="A24" s="31" t="s">
        <v>25</v>
      </c>
      <c r="B24" s="32">
        <v>42539</v>
      </c>
      <c r="C24" s="33">
        <v>162177.29999999999</v>
      </c>
      <c r="D24" s="33">
        <v>1423136</v>
      </c>
      <c r="E24" s="33">
        <v>872186.2</v>
      </c>
      <c r="F24" s="33">
        <v>2147130.6</v>
      </c>
      <c r="G24" s="33">
        <v>9487800</v>
      </c>
      <c r="H24" s="34"/>
      <c r="I24" s="34"/>
      <c r="J24" s="34"/>
      <c r="K24" s="35">
        <v>0</v>
      </c>
      <c r="L24" s="33">
        <v>24482.1</v>
      </c>
      <c r="M24" s="33">
        <v>4748.8000000000011</v>
      </c>
      <c r="N24" s="33">
        <v>43.057000000000002</v>
      </c>
      <c r="O24" s="33">
        <v>58770</v>
      </c>
      <c r="P24" s="36">
        <v>747</v>
      </c>
      <c r="Q24" s="37">
        <f>P24/2204.62</f>
        <v>0.33883390334842289</v>
      </c>
    </row>
    <row r="26" spans="1:17" s="43" customFormat="1" ht="47" customHeight="1">
      <c r="A26" s="128" t="s">
        <v>26</v>
      </c>
      <c r="B26" s="38"/>
      <c r="C26" s="39" t="s">
        <v>27</v>
      </c>
      <c r="D26" s="39" t="s">
        <v>28</v>
      </c>
      <c r="E26" s="39" t="s">
        <v>13</v>
      </c>
      <c r="F26" s="39" t="s">
        <v>29</v>
      </c>
      <c r="G26" s="39" t="s">
        <v>14</v>
      </c>
      <c r="H26" s="40" t="s">
        <v>30</v>
      </c>
      <c r="I26" s="40" t="s">
        <v>31</v>
      </c>
      <c r="J26" s="41" t="s">
        <v>32</v>
      </c>
      <c r="K26" s="41" t="s">
        <v>33</v>
      </c>
      <c r="L26" s="41" t="s">
        <v>11</v>
      </c>
      <c r="M26" s="42" t="s">
        <v>34</v>
      </c>
    </row>
    <row r="27" spans="1:17">
      <c r="A27" s="129"/>
      <c r="B27" s="44" t="s">
        <v>35</v>
      </c>
      <c r="C27" s="45" t="s">
        <v>36</v>
      </c>
      <c r="D27" s="45" t="s">
        <v>37</v>
      </c>
      <c r="E27" s="45" t="s">
        <v>36</v>
      </c>
      <c r="F27" s="45" t="s">
        <v>36</v>
      </c>
      <c r="G27" s="45" t="s">
        <v>38</v>
      </c>
      <c r="H27" s="1" t="s">
        <v>36</v>
      </c>
      <c r="I27" s="1" t="s">
        <v>36</v>
      </c>
      <c r="J27" s="45" t="s">
        <v>39</v>
      </c>
      <c r="K27" s="45" t="s">
        <v>39</v>
      </c>
      <c r="L27" s="45" t="s">
        <v>39</v>
      </c>
      <c r="M27" s="46" t="s">
        <v>39</v>
      </c>
    </row>
    <row r="28" spans="1:17" ht="20" customHeight="1">
      <c r="A28" s="129"/>
      <c r="B28" s="47" t="s">
        <v>40</v>
      </c>
      <c r="C28" s="48">
        <v>1.0161998E-2</v>
      </c>
      <c r="D28" s="48">
        <v>5.2909999999999999E-2</v>
      </c>
      <c r="E28" s="48">
        <v>5.09205278E-3</v>
      </c>
      <c r="F28" s="48">
        <v>1.1240757000000001E-2</v>
      </c>
      <c r="G28" s="48">
        <v>0</v>
      </c>
      <c r="H28" s="48">
        <v>1.0161998E-2</v>
      </c>
      <c r="I28" s="48">
        <v>8.4989799999999997E-3</v>
      </c>
      <c r="J28" s="49"/>
      <c r="K28" s="49"/>
      <c r="L28" s="49"/>
      <c r="M28" s="50"/>
    </row>
    <row r="29" spans="1:17" ht="20" customHeight="1">
      <c r="A29" s="130"/>
      <c r="B29" s="51" t="s">
        <v>41</v>
      </c>
      <c r="C29" s="52">
        <v>137.381</v>
      </c>
      <c r="D29" s="53">
        <v>1000</v>
      </c>
      <c r="E29" s="53">
        <v>91.65</v>
      </c>
      <c r="F29" s="53">
        <v>129.69</v>
      </c>
      <c r="G29" s="53">
        <f>15380/2000</f>
        <v>7.69</v>
      </c>
      <c r="H29" s="52">
        <v>137.381</v>
      </c>
      <c r="I29" s="53">
        <v>120.241</v>
      </c>
      <c r="J29" s="54">
        <v>3412.14</v>
      </c>
      <c r="K29" s="54">
        <v>3412.14</v>
      </c>
      <c r="L29" s="54">
        <v>3412.14</v>
      </c>
      <c r="M29" s="55">
        <v>3412.14</v>
      </c>
    </row>
    <row r="30" spans="1:17" ht="14">
      <c r="A30" s="21"/>
    </row>
    <row r="31" spans="1:17" s="63" customFormat="1" ht="45" customHeight="1">
      <c r="A31" s="56"/>
      <c r="B31" s="57"/>
      <c r="C31" s="58" t="s">
        <v>27</v>
      </c>
      <c r="D31" s="58" t="s">
        <v>28</v>
      </c>
      <c r="E31" s="58" t="s">
        <v>13</v>
      </c>
      <c r="F31" s="58" t="s">
        <v>29</v>
      </c>
      <c r="G31" s="58" t="s">
        <v>14</v>
      </c>
      <c r="H31" s="59" t="s">
        <v>30</v>
      </c>
      <c r="I31" s="59" t="s">
        <v>31</v>
      </c>
      <c r="J31" s="60" t="s">
        <v>32</v>
      </c>
      <c r="K31" s="60" t="s">
        <v>33</v>
      </c>
      <c r="L31" s="60" t="s">
        <v>11</v>
      </c>
      <c r="M31" s="61" t="s">
        <v>34</v>
      </c>
      <c r="N31" s="58" t="s">
        <v>42</v>
      </c>
      <c r="O31" s="60" t="s">
        <v>43</v>
      </c>
      <c r="P31" s="62" t="s">
        <v>44</v>
      </c>
    </row>
    <row r="32" spans="1:17">
      <c r="A32" s="131" t="s">
        <v>45</v>
      </c>
      <c r="B32" s="64" t="s">
        <v>46</v>
      </c>
      <c r="C32" s="65">
        <f>841+6754</f>
        <v>7595</v>
      </c>
      <c r="D32" s="65">
        <f>SUM(C3:E3)/10</f>
        <v>218974.63999999998</v>
      </c>
      <c r="E32" s="65">
        <f>M3</f>
        <v>5166.2</v>
      </c>
      <c r="F32" s="65">
        <v>321.47619047619003</v>
      </c>
      <c r="G32" s="65">
        <f>N12*1000</f>
        <v>57166.000000000007</v>
      </c>
      <c r="H32" s="65">
        <v>9079.5</v>
      </c>
      <c r="I32" s="65">
        <v>20034.7</v>
      </c>
      <c r="J32" s="65">
        <f>G3/1000</f>
        <v>9565.5</v>
      </c>
      <c r="K32" s="65">
        <f>F3/1000</f>
        <v>2422.8700999999996</v>
      </c>
      <c r="L32" s="65">
        <f>K3/1000</f>
        <v>8287.2803178805934</v>
      </c>
      <c r="M32" s="2">
        <v>0</v>
      </c>
      <c r="N32" s="65"/>
      <c r="O32" s="3"/>
      <c r="P32" s="66"/>
    </row>
    <row r="33" spans="1:19">
      <c r="A33" s="120"/>
      <c r="B33" s="67" t="s">
        <v>47</v>
      </c>
      <c r="C33" s="68">
        <f t="shared" ref="C33:L33" si="0">C32*C$29</f>
        <v>1043408.6949999999</v>
      </c>
      <c r="D33" s="68">
        <f t="shared" si="0"/>
        <v>218974639.99999997</v>
      </c>
      <c r="E33" s="68">
        <f t="shared" si="0"/>
        <v>473482.23000000004</v>
      </c>
      <c r="F33" s="68">
        <f t="shared" si="0"/>
        <v>41692.247142857086</v>
      </c>
      <c r="G33" s="68">
        <f t="shared" si="0"/>
        <v>439606.5400000001</v>
      </c>
      <c r="H33" s="68">
        <f t="shared" si="0"/>
        <v>1247350.7895</v>
      </c>
      <c r="I33" s="68">
        <f t="shared" si="0"/>
        <v>2408992.3626999999</v>
      </c>
      <c r="J33" s="68">
        <f t="shared" si="0"/>
        <v>32638825.169999998</v>
      </c>
      <c r="K33" s="68">
        <f t="shared" si="0"/>
        <v>8267171.9830139987</v>
      </c>
      <c r="L33" s="68">
        <f t="shared" si="0"/>
        <v>28277360.663853087</v>
      </c>
      <c r="M33" s="68">
        <f>SUM(J32:K32)*0.05</f>
        <v>599.41850499999998</v>
      </c>
      <c r="N33" s="68">
        <f>SUM(C33:G33, H33:I33)</f>
        <v>224629172.86434278</v>
      </c>
      <c r="O33" s="68">
        <f>SUM(J33:M33)</f>
        <v>69183957.235372081</v>
      </c>
      <c r="P33" s="69">
        <f>SUM(N33,O33)</f>
        <v>293813130.09971488</v>
      </c>
    </row>
    <row r="34" spans="1:19" ht="15">
      <c r="A34" s="120"/>
      <c r="B34" s="4" t="s">
        <v>48</v>
      </c>
      <c r="C34" s="70">
        <f t="shared" ref="C34:I34" si="1">C32*C$28</f>
        <v>77.180374810000004</v>
      </c>
      <c r="D34" s="5">
        <f t="shared" si="1"/>
        <v>11585.948202399999</v>
      </c>
      <c r="E34" s="70">
        <f t="shared" si="1"/>
        <v>26.306563072035999</v>
      </c>
      <c r="F34" s="70">
        <f t="shared" si="1"/>
        <v>3.6136357384285667</v>
      </c>
      <c r="G34" s="70">
        <f t="shared" si="1"/>
        <v>0</v>
      </c>
      <c r="H34" s="5">
        <f t="shared" si="1"/>
        <v>92.265860841000006</v>
      </c>
      <c r="I34" s="70">
        <f t="shared" si="1"/>
        <v>170.274514606</v>
      </c>
      <c r="J34" s="6">
        <f>J32*$Q3</f>
        <v>2451.4462809917354</v>
      </c>
      <c r="K34" s="6">
        <f>K32*$Q3</f>
        <v>620.93313428164481</v>
      </c>
      <c r="L34" s="6">
        <v>0</v>
      </c>
      <c r="M34" s="70">
        <f>SUM(J34:K34)*0.05</f>
        <v>153.61897076366904</v>
      </c>
      <c r="N34" s="70">
        <f>SUM(C34:I34)</f>
        <v>11955.589151467464</v>
      </c>
      <c r="O34" s="7">
        <f>SUM(J34:M34)</f>
        <v>3225.9983860370494</v>
      </c>
      <c r="P34" s="71">
        <f>SUM(N34+O34)</f>
        <v>15181.587537504514</v>
      </c>
    </row>
    <row r="35" spans="1:19">
      <c r="A35" s="120" t="s">
        <v>49</v>
      </c>
      <c r="B35" s="64" t="s">
        <v>46</v>
      </c>
      <c r="C35" s="65">
        <f>841+6754</f>
        <v>7595</v>
      </c>
      <c r="D35" s="65">
        <f>SUM(C6:E6)/10</f>
        <v>234458.27999999997</v>
      </c>
      <c r="E35" s="65">
        <f>M6</f>
        <v>4992.5</v>
      </c>
      <c r="F35" s="65">
        <v>322.47619047619003</v>
      </c>
      <c r="G35" s="65">
        <f>N15*1000</f>
        <v>41550</v>
      </c>
      <c r="H35" s="65">
        <v>9079.5</v>
      </c>
      <c r="I35" s="65">
        <v>20034.7</v>
      </c>
      <c r="J35" s="65">
        <f>G6/1000</f>
        <v>8410.5</v>
      </c>
      <c r="K35" s="65">
        <f>F6/1000</f>
        <v>2335.1593000000003</v>
      </c>
      <c r="L35" s="65">
        <f>K6/1000</f>
        <v>4749.0229839949534</v>
      </c>
      <c r="M35" s="2">
        <v>0</v>
      </c>
      <c r="N35" s="65"/>
      <c r="O35" s="3"/>
      <c r="P35" s="72"/>
      <c r="S35" s="73"/>
    </row>
    <row r="36" spans="1:19">
      <c r="A36" s="120"/>
      <c r="B36" s="67" t="s">
        <v>50</v>
      </c>
      <c r="C36" s="68">
        <f t="shared" ref="C36:L36" si="2">C35*C$29</f>
        <v>1043408.6949999999</v>
      </c>
      <c r="D36" s="68">
        <f t="shared" si="2"/>
        <v>234458279.99999997</v>
      </c>
      <c r="E36" s="68">
        <f t="shared" si="2"/>
        <v>457562.625</v>
      </c>
      <c r="F36" s="68">
        <f t="shared" si="2"/>
        <v>41821.937142857081</v>
      </c>
      <c r="G36" s="68">
        <f t="shared" si="2"/>
        <v>319519.5</v>
      </c>
      <c r="H36" s="68">
        <f t="shared" si="2"/>
        <v>1247350.7895</v>
      </c>
      <c r="I36" s="68">
        <f t="shared" si="2"/>
        <v>2408992.3626999999</v>
      </c>
      <c r="J36" s="68">
        <f t="shared" si="2"/>
        <v>28697803.469999999</v>
      </c>
      <c r="K36" s="68">
        <f t="shared" si="2"/>
        <v>7967890.4539020006</v>
      </c>
      <c r="L36" s="68">
        <f t="shared" si="2"/>
        <v>16204331.284608539</v>
      </c>
      <c r="M36" s="68">
        <f>SUM(J35:K35)*0.05</f>
        <v>537.28296499999999</v>
      </c>
      <c r="N36" s="68">
        <f>SUM(C36:G36, H36:I36)</f>
        <v>239976935.9093428</v>
      </c>
      <c r="O36" s="68">
        <f>SUM(J36:M36)</f>
        <v>52870562.49147553</v>
      </c>
      <c r="P36" s="69">
        <f>SUM(N36,O36)</f>
        <v>292847498.40081835</v>
      </c>
    </row>
    <row r="37" spans="1:19" ht="15">
      <c r="A37" s="120"/>
      <c r="B37" s="4" t="s">
        <v>48</v>
      </c>
      <c r="C37" s="70">
        <f t="shared" ref="C37:I37" si="3">C35*C$28</f>
        <v>77.180374810000004</v>
      </c>
      <c r="D37" s="5">
        <f t="shared" si="3"/>
        <v>12405.187594799998</v>
      </c>
      <c r="E37" s="70">
        <f t="shared" si="3"/>
        <v>25.422073504149999</v>
      </c>
      <c r="F37" s="70">
        <f t="shared" si="3"/>
        <v>3.6248764954285666</v>
      </c>
      <c r="G37" s="70">
        <f t="shared" si="3"/>
        <v>0</v>
      </c>
      <c r="H37" s="5">
        <f t="shared" si="3"/>
        <v>92.265860841000006</v>
      </c>
      <c r="I37" s="70">
        <f t="shared" si="3"/>
        <v>170.274514606</v>
      </c>
      <c r="J37" s="6">
        <f>J35*$Q6</f>
        <v>2189.7773766000491</v>
      </c>
      <c r="K37" s="6">
        <f>K35*$Q6</f>
        <v>607.98751630666516</v>
      </c>
      <c r="L37" s="6">
        <v>0</v>
      </c>
      <c r="M37" s="70">
        <f>SUM(J37:K37)*0.05</f>
        <v>139.88824464533573</v>
      </c>
      <c r="N37" s="70">
        <f>SUM(C37:G37, H37:I37)</f>
        <v>12773.955295056578</v>
      </c>
      <c r="O37" s="7">
        <f>SUM(J37:M37)</f>
        <v>2937.6531375520503</v>
      </c>
      <c r="P37" s="71">
        <f>SUM(N37+O37)</f>
        <v>15711.608432608627</v>
      </c>
    </row>
    <row r="38" spans="1:19">
      <c r="A38" s="120" t="s">
        <v>51</v>
      </c>
      <c r="B38" s="64" t="s">
        <v>46</v>
      </c>
      <c r="C38" s="65">
        <f>841+6754</f>
        <v>7595</v>
      </c>
      <c r="D38" s="65">
        <f>SUM(C9:E9)/10</f>
        <v>224266.01</v>
      </c>
      <c r="E38" s="65">
        <f>M9</f>
        <v>4974.5</v>
      </c>
      <c r="F38" s="65">
        <v>323.47619047619003</v>
      </c>
      <c r="G38" s="65">
        <f>N18*1000</f>
        <v>51591</v>
      </c>
      <c r="H38" s="65">
        <v>9079.5</v>
      </c>
      <c r="I38" s="65">
        <v>20034.7</v>
      </c>
      <c r="J38" s="65">
        <f>G9/1000</f>
        <v>6680.1</v>
      </c>
      <c r="K38" s="65">
        <f>F9/1000</f>
        <v>1969.5520999999999</v>
      </c>
      <c r="L38" s="65">
        <f>K9/1000</f>
        <v>0</v>
      </c>
      <c r="M38" s="2">
        <v>0</v>
      </c>
      <c r="N38" s="65"/>
      <c r="O38" s="3"/>
      <c r="P38" s="72"/>
    </row>
    <row r="39" spans="1:19">
      <c r="A39" s="120"/>
      <c r="B39" s="67" t="s">
        <v>47</v>
      </c>
      <c r="C39" s="68">
        <f t="shared" ref="C39:L39" si="4">C38*C$29</f>
        <v>1043408.6949999999</v>
      </c>
      <c r="D39" s="68">
        <f t="shared" si="4"/>
        <v>224266010</v>
      </c>
      <c r="E39" s="68">
        <f t="shared" si="4"/>
        <v>455912.92500000005</v>
      </c>
      <c r="F39" s="68">
        <f t="shared" si="4"/>
        <v>41951.627142857084</v>
      </c>
      <c r="G39" s="68">
        <f t="shared" si="4"/>
        <v>396734.79000000004</v>
      </c>
      <c r="H39" s="68">
        <f t="shared" si="4"/>
        <v>1247350.7895</v>
      </c>
      <c r="I39" s="68">
        <f t="shared" si="4"/>
        <v>2408992.3626999999</v>
      </c>
      <c r="J39" s="68">
        <f t="shared" si="4"/>
        <v>22793436.414000001</v>
      </c>
      <c r="K39" s="68">
        <f t="shared" si="4"/>
        <v>6720387.502493999</v>
      </c>
      <c r="L39" s="68">
        <f t="shared" si="4"/>
        <v>0</v>
      </c>
      <c r="M39" s="68">
        <f>SUM(J38:K38)*0.05</f>
        <v>432.48260499999998</v>
      </c>
      <c r="N39" s="68">
        <f>SUM(C39:G39, H39:I39)</f>
        <v>229860361.18934283</v>
      </c>
      <c r="O39" s="68">
        <f>SUM(J39:M39)</f>
        <v>29514256.399099</v>
      </c>
      <c r="P39" s="69">
        <f>SUM(N39,O39)</f>
        <v>259374617.58844182</v>
      </c>
    </row>
    <row r="40" spans="1:19" ht="15">
      <c r="A40" s="120"/>
      <c r="B40" s="4" t="s">
        <v>48</v>
      </c>
      <c r="C40" s="70">
        <f t="shared" ref="C40:I40" si="5">C38*C$28</f>
        <v>77.180374810000004</v>
      </c>
      <c r="D40" s="5">
        <f t="shared" si="5"/>
        <v>11865.914589100001</v>
      </c>
      <c r="E40" s="70">
        <f t="shared" si="5"/>
        <v>25.330416554110002</v>
      </c>
      <c r="F40" s="70">
        <f t="shared" si="5"/>
        <v>3.6361172524285665</v>
      </c>
      <c r="G40" s="70">
        <f t="shared" si="5"/>
        <v>0</v>
      </c>
      <c r="H40" s="5">
        <f t="shared" si="5"/>
        <v>92.265860841000006</v>
      </c>
      <c r="I40" s="70">
        <f t="shared" si="5"/>
        <v>170.274514606</v>
      </c>
      <c r="J40" s="6">
        <f>J38*$Q9</f>
        <v>1648.3450209106331</v>
      </c>
      <c r="K40" s="6">
        <f>K38*$Q9</f>
        <v>485.99592782429625</v>
      </c>
      <c r="L40" s="6">
        <v>0</v>
      </c>
      <c r="M40" s="70">
        <f>SUM(J40:K40)*0.05</f>
        <v>106.71704743674648</v>
      </c>
      <c r="N40" s="70">
        <f>SUM(C40:G40, H40:I40)</f>
        <v>12234.601873163539</v>
      </c>
      <c r="O40" s="7">
        <f>SUM(J40:M40)</f>
        <v>2241.0579961716758</v>
      </c>
      <c r="P40" s="71">
        <f>SUM(N40+O40)</f>
        <v>14475.659869335215</v>
      </c>
    </row>
    <row r="41" spans="1:19">
      <c r="A41" s="120" t="s">
        <v>52</v>
      </c>
      <c r="B41" s="64" t="s">
        <v>46</v>
      </c>
      <c r="C41" s="65">
        <f>841+6754</f>
        <v>7595</v>
      </c>
      <c r="D41" s="65">
        <f>SUM(C12:E12)/10</f>
        <v>226029.03999999998</v>
      </c>
      <c r="E41" s="65">
        <f>M12</f>
        <v>5597.0171714365097</v>
      </c>
      <c r="F41" s="65">
        <v>324.47619047619003</v>
      </c>
      <c r="G41" s="65">
        <f>N21*1000</f>
        <v>29261.000000000004</v>
      </c>
      <c r="H41" s="65">
        <v>9079.5</v>
      </c>
      <c r="I41" s="65">
        <v>20034.7</v>
      </c>
      <c r="J41" s="65">
        <f>G12/1000</f>
        <v>7465.5</v>
      </c>
      <c r="K41" s="65">
        <f>F12/1000</f>
        <v>2218.0044800000001</v>
      </c>
      <c r="L41" s="65">
        <f>K12/1000</f>
        <v>0</v>
      </c>
      <c r="M41" s="2">
        <v>0</v>
      </c>
      <c r="N41" s="65"/>
      <c r="O41" s="3"/>
      <c r="P41" s="72"/>
    </row>
    <row r="42" spans="1:19">
      <c r="A42" s="120"/>
      <c r="B42" s="67" t="s">
        <v>47</v>
      </c>
      <c r="C42" s="68">
        <f t="shared" ref="C42:L42" si="6">C41*C$29</f>
        <v>1043408.6949999999</v>
      </c>
      <c r="D42" s="68">
        <f t="shared" si="6"/>
        <v>226029039.99999997</v>
      </c>
      <c r="E42" s="68">
        <f t="shared" si="6"/>
        <v>512966.62376215612</v>
      </c>
      <c r="F42" s="68">
        <f t="shared" si="6"/>
        <v>42081.317142857086</v>
      </c>
      <c r="G42" s="68">
        <f t="shared" si="6"/>
        <v>225017.09000000003</v>
      </c>
      <c r="H42" s="68">
        <f t="shared" si="6"/>
        <v>1247350.7895</v>
      </c>
      <c r="I42" s="68">
        <f t="shared" si="6"/>
        <v>2408992.3626999999</v>
      </c>
      <c r="J42" s="68">
        <f t="shared" si="6"/>
        <v>25473331.169999998</v>
      </c>
      <c r="K42" s="68">
        <f t="shared" si="6"/>
        <v>7568141.8063872</v>
      </c>
      <c r="L42" s="68">
        <f t="shared" si="6"/>
        <v>0</v>
      </c>
      <c r="M42" s="68">
        <f>SUM(J41:K41)*0.05</f>
        <v>484.17522400000001</v>
      </c>
      <c r="N42" s="68">
        <f>SUM(C42:G42, H42:I42)</f>
        <v>231508856.87810495</v>
      </c>
      <c r="O42" s="68">
        <f>SUM(J42:M42)</f>
        <v>33041957.151611198</v>
      </c>
      <c r="P42" s="69">
        <f>SUM(N42,O42)</f>
        <v>264550814.02971616</v>
      </c>
    </row>
    <row r="43" spans="1:19" ht="15">
      <c r="A43" s="120"/>
      <c r="B43" s="4" t="s">
        <v>48</v>
      </c>
      <c r="C43" s="70">
        <f t="shared" ref="C43:I43" si="7">C41*C$28</f>
        <v>77.180374810000004</v>
      </c>
      <c r="D43" s="5">
        <f t="shared" si="7"/>
        <v>11959.196506399998</v>
      </c>
      <c r="E43" s="70">
        <f t="shared" si="7"/>
        <v>28.500306847521017</v>
      </c>
      <c r="F43" s="70">
        <f t="shared" si="7"/>
        <v>3.6473580094285665</v>
      </c>
      <c r="G43" s="70">
        <f t="shared" si="7"/>
        <v>0</v>
      </c>
      <c r="H43" s="5">
        <f t="shared" si="7"/>
        <v>92.265860841000006</v>
      </c>
      <c r="I43" s="70">
        <f t="shared" si="7"/>
        <v>170.274514606</v>
      </c>
      <c r="J43" s="6">
        <f>J41*$Q12</f>
        <v>1896.32680461939</v>
      </c>
      <c r="K43" s="6">
        <f>K41*$Q12</f>
        <v>563.39981892571052</v>
      </c>
      <c r="L43" s="6">
        <v>0</v>
      </c>
      <c r="M43" s="70">
        <f>SUM(J43:K43)*0.05</f>
        <v>122.98633117725504</v>
      </c>
      <c r="N43" s="70">
        <f>SUM(C43:G43, H43:I43)</f>
        <v>12331.064921513947</v>
      </c>
      <c r="O43" s="7">
        <f>SUM(J43:M43)</f>
        <v>2582.7129547223558</v>
      </c>
      <c r="P43" s="71">
        <f>SUM(N43+O43)</f>
        <v>14913.777876236303</v>
      </c>
    </row>
    <row r="44" spans="1:19">
      <c r="A44" s="120" t="s">
        <v>53</v>
      </c>
      <c r="B44" s="64" t="s">
        <v>46</v>
      </c>
      <c r="C44" s="65">
        <f>841+6754</f>
        <v>7595</v>
      </c>
      <c r="D44" s="65">
        <f>SUM(C15:E15)/10</f>
        <v>243880.66</v>
      </c>
      <c r="E44" s="65">
        <f>M15</f>
        <v>5269.0000000000009</v>
      </c>
      <c r="F44" s="65">
        <v>325.47619047619003</v>
      </c>
      <c r="G44" s="65">
        <f>N24*1000</f>
        <v>43057</v>
      </c>
      <c r="H44" s="65">
        <v>9079.5</v>
      </c>
      <c r="I44" s="65">
        <v>20034.7</v>
      </c>
      <c r="J44" s="65">
        <f>G15/1000</f>
        <v>11477.34</v>
      </c>
      <c r="K44" s="65">
        <f>F15/1000</f>
        <v>2368.3935999999999</v>
      </c>
      <c r="L44" s="65">
        <f>K15/1000</f>
        <v>0</v>
      </c>
      <c r="M44" s="2">
        <v>0</v>
      </c>
      <c r="N44" s="65"/>
      <c r="O44" s="3"/>
      <c r="P44" s="72"/>
    </row>
    <row r="45" spans="1:19">
      <c r="A45" s="120"/>
      <c r="B45" s="67" t="s">
        <v>47</v>
      </c>
      <c r="C45" s="68">
        <f t="shared" ref="C45:L45" si="8">C44*C$29</f>
        <v>1043408.6949999999</v>
      </c>
      <c r="D45" s="68">
        <f t="shared" si="8"/>
        <v>243880660</v>
      </c>
      <c r="E45" s="68">
        <f t="shared" si="8"/>
        <v>482903.85000000009</v>
      </c>
      <c r="F45" s="68">
        <f t="shared" si="8"/>
        <v>42211.007142857081</v>
      </c>
      <c r="G45" s="68">
        <f t="shared" si="8"/>
        <v>331108.33</v>
      </c>
      <c r="H45" s="68">
        <f t="shared" si="8"/>
        <v>1247350.7895</v>
      </c>
      <c r="I45" s="68">
        <f t="shared" si="8"/>
        <v>2408992.3626999999</v>
      </c>
      <c r="J45" s="68">
        <f t="shared" si="8"/>
        <v>39162290.907600001</v>
      </c>
      <c r="K45" s="68">
        <f t="shared" si="8"/>
        <v>8081290.5383039992</v>
      </c>
      <c r="L45" s="68">
        <f t="shared" si="8"/>
        <v>0</v>
      </c>
      <c r="M45" s="68">
        <f>SUM(J44:K44)*0.05</f>
        <v>692.28668000000005</v>
      </c>
      <c r="N45" s="68">
        <f>SUM(C45:G45, H45:I45)</f>
        <v>249436635.03434286</v>
      </c>
      <c r="O45" s="68">
        <f>SUM(J45:M45)</f>
        <v>47244273.732584</v>
      </c>
      <c r="P45" s="69">
        <f>SUM(N45,O45)</f>
        <v>296680908.76692688</v>
      </c>
    </row>
    <row r="46" spans="1:19" ht="15">
      <c r="A46" s="120"/>
      <c r="B46" s="4" t="s">
        <v>48</v>
      </c>
      <c r="C46" s="70">
        <f t="shared" ref="C46:I46" si="9">C44*C$28</f>
        <v>77.180374810000004</v>
      </c>
      <c r="D46" s="5">
        <f t="shared" si="9"/>
        <v>12903.725720599999</v>
      </c>
      <c r="E46" s="70">
        <f t="shared" si="9"/>
        <v>26.830026097820006</v>
      </c>
      <c r="F46" s="70">
        <f t="shared" si="9"/>
        <v>3.6585987664285664</v>
      </c>
      <c r="G46" s="70">
        <f t="shared" si="9"/>
        <v>0</v>
      </c>
      <c r="H46" s="5">
        <f t="shared" si="9"/>
        <v>92.265860841000006</v>
      </c>
      <c r="I46" s="70">
        <f t="shared" si="9"/>
        <v>170.274514606</v>
      </c>
      <c r="J46" s="6">
        <f>J44*$Q15</f>
        <v>3425.5743484137856</v>
      </c>
      <c r="K46" s="6">
        <f>K44*$Q15</f>
        <v>706.88054576298862</v>
      </c>
      <c r="L46" s="6">
        <v>0</v>
      </c>
      <c r="M46" s="70">
        <f>SUM(J46:K46)*0.05</f>
        <v>206.62274470883872</v>
      </c>
      <c r="N46" s="70">
        <f>SUM(C46:G46, H46:I46)</f>
        <v>13273.935095721248</v>
      </c>
      <c r="O46" s="7">
        <f>SUM(J46:M46)</f>
        <v>4339.0776388856129</v>
      </c>
      <c r="P46" s="71">
        <f>SUM(N46+O46)</f>
        <v>17613.012734606862</v>
      </c>
    </row>
    <row r="47" spans="1:19">
      <c r="A47" s="120" t="s">
        <v>54</v>
      </c>
      <c r="B47" s="64" t="s">
        <v>46</v>
      </c>
      <c r="C47" s="65">
        <f>7840</f>
        <v>7840</v>
      </c>
      <c r="D47" s="65">
        <f>SUM(C18:E18)/10</f>
        <v>267980.11</v>
      </c>
      <c r="E47" s="65">
        <f>M18</f>
        <v>4122.9000000000005</v>
      </c>
      <c r="F47" s="65">
        <v>326.47619047619003</v>
      </c>
      <c r="G47" s="65">
        <v>0</v>
      </c>
      <c r="H47" s="65">
        <v>9079.5</v>
      </c>
      <c r="I47" s="65">
        <v>20034.7</v>
      </c>
      <c r="J47" s="65">
        <f>G18/1000</f>
        <v>10384.5</v>
      </c>
      <c r="K47" s="65">
        <f>F18/1000</f>
        <v>2198.6995999999999</v>
      </c>
      <c r="L47" s="65">
        <f>K18/1000</f>
        <v>0</v>
      </c>
      <c r="M47" s="2">
        <v>0</v>
      </c>
      <c r="N47" s="65"/>
      <c r="O47" s="3"/>
      <c r="P47" s="72"/>
    </row>
    <row r="48" spans="1:19">
      <c r="A48" s="120"/>
      <c r="B48" s="67" t="s">
        <v>47</v>
      </c>
      <c r="C48" s="68">
        <f>C47*C$29</f>
        <v>1077067.04</v>
      </c>
      <c r="D48" s="68">
        <f>D47*D$29</f>
        <v>267980110</v>
      </c>
      <c r="E48" s="68">
        <f>E47*E$29</f>
        <v>377863.78500000009</v>
      </c>
      <c r="F48" s="68">
        <f>F47*F$29</f>
        <v>42340.697142857083</v>
      </c>
      <c r="G48" s="68">
        <v>0</v>
      </c>
      <c r="H48" s="68">
        <f>H47*H$29</f>
        <v>1247350.7895</v>
      </c>
      <c r="I48" s="68">
        <f>I47*I$29</f>
        <v>2408992.3626999999</v>
      </c>
      <c r="J48" s="68">
        <f>J47*J$29</f>
        <v>35433367.829999998</v>
      </c>
      <c r="K48" s="68">
        <f>K47*K$29</f>
        <v>7502270.8531439994</v>
      </c>
      <c r="L48" s="68">
        <f>L47*L$29</f>
        <v>0</v>
      </c>
      <c r="M48" s="68">
        <f>SUM(J47:K47)*0.05</f>
        <v>629.15998000000002</v>
      </c>
      <c r="N48" s="68">
        <f>SUM(C48:G48, H48:I48)</f>
        <v>273133724.67434287</v>
      </c>
      <c r="O48" s="68">
        <f>SUM(J48:M48)</f>
        <v>42936267.843123995</v>
      </c>
      <c r="P48" s="69">
        <f>SUM(N48,O48)</f>
        <v>316069992.51746684</v>
      </c>
    </row>
    <row r="49" spans="1:16" ht="15">
      <c r="A49" s="120"/>
      <c r="B49" s="4" t="s">
        <v>48</v>
      </c>
      <c r="C49" s="70">
        <f>C47*C$28</f>
        <v>79.670064320000009</v>
      </c>
      <c r="D49" s="5">
        <f>D47*D$28</f>
        <v>14178.827620099999</v>
      </c>
      <c r="E49" s="70">
        <f>E47*E$28</f>
        <v>20.994024406662003</v>
      </c>
      <c r="F49" s="70">
        <f>F47*F$28</f>
        <v>3.6698395234285663</v>
      </c>
      <c r="G49" s="70">
        <v>0</v>
      </c>
      <c r="H49" s="5">
        <f>H47*H$28</f>
        <v>92.265860841000006</v>
      </c>
      <c r="I49" s="70">
        <f>I47*I$28</f>
        <v>170.274514606</v>
      </c>
      <c r="J49" s="6">
        <f>J47*$Q18</f>
        <v>3212.4488573994613</v>
      </c>
      <c r="K49" s="6">
        <f>K47*$Q18</f>
        <v>680.16852210358252</v>
      </c>
      <c r="L49" s="6">
        <v>0</v>
      </c>
      <c r="M49" s="70">
        <f>SUM(J49:K49)*0.05</f>
        <v>194.6308689751522</v>
      </c>
      <c r="N49" s="70">
        <f>SUM(C49:G49, H49:I49)</f>
        <v>14545.701923797091</v>
      </c>
      <c r="O49" s="7">
        <f>SUM(J49:M49)</f>
        <v>4087.2482484781958</v>
      </c>
      <c r="P49" s="71">
        <f>SUM(N49+O49)</f>
        <v>18632.950172275287</v>
      </c>
    </row>
    <row r="50" spans="1:16">
      <c r="A50" s="120" t="s">
        <v>55</v>
      </c>
      <c r="B50" s="64" t="s">
        <v>46</v>
      </c>
      <c r="C50" s="65">
        <f>841+6754</f>
        <v>7595</v>
      </c>
      <c r="D50" s="65">
        <f>SUM(C21:E21)/10</f>
        <v>263476.2</v>
      </c>
      <c r="E50" s="65">
        <f>M21</f>
        <v>4453.4000000000005</v>
      </c>
      <c r="F50" s="65">
        <v>327.47619047619003</v>
      </c>
      <c r="G50" s="65">
        <f>J30*1000</f>
        <v>0</v>
      </c>
      <c r="H50" s="65">
        <v>9079.5</v>
      </c>
      <c r="I50" s="65">
        <v>20034.7</v>
      </c>
      <c r="J50" s="65">
        <f>G21/1000</f>
        <v>9662.1</v>
      </c>
      <c r="K50" s="65">
        <f>F21/1000</f>
        <v>2215.7165</v>
      </c>
      <c r="L50" s="65">
        <f>K21/1000</f>
        <v>0</v>
      </c>
      <c r="M50" s="2">
        <v>0</v>
      </c>
      <c r="N50" s="65"/>
      <c r="O50" s="3"/>
      <c r="P50" s="72"/>
    </row>
    <row r="51" spans="1:16">
      <c r="A51" s="120"/>
      <c r="B51" s="67" t="s">
        <v>47</v>
      </c>
      <c r="C51" s="68">
        <f t="shared" ref="C51:L51" si="10">C50*C$29</f>
        <v>1043408.6949999999</v>
      </c>
      <c r="D51" s="68">
        <f t="shared" si="10"/>
        <v>263476200</v>
      </c>
      <c r="E51" s="68">
        <f t="shared" si="10"/>
        <v>408154.1100000001</v>
      </c>
      <c r="F51" s="68">
        <f t="shared" si="10"/>
        <v>42470.387142857086</v>
      </c>
      <c r="G51" s="68">
        <f t="shared" si="10"/>
        <v>0</v>
      </c>
      <c r="H51" s="68">
        <f t="shared" si="10"/>
        <v>1247350.7895</v>
      </c>
      <c r="I51" s="68">
        <f t="shared" si="10"/>
        <v>2408992.3626999999</v>
      </c>
      <c r="J51" s="68">
        <f t="shared" si="10"/>
        <v>32968437.894000001</v>
      </c>
      <c r="K51" s="68">
        <f t="shared" si="10"/>
        <v>7560334.8983100001</v>
      </c>
      <c r="L51" s="68">
        <f t="shared" si="10"/>
        <v>0</v>
      </c>
      <c r="M51" s="68">
        <f>SUM(J50:K50)*0.05</f>
        <v>593.89082500000006</v>
      </c>
      <c r="N51" s="68">
        <f>SUM(C51:G51, H51:I51)</f>
        <v>268626576.34434289</v>
      </c>
      <c r="O51" s="68">
        <f>SUM(J51:M51)</f>
        <v>40529366.683135003</v>
      </c>
      <c r="P51" s="69">
        <f>SUM(N51,O51)</f>
        <v>309155943.02747786</v>
      </c>
    </row>
    <row r="52" spans="1:16" ht="15">
      <c r="A52" s="121"/>
      <c r="B52" s="74" t="s">
        <v>48</v>
      </c>
      <c r="C52" s="75">
        <f t="shared" ref="C52:I52" si="11">C50*C$28</f>
        <v>77.180374810000004</v>
      </c>
      <c r="D52" s="76">
        <f t="shared" si="11"/>
        <v>13940.525742</v>
      </c>
      <c r="E52" s="75">
        <f t="shared" si="11"/>
        <v>22.676947850452002</v>
      </c>
      <c r="F52" s="75">
        <f t="shared" si="11"/>
        <v>3.6810802804285667</v>
      </c>
      <c r="G52" s="75">
        <f t="shared" si="11"/>
        <v>0</v>
      </c>
      <c r="H52" s="76">
        <f t="shared" si="11"/>
        <v>92.265860841000006</v>
      </c>
      <c r="I52" s="75">
        <f t="shared" si="11"/>
        <v>170.274514606</v>
      </c>
      <c r="J52" s="6">
        <f>J50*$Q21</f>
        <v>3111.688635683247</v>
      </c>
      <c r="K52" s="6">
        <f>K50*$Q21</f>
        <v>713.57363854088237</v>
      </c>
      <c r="L52" s="77">
        <v>0</v>
      </c>
      <c r="M52" s="75">
        <f>SUM(J52:K52)*0.05</f>
        <v>191.26311371120647</v>
      </c>
      <c r="N52" s="75">
        <f>SUM(C52:G52, H52:I52)</f>
        <v>14306.60452038788</v>
      </c>
      <c r="O52" s="78">
        <f>SUM(J52:M52)</f>
        <v>4016.5253879353359</v>
      </c>
      <c r="P52" s="79">
        <f>SUM(N52+O52)</f>
        <v>18323.129908323215</v>
      </c>
    </row>
    <row r="53" spans="1:16" ht="17">
      <c r="A53" s="80"/>
      <c r="B53" s="81"/>
      <c r="C53" s="82"/>
      <c r="G53" s="83"/>
    </row>
    <row r="54" spans="1:16" ht="17">
      <c r="A54" s="84"/>
      <c r="B54" s="85"/>
      <c r="C54" s="85"/>
      <c r="D54" s="86"/>
      <c r="E54" s="87"/>
      <c r="H54" s="88"/>
    </row>
    <row r="55" spans="1:16" s="92" customFormat="1" ht="23" customHeight="1">
      <c r="A55" s="122" t="s">
        <v>0</v>
      </c>
      <c r="B55" s="123"/>
      <c r="C55" s="123"/>
      <c r="D55" s="123"/>
      <c r="E55" s="124"/>
      <c r="F55" s="89"/>
      <c r="G55" s="90"/>
      <c r="H55" s="91"/>
    </row>
    <row r="56" spans="1:16" ht="19" customHeight="1">
      <c r="A56" s="93"/>
      <c r="B56" s="94" t="s">
        <v>47</v>
      </c>
      <c r="C56" s="95" t="s">
        <v>56</v>
      </c>
      <c r="D56" s="96" t="s">
        <v>57</v>
      </c>
      <c r="E56" s="97" t="s">
        <v>58</v>
      </c>
    </row>
    <row r="57" spans="1:16" ht="15">
      <c r="A57" s="98" t="s">
        <v>18</v>
      </c>
      <c r="B57" s="99">
        <f>P33</f>
        <v>293813130.09971488</v>
      </c>
      <c r="C57" s="100">
        <f t="shared" ref="C57:C63" si="12">B57*0.293014</f>
        <v>86091360.503037855</v>
      </c>
      <c r="D57" s="101">
        <f>P34</f>
        <v>15181.587537504514</v>
      </c>
      <c r="E57" s="102">
        <f t="shared" ref="E57:E63" si="13">D57*1000</f>
        <v>15181587.537504515</v>
      </c>
    </row>
    <row r="58" spans="1:16" ht="15">
      <c r="A58" s="98" t="s">
        <v>19</v>
      </c>
      <c r="B58" s="103">
        <f>P36</f>
        <v>292847498.40081835</v>
      </c>
      <c r="C58" s="100">
        <f t="shared" si="12"/>
        <v>85808416.896417379</v>
      </c>
      <c r="D58" s="100">
        <f>P37</f>
        <v>15711.608432608627</v>
      </c>
      <c r="E58" s="104">
        <f t="shared" si="13"/>
        <v>15711608.432608627</v>
      </c>
    </row>
    <row r="59" spans="1:16" ht="15">
      <c r="A59" s="98" t="s">
        <v>20</v>
      </c>
      <c r="B59" s="103">
        <f>P39</f>
        <v>259374617.58844182</v>
      </c>
      <c r="C59" s="100">
        <f t="shared" si="12"/>
        <v>76000394.198059693</v>
      </c>
      <c r="D59" s="100">
        <f>P40</f>
        <v>14475.659869335215</v>
      </c>
      <c r="E59" s="104">
        <f t="shared" si="13"/>
        <v>14475659.869335216</v>
      </c>
    </row>
    <row r="60" spans="1:16" ht="15">
      <c r="A60" s="98" t="s">
        <v>21</v>
      </c>
      <c r="B60" s="103">
        <f>P42</f>
        <v>264550814.02971616</v>
      </c>
      <c r="C60" s="100">
        <f t="shared" si="12"/>
        <v>77517092.222103253</v>
      </c>
      <c r="D60" s="100">
        <f>P43</f>
        <v>14913.777876236303</v>
      </c>
      <c r="E60" s="104">
        <f t="shared" si="13"/>
        <v>14913777.876236303</v>
      </c>
    </row>
    <row r="61" spans="1:16" ht="15">
      <c r="A61" s="98" t="s">
        <v>22</v>
      </c>
      <c r="B61" s="103">
        <f>P45</f>
        <v>296680908.76692688</v>
      </c>
      <c r="C61" s="100">
        <f t="shared" si="12"/>
        <v>86931659.801432312</v>
      </c>
      <c r="D61" s="100">
        <f>P46</f>
        <v>17613.012734606862</v>
      </c>
      <c r="E61" s="104">
        <f t="shared" si="13"/>
        <v>17613012.734606862</v>
      </c>
    </row>
    <row r="62" spans="1:16" ht="15">
      <c r="A62" s="98" t="s">
        <v>23</v>
      </c>
      <c r="B62" s="103">
        <f>P48</f>
        <v>316069992.51746684</v>
      </c>
      <c r="C62" s="100">
        <f t="shared" si="12"/>
        <v>92612932.787513033</v>
      </c>
      <c r="D62" s="100">
        <f>P49</f>
        <v>18632.950172275287</v>
      </c>
      <c r="E62" s="104">
        <f t="shared" si="13"/>
        <v>18632950.172275286</v>
      </c>
      <c r="H62" s="105"/>
    </row>
    <row r="63" spans="1:16" ht="15">
      <c r="A63" s="106" t="s">
        <v>24</v>
      </c>
      <c r="B63" s="107">
        <f>P51</f>
        <v>309155943.02747786</v>
      </c>
      <c r="C63" s="108">
        <f t="shared" si="12"/>
        <v>90587019.490253404</v>
      </c>
      <c r="D63" s="108">
        <f>P52</f>
        <v>18323.129908323215</v>
      </c>
      <c r="E63" s="109">
        <f t="shared" si="13"/>
        <v>18323129.908323213</v>
      </c>
    </row>
    <row r="64" spans="1:16" ht="15">
      <c r="A64" s="9"/>
      <c r="B64" s="9"/>
      <c r="C64" s="9"/>
      <c r="D64" s="9"/>
      <c r="E64" s="9"/>
    </row>
    <row r="65" spans="1:5" ht="15">
      <c r="A65" s="9"/>
      <c r="B65" s="9"/>
      <c r="C65" s="9"/>
      <c r="D65" s="9"/>
      <c r="E65" s="9"/>
    </row>
    <row r="66" spans="1:5" ht="24" customHeight="1">
      <c r="A66" s="125" t="s">
        <v>59</v>
      </c>
      <c r="B66" s="126"/>
      <c r="C66" s="126"/>
      <c r="D66" s="126"/>
      <c r="E66" s="127"/>
    </row>
    <row r="67" spans="1:5" ht="30" customHeight="1">
      <c r="A67" s="10" t="s">
        <v>60</v>
      </c>
      <c r="B67" s="10" t="s">
        <v>61</v>
      </c>
      <c r="C67" s="10" t="s">
        <v>62</v>
      </c>
      <c r="D67" s="10" t="s">
        <v>63</v>
      </c>
      <c r="E67" s="10" t="s">
        <v>62</v>
      </c>
    </row>
    <row r="68" spans="1:5" ht="15">
      <c r="A68" s="110">
        <v>200053</v>
      </c>
      <c r="B68" s="111">
        <f>C57/A68</f>
        <v>430.34276168334321</v>
      </c>
      <c r="C68" s="111">
        <f>(537-B68)/393</f>
        <v>0.27139246391006816</v>
      </c>
      <c r="D68" s="111">
        <f>(D57)*1000/A68</f>
        <v>75.887827413258066</v>
      </c>
      <c r="E68" s="112">
        <f>(131-D68)/131</f>
        <v>0.42070360753238117</v>
      </c>
    </row>
    <row r="69" spans="1:5" ht="15">
      <c r="A69" s="113"/>
      <c r="B69" s="111"/>
      <c r="C69" s="111">
        <f>C68*3</f>
        <v>0.81417739173020443</v>
      </c>
      <c r="D69" s="111"/>
      <c r="E69" s="112">
        <f>E68*3</f>
        <v>1.2621108225971436</v>
      </c>
    </row>
    <row r="70" spans="1:5" ht="31" customHeight="1">
      <c r="A70" s="10" t="s">
        <v>64</v>
      </c>
      <c r="B70" s="114" t="s">
        <v>65</v>
      </c>
      <c r="C70" s="114" t="s">
        <v>62</v>
      </c>
      <c r="D70" s="114" t="s">
        <v>66</v>
      </c>
      <c r="E70" s="114" t="s">
        <v>62</v>
      </c>
    </row>
    <row r="71" spans="1:5" ht="15">
      <c r="A71" s="113">
        <f>1898+1050</f>
        <v>2948</v>
      </c>
      <c r="B71" s="111">
        <f>C57/A71</f>
        <v>29203.310889768607</v>
      </c>
      <c r="C71" s="111">
        <f>(31005-B71)/28586</f>
        <v>6.3026975100797342E-2</v>
      </c>
      <c r="D71" s="111">
        <f>(D57)*1000/2948</f>
        <v>5149.7922447437295</v>
      </c>
      <c r="E71" s="112">
        <f>(7267-D71)/7267</f>
        <v>0.29134550092971934</v>
      </c>
    </row>
    <row r="72" spans="1:5" ht="15">
      <c r="A72" s="115"/>
      <c r="B72" s="116"/>
      <c r="C72" s="117">
        <f>C71*3</f>
        <v>0.18908092530239201</v>
      </c>
      <c r="D72" s="116"/>
      <c r="E72" s="118">
        <f>E71*3</f>
        <v>0.87403650278915801</v>
      </c>
    </row>
  </sheetData>
  <mergeCells count="10">
    <mergeCell ref="A47:A49"/>
    <mergeCell ref="A50:A52"/>
    <mergeCell ref="A55:E55"/>
    <mergeCell ref="A66:E66"/>
    <mergeCell ref="A26:A29"/>
    <mergeCell ref="A32:A34"/>
    <mergeCell ref="A35:A37"/>
    <mergeCell ref="A38:A40"/>
    <mergeCell ref="A41:A43"/>
    <mergeCell ref="A44:A4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Zhu 24</dc:creator>
  <cp:lastModifiedBy>Sara Zhu 24</cp:lastModifiedBy>
  <dcterms:created xsi:type="dcterms:W3CDTF">2024-01-22T02:45:43Z</dcterms:created>
  <dcterms:modified xsi:type="dcterms:W3CDTF">2024-01-22T03:05:30Z</dcterms:modified>
</cp:coreProperties>
</file>