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moneazeglio/Desktop/Universita/EsperimentazioniII/Esperienza3/"/>
    </mc:Choice>
  </mc:AlternateContent>
  <bookViews>
    <workbookView xWindow="480" yWindow="660" windowWidth="25600" windowHeight="14320" tabRatio="500"/>
  </bookViews>
  <sheets>
    <sheet name="Prisma" sheetId="1" r:id="rId1"/>
    <sheet name="Reticolo" sheetId="2" r:id="rId2"/>
  </sheets>
  <definedNames>
    <definedName name="_xlnm.Print_Area" localSheetId="0">Prisma!$L$1:$T$21</definedName>
    <definedName name="_xlnm.Print_Area" localSheetId="1">Reticolo!$K$1:$S$52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H15" i="2"/>
  <c r="H16" i="2"/>
  <c r="H17" i="2"/>
  <c r="H18" i="2"/>
  <c r="H14" i="2"/>
  <c r="M32" i="2"/>
  <c r="M41" i="2"/>
  <c r="Q32" i="2"/>
  <c r="M33" i="2"/>
  <c r="M42" i="2"/>
  <c r="Q33" i="2"/>
  <c r="M34" i="2"/>
  <c r="M43" i="2"/>
  <c r="Q34" i="2"/>
  <c r="M35" i="2"/>
  <c r="M44" i="2"/>
  <c r="Q35" i="2"/>
  <c r="M36" i="2"/>
  <c r="M45" i="2"/>
  <c r="Q36" i="2"/>
  <c r="M37" i="2"/>
  <c r="M46" i="2"/>
  <c r="Q37" i="2"/>
  <c r="M31" i="2"/>
  <c r="M40" i="2"/>
  <c r="Q31" i="2"/>
  <c r="B34" i="2"/>
  <c r="B42" i="2"/>
  <c r="F34" i="2"/>
  <c r="B35" i="2"/>
  <c r="B43" i="2"/>
  <c r="F35" i="2"/>
  <c r="B36" i="2"/>
  <c r="B44" i="2"/>
  <c r="F36" i="2"/>
  <c r="B33" i="2"/>
  <c r="B41" i="2"/>
  <c r="F33" i="2"/>
  <c r="B32" i="2"/>
  <c r="B40" i="2"/>
  <c r="F32" i="2"/>
  <c r="B16" i="1"/>
  <c r="B17" i="1"/>
  <c r="B18" i="1"/>
  <c r="B19" i="1"/>
  <c r="B20" i="1"/>
  <c r="B21" i="1"/>
  <c r="B15" i="1"/>
  <c r="M16" i="1"/>
  <c r="M18" i="1"/>
  <c r="M19" i="1"/>
  <c r="M20" i="1"/>
  <c r="M21" i="1"/>
  <c r="B31" i="2"/>
  <c r="E31" i="2"/>
  <c r="E33" i="2"/>
  <c r="E34" i="2"/>
  <c r="E35" i="2"/>
  <c r="E36" i="2"/>
  <c r="E32" i="2"/>
  <c r="A15" i="1"/>
  <c r="T5" i="1"/>
  <c r="T6" i="1"/>
  <c r="T7" i="1"/>
  <c r="T8" i="1"/>
  <c r="T9" i="1"/>
  <c r="T10" i="1"/>
  <c r="T4" i="1"/>
  <c r="I5" i="1"/>
  <c r="I6" i="1"/>
  <c r="I7" i="1"/>
  <c r="I8" i="1"/>
  <c r="I9" i="1"/>
  <c r="I10" i="1"/>
  <c r="I4" i="1"/>
  <c r="A20" i="1"/>
  <c r="C41" i="2"/>
  <c r="C42" i="2"/>
  <c r="C43" i="2"/>
  <c r="C44" i="2"/>
  <c r="C40" i="2"/>
  <c r="C31" i="2"/>
  <c r="C32" i="2"/>
  <c r="C33" i="2"/>
  <c r="C34" i="2"/>
  <c r="C35" i="2"/>
  <c r="C36" i="2"/>
  <c r="I15" i="2"/>
  <c r="I16" i="2"/>
  <c r="I17" i="2"/>
  <c r="I18" i="2"/>
  <c r="I14" i="2"/>
  <c r="I10" i="2"/>
  <c r="H5" i="2"/>
  <c r="I6" i="2"/>
  <c r="I7" i="2"/>
  <c r="I8" i="2"/>
  <c r="I9" i="2"/>
  <c r="I5" i="2"/>
  <c r="H6" i="2"/>
  <c r="H7" i="2"/>
  <c r="H8" i="2"/>
  <c r="H9" i="2"/>
  <c r="H10" i="2"/>
  <c r="S6" i="2"/>
  <c r="S7" i="2"/>
  <c r="S8" i="2"/>
  <c r="S9" i="2"/>
  <c r="S10" i="2"/>
  <c r="S11" i="2"/>
  <c r="S5" i="2"/>
  <c r="R6" i="2"/>
  <c r="R7" i="2"/>
  <c r="R8" i="2"/>
  <c r="R9" i="2"/>
  <c r="R10" i="2"/>
  <c r="R11" i="2"/>
  <c r="O6" i="2"/>
  <c r="O7" i="2"/>
  <c r="O8" i="2"/>
  <c r="O9" i="2"/>
  <c r="O10" i="2"/>
  <c r="O11" i="2"/>
  <c r="R5" i="2"/>
  <c r="O5" i="2"/>
  <c r="Q5" i="2"/>
  <c r="L32" i="2"/>
  <c r="L41" i="2"/>
  <c r="P32" i="2"/>
  <c r="L33" i="2"/>
  <c r="L42" i="2"/>
  <c r="P33" i="2"/>
  <c r="L34" i="2"/>
  <c r="L43" i="2"/>
  <c r="P34" i="2"/>
  <c r="L35" i="2"/>
  <c r="L44" i="2"/>
  <c r="P35" i="2"/>
  <c r="L36" i="2"/>
  <c r="L45" i="2"/>
  <c r="P36" i="2"/>
  <c r="L37" i="2"/>
  <c r="L46" i="2"/>
  <c r="P37" i="2"/>
  <c r="L31" i="2"/>
  <c r="L40" i="2"/>
  <c r="P31" i="2"/>
  <c r="F4" i="1"/>
  <c r="L50" i="2"/>
  <c r="L51" i="2"/>
  <c r="L52" i="2"/>
  <c r="L49" i="2"/>
  <c r="M26" i="2"/>
  <c r="M25" i="2"/>
  <c r="M24" i="2"/>
  <c r="M23" i="2"/>
  <c r="M19" i="2"/>
  <c r="Q14" i="2"/>
  <c r="Q15" i="2"/>
  <c r="Q16" i="2"/>
  <c r="Q17" i="2"/>
  <c r="Q18" i="2"/>
  <c r="P19" i="2"/>
  <c r="Q19" i="2"/>
  <c r="Q20" i="2"/>
  <c r="P23" i="2"/>
  <c r="Q23" i="2"/>
  <c r="P24" i="2"/>
  <c r="Q24" i="2"/>
  <c r="P25" i="2"/>
  <c r="Q25" i="2"/>
  <c r="P26" i="2"/>
  <c r="Q26" i="2"/>
  <c r="P14" i="2"/>
  <c r="P15" i="2"/>
  <c r="P16" i="2"/>
  <c r="P17" i="2"/>
  <c r="P18" i="2"/>
  <c r="P20" i="2"/>
  <c r="M20" i="2"/>
  <c r="M18" i="2"/>
  <c r="M17" i="2"/>
  <c r="M16" i="2"/>
  <c r="M15" i="2"/>
  <c r="M14" i="2"/>
  <c r="M5" i="2"/>
  <c r="P5" i="2"/>
  <c r="Q6" i="2"/>
  <c r="Q7" i="2"/>
  <c r="Q8" i="2"/>
  <c r="Q9" i="2"/>
  <c r="Q10" i="2"/>
  <c r="Q11" i="2"/>
  <c r="G5" i="2"/>
  <c r="P6" i="2"/>
  <c r="P7" i="2"/>
  <c r="P8" i="2"/>
  <c r="P9" i="2"/>
  <c r="P10" i="2"/>
  <c r="P11" i="2"/>
  <c r="G15" i="2"/>
  <c r="G16" i="2"/>
  <c r="G17" i="2"/>
  <c r="G18" i="2"/>
  <c r="G14" i="2"/>
  <c r="F15" i="2"/>
  <c r="F16" i="2"/>
  <c r="F17" i="2"/>
  <c r="F18" i="2"/>
  <c r="F14" i="2"/>
  <c r="F5" i="2"/>
  <c r="F6" i="2"/>
  <c r="F7" i="2"/>
  <c r="F8" i="2"/>
  <c r="F9" i="2"/>
  <c r="F10" i="2"/>
  <c r="G6" i="2"/>
  <c r="G7" i="2"/>
  <c r="G8" i="2"/>
  <c r="G9" i="2"/>
  <c r="G10" i="2"/>
  <c r="L18" i="1"/>
  <c r="L19" i="1"/>
  <c r="L20" i="1"/>
  <c r="L21" i="1"/>
  <c r="L16" i="1"/>
  <c r="R7" i="1"/>
  <c r="R8" i="1"/>
  <c r="R9" i="1"/>
  <c r="R10" i="1"/>
  <c r="R5" i="1"/>
  <c r="G5" i="1"/>
  <c r="Q7" i="1"/>
  <c r="Q8" i="1"/>
  <c r="Q9" i="1"/>
  <c r="Q10" i="1"/>
  <c r="Q5" i="1"/>
  <c r="F5" i="1"/>
  <c r="F6" i="1"/>
  <c r="F7" i="1"/>
  <c r="F8" i="1"/>
  <c r="F9" i="1"/>
  <c r="F10" i="1"/>
  <c r="A16" i="1"/>
  <c r="G6" i="1"/>
  <c r="A17" i="1"/>
  <c r="G7" i="1"/>
  <c r="A18" i="1"/>
  <c r="G8" i="1"/>
  <c r="A19" i="1"/>
  <c r="G9" i="1"/>
  <c r="G10" i="1"/>
  <c r="A21" i="1"/>
  <c r="G4" i="1"/>
  <c r="M11" i="2"/>
  <c r="M10" i="2"/>
  <c r="M9" i="2"/>
  <c r="M8" i="2"/>
  <c r="M7" i="2"/>
  <c r="M6" i="2"/>
  <c r="C18" i="2"/>
  <c r="C17" i="2"/>
  <c r="C16" i="2"/>
  <c r="C15" i="2"/>
  <c r="C14" i="2"/>
  <c r="C8" i="2"/>
  <c r="C7" i="2"/>
  <c r="C6" i="2"/>
  <c r="C5" i="2"/>
  <c r="B4" i="1"/>
  <c r="M10" i="1"/>
  <c r="M9" i="1"/>
  <c r="M8" i="1"/>
  <c r="M7" i="1"/>
  <c r="M5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<sst xmlns="http://schemas.openxmlformats.org/spreadsheetml/2006/main" count="129" uniqueCount="40">
  <si>
    <t xml:space="preserve">Colore </t>
  </si>
  <si>
    <t>Gradi</t>
  </si>
  <si>
    <t>Rosso</t>
  </si>
  <si>
    <t>Giallo</t>
  </si>
  <si>
    <t>Arancione</t>
  </si>
  <si>
    <t>Verde</t>
  </si>
  <si>
    <t>Verde Petrolio</t>
  </si>
  <si>
    <t xml:space="preserve">Blu </t>
  </si>
  <si>
    <t>Viola</t>
  </si>
  <si>
    <t>Colore</t>
  </si>
  <si>
    <t xml:space="preserve">I max </t>
  </si>
  <si>
    <t>I max</t>
  </si>
  <si>
    <t>Blu</t>
  </si>
  <si>
    <t xml:space="preserve">II max </t>
  </si>
  <si>
    <t xml:space="preserve">Verde </t>
  </si>
  <si>
    <t>II max</t>
  </si>
  <si>
    <t>Arancio</t>
  </si>
  <si>
    <t>III max</t>
  </si>
  <si>
    <t>Giallo/Arancio</t>
  </si>
  <si>
    <t>D</t>
  </si>
  <si>
    <t xml:space="preserve">n </t>
  </si>
  <si>
    <t>D rad</t>
  </si>
  <si>
    <t>n</t>
  </si>
  <si>
    <t>Drad</t>
  </si>
  <si>
    <t xml:space="preserve">p reticolo </t>
  </si>
  <si>
    <t>λ I max</t>
  </si>
  <si>
    <t>λ II max</t>
  </si>
  <si>
    <t>λ III max</t>
  </si>
  <si>
    <t>λ medio</t>
  </si>
  <si>
    <r>
      <t>σ</t>
    </r>
    <r>
      <rPr>
        <vertAlign val="subscript"/>
        <sz val="12"/>
        <color theme="1"/>
        <rFont val="Calibri (Corpo)"/>
      </rPr>
      <t>D</t>
    </r>
  </si>
  <si>
    <r>
      <t>σ</t>
    </r>
    <r>
      <rPr>
        <vertAlign val="subscript"/>
        <sz val="12"/>
        <color theme="1"/>
        <rFont val="Calibri (Corpo)"/>
      </rPr>
      <t>sin</t>
    </r>
  </si>
  <si>
    <t>D(rad)</t>
  </si>
  <si>
    <r>
      <t>σ</t>
    </r>
    <r>
      <rPr>
        <vertAlign val="subscript"/>
        <sz val="12"/>
        <color theme="1"/>
        <rFont val="Calibri (Corpo)"/>
      </rPr>
      <t>D(rad)</t>
    </r>
  </si>
  <si>
    <r>
      <t>σ</t>
    </r>
    <r>
      <rPr>
        <vertAlign val="subscript"/>
        <sz val="12"/>
        <color theme="1"/>
        <rFont val="Calibri (Corpo)"/>
      </rPr>
      <t>max</t>
    </r>
  </si>
  <si>
    <t>σ</t>
  </si>
  <si>
    <r>
      <t>σ</t>
    </r>
    <r>
      <rPr>
        <vertAlign val="subscript"/>
        <sz val="12"/>
        <color theme="1"/>
        <rFont val="Calibri (Corpo)"/>
      </rPr>
      <t>(unitàgrado)</t>
    </r>
  </si>
  <si>
    <t>σ D</t>
  </si>
  <si>
    <r>
      <t>σ</t>
    </r>
    <r>
      <rPr>
        <vertAlign val="subscript"/>
        <sz val="12"/>
        <color theme="1"/>
        <rFont val="Calibri (Corpo)"/>
      </rPr>
      <t>n</t>
    </r>
  </si>
  <si>
    <r>
      <t>θ</t>
    </r>
    <r>
      <rPr>
        <vertAlign val="subscript"/>
        <sz val="12"/>
        <color theme="1"/>
        <rFont val="Calibri (Corpo)"/>
      </rPr>
      <t>0</t>
    </r>
  </si>
  <si>
    <r>
      <t>σ</t>
    </r>
    <r>
      <rPr>
        <vertAlign val="subscript"/>
        <sz val="12"/>
        <color theme="1"/>
        <rFont val="Calibri (Corpo)"/>
      </rPr>
      <t xml:space="preserve">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</si>
</sst>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vertAlign val="subscript"/>
      <sz val="12"/>
      <color theme="1"/>
      <name val="Calibri (Corpo)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7A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AFF"/>
        <bgColor indexed="64"/>
      </patternFill>
    </fill>
    <fill>
      <patternFill patternType="solid">
        <fgColor rgb="FFAE4E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8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3" xfId="0" applyBorder="1"/>
    <xf numFmtId="0" fontId="0" fillId="9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167" fontId="0" fillId="0" borderId="1" xfId="0" applyNumberFormat="1" applyBorder="1"/>
    <xf numFmtId="167" fontId="0" fillId="0" borderId="0" xfId="0" applyNumberFormat="1"/>
    <xf numFmtId="11" fontId="0" fillId="0" borderId="2" xfId="0" applyNumberFormat="1" applyBorder="1"/>
    <xf numFmtId="11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00B7A6"/>
      <color rgb="FFAE4EF7"/>
      <color rgb="FF007AFF"/>
      <color rgb="FF00ACFF"/>
      <color rgb="FF00F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63500</xdr:rowOff>
    </xdr:from>
    <xdr:to>
      <xdr:col>2</xdr:col>
      <xdr:colOff>520700</xdr:colOff>
      <xdr:row>1</xdr:row>
      <xdr:rowOff>165100</xdr:rowOff>
    </xdr:to>
    <xdr:sp macro="" textlink="">
      <xdr:nvSpPr>
        <xdr:cNvPr id="2" name="CasellaDiTesto 1"/>
        <xdr:cNvSpPr txBox="1"/>
      </xdr:nvSpPr>
      <xdr:spPr>
        <a:xfrm>
          <a:off x="241300" y="63500"/>
          <a:ext cx="19304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Lampada al</a:t>
          </a:r>
          <a:r>
            <a:rPr lang="it-IT" sz="1100" baseline="0"/>
            <a:t> Mercurio</a:t>
          </a:r>
        </a:p>
        <a:p>
          <a:endParaRPr lang="it-IT" sz="1100"/>
        </a:p>
      </xdr:txBody>
    </xdr:sp>
    <xdr:clientData/>
  </xdr:twoCellAnchor>
  <xdr:twoCellAnchor>
    <xdr:from>
      <xdr:col>11</xdr:col>
      <xdr:colOff>88900</xdr:colOff>
      <xdr:row>0</xdr:row>
      <xdr:rowOff>88900</xdr:rowOff>
    </xdr:from>
    <xdr:to>
      <xdr:col>13</xdr:col>
      <xdr:colOff>330200</xdr:colOff>
      <xdr:row>1</xdr:row>
      <xdr:rowOff>152400</xdr:rowOff>
    </xdr:to>
    <xdr:sp macro="" textlink="">
      <xdr:nvSpPr>
        <xdr:cNvPr id="3" name="CasellaDiTesto 2"/>
        <xdr:cNvSpPr txBox="1"/>
      </xdr:nvSpPr>
      <xdr:spPr>
        <a:xfrm>
          <a:off x="4343400" y="88900"/>
          <a:ext cx="18923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Lampada</a:t>
          </a:r>
          <a:r>
            <a:rPr lang="it-IT" sz="1100" baseline="0"/>
            <a:t> al Sodio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330200</xdr:colOff>
      <xdr:row>10</xdr:row>
      <xdr:rowOff>177800</xdr:rowOff>
    </xdr:from>
    <xdr:to>
      <xdr:col>19</xdr:col>
      <xdr:colOff>139700</xdr:colOff>
      <xdr:row>20</xdr:row>
      <xdr:rowOff>152400</xdr:rowOff>
    </xdr:to>
    <xdr:sp macro="" textlink="">
      <xdr:nvSpPr>
        <xdr:cNvPr id="4" name="CasellaDiTesto 3"/>
        <xdr:cNvSpPr txBox="1"/>
      </xdr:nvSpPr>
      <xdr:spPr>
        <a:xfrm>
          <a:off x="12255500" y="2209800"/>
          <a:ext cx="39370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Theta</a:t>
          </a:r>
          <a:r>
            <a:rPr lang="it-IT" sz="1100" baseline="0"/>
            <a:t> 0 = 39,633333 (Mercurio)</a:t>
          </a:r>
        </a:p>
        <a:p>
          <a:endParaRPr lang="it-IT" sz="1100" baseline="0"/>
        </a:p>
        <a:p>
          <a:r>
            <a:rPr lang="it-IT" sz="1100" baseline="0"/>
            <a:t>Theta 0 =  39,666667 (Sodio)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37</xdr:row>
      <xdr:rowOff>149661</xdr:rowOff>
    </xdr:from>
    <xdr:to>
      <xdr:col>7</xdr:col>
      <xdr:colOff>791386</xdr:colOff>
      <xdr:row>46</xdr:row>
      <xdr:rowOff>38848</xdr:rowOff>
    </xdr:to>
    <xdr:sp macro="" textlink="">
      <xdr:nvSpPr>
        <xdr:cNvPr id="2" name="CasellaDiTesto 1"/>
        <xdr:cNvSpPr txBox="1"/>
      </xdr:nvSpPr>
      <xdr:spPr>
        <a:xfrm>
          <a:off x="3584887" y="7595347"/>
          <a:ext cx="3880224" cy="1682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Theta 0 = 39,66667 ( Lampada Sodio)</a:t>
          </a:r>
        </a:p>
        <a:p>
          <a:r>
            <a:rPr lang="it-IT" sz="1100"/>
            <a:t>Theta 0 = 39,71667</a:t>
          </a:r>
          <a:r>
            <a:rPr lang="it-IT" sz="1100" baseline="0"/>
            <a:t> (Lampada Mercurio)</a:t>
          </a:r>
          <a:endParaRPr lang="it-IT" sz="1100"/>
        </a:p>
      </xdr:txBody>
    </xdr:sp>
    <xdr:clientData/>
  </xdr:twoCellAnchor>
  <xdr:twoCellAnchor>
    <xdr:from>
      <xdr:col>0</xdr:col>
      <xdr:colOff>482600</xdr:colOff>
      <xdr:row>0</xdr:row>
      <xdr:rowOff>152400</xdr:rowOff>
    </xdr:from>
    <xdr:to>
      <xdr:col>2</xdr:col>
      <xdr:colOff>723900</xdr:colOff>
      <xdr:row>1</xdr:row>
      <xdr:rowOff>190500</xdr:rowOff>
    </xdr:to>
    <xdr:sp macro="" textlink="">
      <xdr:nvSpPr>
        <xdr:cNvPr id="3" name="CasellaDiTesto 2"/>
        <xdr:cNvSpPr txBox="1"/>
      </xdr:nvSpPr>
      <xdr:spPr>
        <a:xfrm>
          <a:off x="482600" y="152400"/>
          <a:ext cx="18923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Lampada Sodio </a:t>
          </a:r>
        </a:p>
      </xdr:txBody>
    </xdr:sp>
    <xdr:clientData/>
  </xdr:twoCellAnchor>
  <xdr:twoCellAnchor>
    <xdr:from>
      <xdr:col>10</xdr:col>
      <xdr:colOff>495300</xdr:colOff>
      <xdr:row>0</xdr:row>
      <xdr:rowOff>152400</xdr:rowOff>
    </xdr:from>
    <xdr:to>
      <xdr:col>13</xdr:col>
      <xdr:colOff>203200</xdr:colOff>
      <xdr:row>2</xdr:row>
      <xdr:rowOff>0</xdr:rowOff>
    </xdr:to>
    <xdr:sp macro="" textlink="">
      <xdr:nvSpPr>
        <xdr:cNvPr id="4" name="CasellaDiTesto 3"/>
        <xdr:cNvSpPr txBox="1"/>
      </xdr:nvSpPr>
      <xdr:spPr>
        <a:xfrm>
          <a:off x="5448300" y="152400"/>
          <a:ext cx="21844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Lampada al Mercurio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>
    <pageSetUpPr fitToPage="1"/>
  </sheetPr>
  <dimension ref="A2:T21"/>
  <sheetViews>
    <sheetView tabSelected="1" topLeftCell="D1" workbookViewId="0">
      <selection activeCell="L1" sqref="L1:T21"/>
    </sheetView>
  </sheetViews>
  <sheetFormatPr baseColWidth="10" defaultRowHeight="16" x14ac:dyDescent="0.2"/>
  <cols>
    <col min="1" max="1" width="12.83203125" customWidth="1"/>
    <col min="12" max="12" width="13.6640625" customWidth="1"/>
  </cols>
  <sheetData>
    <row r="2" spans="1:20" ht="18" x14ac:dyDescent="0.25">
      <c r="D2" s="2" t="s">
        <v>38</v>
      </c>
      <c r="E2" s="2"/>
      <c r="F2" s="2" t="s">
        <v>19</v>
      </c>
      <c r="G2" s="2" t="s">
        <v>21</v>
      </c>
      <c r="H2" s="16" t="s">
        <v>29</v>
      </c>
      <c r="I2" s="16" t="s">
        <v>32</v>
      </c>
      <c r="J2" s="14"/>
      <c r="O2" s="2" t="s">
        <v>38</v>
      </c>
      <c r="P2" s="2"/>
      <c r="Q2" s="2" t="s">
        <v>19</v>
      </c>
      <c r="R2" s="2" t="s">
        <v>23</v>
      </c>
      <c r="S2" s="2" t="s">
        <v>29</v>
      </c>
      <c r="T2" s="16" t="s">
        <v>32</v>
      </c>
    </row>
    <row r="3" spans="1:20" x14ac:dyDescent="0.2">
      <c r="A3" s="2" t="s">
        <v>0</v>
      </c>
      <c r="B3" s="2" t="s">
        <v>1</v>
      </c>
      <c r="D3" s="2"/>
      <c r="E3" s="2"/>
      <c r="F3" s="2"/>
      <c r="G3" s="2"/>
      <c r="H3" s="2"/>
      <c r="I3" s="2"/>
      <c r="J3" s="15"/>
      <c r="L3" s="2" t="s">
        <v>9</v>
      </c>
      <c r="M3" s="2" t="s">
        <v>1</v>
      </c>
      <c r="O3" s="2"/>
      <c r="P3" s="2"/>
      <c r="Q3" s="2"/>
      <c r="R3" s="2"/>
      <c r="S3" s="2"/>
      <c r="T3" s="2"/>
    </row>
    <row r="4" spans="1:20" x14ac:dyDescent="0.2">
      <c r="A4" s="9" t="s">
        <v>2</v>
      </c>
      <c r="B4" s="18">
        <f xml:space="preserve"> Convert_Decimal("351° 40' 00""")</f>
        <v>351.66666666666669</v>
      </c>
      <c r="C4" s="19"/>
      <c r="D4" s="18">
        <v>39.633333</v>
      </c>
      <c r="E4" s="18"/>
      <c r="F4" s="18">
        <f>360 - B4+$D$4</f>
        <v>47.966666333333315</v>
      </c>
      <c r="G4" s="18">
        <f>F4*PI()/180</f>
        <v>0.83717625872218215</v>
      </c>
      <c r="H4" s="18">
        <v>1.6666670000000001E-2</v>
      </c>
      <c r="I4" s="18">
        <f>H4*PI()/180</f>
        <v>2.9088826684336332E-4</v>
      </c>
      <c r="J4" s="15"/>
      <c r="L4" s="9" t="s">
        <v>2</v>
      </c>
      <c r="M4" s="2"/>
      <c r="O4" s="18">
        <v>39.666670000000003</v>
      </c>
      <c r="P4" s="18"/>
      <c r="Q4" s="18"/>
      <c r="R4" s="18"/>
      <c r="S4" s="18">
        <v>1.6666670000000001E-2</v>
      </c>
      <c r="T4" s="18">
        <f>S4*PI()/180</f>
        <v>2.9088826684336332E-4</v>
      </c>
    </row>
    <row r="5" spans="1:20" x14ac:dyDescent="0.2">
      <c r="A5" s="13" t="s">
        <v>4</v>
      </c>
      <c r="B5" s="18">
        <f xml:space="preserve"> Convert_Decimal("351° 30' 00""")</f>
        <v>351.5</v>
      </c>
      <c r="C5" s="19"/>
      <c r="D5" s="18">
        <v>39.633333</v>
      </c>
      <c r="E5" s="18"/>
      <c r="F5" s="18">
        <f t="shared" ref="F5:F10" si="0">360 - B5+$D$4</f>
        <v>48.133333</v>
      </c>
      <c r="G5" s="18">
        <f>F5*PI()/180</f>
        <v>0.84008514080883978</v>
      </c>
      <c r="H5" s="18">
        <v>1.6666670000000001E-2</v>
      </c>
      <c r="I5" s="18">
        <f t="shared" ref="I5:I10" si="1">H5*PI()/180</f>
        <v>2.9088826684336332E-4</v>
      </c>
      <c r="J5" s="15"/>
      <c r="L5" s="13" t="s">
        <v>4</v>
      </c>
      <c r="M5" s="18">
        <f xml:space="preserve"> Convert_Decimal("351° 31' 00""")</f>
        <v>351.51666666666665</v>
      </c>
      <c r="O5" s="18">
        <v>39.666670000000003</v>
      </c>
      <c r="P5" s="18"/>
      <c r="Q5" s="18">
        <f>360-M5+$O$4</f>
        <v>48.150003333333352</v>
      </c>
      <c r="R5" s="18">
        <f>Q5*PI()/180</f>
        <v>0.84037609301291183</v>
      </c>
      <c r="S5" s="18">
        <v>1.6666670000000001E-2</v>
      </c>
      <c r="T5" s="18">
        <f t="shared" ref="T5:T10" si="2">S5*PI()/180</f>
        <v>2.9088826684336332E-4</v>
      </c>
    </row>
    <row r="6" spans="1:20" x14ac:dyDescent="0.2">
      <c r="A6" s="8" t="s">
        <v>3</v>
      </c>
      <c r="B6" s="18">
        <f xml:space="preserve"> Convert_Decimal("351° 20' 00""")</f>
        <v>351.33333333333331</v>
      </c>
      <c r="C6" s="19"/>
      <c r="D6" s="18">
        <v>39.633333</v>
      </c>
      <c r="E6" s="18"/>
      <c r="F6" s="18">
        <f t="shared" si="0"/>
        <v>48.299999666666686</v>
      </c>
      <c r="G6" s="18">
        <f t="shared" ref="G6:G10" si="3">F6*PI()/180</f>
        <v>0.8429940228954973</v>
      </c>
      <c r="H6" s="18">
        <v>1.6666670000000001E-2</v>
      </c>
      <c r="I6" s="18">
        <f t="shared" si="1"/>
        <v>2.9088826684336332E-4</v>
      </c>
      <c r="J6" s="15"/>
      <c r="L6" s="8" t="s">
        <v>3</v>
      </c>
      <c r="M6" s="18"/>
      <c r="O6" s="18">
        <v>39.666670000000003</v>
      </c>
      <c r="P6" s="18"/>
      <c r="Q6" s="18"/>
      <c r="R6" s="18"/>
      <c r="S6" s="18">
        <v>1.6666670000000001E-2</v>
      </c>
      <c r="T6" s="18">
        <f t="shared" si="2"/>
        <v>2.9088826684336332E-4</v>
      </c>
    </row>
    <row r="7" spans="1:20" x14ac:dyDescent="0.2">
      <c r="A7" s="7" t="s">
        <v>5</v>
      </c>
      <c r="B7" s="18">
        <f xml:space="preserve"> Convert_Decimal("351° 02' 00""")</f>
        <v>351.03333333333336</v>
      </c>
      <c r="C7" s="19"/>
      <c r="D7" s="18">
        <v>39.633333</v>
      </c>
      <c r="E7" s="18"/>
      <c r="F7" s="18">
        <f t="shared" si="0"/>
        <v>48.599999666666641</v>
      </c>
      <c r="G7" s="18">
        <f t="shared" si="3"/>
        <v>0.8482300106514794</v>
      </c>
      <c r="H7" s="18">
        <v>1.6666670000000001E-2</v>
      </c>
      <c r="I7" s="18">
        <f t="shared" si="1"/>
        <v>2.9088826684336332E-4</v>
      </c>
      <c r="J7" s="15"/>
      <c r="L7" s="7" t="s">
        <v>5</v>
      </c>
      <c r="M7" s="18">
        <f xml:space="preserve"> Convert_Decimal("351° 19' 00""")</f>
        <v>351.31666666666666</v>
      </c>
      <c r="O7" s="18">
        <v>39.666670000000003</v>
      </c>
      <c r="P7" s="18"/>
      <c r="Q7" s="18">
        <f t="shared" ref="Q7:Q10" si="4">360-M7+$O$4</f>
        <v>48.350003333333341</v>
      </c>
      <c r="R7" s="18">
        <f t="shared" ref="R7:R10" si="5">Q7*PI()/180</f>
        <v>0.84386675151690016</v>
      </c>
      <c r="S7" s="18">
        <v>1.6666670000000001E-2</v>
      </c>
      <c r="T7" s="18">
        <f t="shared" si="2"/>
        <v>2.9088826684336332E-4</v>
      </c>
    </row>
    <row r="8" spans="1:20" x14ac:dyDescent="0.2">
      <c r="A8" s="6" t="s">
        <v>6</v>
      </c>
      <c r="B8" s="18">
        <f xml:space="preserve"> Convert_Decimal("350° 20' 00""")</f>
        <v>350.33333333333331</v>
      </c>
      <c r="C8" s="19"/>
      <c r="D8" s="18">
        <v>39.633333</v>
      </c>
      <c r="E8" s="18"/>
      <c r="F8" s="18">
        <f t="shared" si="0"/>
        <v>49.299999666666686</v>
      </c>
      <c r="G8" s="18">
        <f t="shared" si="3"/>
        <v>0.86044731541544073</v>
      </c>
      <c r="H8" s="18">
        <v>1.6666670000000001E-2</v>
      </c>
      <c r="I8" s="18">
        <f t="shared" si="1"/>
        <v>2.9088826684336332E-4</v>
      </c>
      <c r="J8" s="15"/>
      <c r="L8" s="6" t="s">
        <v>6</v>
      </c>
      <c r="M8" s="18">
        <f xml:space="preserve"> Convert_Decimal("350° 29' 00""")</f>
        <v>350.48333333333335</v>
      </c>
      <c r="O8" s="18">
        <v>39.666670000000003</v>
      </c>
      <c r="P8" s="18"/>
      <c r="Q8" s="18">
        <f t="shared" si="4"/>
        <v>49.183336666666655</v>
      </c>
      <c r="R8" s="18">
        <f t="shared" si="5"/>
        <v>0.85841116195018585</v>
      </c>
      <c r="S8" s="18">
        <v>1.6666670000000001E-2</v>
      </c>
      <c r="T8" s="18">
        <f t="shared" si="2"/>
        <v>2.9088826684336332E-4</v>
      </c>
    </row>
    <row r="9" spans="1:20" x14ac:dyDescent="0.2">
      <c r="A9" s="5" t="s">
        <v>7</v>
      </c>
      <c r="B9" s="18">
        <f xml:space="preserve"> Convert_Decimal("349° 15' 00""")</f>
        <v>349.25</v>
      </c>
      <c r="C9" s="19"/>
      <c r="D9" s="18">
        <v>39.633333</v>
      </c>
      <c r="E9" s="18"/>
      <c r="F9" s="18">
        <f t="shared" si="0"/>
        <v>50.383333</v>
      </c>
      <c r="G9" s="18">
        <f t="shared" si="3"/>
        <v>0.87935504897871231</v>
      </c>
      <c r="H9" s="18">
        <v>1.6666670000000001E-2</v>
      </c>
      <c r="I9" s="18">
        <f t="shared" si="1"/>
        <v>2.9088826684336332E-4</v>
      </c>
      <c r="J9" s="15"/>
      <c r="L9" s="5" t="s">
        <v>7</v>
      </c>
      <c r="M9" s="18">
        <f xml:space="preserve"> Convert_Decimal("349° 41' 00""")</f>
        <v>349.68333333333334</v>
      </c>
      <c r="O9" s="18">
        <v>39.666670000000003</v>
      </c>
      <c r="P9" s="18"/>
      <c r="Q9" s="18">
        <f t="shared" si="4"/>
        <v>49.983336666666666</v>
      </c>
      <c r="R9" s="18">
        <f t="shared" si="5"/>
        <v>0.87237379596614073</v>
      </c>
      <c r="S9" s="18">
        <v>1.6666670000000001E-2</v>
      </c>
      <c r="T9" s="18">
        <f t="shared" si="2"/>
        <v>2.9088826684336332E-4</v>
      </c>
    </row>
    <row r="10" spans="1:20" x14ac:dyDescent="0.2">
      <c r="A10" s="4" t="s">
        <v>8</v>
      </c>
      <c r="B10" s="18">
        <f xml:space="preserve"> Convert_Decimal("348° 24' 00""")</f>
        <v>348.4</v>
      </c>
      <c r="C10" s="19"/>
      <c r="D10" s="18">
        <v>39.633333</v>
      </c>
      <c r="E10" s="18"/>
      <c r="F10" s="18">
        <f t="shared" si="0"/>
        <v>51.233333000000023</v>
      </c>
      <c r="G10" s="18">
        <f t="shared" si="3"/>
        <v>0.89419034762066441</v>
      </c>
      <c r="H10" s="18">
        <v>1.6666670000000001E-2</v>
      </c>
      <c r="I10" s="18">
        <f t="shared" si="1"/>
        <v>2.9088826684336332E-4</v>
      </c>
      <c r="J10" s="15"/>
      <c r="L10" s="4" t="s">
        <v>8</v>
      </c>
      <c r="M10" s="18">
        <f xml:space="preserve"> Convert_Decimal("348° 46' 00""")</f>
        <v>348.76666666666665</v>
      </c>
      <c r="O10" s="18">
        <v>39.666670000000003</v>
      </c>
      <c r="P10" s="18"/>
      <c r="Q10" s="18">
        <f t="shared" si="4"/>
        <v>50.900003333333352</v>
      </c>
      <c r="R10" s="18">
        <f t="shared" si="5"/>
        <v>0.88837264744275579</v>
      </c>
      <c r="S10" s="18">
        <v>1.6666670000000001E-2</v>
      </c>
      <c r="T10" s="18">
        <f t="shared" si="2"/>
        <v>2.9088826684336332E-4</v>
      </c>
    </row>
    <row r="14" spans="1:20" ht="18" x14ac:dyDescent="0.25">
      <c r="A14" s="2" t="s">
        <v>20</v>
      </c>
      <c r="B14" s="2" t="s">
        <v>39</v>
      </c>
      <c r="L14" s="2" t="s">
        <v>22</v>
      </c>
      <c r="M14" s="2" t="s">
        <v>37</v>
      </c>
    </row>
    <row r="15" spans="1:20" x14ac:dyDescent="0.2">
      <c r="A15" s="18">
        <f>(SIN(((PI()/3)+G4)/2))*2</f>
        <v>1.6176919572797721</v>
      </c>
      <c r="B15" s="18">
        <f>SQRT((SIN(G4/2)*I4/2)*(SIN(G4/2)*I4/2) + 3*(COS(G4/2)*I4/2)*(COS(G4/2)*I4/2))</f>
        <v>2.3763821563432526E-4</v>
      </c>
      <c r="L15" s="2"/>
      <c r="M15" s="2"/>
    </row>
    <row r="16" spans="1:20" x14ac:dyDescent="0.2">
      <c r="A16" s="18">
        <f t="shared" ref="A16:A21" si="6">(SIN(((PI()/3)+G5)/2))*2</f>
        <v>1.6194007281283505</v>
      </c>
      <c r="B16" s="18">
        <f t="shared" ref="B16:B21" si="7">SQRT((SIN(G5/2)*I5/2)*(SIN(G5/2)*I5/2) + 3*(COS(G5/2)*I5/2)*(COS(G5/2)*I5/2))</f>
        <v>2.3754190493833449E-4</v>
      </c>
      <c r="L16" s="18">
        <f>(SIN(((PI()/3)+R5)/2))*2</f>
        <v>1.6195714544082689</v>
      </c>
      <c r="M16" s="18">
        <f>SQRT((SIN(R5/2)*T5/2)*(SIN(R5/2)*T5/2) + 3*(COS(R5/2)*T5/2)*(COS(R5/2)*T5/2))</f>
        <v>2.3753225575424167E-4</v>
      </c>
    </row>
    <row r="17" spans="1:13" x14ac:dyDescent="0.2">
      <c r="A17" s="18">
        <f t="shared" si="6"/>
        <v>1.6211060732992593</v>
      </c>
      <c r="B17" s="18">
        <f t="shared" si="7"/>
        <v>2.3744530362062723E-4</v>
      </c>
      <c r="L17" s="18"/>
      <c r="M17" s="18"/>
    </row>
    <row r="18" spans="1:13" x14ac:dyDescent="0.2">
      <c r="A18" s="18">
        <f t="shared" si="6"/>
        <v>1.6241670503887069</v>
      </c>
      <c r="B18" s="18">
        <f t="shared" si="7"/>
        <v>2.3727069036124106E-4</v>
      </c>
      <c r="L18" s="18">
        <f t="shared" ref="L18:L21" si="8">(SIN(((PI()/3)+R7)/2))*2</f>
        <v>1.6216170457611245</v>
      </c>
      <c r="M18" s="18">
        <f t="shared" ref="M18:M21" si="9">SQRT((SIN(R7/2)*T7/2)*(SIN(R7/2)*T7/2) + 3*(COS(R7/2)*T7/2)*(COS(R7/2)*T7/2))</f>
        <v>2.3741626449292168E-4</v>
      </c>
    </row>
    <row r="19" spans="1:13" x14ac:dyDescent="0.2">
      <c r="A19" s="18">
        <f t="shared" si="6"/>
        <v>1.6312660035827462</v>
      </c>
      <c r="B19" s="18">
        <f t="shared" si="7"/>
        <v>2.3685961871624096E-4</v>
      </c>
      <c r="L19" s="18">
        <f t="shared" si="8"/>
        <v>1.6300871018600713</v>
      </c>
      <c r="M19" s="18">
        <f t="shared" si="9"/>
        <v>2.369284814355658E-4</v>
      </c>
    </row>
    <row r="20" spans="1:13" x14ac:dyDescent="0.2">
      <c r="A20" s="18">
        <f>(SIN(((PI()/3)+G9)/2))*2</f>
        <v>1.6421323837290767</v>
      </c>
      <c r="B20" s="18">
        <f t="shared" si="7"/>
        <v>2.3621345691240874E-4</v>
      </c>
      <c r="L20" s="18">
        <f t="shared" si="8"/>
        <v>1.6381372580043914</v>
      </c>
      <c r="M20" s="18">
        <f t="shared" si="9"/>
        <v>2.3645344294442682E-4</v>
      </c>
    </row>
    <row r="21" spans="1:13" x14ac:dyDescent="0.2">
      <c r="A21" s="18">
        <f t="shared" si="6"/>
        <v>1.650555607927908</v>
      </c>
      <c r="B21" s="18">
        <f t="shared" si="7"/>
        <v>2.3569805472563373E-4</v>
      </c>
      <c r="L21" s="18">
        <f t="shared" si="8"/>
        <v>1.6472632173817505</v>
      </c>
      <c r="M21" s="18">
        <f t="shared" si="9"/>
        <v>2.3590104792609916E-4</v>
      </c>
    </row>
  </sheetData>
  <phoneticPr fontId="3" type="noConversion"/>
  <pageMargins left="0.7" right="0.7" top="0.75" bottom="0.75" header="0.3" footer="0.3"/>
  <pageSetup paperSize="9" scale="82" orientation="portrait" horizontalDpi="0" verticalDpi="0" copies="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52"/>
  <sheetViews>
    <sheetView topLeftCell="J1" zoomScale="102" workbookViewId="0">
      <selection activeCell="K1" sqref="K1:S52"/>
    </sheetView>
  </sheetViews>
  <sheetFormatPr baseColWidth="10" defaultRowHeight="16" x14ac:dyDescent="0.2"/>
  <cols>
    <col min="1" max="1" width="12" bestFit="1" customWidth="1"/>
    <col min="2" max="2" width="12.6640625" customWidth="1"/>
    <col min="3" max="4" width="12" bestFit="1" customWidth="1"/>
    <col min="5" max="5" width="13.6640625" bestFit="1" customWidth="1"/>
    <col min="6" max="6" width="12" bestFit="1" customWidth="1"/>
    <col min="7" max="7" width="13.33203125" customWidth="1"/>
    <col min="11" max="11" width="11.83203125" bestFit="1" customWidth="1"/>
    <col min="12" max="12" width="13.5" customWidth="1"/>
    <col min="13" max="13" width="12" bestFit="1" customWidth="1"/>
    <col min="16" max="16" width="11.83203125" bestFit="1" customWidth="1"/>
    <col min="17" max="18" width="12" bestFit="1" customWidth="1"/>
  </cols>
  <sheetData>
    <row r="2" spans="1:19" ht="18" x14ac:dyDescent="0.25">
      <c r="A2" s="1"/>
      <c r="E2" s="2" t="s">
        <v>24</v>
      </c>
      <c r="F2" s="2" t="s">
        <v>19</v>
      </c>
      <c r="G2" s="2" t="s">
        <v>31</v>
      </c>
      <c r="H2" s="16" t="s">
        <v>32</v>
      </c>
      <c r="I2" s="16" t="s">
        <v>30</v>
      </c>
      <c r="J2" s="14"/>
      <c r="O2" s="2" t="s">
        <v>36</v>
      </c>
      <c r="P2" s="2" t="s">
        <v>19</v>
      </c>
      <c r="Q2" s="2" t="s">
        <v>31</v>
      </c>
      <c r="R2" s="2" t="s">
        <v>32</v>
      </c>
      <c r="S2" s="2" t="s">
        <v>30</v>
      </c>
    </row>
    <row r="3" spans="1:19" x14ac:dyDescent="0.2">
      <c r="E3" s="2"/>
      <c r="F3" s="2"/>
      <c r="G3" s="2"/>
      <c r="H3" s="2"/>
      <c r="I3" s="2"/>
      <c r="O3" s="2"/>
      <c r="P3" s="2"/>
      <c r="Q3" s="2"/>
      <c r="R3" s="2"/>
      <c r="S3" s="2"/>
    </row>
    <row r="4" spans="1:19" ht="18" x14ac:dyDescent="0.25">
      <c r="A4" s="3" t="s">
        <v>10</v>
      </c>
      <c r="B4" s="2" t="s">
        <v>0</v>
      </c>
      <c r="C4" s="2" t="s">
        <v>1</v>
      </c>
      <c r="E4" s="2"/>
      <c r="F4" s="2"/>
      <c r="G4" s="2"/>
      <c r="H4" s="2"/>
      <c r="I4" s="2"/>
      <c r="K4" s="3" t="s">
        <v>11</v>
      </c>
      <c r="L4" s="2" t="s">
        <v>0</v>
      </c>
      <c r="M4" s="2" t="s">
        <v>1</v>
      </c>
      <c r="N4" s="17" t="s">
        <v>35</v>
      </c>
      <c r="O4" s="16"/>
      <c r="P4" s="2"/>
      <c r="Q4" s="2"/>
      <c r="R4" s="2"/>
      <c r="S4" s="2"/>
    </row>
    <row r="5" spans="1:19" x14ac:dyDescent="0.2">
      <c r="B5" s="4" t="s">
        <v>8</v>
      </c>
      <c r="C5" s="18">
        <f xml:space="preserve"> Convert_Decimal("32° 30' 00""")</f>
        <v>32.5</v>
      </c>
      <c r="D5" s="19"/>
      <c r="E5" s="2">
        <f t="shared" ref="E5:E10" si="0">1/300000</f>
        <v>3.3333333333333333E-6</v>
      </c>
      <c r="F5" s="18">
        <f>39.66667-C5</f>
        <v>7.1666700000000034</v>
      </c>
      <c r="G5" s="18">
        <f>PI()*F5/180</f>
        <v>0.12508198790390207</v>
      </c>
      <c r="H5" s="18">
        <f>R5</f>
        <v>4.1137813210508843E-4</v>
      </c>
      <c r="I5" s="18">
        <f>COS(G5)*H5</f>
        <v>4.0816421661873188E-4</v>
      </c>
      <c r="L5" s="4" t="s">
        <v>8</v>
      </c>
      <c r="M5" s="18">
        <f xml:space="preserve"> Convert_Decimal("32° 43' 00""")</f>
        <v>32.716666666666669</v>
      </c>
      <c r="N5" s="18">
        <v>1.6666670000000001E-2</v>
      </c>
      <c r="O5" s="18">
        <f>N5*SQRT(2)</f>
        <v>2.3570230753596797E-2</v>
      </c>
      <c r="P5" s="18">
        <f>39.71667-M5</f>
        <v>7.000003333333332</v>
      </c>
      <c r="Q5" s="18">
        <f>PI()*P5/180</f>
        <v>0.12217310581724478</v>
      </c>
      <c r="R5" s="18">
        <f>O5*PI()/180</f>
        <v>4.1137813210508843E-4</v>
      </c>
      <c r="S5" s="18">
        <f>COS(Q5)*R5</f>
        <v>4.0831177897360005E-4</v>
      </c>
    </row>
    <row r="6" spans="1:19" x14ac:dyDescent="0.2">
      <c r="B6" s="5" t="s">
        <v>12</v>
      </c>
      <c r="C6" s="18">
        <f xml:space="preserve"> Convert_Decimal("31° 06' 00""")</f>
        <v>31.1</v>
      </c>
      <c r="D6" s="19"/>
      <c r="E6" s="2"/>
      <c r="F6" s="18">
        <f t="shared" ref="F6:F10" si="1">39.66667-C6</f>
        <v>8.566670000000002</v>
      </c>
      <c r="G6" s="18">
        <f t="shared" ref="G6:G10" si="2">PI()*F6/180</f>
        <v>0.14951659743182266</v>
      </c>
      <c r="H6" s="18">
        <f t="shared" ref="H6:H10" si="3">R6</f>
        <v>4.1137813210508843E-4</v>
      </c>
      <c r="I6" s="18">
        <f t="shared" ref="I6:I10" si="4">COS(G6)*H6</f>
        <v>4.0678846904756397E-4</v>
      </c>
      <c r="L6" s="5" t="s">
        <v>12</v>
      </c>
      <c r="M6" s="18">
        <f xml:space="preserve"> Convert_Decimal("32° 19' 00""")</f>
        <v>32.31666666666667</v>
      </c>
      <c r="N6" s="18">
        <v>1.6666670000000001E-2</v>
      </c>
      <c r="O6" s="18">
        <f t="shared" ref="O6:O11" si="5">N6*SQRT(2)</f>
        <v>2.3570230753596797E-2</v>
      </c>
      <c r="P6" s="18">
        <f t="shared" ref="P6:P26" si="6">39.71667-M6</f>
        <v>7.4000033333333306</v>
      </c>
      <c r="Q6" s="18">
        <f t="shared" ref="Q6:Q26" si="7">PI()*P6/180</f>
        <v>0.12915442282522208</v>
      </c>
      <c r="R6" s="18">
        <f t="shared" ref="R6:R11" si="8">O6*PI()/180</f>
        <v>4.1137813210508843E-4</v>
      </c>
      <c r="S6" s="18">
        <f t="shared" ref="S6:S11" si="9">COS(Q6)*R6</f>
        <v>4.0795182736117061E-4</v>
      </c>
    </row>
    <row r="7" spans="1:19" x14ac:dyDescent="0.2">
      <c r="B7" s="6" t="s">
        <v>6</v>
      </c>
      <c r="C7" s="18">
        <f xml:space="preserve"> Convert_Decimal("30° 49' 00""")</f>
        <v>30.816666666666666</v>
      </c>
      <c r="D7" s="19"/>
      <c r="E7" s="2"/>
      <c r="F7" s="18">
        <f t="shared" si="1"/>
        <v>8.850003333333337</v>
      </c>
      <c r="G7" s="18">
        <f t="shared" si="2"/>
        <v>0.15446169697913995</v>
      </c>
      <c r="H7" s="18">
        <f t="shared" si="3"/>
        <v>4.1137813210508843E-4</v>
      </c>
      <c r="I7" s="18">
        <f t="shared" si="4"/>
        <v>4.0648046600809108E-4</v>
      </c>
      <c r="L7" s="6" t="s">
        <v>6</v>
      </c>
      <c r="M7" s="18">
        <f xml:space="preserve"> Convert_Decimal("31° 15' 00""")</f>
        <v>31.25</v>
      </c>
      <c r="N7" s="18">
        <v>1.6666670000000001E-2</v>
      </c>
      <c r="O7" s="18">
        <f t="shared" si="5"/>
        <v>2.3570230753596797E-2</v>
      </c>
      <c r="P7" s="18">
        <f t="shared" si="6"/>
        <v>8.4666700000000006</v>
      </c>
      <c r="Q7" s="18">
        <f t="shared" si="7"/>
        <v>0.14777126817982833</v>
      </c>
      <c r="R7" s="18">
        <f t="shared" si="8"/>
        <v>4.1137813210508843E-4</v>
      </c>
      <c r="S7" s="18">
        <f t="shared" si="9"/>
        <v>4.0689480135330911E-4</v>
      </c>
    </row>
    <row r="8" spans="1:19" x14ac:dyDescent="0.2">
      <c r="B8" s="7" t="s">
        <v>5</v>
      </c>
      <c r="C8" s="18">
        <f xml:space="preserve"> Convert_Decimal("29° 48' 00""")</f>
        <v>29.8</v>
      </c>
      <c r="D8" s="19"/>
      <c r="E8" s="2"/>
      <c r="F8" s="18">
        <f t="shared" si="1"/>
        <v>9.8666700000000027</v>
      </c>
      <c r="G8" s="18">
        <f t="shared" si="2"/>
        <v>0.17220587770774895</v>
      </c>
      <c r="H8" s="18">
        <f t="shared" si="3"/>
        <v>4.1137813210508843E-4</v>
      </c>
      <c r="I8" s="18">
        <f t="shared" si="4"/>
        <v>4.0529350963588193E-4</v>
      </c>
      <c r="L8" s="7" t="s">
        <v>14</v>
      </c>
      <c r="M8" s="18">
        <f xml:space="preserve"> Convert_Decimal("30° 07' 00""")</f>
        <v>30.116666666666667</v>
      </c>
      <c r="N8" s="18">
        <v>1.6666670000000001E-2</v>
      </c>
      <c r="O8" s="18">
        <f t="shared" si="5"/>
        <v>2.3570230753596797E-2</v>
      </c>
      <c r="P8" s="18">
        <f t="shared" si="6"/>
        <v>9.6000033333333334</v>
      </c>
      <c r="Q8" s="18">
        <f t="shared" si="7"/>
        <v>0.16755166636909735</v>
      </c>
      <c r="R8" s="18">
        <f t="shared" si="8"/>
        <v>4.1137813210508843E-4</v>
      </c>
      <c r="S8" s="18">
        <f t="shared" si="9"/>
        <v>4.0561720400180513E-4</v>
      </c>
    </row>
    <row r="9" spans="1:19" x14ac:dyDescent="0.2">
      <c r="B9" s="8" t="s">
        <v>3</v>
      </c>
      <c r="C9" s="18">
        <v>29.5</v>
      </c>
      <c r="D9" s="19"/>
      <c r="E9" s="2"/>
      <c r="F9" s="18">
        <f t="shared" si="1"/>
        <v>10.166670000000003</v>
      </c>
      <c r="G9" s="18">
        <f t="shared" si="2"/>
        <v>0.17744186546373197</v>
      </c>
      <c r="H9" s="18">
        <f t="shared" si="3"/>
        <v>4.1137813210508843E-4</v>
      </c>
      <c r="I9" s="18">
        <f t="shared" si="4"/>
        <v>4.0491885979541156E-4</v>
      </c>
      <c r="L9" s="8" t="s">
        <v>3</v>
      </c>
      <c r="M9" s="18">
        <f xml:space="preserve"> Convert_Decimal("29° 42' 00""")</f>
        <v>29.7</v>
      </c>
      <c r="N9" s="18">
        <v>1.6666670000000001E-2</v>
      </c>
      <c r="O9" s="18">
        <f t="shared" si="5"/>
        <v>2.3570230753596797E-2</v>
      </c>
      <c r="P9" s="18">
        <f t="shared" si="6"/>
        <v>10.016670000000001</v>
      </c>
      <c r="Q9" s="18">
        <f t="shared" si="7"/>
        <v>0.17482387158574042</v>
      </c>
      <c r="R9" s="18">
        <f t="shared" si="8"/>
        <v>4.1137813210508843E-4</v>
      </c>
      <c r="S9" s="18">
        <f t="shared" si="9"/>
        <v>4.0510757299661954E-4</v>
      </c>
    </row>
    <row r="10" spans="1:19" x14ac:dyDescent="0.2">
      <c r="B10" s="9" t="s">
        <v>2</v>
      </c>
      <c r="C10" s="18">
        <v>29.1333333</v>
      </c>
      <c r="D10" s="19"/>
      <c r="E10" s="2"/>
      <c r="F10" s="18">
        <f t="shared" si="1"/>
        <v>10.533336700000003</v>
      </c>
      <c r="G10" s="18">
        <f t="shared" si="2"/>
        <v>0.18384140663615425</v>
      </c>
      <c r="H10" s="18">
        <f t="shared" si="3"/>
        <v>4.1137813210508843E-4</v>
      </c>
      <c r="I10" s="18">
        <f t="shared" si="4"/>
        <v>4.0444587994207295E-4</v>
      </c>
      <c r="L10" s="11" t="s">
        <v>4</v>
      </c>
      <c r="M10" s="18">
        <f xml:space="preserve"> Convert_Decimal("29° 21' 00""")</f>
        <v>29.35</v>
      </c>
      <c r="N10" s="18">
        <v>1.6666670000000001E-2</v>
      </c>
      <c r="O10" s="18">
        <f t="shared" si="5"/>
        <v>2.3570230753596797E-2</v>
      </c>
      <c r="P10" s="18">
        <f t="shared" si="6"/>
        <v>10.366669999999999</v>
      </c>
      <c r="Q10" s="18">
        <f t="shared" si="7"/>
        <v>0.18093252396772053</v>
      </c>
      <c r="R10" s="18">
        <f t="shared" si="8"/>
        <v>4.1137813210508843E-4</v>
      </c>
      <c r="S10" s="18">
        <f t="shared" si="9"/>
        <v>4.0466292533572018E-4</v>
      </c>
    </row>
    <row r="11" spans="1:19" x14ac:dyDescent="0.2">
      <c r="L11" s="9" t="s">
        <v>2</v>
      </c>
      <c r="M11" s="18">
        <f xml:space="preserve"> Convert_Decimal("28° 55' 00""")</f>
        <v>28.916666666666668</v>
      </c>
      <c r="N11" s="18">
        <v>1.6666670000000001E-2</v>
      </c>
      <c r="O11" s="18">
        <f t="shared" si="5"/>
        <v>2.3570230753596797E-2</v>
      </c>
      <c r="P11" s="18">
        <f t="shared" si="6"/>
        <v>10.800003333333333</v>
      </c>
      <c r="Q11" s="18">
        <f t="shared" si="7"/>
        <v>0.18849561739302928</v>
      </c>
      <c r="R11" s="18">
        <f t="shared" si="8"/>
        <v>4.1137813210508843E-4</v>
      </c>
      <c r="S11" s="18">
        <f t="shared" si="9"/>
        <v>4.0409148991081111E-4</v>
      </c>
    </row>
    <row r="13" spans="1:19" x14ac:dyDescent="0.2">
      <c r="A13" s="3" t="s">
        <v>13</v>
      </c>
      <c r="B13" s="2" t="s">
        <v>9</v>
      </c>
      <c r="C13" s="2" t="s">
        <v>1</v>
      </c>
      <c r="K13" s="3" t="s">
        <v>15</v>
      </c>
      <c r="L13" s="2" t="s">
        <v>9</v>
      </c>
      <c r="M13" s="2" t="s">
        <v>1</v>
      </c>
    </row>
    <row r="14" spans="1:19" x14ac:dyDescent="0.2">
      <c r="B14" s="5" t="s">
        <v>12</v>
      </c>
      <c r="C14" s="18">
        <f xml:space="preserve"> Convert_Decimal("22° 24' 00""")</f>
        <v>22.4</v>
      </c>
      <c r="D14" s="19"/>
      <c r="E14" s="18"/>
      <c r="F14" s="18">
        <f>39.66667-C14</f>
        <v>17.266670000000005</v>
      </c>
      <c r="G14" s="18">
        <f>PI()*F14/180</f>
        <v>0.30136024235532938</v>
      </c>
      <c r="H14" s="18">
        <f>R5</f>
        <v>4.1137813210508843E-4</v>
      </c>
      <c r="I14" s="18">
        <f>COS(G14)*H5</f>
        <v>3.9283881148712159E-4</v>
      </c>
      <c r="L14" s="4" t="s">
        <v>8</v>
      </c>
      <c r="M14" s="18">
        <f xml:space="preserve"> Convert_Decimal("25° 31' 00""")</f>
        <v>25.516666666666666</v>
      </c>
      <c r="N14" s="19"/>
      <c r="O14" s="19"/>
      <c r="P14" s="18">
        <f t="shared" si="6"/>
        <v>14.200003333333335</v>
      </c>
      <c r="Q14" s="18">
        <f t="shared" si="7"/>
        <v>0.24783681196083657</v>
      </c>
    </row>
    <row r="15" spans="1:19" x14ac:dyDescent="0.2">
      <c r="B15" s="7" t="s">
        <v>14</v>
      </c>
      <c r="C15" s="18">
        <f xml:space="preserve"> Convert_Decimal("21° 40' 00""")</f>
        <v>21.666666666666668</v>
      </c>
      <c r="D15" s="19"/>
      <c r="E15" s="18"/>
      <c r="F15" s="18">
        <f t="shared" ref="F15:F18" si="10">39.66667-C15</f>
        <v>18.000003333333336</v>
      </c>
      <c r="G15" s="18">
        <f t="shared" ref="G15:G18" si="11">PI()*F15/180</f>
        <v>0.31415932353662107</v>
      </c>
      <c r="H15" s="18">
        <f t="shared" ref="H15:H18" si="12">R6</f>
        <v>4.1137813210508843E-4</v>
      </c>
      <c r="I15" s="18">
        <f t="shared" ref="I15:I18" si="13">COS(G15)*H6</f>
        <v>3.9124384580416552E-4</v>
      </c>
      <c r="L15" s="5" t="s">
        <v>12</v>
      </c>
      <c r="M15" s="18">
        <f xml:space="preserve"> Convert_Decimal("24° 40' 00""")</f>
        <v>24.666666666666668</v>
      </c>
      <c r="N15" s="19"/>
      <c r="O15" s="19"/>
      <c r="P15" s="18">
        <f t="shared" si="6"/>
        <v>15.050003333333333</v>
      </c>
      <c r="Q15" s="18">
        <f t="shared" si="7"/>
        <v>0.26267211060278833</v>
      </c>
    </row>
    <row r="16" spans="1:19" x14ac:dyDescent="0.2">
      <c r="B16" s="6" t="s">
        <v>6</v>
      </c>
      <c r="C16" s="18">
        <f xml:space="preserve"> Convert_Decimal("19° 41' 00""")</f>
        <v>19.683333333333334</v>
      </c>
      <c r="D16" s="19"/>
      <c r="E16" s="18"/>
      <c r="F16" s="18">
        <f t="shared" si="10"/>
        <v>19.98333666666667</v>
      </c>
      <c r="G16" s="18">
        <f t="shared" si="11"/>
        <v>0.34877502036784197</v>
      </c>
      <c r="H16" s="18">
        <f t="shared" si="12"/>
        <v>4.1137813210508843E-4</v>
      </c>
      <c r="I16" s="18">
        <f t="shared" si="13"/>
        <v>3.8660989841412895E-4</v>
      </c>
      <c r="L16" s="6" t="s">
        <v>6</v>
      </c>
      <c r="M16" s="18">
        <f xml:space="preserve"> Convert_Decimal("22° 30' 00""")</f>
        <v>22.5</v>
      </c>
      <c r="N16" s="19"/>
      <c r="O16" s="19"/>
      <c r="P16" s="18">
        <f t="shared" si="6"/>
        <v>17.216670000000001</v>
      </c>
      <c r="Q16" s="18">
        <f t="shared" si="7"/>
        <v>0.30048757772933216</v>
      </c>
    </row>
    <row r="17" spans="1:17" x14ac:dyDescent="0.2">
      <c r="B17" s="8" t="s">
        <v>3</v>
      </c>
      <c r="C17" s="18">
        <f xml:space="preserve"> Convert_Decimal("18° 55' 00""")</f>
        <v>18.916666666666668</v>
      </c>
      <c r="D17" s="19"/>
      <c r="E17" s="18"/>
      <c r="F17" s="18">
        <f t="shared" si="10"/>
        <v>20.750003333333336</v>
      </c>
      <c r="G17" s="18">
        <f t="shared" si="11"/>
        <v>0.36215587796646515</v>
      </c>
      <c r="H17" s="18">
        <f t="shared" si="12"/>
        <v>4.1137813210508843E-4</v>
      </c>
      <c r="I17" s="18">
        <f t="shared" si="13"/>
        <v>3.8469416734708024E-4</v>
      </c>
      <c r="L17" s="7" t="s">
        <v>5</v>
      </c>
      <c r="M17" s="18">
        <f xml:space="preserve"> Convert_Decimal("20° 47' 00""")</f>
        <v>20.783333333333335</v>
      </c>
      <c r="N17" s="19"/>
      <c r="O17" s="19"/>
      <c r="P17" s="18">
        <f t="shared" si="6"/>
        <v>18.933336666666666</v>
      </c>
      <c r="Q17" s="18">
        <f t="shared" si="7"/>
        <v>0.33044906322190143</v>
      </c>
    </row>
    <row r="18" spans="1:17" x14ac:dyDescent="0.2">
      <c r="B18" s="9" t="s">
        <v>2</v>
      </c>
      <c r="C18" s="18">
        <f xml:space="preserve"> Convert_Decimal("17° 50' 00""")</f>
        <v>17.833333333333332</v>
      </c>
      <c r="D18" s="19"/>
      <c r="E18" s="18"/>
      <c r="F18" s="18">
        <f t="shared" si="10"/>
        <v>21.833336666666671</v>
      </c>
      <c r="G18" s="18">
        <f t="shared" si="11"/>
        <v>0.38106361152973711</v>
      </c>
      <c r="H18" s="18">
        <f t="shared" si="12"/>
        <v>4.1137813210508843E-4</v>
      </c>
      <c r="I18" s="18">
        <f t="shared" si="13"/>
        <v>3.818698121131665E-4</v>
      </c>
      <c r="L18" s="8" t="s">
        <v>3</v>
      </c>
      <c r="M18" s="18">
        <f xml:space="preserve"> Convert_Decimal("19° 16' 00""")</f>
        <v>19.266666666666666</v>
      </c>
      <c r="N18" s="19"/>
      <c r="O18" s="19"/>
      <c r="P18" s="18">
        <f t="shared" si="6"/>
        <v>20.450003333333335</v>
      </c>
      <c r="Q18" s="18">
        <f t="shared" si="7"/>
        <v>0.35691989021048215</v>
      </c>
    </row>
    <row r="19" spans="1:17" x14ac:dyDescent="0.2">
      <c r="L19" s="11" t="s">
        <v>16</v>
      </c>
      <c r="M19" s="18">
        <f xml:space="preserve"> Convert_Decimal("18° 30' 00""")</f>
        <v>18.5</v>
      </c>
      <c r="N19" s="19"/>
      <c r="O19" s="19"/>
      <c r="P19" s="18">
        <f t="shared" si="6"/>
        <v>21.216670000000001</v>
      </c>
      <c r="Q19" s="18">
        <f t="shared" si="7"/>
        <v>0.37030074780910532</v>
      </c>
    </row>
    <row r="20" spans="1:17" x14ac:dyDescent="0.2">
      <c r="L20" s="9" t="s">
        <v>2</v>
      </c>
      <c r="M20" s="18">
        <f xml:space="preserve"> Convert_Decimal("17° 46' 00""")</f>
        <v>17.766666666666666</v>
      </c>
      <c r="N20" s="19"/>
      <c r="O20" s="19"/>
      <c r="P20" s="18">
        <f t="shared" si="6"/>
        <v>21.950003333333335</v>
      </c>
      <c r="Q20" s="18">
        <f t="shared" si="7"/>
        <v>0.38309982899039707</v>
      </c>
    </row>
    <row r="22" spans="1:17" x14ac:dyDescent="0.2">
      <c r="K22" s="3" t="s">
        <v>17</v>
      </c>
      <c r="L22" s="2" t="s">
        <v>9</v>
      </c>
      <c r="M22" s="2" t="s">
        <v>1</v>
      </c>
    </row>
    <row r="23" spans="1:17" x14ac:dyDescent="0.2">
      <c r="L23" s="4" t="s">
        <v>8</v>
      </c>
      <c r="M23" s="18">
        <f xml:space="preserve"> Convert_Decimal("16° 39' 00""")</f>
        <v>16.649999999999999</v>
      </c>
      <c r="N23" s="19"/>
      <c r="O23" s="19"/>
      <c r="P23" s="18">
        <f t="shared" si="6"/>
        <v>23.066670000000002</v>
      </c>
      <c r="Q23" s="18">
        <f t="shared" si="7"/>
        <v>0.40258933897100041</v>
      </c>
    </row>
    <row r="24" spans="1:17" x14ac:dyDescent="0.2">
      <c r="L24" s="6" t="s">
        <v>6</v>
      </c>
      <c r="M24" s="18">
        <f xml:space="preserve"> Convert_Decimal("10° 19' 00""")</f>
        <v>10.316666666666666</v>
      </c>
      <c r="N24" s="19"/>
      <c r="O24" s="19"/>
      <c r="P24" s="18">
        <f t="shared" si="6"/>
        <v>29.400003333333334</v>
      </c>
      <c r="Q24" s="18">
        <f t="shared" si="7"/>
        <v>0.51312685826397464</v>
      </c>
    </row>
    <row r="25" spans="1:17" x14ac:dyDescent="0.2">
      <c r="L25" s="7" t="s">
        <v>5</v>
      </c>
      <c r="M25" s="18">
        <f xml:space="preserve"> Convert_Decimal("10° 00' 00""")</f>
        <v>10</v>
      </c>
      <c r="N25" s="19"/>
      <c r="O25" s="19"/>
      <c r="P25" s="18">
        <f t="shared" si="6"/>
        <v>29.716670000000001</v>
      </c>
      <c r="Q25" s="18">
        <f t="shared" si="7"/>
        <v>0.51865373422862326</v>
      </c>
    </row>
    <row r="26" spans="1:17" x14ac:dyDescent="0.2">
      <c r="L26" s="12" t="s">
        <v>18</v>
      </c>
      <c r="M26" s="18">
        <f xml:space="preserve"> Convert_Decimal("8° 8' 00""")</f>
        <v>8.1333333333333329</v>
      </c>
      <c r="N26" s="19"/>
      <c r="O26" s="19"/>
      <c r="P26" s="18">
        <f t="shared" si="6"/>
        <v>31.583336666666668</v>
      </c>
      <c r="Q26" s="18">
        <f t="shared" si="7"/>
        <v>0.5512332135991842</v>
      </c>
    </row>
    <row r="30" spans="1:17" ht="18" x14ac:dyDescent="0.25">
      <c r="A30" s="2" t="s">
        <v>25</v>
      </c>
      <c r="C30" s="2" t="s">
        <v>34</v>
      </c>
      <c r="E30" s="2" t="s">
        <v>28</v>
      </c>
      <c r="F30" s="2" t="s">
        <v>33</v>
      </c>
      <c r="K30" s="10" t="s">
        <v>25</v>
      </c>
      <c r="M30" s="2" t="s">
        <v>34</v>
      </c>
      <c r="O30" s="2" t="s">
        <v>28</v>
      </c>
      <c r="P30" s="2"/>
      <c r="Q30" s="2" t="s">
        <v>33</v>
      </c>
    </row>
    <row r="31" spans="1:17" x14ac:dyDescent="0.2">
      <c r="A31" s="4" t="s">
        <v>8</v>
      </c>
      <c r="B31" s="20">
        <f>$E$5*SIN(G5)</f>
        <v>4.1585360391032135E-7</v>
      </c>
      <c r="C31" s="21">
        <f>$E$5*SIN(G5)*I5</f>
        <v>1.6973656046813274E-10</v>
      </c>
      <c r="D31" s="15"/>
      <c r="E31" s="21">
        <f>B31</f>
        <v>4.1585360391032135E-7</v>
      </c>
      <c r="F31" s="21">
        <v>1.6973656046813274E-10</v>
      </c>
      <c r="K31" s="4" t="s">
        <v>8</v>
      </c>
      <c r="L31" s="20">
        <f>$E$5*SIN(Q5)</f>
        <v>4.0623133716380552E-7</v>
      </c>
      <c r="M31" s="21">
        <f>$E$5*SIN(Q5)*S5</f>
        <v>1.6586903995217775E-10</v>
      </c>
      <c r="P31" s="21">
        <f>(L31+L40)/2</f>
        <v>4.0753853714760814E-7</v>
      </c>
      <c r="Q31" s="21">
        <f>ABS(M31-M40/2)</f>
        <v>1.2440177996413332E-10</v>
      </c>
    </row>
    <row r="32" spans="1:17" x14ac:dyDescent="0.2">
      <c r="A32" s="5" t="s">
        <v>12</v>
      </c>
      <c r="B32" s="20">
        <f t="shared" ref="B32:B36" si="14">$E$5*SIN(G6)</f>
        <v>4.9653380184531997E-7</v>
      </c>
      <c r="C32" s="21">
        <f t="shared" ref="C32:C36" si="15">$E$5*SIN(G6)*I6</f>
        <v>2.0198422508302421E-10</v>
      </c>
      <c r="E32" s="21">
        <f>(B32+B40)/2</f>
        <v>4.9561641927453494E-7</v>
      </c>
      <c r="F32" s="21">
        <f>(B32-B40)/2</f>
        <v>9.1738257078507967E-10</v>
      </c>
      <c r="K32" s="5" t="s">
        <v>12</v>
      </c>
      <c r="L32" s="20">
        <f t="shared" ref="L32:L37" si="16">$E$5*SIN(Q6)</f>
        <v>4.2931884756884042E-7</v>
      </c>
      <c r="M32" s="21">
        <f t="shared" ref="M32:M37" si="17">$E$5*SIN(Q6)*S6</f>
        <v>1.7514140838630031E-10</v>
      </c>
      <c r="P32" s="21">
        <f t="shared" ref="P32:P37" si="18">(L32+L41)/2</f>
        <v>4.3104436705660042E-7</v>
      </c>
      <c r="Q32" s="21">
        <f>ABS(M32-M41/2)</f>
        <v>1.3135605628972523E-10</v>
      </c>
    </row>
    <row r="33" spans="1:17" x14ac:dyDescent="0.2">
      <c r="A33" s="6" t="s">
        <v>6</v>
      </c>
      <c r="B33" s="20">
        <f t="shared" si="14"/>
        <v>5.1282742452599205E-7</v>
      </c>
      <c r="C33" s="21">
        <f t="shared" si="15"/>
        <v>2.0845433050305441E-10</v>
      </c>
      <c r="E33" s="21">
        <f t="shared" ref="E33:E36" si="19">(B33+B41)/2</f>
        <v>5.1392792035063958E-7</v>
      </c>
      <c r="F33" s="21">
        <f>ABS((B33-B41)/2)</f>
        <v>1.10049582464748E-9</v>
      </c>
      <c r="K33" s="6" t="s">
        <v>6</v>
      </c>
      <c r="L33" s="20">
        <f t="shared" si="16"/>
        <v>4.907801919531151E-7</v>
      </c>
      <c r="M33" s="21">
        <f t="shared" si="17"/>
        <v>1.9969590871290169E-10</v>
      </c>
      <c r="P33" s="21">
        <f t="shared" si="18"/>
        <v>4.9204507290296521E-7</v>
      </c>
      <c r="Q33" s="21">
        <f>ABS(M33-M42/2)</f>
        <v>1.4977193153467626E-10</v>
      </c>
    </row>
    <row r="34" spans="1:17" x14ac:dyDescent="0.2">
      <c r="A34" s="7" t="s">
        <v>5</v>
      </c>
      <c r="B34" s="20">
        <f t="shared" si="14"/>
        <v>5.7118671719516107E-7</v>
      </c>
      <c r="C34" s="21">
        <f t="shared" si="15"/>
        <v>2.3149826926942478E-10</v>
      </c>
      <c r="E34" s="21">
        <f t="shared" si="19"/>
        <v>5.7038239029014144E-7</v>
      </c>
      <c r="F34" s="21">
        <f>ABS((B34-B42)/2)</f>
        <v>8.0432690501963481E-10</v>
      </c>
      <c r="K34" s="7" t="s">
        <v>14</v>
      </c>
      <c r="L34" s="20">
        <f t="shared" si="16"/>
        <v>5.5589601359675386E-7</v>
      </c>
      <c r="M34" s="21">
        <f t="shared" si="17"/>
        <v>2.2548098675086474E-10</v>
      </c>
      <c r="P34" s="21">
        <f t="shared" si="18"/>
        <v>5.4833786390715357E-7</v>
      </c>
      <c r="Q34" s="21">
        <f>ABS(M34-M43/2)</f>
        <v>1.6911074006314856E-10</v>
      </c>
    </row>
    <row r="35" spans="1:17" x14ac:dyDescent="0.2">
      <c r="A35" s="8" t="s">
        <v>3</v>
      </c>
      <c r="B35" s="20">
        <f t="shared" si="14"/>
        <v>5.8837395284300786E-7</v>
      </c>
      <c r="C35" s="21">
        <f t="shared" si="15"/>
        <v>2.3824371011850999E-10</v>
      </c>
      <c r="E35" s="21">
        <f t="shared" si="19"/>
        <v>5.8942955342290097E-7</v>
      </c>
      <c r="F35" s="21">
        <f>ABS((B35-B43)/2)</f>
        <v>1.0556005798931134E-9</v>
      </c>
      <c r="K35" s="8" t="s">
        <v>3</v>
      </c>
      <c r="L35" s="20">
        <f t="shared" si="16"/>
        <v>5.7978232190064248E-7</v>
      </c>
      <c r="M35" s="21">
        <f t="shared" si="17"/>
        <v>2.3487420929151409E-10</v>
      </c>
      <c r="P35" s="21">
        <f t="shared" si="18"/>
        <v>5.8104941248329023E-7</v>
      </c>
      <c r="Q35" s="21">
        <f>ABS(M35-M44/2)</f>
        <v>1.7615565696863557E-10</v>
      </c>
    </row>
    <row r="36" spans="1:17" x14ac:dyDescent="0.2">
      <c r="A36" s="9" t="s">
        <v>2</v>
      </c>
      <c r="B36" s="20">
        <f t="shared" si="14"/>
        <v>6.0935862302169313E-7</v>
      </c>
      <c r="C36" s="21">
        <f t="shared" si="15"/>
        <v>2.4645258448829858E-10</v>
      </c>
      <c r="E36" s="21">
        <f t="shared" si="19"/>
        <v>6.1460264303994932E-7</v>
      </c>
      <c r="F36" s="21">
        <f>ABS((B36-B44)/2)</f>
        <v>5.2440200182561907E-9</v>
      </c>
      <c r="K36" s="11" t="s">
        <v>4</v>
      </c>
      <c r="L36" s="20">
        <f t="shared" si="16"/>
        <v>5.9982317758243814E-7</v>
      </c>
      <c r="M36" s="21">
        <f t="shared" si="17"/>
        <v>2.4272620172467657E-10</v>
      </c>
      <c r="P36" s="21">
        <f t="shared" si="18"/>
        <v>6.0149143130236389E-7</v>
      </c>
      <c r="Q36" s="21">
        <f>ABS(M36-M45/2)</f>
        <v>1.8204465129350741E-10</v>
      </c>
    </row>
    <row r="37" spans="1:17" x14ac:dyDescent="0.2">
      <c r="K37" s="9" t="s">
        <v>2</v>
      </c>
      <c r="L37" s="20">
        <f t="shared" si="16"/>
        <v>6.2460457244293342E-7</v>
      </c>
      <c r="M37" s="21">
        <f t="shared" si="17"/>
        <v>2.523973922835701E-10</v>
      </c>
      <c r="P37" s="21">
        <f t="shared" si="18"/>
        <v>6.2380010646120989E-7</v>
      </c>
      <c r="Q37" s="21">
        <f>ABS(M37-M46/2)</f>
        <v>1.8929804421267759E-10</v>
      </c>
    </row>
    <row r="39" spans="1:17" x14ac:dyDescent="0.2">
      <c r="A39" s="2" t="s">
        <v>26</v>
      </c>
      <c r="C39" s="2" t="s">
        <v>34</v>
      </c>
      <c r="K39" s="10" t="s">
        <v>26</v>
      </c>
      <c r="M39" s="2" t="s">
        <v>34</v>
      </c>
    </row>
    <row r="40" spans="1:17" x14ac:dyDescent="0.2">
      <c r="A40" s="5" t="s">
        <v>12</v>
      </c>
      <c r="B40" s="20">
        <f>$E$5*SIN(G14)/2</f>
        <v>4.9469903670374981E-7</v>
      </c>
      <c r="C40" s="21">
        <f>$E$5*SIN(G14)*I14</f>
        <v>3.8867396324505004E-10</v>
      </c>
      <c r="K40" s="4" t="s">
        <v>8</v>
      </c>
      <c r="L40" s="20">
        <f>$E$5*SIN(Q14)/2</f>
        <v>4.0884573713141071E-7</v>
      </c>
      <c r="M40" s="21">
        <f>$E$5*SIN(Q5)*S5/2</f>
        <v>8.2934519976088874E-11</v>
      </c>
    </row>
    <row r="41" spans="1:17" x14ac:dyDescent="0.2">
      <c r="A41" s="6" t="s">
        <v>6</v>
      </c>
      <c r="B41" s="20">
        <f t="shared" ref="B41:B44" si="20">$E$5*SIN(G15)/2</f>
        <v>5.1502841617528701E-7</v>
      </c>
      <c r="C41" s="21">
        <f t="shared" ref="C41:C44" si="21">$E$5*SIN(G15)*I15</f>
        <v>4.0300339648569515E-10</v>
      </c>
      <c r="K41" s="5" t="s">
        <v>12</v>
      </c>
      <c r="L41" s="20">
        <f t="shared" ref="L41:L46" si="22">$E$5*SIN(Q15)/2</f>
        <v>4.3276988654436037E-7</v>
      </c>
      <c r="M41" s="21">
        <f t="shared" ref="M41:M46" si="23">$E$5*SIN(Q6)*S6/2</f>
        <v>8.7570704193150157E-11</v>
      </c>
    </row>
    <row r="42" spans="1:17" x14ac:dyDescent="0.2">
      <c r="A42" s="7" t="s">
        <v>5</v>
      </c>
      <c r="B42" s="20">
        <f t="shared" si="20"/>
        <v>5.695780633851218E-7</v>
      </c>
      <c r="C42" s="21">
        <f t="shared" si="21"/>
        <v>4.4040903444847647E-10</v>
      </c>
      <c r="K42" s="6" t="s">
        <v>6</v>
      </c>
      <c r="L42" s="20">
        <f t="shared" si="22"/>
        <v>4.9330995385281533E-7</v>
      </c>
      <c r="M42" s="21">
        <f t="shared" si="23"/>
        <v>9.9847954356450845E-11</v>
      </c>
    </row>
    <row r="43" spans="1:17" x14ac:dyDescent="0.2">
      <c r="A43" s="8" t="s">
        <v>3</v>
      </c>
      <c r="B43" s="20">
        <f t="shared" si="20"/>
        <v>5.9048515400279408E-7</v>
      </c>
      <c r="C43" s="21">
        <f t="shared" si="21"/>
        <v>4.5431238929983463E-10</v>
      </c>
      <c r="K43" s="7" t="s">
        <v>5</v>
      </c>
      <c r="L43" s="20">
        <f t="shared" si="22"/>
        <v>5.407797142175534E-7</v>
      </c>
      <c r="M43" s="21">
        <f t="shared" si="23"/>
        <v>1.1274049337543237E-10</v>
      </c>
    </row>
    <row r="44" spans="1:17" x14ac:dyDescent="0.2">
      <c r="A44" s="9" t="s">
        <v>2</v>
      </c>
      <c r="B44" s="20">
        <f t="shared" si="20"/>
        <v>6.1984666305820551E-7</v>
      </c>
      <c r="C44" s="21">
        <f t="shared" si="21"/>
        <v>4.7340145752202034E-10</v>
      </c>
      <c r="K44" s="8" t="s">
        <v>3</v>
      </c>
      <c r="L44" s="20">
        <f t="shared" si="22"/>
        <v>5.8231650306593787E-7</v>
      </c>
      <c r="M44" s="21">
        <f t="shared" si="23"/>
        <v>1.1743710464575705E-10</v>
      </c>
    </row>
    <row r="45" spans="1:17" x14ac:dyDescent="0.2">
      <c r="K45" s="11" t="s">
        <v>16</v>
      </c>
      <c r="L45" s="20">
        <f t="shared" si="22"/>
        <v>6.0315968502228965E-7</v>
      </c>
      <c r="M45" s="21">
        <f t="shared" si="23"/>
        <v>1.2136310086233828E-10</v>
      </c>
    </row>
    <row r="46" spans="1:17" x14ac:dyDescent="0.2">
      <c r="K46" s="9" t="s">
        <v>2</v>
      </c>
      <c r="L46" s="20">
        <f t="shared" si="22"/>
        <v>6.2299564047948647E-7</v>
      </c>
      <c r="M46" s="21">
        <f t="shared" si="23"/>
        <v>1.2619869614178505E-10</v>
      </c>
    </row>
    <row r="48" spans="1:17" x14ac:dyDescent="0.2">
      <c r="K48" s="10" t="s">
        <v>27</v>
      </c>
    </row>
    <row r="49" spans="11:12" x14ac:dyDescent="0.2">
      <c r="K49" s="4" t="s">
        <v>8</v>
      </c>
      <c r="L49" s="21">
        <f>$E$5*SIN(Q23)/3</f>
        <v>4.3533552589868157E-7</v>
      </c>
    </row>
    <row r="50" spans="11:12" x14ac:dyDescent="0.2">
      <c r="K50" s="6" t="s">
        <v>6</v>
      </c>
      <c r="L50" s="21">
        <f t="shared" ref="L50:L52" si="24">$E$5*SIN(Q24)/3</f>
        <v>5.454486714447833E-7</v>
      </c>
    </row>
    <row r="51" spans="11:12" x14ac:dyDescent="0.2">
      <c r="K51" s="7" t="s">
        <v>5</v>
      </c>
      <c r="L51" s="21">
        <f t="shared" si="24"/>
        <v>5.5079041406529125E-7</v>
      </c>
    </row>
    <row r="52" spans="11:12" x14ac:dyDescent="0.2">
      <c r="K52" s="12" t="s">
        <v>18</v>
      </c>
      <c r="L52" s="21">
        <f t="shared" si="24"/>
        <v>5.8193130671441622E-7</v>
      </c>
    </row>
  </sheetData>
  <phoneticPr fontId="3" type="noConversion"/>
  <pageMargins left="0.7" right="0.7" top="0.75" bottom="0.75" header="0.3" footer="0.3"/>
  <pageSetup paperSize="9" scale="77" orientation="portrait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Prisma</vt:lpstr>
      <vt:lpstr>Reticolo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cp:lastPrinted>2016-06-26T13:47:02Z</cp:lastPrinted>
  <dcterms:created xsi:type="dcterms:W3CDTF">2016-05-31T14:25:48Z</dcterms:created>
  <dcterms:modified xsi:type="dcterms:W3CDTF">2016-06-26T17:41:53Z</dcterms:modified>
</cp:coreProperties>
</file>