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 codeName="ThisWorkbook"/>
  <mc:AlternateContent xmlns:mc="http://schemas.openxmlformats.org/markup-compatibility/2006">
    <mc:Choice Requires="x15">
      <x15ac:absPath xmlns:x15ac="http://schemas.microsoft.com/office/spreadsheetml/2010/11/ac" url="/Users/simoneazeglio/Desktop/Universita/EsperimentazioniII/Esperienza4/"/>
    </mc:Choice>
  </mc:AlternateContent>
  <bookViews>
    <workbookView xWindow="0" yWindow="460" windowWidth="25600" windowHeight="14500" tabRatio="500" activeTab="2"/>
  </bookViews>
  <sheets>
    <sheet name="Malus" sheetId="2" r:id="rId1"/>
    <sheet name="Coefficiente di estinzione" sheetId="1" r:id="rId2"/>
    <sheet name="Reticolo" sheetId="3" r:id="rId3"/>
  </sheets>
  <definedNames>
    <definedName name="_xlnm.Print_Area" localSheetId="1">'Coefficiente di estinzione'!$A$2:$J$22</definedName>
    <definedName name="_xlnm.Print_Area" localSheetId="0">Malus!$H$1:$T$7</definedName>
    <definedName name="_xlnm.Print_Area" localSheetId="2">Reticolo!$A$17:$G$48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5" i="2"/>
  <c r="D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" i="2"/>
  <c r="S26" i="1"/>
  <c r="M26" i="1"/>
  <c r="R26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5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N5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5" i="1"/>
  <c r="L5" i="1"/>
  <c r="L26" i="1"/>
  <c r="K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E3" i="1"/>
  <c r="H3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E22" i="1"/>
  <c r="E21" i="1"/>
  <c r="E20" i="1"/>
  <c r="E19" i="1"/>
  <c r="E18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L37" i="3"/>
  <c r="M37" i="3"/>
  <c r="L38" i="3"/>
  <c r="M38" i="3"/>
  <c r="B22" i="3"/>
  <c r="C22" i="3"/>
  <c r="L11" i="3"/>
  <c r="M11" i="3"/>
  <c r="L12" i="3"/>
  <c r="M12" i="3"/>
  <c r="B23" i="3"/>
  <c r="C23" i="3"/>
  <c r="B41" i="3"/>
  <c r="L31" i="3"/>
  <c r="M31" i="3"/>
  <c r="L32" i="3"/>
  <c r="M32" i="3"/>
  <c r="L33" i="3"/>
  <c r="M33" i="3"/>
  <c r="B21" i="3"/>
  <c r="C21" i="3"/>
  <c r="B40" i="3"/>
  <c r="B39" i="3"/>
  <c r="L3" i="3"/>
  <c r="M3" i="3"/>
  <c r="L4" i="3"/>
  <c r="M4" i="3"/>
  <c r="L5" i="3"/>
  <c r="M5" i="3"/>
  <c r="B20" i="3"/>
  <c r="C20" i="3"/>
  <c r="B38" i="3"/>
  <c r="B37" i="3"/>
  <c r="B36" i="3"/>
  <c r="L25" i="3"/>
  <c r="M25" i="3"/>
  <c r="L26" i="3"/>
  <c r="M26" i="3"/>
  <c r="L27" i="3"/>
  <c r="M27" i="3"/>
  <c r="B19" i="3"/>
  <c r="C19" i="3"/>
  <c r="B34" i="3"/>
  <c r="B35" i="3"/>
  <c r="B33" i="3"/>
  <c r="B32" i="3"/>
  <c r="L18" i="3"/>
  <c r="M18" i="3"/>
  <c r="L19" i="3"/>
  <c r="M19" i="3"/>
  <c r="L20" i="3"/>
  <c r="M20" i="3"/>
  <c r="B18" i="3"/>
  <c r="C18" i="3"/>
  <c r="B27" i="3"/>
  <c r="B31" i="3"/>
  <c r="B30" i="3"/>
  <c r="B28" i="3"/>
  <c r="B29" i="3"/>
  <c r="A39" i="2"/>
  <c r="A40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14" i="2"/>
</calcChain>
</file>

<file path=xl/sharedStrings.xml><?xml version="1.0" encoding="utf-8"?>
<sst xmlns="http://schemas.openxmlformats.org/spreadsheetml/2006/main" count="103" uniqueCount="56">
  <si>
    <t>Gradi (DEG)</t>
  </si>
  <si>
    <t>Intensità (μA)</t>
  </si>
  <si>
    <t>Ordine</t>
  </si>
  <si>
    <t xml:space="preserve">Massimo dx </t>
  </si>
  <si>
    <t xml:space="preserve">Massimo sx </t>
  </si>
  <si>
    <t>σ max</t>
  </si>
  <si>
    <t>Distanza:</t>
  </si>
  <si>
    <t>[cm]</t>
  </si>
  <si>
    <t>sinθ</t>
  </si>
  <si>
    <t>λ</t>
  </si>
  <si>
    <t xml:space="preserve">distanza </t>
  </si>
  <si>
    <t xml:space="preserve">media </t>
  </si>
  <si>
    <t>dev.std</t>
  </si>
  <si>
    <t xml:space="preserve">Test t </t>
  </si>
  <si>
    <t>106,7 - 55</t>
  </si>
  <si>
    <t>106,7 - 65,5</t>
  </si>
  <si>
    <t>106,7 - 70, 1</t>
  </si>
  <si>
    <t>106,7 - 113,2</t>
  </si>
  <si>
    <t>106,7 - 102,1</t>
  </si>
  <si>
    <t>55 - 113,2</t>
  </si>
  <si>
    <t xml:space="preserve">55 - 102,1 </t>
  </si>
  <si>
    <t xml:space="preserve">55 - 65,5 </t>
  </si>
  <si>
    <t>55 - 70,1</t>
  </si>
  <si>
    <t>65,5  - 70,1</t>
  </si>
  <si>
    <t>65,5 - 113,2</t>
  </si>
  <si>
    <t>65,5 - 102,1</t>
  </si>
  <si>
    <t>70,1 - 113,2</t>
  </si>
  <si>
    <t>70,1 - 102,1</t>
  </si>
  <si>
    <t xml:space="preserve">113,2 -102,1 </t>
  </si>
  <si>
    <t>h [mL]</t>
  </si>
  <si>
    <t>x [mm]</t>
  </si>
  <si>
    <t>I [nA]</t>
  </si>
  <si>
    <t>σ x [mm]</t>
  </si>
  <si>
    <t xml:space="preserve"> σI[nA]</t>
  </si>
  <si>
    <t>Iriflessa[nA]</t>
  </si>
  <si>
    <t>σIriflessa[nA]</t>
  </si>
  <si>
    <t>σIriflessaintegrale[nA]</t>
  </si>
  <si>
    <t xml:space="preserve"> σIfit</t>
  </si>
  <si>
    <t>K esp</t>
  </si>
  <si>
    <t>σK esp</t>
  </si>
  <si>
    <t>K con correzione</t>
  </si>
  <si>
    <t>σK con correzione</t>
  </si>
  <si>
    <t>σlog</t>
  </si>
  <si>
    <t>log</t>
  </si>
  <si>
    <t>σdelta x</t>
  </si>
  <si>
    <t xml:space="preserve">media k </t>
  </si>
  <si>
    <t>σK</t>
  </si>
  <si>
    <t>σlog corretto</t>
  </si>
  <si>
    <t>log corretto</t>
  </si>
  <si>
    <t>media k corretto</t>
  </si>
  <si>
    <t>σK corretto</t>
  </si>
  <si>
    <t>Gradi(Rad)</t>
  </si>
  <si>
    <t>σGradi(Deg)</t>
  </si>
  <si>
    <t>σ(Rad)</t>
  </si>
  <si>
    <t>I [μA]</t>
  </si>
  <si>
    <t>σ [μA]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</si>
</sst>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0" fillId="0" borderId="2" xfId="0" applyBorder="1"/>
    <xf numFmtId="0" fontId="0" fillId="0" borderId="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2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Fill="1" applyBorder="1"/>
    <xf numFmtId="165" fontId="0" fillId="0" borderId="1" xfId="0" applyNumberFormat="1" applyBorder="1" applyAlignment="1">
      <alignment horizontal="right" indent="1"/>
    </xf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0</xdr:row>
      <xdr:rowOff>38100</xdr:rowOff>
    </xdr:from>
    <xdr:to>
      <xdr:col>4</xdr:col>
      <xdr:colOff>215900</xdr:colOff>
      <xdr:row>1</xdr:row>
      <xdr:rowOff>114300</xdr:rowOff>
    </xdr:to>
    <xdr:sp macro="" textlink="">
      <xdr:nvSpPr>
        <xdr:cNvPr id="2" name="CasellaDiTesto 1"/>
        <xdr:cNvSpPr txBox="1"/>
      </xdr:nvSpPr>
      <xdr:spPr>
        <a:xfrm>
          <a:off x="165100" y="38100"/>
          <a:ext cx="876300" cy="27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Misura</a:t>
          </a:r>
          <a:r>
            <a:rPr lang="it-IT" sz="1100" baseline="0"/>
            <a:t> intensità a vari angoli per legge di Malus</a:t>
          </a:r>
          <a:endParaRPr lang="it-IT" sz="1100"/>
        </a:p>
      </xdr:txBody>
    </xdr:sp>
    <xdr:clientData/>
  </xdr:twoCellAnchor>
  <xdr:twoCellAnchor>
    <xdr:from>
      <xdr:col>7</xdr:col>
      <xdr:colOff>444500</xdr:colOff>
      <xdr:row>0</xdr:row>
      <xdr:rowOff>63500</xdr:rowOff>
    </xdr:from>
    <xdr:to>
      <xdr:col>11</xdr:col>
      <xdr:colOff>469900</xdr:colOff>
      <xdr:row>1</xdr:row>
      <xdr:rowOff>139700</xdr:rowOff>
    </xdr:to>
    <xdr:sp macro="" textlink="">
      <xdr:nvSpPr>
        <xdr:cNvPr id="3" name="CasellaDiTesto 2"/>
        <xdr:cNvSpPr txBox="1"/>
      </xdr:nvSpPr>
      <xdr:spPr>
        <a:xfrm>
          <a:off x="3022600" y="63500"/>
          <a:ext cx="3479800" cy="27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Minimi</a:t>
          </a:r>
          <a:r>
            <a:rPr lang="it-IT" sz="1100" baseline="0"/>
            <a:t> e massimi con lamina </a:t>
          </a:r>
          <a:r>
            <a:rPr lang="el-GR" sz="1100" i="1" smtClean="0">
              <a:solidFill>
                <a:schemeClr val="dk1"/>
              </a:solidFill>
              <a:latin typeface="+mn-lt"/>
              <a:ea typeface="+mn-ea"/>
              <a:cs typeface="+mn-cs"/>
            </a:rPr>
            <a:t>λ</a:t>
          </a:r>
          <a:r>
            <a:rPr lang="it-IT" sz="1100" baseline="0"/>
            <a:t>/4 (semiassi ellisse) </a:t>
          </a:r>
          <a:endParaRPr lang="it-IT" sz="1100"/>
        </a:p>
      </xdr:txBody>
    </xdr:sp>
    <xdr:clientData/>
  </xdr:twoCellAnchor>
  <xdr:twoCellAnchor>
    <xdr:from>
      <xdr:col>12</xdr:col>
      <xdr:colOff>495300</xdr:colOff>
      <xdr:row>0</xdr:row>
      <xdr:rowOff>63500</xdr:rowOff>
    </xdr:from>
    <xdr:to>
      <xdr:col>19</xdr:col>
      <xdr:colOff>495300</xdr:colOff>
      <xdr:row>2</xdr:row>
      <xdr:rowOff>114300</xdr:rowOff>
    </xdr:to>
    <xdr:sp macro="" textlink="">
      <xdr:nvSpPr>
        <xdr:cNvPr id="4" name="CasellaDiTesto 3"/>
        <xdr:cNvSpPr txBox="1"/>
      </xdr:nvSpPr>
      <xdr:spPr>
        <a:xfrm>
          <a:off x="7429500" y="63500"/>
          <a:ext cx="5829300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Posizioni lamina che corrispondono</a:t>
          </a:r>
          <a:r>
            <a:rPr lang="it-IT" sz="1100" baseline="0"/>
            <a:t> all' asse ottico parallelo e perpendicolare al piano di vibrazione del vettore elettrico </a:t>
          </a:r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" enableFormatConditionsCalculation="0">
    <pageSetUpPr fitToPage="1"/>
  </sheetPr>
  <dimension ref="A3:R40"/>
  <sheetViews>
    <sheetView topLeftCell="C1" workbookViewId="0">
      <selection activeCell="H1" sqref="H1:T7"/>
    </sheetView>
  </sheetViews>
  <sheetFormatPr baseColWidth="10" defaultRowHeight="16" x14ac:dyDescent="0.2"/>
  <cols>
    <col min="2" max="2" width="11.5" customWidth="1"/>
    <col min="5" max="5" width="12.1640625" customWidth="1"/>
    <col min="6" max="6" width="11.1640625" customWidth="1"/>
    <col min="9" max="9" width="12.83203125" customWidth="1"/>
    <col min="12" max="12" width="11.83203125" customWidth="1"/>
    <col min="15" max="15" width="11.5" customWidth="1"/>
  </cols>
  <sheetData>
    <row r="3" spans="1:18" x14ac:dyDescent="0.2">
      <c r="A3" s="1" t="s">
        <v>0</v>
      </c>
      <c r="B3" s="1" t="s">
        <v>52</v>
      </c>
      <c r="C3" s="1" t="s">
        <v>51</v>
      </c>
      <c r="D3" s="1" t="s">
        <v>53</v>
      </c>
      <c r="E3" s="1" t="s">
        <v>54</v>
      </c>
      <c r="F3" s="3" t="s">
        <v>55</v>
      </c>
      <c r="H3" s="1" t="s">
        <v>0</v>
      </c>
      <c r="I3" s="1" t="s">
        <v>1</v>
      </c>
      <c r="K3" s="1" t="s">
        <v>0</v>
      </c>
      <c r="L3" s="1" t="s">
        <v>1</v>
      </c>
      <c r="N3" s="2"/>
      <c r="O3" s="2"/>
      <c r="P3" s="2"/>
      <c r="Q3" s="2"/>
      <c r="R3" s="2"/>
    </row>
    <row r="4" spans="1:18" x14ac:dyDescent="0.2">
      <c r="A4" s="1">
        <v>0</v>
      </c>
      <c r="B4" s="1">
        <v>0.5</v>
      </c>
      <c r="C4" s="9">
        <f>RADIANS(A4)</f>
        <v>0</v>
      </c>
      <c r="D4" s="9">
        <f>RADIANS(B4)</f>
        <v>8.7266462599716477E-3</v>
      </c>
      <c r="E4" s="1">
        <v>0.23</v>
      </c>
      <c r="F4" s="12">
        <f>E4*0.15/100 + 0.0001</f>
        <v>4.4500000000000003E-4</v>
      </c>
      <c r="H4" s="1">
        <v>98</v>
      </c>
      <c r="I4" s="1">
        <v>0.49</v>
      </c>
      <c r="K4" s="1">
        <v>176</v>
      </c>
      <c r="L4" s="1">
        <v>1.19</v>
      </c>
      <c r="N4" s="1" t="s">
        <v>0</v>
      </c>
      <c r="O4" s="1" t="s">
        <v>1</v>
      </c>
      <c r="Q4" s="1" t="s">
        <v>0</v>
      </c>
      <c r="R4" s="1" t="s">
        <v>1</v>
      </c>
    </row>
    <row r="5" spans="1:18" x14ac:dyDescent="0.2">
      <c r="A5" s="1">
        <v>10</v>
      </c>
      <c r="B5" s="1">
        <v>0.5</v>
      </c>
      <c r="C5" s="9">
        <f t="shared" ref="C5:D40" si="0">RADIANS(A5)</f>
        <v>0.17453292519943295</v>
      </c>
      <c r="D5" s="9">
        <f>RADIANS(B5)</f>
        <v>8.7266462599716477E-3</v>
      </c>
      <c r="E5" s="1">
        <v>0.39</v>
      </c>
      <c r="F5" s="12">
        <f t="shared" ref="F5:F40" si="1">E5*0.15/100 + 0.0001</f>
        <v>6.8500000000000006E-4</v>
      </c>
      <c r="H5" s="1">
        <v>82</v>
      </c>
      <c r="I5" s="1">
        <v>0.32</v>
      </c>
      <c r="K5" s="1">
        <v>186</v>
      </c>
      <c r="L5" s="1">
        <v>1.07</v>
      </c>
      <c r="N5" s="1">
        <v>286</v>
      </c>
      <c r="O5" s="1">
        <v>0.14000000000000001</v>
      </c>
      <c r="Q5" s="1">
        <v>16</v>
      </c>
      <c r="R5" s="1">
        <v>0.8</v>
      </c>
    </row>
    <row r="6" spans="1:18" x14ac:dyDescent="0.2">
      <c r="A6" s="1">
        <v>20</v>
      </c>
      <c r="B6" s="1">
        <v>0.5</v>
      </c>
      <c r="C6" s="9">
        <f t="shared" si="0"/>
        <v>0.3490658503988659</v>
      </c>
      <c r="D6" s="9">
        <f t="shared" si="0"/>
        <v>8.7266462599716477E-3</v>
      </c>
      <c r="E6" s="1">
        <v>0.6</v>
      </c>
      <c r="F6" s="12">
        <f t="shared" si="1"/>
        <v>1E-3</v>
      </c>
      <c r="H6" s="1">
        <v>70</v>
      </c>
      <c r="I6" s="1">
        <v>0.32</v>
      </c>
      <c r="K6" s="1">
        <v>166</v>
      </c>
      <c r="L6" s="1">
        <v>1.19</v>
      </c>
      <c r="N6" s="1">
        <v>106</v>
      </c>
      <c r="O6" s="1">
        <v>0.13</v>
      </c>
      <c r="Q6" s="1">
        <v>196</v>
      </c>
      <c r="R6" s="1">
        <v>0.81</v>
      </c>
    </row>
    <row r="7" spans="1:18" x14ac:dyDescent="0.2">
      <c r="A7" s="1">
        <v>30</v>
      </c>
      <c r="B7" s="1">
        <v>0.5</v>
      </c>
      <c r="C7" s="9">
        <f t="shared" si="0"/>
        <v>0.52359877559829882</v>
      </c>
      <c r="D7" s="9">
        <f t="shared" si="0"/>
        <v>8.7266462599716477E-3</v>
      </c>
      <c r="E7" s="1">
        <v>0.87</v>
      </c>
      <c r="F7" s="12">
        <f t="shared" si="1"/>
        <v>1.405E-3</v>
      </c>
      <c r="H7" s="1">
        <v>76</v>
      </c>
      <c r="I7" s="1">
        <v>0.32</v>
      </c>
    </row>
    <row r="8" spans="1:18" x14ac:dyDescent="0.2">
      <c r="A8" s="1">
        <v>40</v>
      </c>
      <c r="B8" s="1">
        <v>0.5</v>
      </c>
      <c r="C8" s="9">
        <f t="shared" si="0"/>
        <v>0.69813170079773179</v>
      </c>
      <c r="D8" s="9">
        <f t="shared" si="0"/>
        <v>8.7266462599716477E-3</v>
      </c>
      <c r="E8" s="1">
        <v>1.1399999999999999</v>
      </c>
      <c r="F8" s="12">
        <f t="shared" si="1"/>
        <v>1.81E-3</v>
      </c>
    </row>
    <row r="9" spans="1:18" x14ac:dyDescent="0.2">
      <c r="A9" s="1">
        <v>50</v>
      </c>
      <c r="B9" s="1">
        <v>0.5</v>
      </c>
      <c r="C9" s="9">
        <f t="shared" si="0"/>
        <v>0.87266462599716477</v>
      </c>
      <c r="D9" s="9">
        <f t="shared" si="0"/>
        <v>8.7266462599716477E-3</v>
      </c>
      <c r="E9" s="1">
        <v>1.39</v>
      </c>
      <c r="F9" s="12">
        <f t="shared" si="1"/>
        <v>2.1849999999999999E-3</v>
      </c>
    </row>
    <row r="10" spans="1:18" x14ac:dyDescent="0.2">
      <c r="A10" s="1">
        <v>60</v>
      </c>
      <c r="B10" s="1">
        <v>0.5</v>
      </c>
      <c r="C10" s="9">
        <f t="shared" si="0"/>
        <v>1.0471975511965976</v>
      </c>
      <c r="D10" s="9">
        <f t="shared" si="0"/>
        <v>8.7266462599716477E-3</v>
      </c>
      <c r="E10" s="1">
        <v>1.51</v>
      </c>
      <c r="F10" s="12">
        <f t="shared" si="1"/>
        <v>2.3649999999999995E-3</v>
      </c>
    </row>
    <row r="11" spans="1:18" x14ac:dyDescent="0.2">
      <c r="A11" s="1">
        <v>70</v>
      </c>
      <c r="B11" s="1">
        <v>0.5</v>
      </c>
      <c r="C11" s="9">
        <f t="shared" si="0"/>
        <v>1.2217304763960306</v>
      </c>
      <c r="D11" s="9">
        <f t="shared" si="0"/>
        <v>8.7266462599716477E-3</v>
      </c>
      <c r="E11" s="1">
        <v>1.53</v>
      </c>
      <c r="F11" s="12">
        <f t="shared" si="1"/>
        <v>2.3949999999999996E-3</v>
      </c>
    </row>
    <row r="12" spans="1:18" x14ac:dyDescent="0.2">
      <c r="A12" s="1">
        <v>80</v>
      </c>
      <c r="B12" s="1">
        <v>0.5</v>
      </c>
      <c r="C12" s="9">
        <f t="shared" si="0"/>
        <v>1.3962634015954636</v>
      </c>
      <c r="D12" s="9">
        <f t="shared" si="0"/>
        <v>8.7266462599716477E-3</v>
      </c>
      <c r="E12" s="1">
        <v>1.47</v>
      </c>
      <c r="F12" s="12">
        <f t="shared" si="1"/>
        <v>2.3049999999999998E-3</v>
      </c>
    </row>
    <row r="13" spans="1:18" x14ac:dyDescent="0.2">
      <c r="A13" s="1">
        <v>90</v>
      </c>
      <c r="B13" s="1">
        <v>0.5</v>
      </c>
      <c r="C13" s="9">
        <f t="shared" si="0"/>
        <v>1.5707963267948966</v>
      </c>
      <c r="D13" s="9">
        <f t="shared" si="0"/>
        <v>8.7266462599716477E-3</v>
      </c>
      <c r="E13" s="1">
        <v>1.35</v>
      </c>
      <c r="F13" s="12">
        <f t="shared" si="1"/>
        <v>2.1250000000000002E-3</v>
      </c>
    </row>
    <row r="14" spans="1:18" x14ac:dyDescent="0.2">
      <c r="A14" s="1">
        <f>A13+10</f>
        <v>100</v>
      </c>
      <c r="B14" s="1">
        <v>0.5</v>
      </c>
      <c r="C14" s="9">
        <f t="shared" si="0"/>
        <v>1.7453292519943295</v>
      </c>
      <c r="D14" s="9">
        <f t="shared" si="0"/>
        <v>8.7266462599716477E-3</v>
      </c>
      <c r="E14" s="1">
        <v>1.18</v>
      </c>
      <c r="F14" s="12">
        <f t="shared" si="1"/>
        <v>1.8699999999999999E-3</v>
      </c>
    </row>
    <row r="15" spans="1:18" x14ac:dyDescent="0.2">
      <c r="A15" s="1">
        <f t="shared" ref="A15:A40" si="2">A14+10</f>
        <v>110</v>
      </c>
      <c r="B15" s="1">
        <v>0.5</v>
      </c>
      <c r="C15" s="9">
        <f t="shared" si="0"/>
        <v>1.9198621771937625</v>
      </c>
      <c r="D15" s="9">
        <f t="shared" si="0"/>
        <v>8.7266462599716477E-3</v>
      </c>
      <c r="E15" s="1">
        <v>0.93</v>
      </c>
      <c r="F15" s="12">
        <f t="shared" si="1"/>
        <v>1.4950000000000002E-3</v>
      </c>
    </row>
    <row r="16" spans="1:18" x14ac:dyDescent="0.2">
      <c r="A16" s="1">
        <f t="shared" si="2"/>
        <v>120</v>
      </c>
      <c r="B16" s="1">
        <v>0.5</v>
      </c>
      <c r="C16" s="9">
        <f t="shared" si="0"/>
        <v>2.0943951023931953</v>
      </c>
      <c r="D16" s="9">
        <f t="shared" si="0"/>
        <v>8.7266462599716477E-3</v>
      </c>
      <c r="E16" s="1">
        <v>0.69</v>
      </c>
      <c r="F16" s="12">
        <f t="shared" si="1"/>
        <v>1.1349999999999999E-3</v>
      </c>
    </row>
    <row r="17" spans="1:6" x14ac:dyDescent="0.2">
      <c r="A17" s="1">
        <f t="shared" si="2"/>
        <v>130</v>
      </c>
      <c r="B17" s="1">
        <v>0.5</v>
      </c>
      <c r="C17" s="9">
        <f t="shared" si="0"/>
        <v>2.2689280275926285</v>
      </c>
      <c r="D17" s="9">
        <f t="shared" si="0"/>
        <v>8.7266462599716477E-3</v>
      </c>
      <c r="E17" s="1">
        <v>0.46</v>
      </c>
      <c r="F17" s="12">
        <f t="shared" si="1"/>
        <v>7.9000000000000012E-4</v>
      </c>
    </row>
    <row r="18" spans="1:6" x14ac:dyDescent="0.2">
      <c r="A18" s="1">
        <f t="shared" si="2"/>
        <v>140</v>
      </c>
      <c r="B18" s="1">
        <v>0.5</v>
      </c>
      <c r="C18" s="9">
        <f t="shared" si="0"/>
        <v>2.4434609527920612</v>
      </c>
      <c r="D18" s="9">
        <f t="shared" si="0"/>
        <v>8.7266462599716477E-3</v>
      </c>
      <c r="E18" s="1">
        <v>0.27</v>
      </c>
      <c r="F18" s="12">
        <f t="shared" si="1"/>
        <v>5.0500000000000002E-4</v>
      </c>
    </row>
    <row r="19" spans="1:6" x14ac:dyDescent="0.2">
      <c r="A19" s="1">
        <f t="shared" si="2"/>
        <v>150</v>
      </c>
      <c r="B19" s="1">
        <v>0.5</v>
      </c>
      <c r="C19" s="9">
        <f t="shared" si="0"/>
        <v>2.6179938779914944</v>
      </c>
      <c r="D19" s="9">
        <f t="shared" si="0"/>
        <v>8.7266462599716477E-3</v>
      </c>
      <c r="E19" s="1">
        <v>0.14000000000000001</v>
      </c>
      <c r="F19" s="12">
        <f t="shared" si="1"/>
        <v>3.1E-4</v>
      </c>
    </row>
    <row r="20" spans="1:6" x14ac:dyDescent="0.2">
      <c r="A20" s="1">
        <f t="shared" si="2"/>
        <v>160</v>
      </c>
      <c r="B20" s="1">
        <v>0.5</v>
      </c>
      <c r="C20" s="9">
        <f t="shared" si="0"/>
        <v>2.7925268031909272</v>
      </c>
      <c r="D20" s="9">
        <f t="shared" si="0"/>
        <v>8.7266462599716477E-3</v>
      </c>
      <c r="E20" s="1">
        <v>0.09</v>
      </c>
      <c r="F20" s="12">
        <f t="shared" si="1"/>
        <v>2.3500000000000002E-4</v>
      </c>
    </row>
    <row r="21" spans="1:6" x14ac:dyDescent="0.2">
      <c r="A21" s="1">
        <f t="shared" si="2"/>
        <v>170</v>
      </c>
      <c r="B21" s="1">
        <v>0.5</v>
      </c>
      <c r="C21" s="9">
        <f t="shared" si="0"/>
        <v>2.9670597283903604</v>
      </c>
      <c r="D21" s="9">
        <f t="shared" si="0"/>
        <v>8.7266462599716477E-3</v>
      </c>
      <c r="E21" s="1">
        <v>0.19</v>
      </c>
      <c r="F21" s="12">
        <f t="shared" si="1"/>
        <v>3.8499999999999998E-4</v>
      </c>
    </row>
    <row r="22" spans="1:6" x14ac:dyDescent="0.2">
      <c r="A22" s="1">
        <f t="shared" si="2"/>
        <v>180</v>
      </c>
      <c r="B22" s="1">
        <v>0.5</v>
      </c>
      <c r="C22" s="9">
        <f t="shared" si="0"/>
        <v>3.1415926535897931</v>
      </c>
      <c r="D22" s="9">
        <f t="shared" si="0"/>
        <v>8.7266462599716477E-3</v>
      </c>
      <c r="E22" s="1">
        <v>0.33</v>
      </c>
      <c r="F22" s="12">
        <f t="shared" si="1"/>
        <v>5.9500000000000004E-4</v>
      </c>
    </row>
    <row r="23" spans="1:6" x14ac:dyDescent="0.2">
      <c r="A23" s="1">
        <f t="shared" si="2"/>
        <v>190</v>
      </c>
      <c r="B23" s="1">
        <v>0.5</v>
      </c>
      <c r="C23" s="9">
        <f t="shared" si="0"/>
        <v>3.3161255787892263</v>
      </c>
      <c r="D23" s="9">
        <f t="shared" si="0"/>
        <v>8.7266462599716477E-3</v>
      </c>
      <c r="E23" s="1">
        <v>0.52</v>
      </c>
      <c r="F23" s="12">
        <f t="shared" si="1"/>
        <v>8.8000000000000003E-4</v>
      </c>
    </row>
    <row r="24" spans="1:6" x14ac:dyDescent="0.2">
      <c r="A24" s="1">
        <f t="shared" si="2"/>
        <v>200</v>
      </c>
      <c r="B24" s="1">
        <v>0.5</v>
      </c>
      <c r="C24" s="9">
        <f t="shared" si="0"/>
        <v>3.4906585039886591</v>
      </c>
      <c r="D24" s="9">
        <f t="shared" si="0"/>
        <v>8.7266462599716477E-3</v>
      </c>
      <c r="E24" s="1">
        <v>0.81</v>
      </c>
      <c r="F24" s="12">
        <f t="shared" si="1"/>
        <v>1.315E-3</v>
      </c>
    </row>
    <row r="25" spans="1:6" x14ac:dyDescent="0.2">
      <c r="A25" s="1">
        <f t="shared" si="2"/>
        <v>210</v>
      </c>
      <c r="B25" s="1">
        <v>0.5</v>
      </c>
      <c r="C25" s="9">
        <f t="shared" si="0"/>
        <v>3.6651914291880923</v>
      </c>
      <c r="D25" s="9">
        <f t="shared" si="0"/>
        <v>8.7266462599716477E-3</v>
      </c>
      <c r="E25" s="1">
        <v>1.1000000000000001</v>
      </c>
      <c r="F25" s="12">
        <f t="shared" si="1"/>
        <v>1.75E-3</v>
      </c>
    </row>
    <row r="26" spans="1:6" x14ac:dyDescent="0.2">
      <c r="A26" s="1">
        <f t="shared" si="2"/>
        <v>220</v>
      </c>
      <c r="B26" s="1">
        <v>0.5</v>
      </c>
      <c r="C26" s="9">
        <f t="shared" si="0"/>
        <v>3.839724354387525</v>
      </c>
      <c r="D26" s="9">
        <f t="shared" si="0"/>
        <v>8.7266462599716477E-3</v>
      </c>
      <c r="E26" s="1">
        <v>1.34</v>
      </c>
      <c r="F26" s="12">
        <f t="shared" si="1"/>
        <v>2.1099999999999999E-3</v>
      </c>
    </row>
    <row r="27" spans="1:6" x14ac:dyDescent="0.2">
      <c r="A27" s="1">
        <f t="shared" si="2"/>
        <v>230</v>
      </c>
      <c r="B27" s="1">
        <v>0.5</v>
      </c>
      <c r="C27" s="9">
        <f t="shared" si="0"/>
        <v>4.0142572795869578</v>
      </c>
      <c r="D27" s="9">
        <f t="shared" si="0"/>
        <v>8.7266462599716477E-3</v>
      </c>
      <c r="E27" s="1">
        <v>1.53</v>
      </c>
      <c r="F27" s="12">
        <f t="shared" si="1"/>
        <v>2.3949999999999996E-3</v>
      </c>
    </row>
    <row r="28" spans="1:6" x14ac:dyDescent="0.2">
      <c r="A28" s="1">
        <f t="shared" si="2"/>
        <v>240</v>
      </c>
      <c r="B28" s="1">
        <v>0.5</v>
      </c>
      <c r="C28" s="9">
        <f t="shared" si="0"/>
        <v>4.1887902047863905</v>
      </c>
      <c r="D28" s="9">
        <f t="shared" si="0"/>
        <v>8.7266462599716477E-3</v>
      </c>
      <c r="E28" s="1">
        <v>1.58</v>
      </c>
      <c r="F28" s="12">
        <f t="shared" si="1"/>
        <v>2.4699999999999995E-3</v>
      </c>
    </row>
    <row r="29" spans="1:6" x14ac:dyDescent="0.2">
      <c r="A29" s="1">
        <f t="shared" si="2"/>
        <v>250</v>
      </c>
      <c r="B29" s="1">
        <v>0.5</v>
      </c>
      <c r="C29" s="9">
        <f t="shared" si="0"/>
        <v>4.3633231299858242</v>
      </c>
      <c r="D29" s="9">
        <f t="shared" si="0"/>
        <v>8.7266462599716477E-3</v>
      </c>
      <c r="E29" s="1">
        <v>1.54</v>
      </c>
      <c r="F29" s="12">
        <f t="shared" si="1"/>
        <v>2.4099999999999998E-3</v>
      </c>
    </row>
    <row r="30" spans="1:6" x14ac:dyDescent="0.2">
      <c r="A30" s="1">
        <f t="shared" si="2"/>
        <v>260</v>
      </c>
      <c r="B30" s="1">
        <v>0.5</v>
      </c>
      <c r="C30" s="9">
        <f t="shared" si="0"/>
        <v>4.5378560551852569</v>
      </c>
      <c r="D30" s="9">
        <f t="shared" si="0"/>
        <v>8.7266462599716477E-3</v>
      </c>
      <c r="E30" s="1">
        <v>1.46</v>
      </c>
      <c r="F30" s="12">
        <f t="shared" si="1"/>
        <v>2.2899999999999999E-3</v>
      </c>
    </row>
    <row r="31" spans="1:6" x14ac:dyDescent="0.2">
      <c r="A31" s="1">
        <f t="shared" si="2"/>
        <v>270</v>
      </c>
      <c r="B31" s="1">
        <v>0.5</v>
      </c>
      <c r="C31" s="9">
        <f t="shared" si="0"/>
        <v>4.7123889803846897</v>
      </c>
      <c r="D31" s="9">
        <f t="shared" si="0"/>
        <v>8.7266462599716477E-3</v>
      </c>
      <c r="E31" s="1">
        <v>1.25</v>
      </c>
      <c r="F31" s="12">
        <f t="shared" si="1"/>
        <v>1.9749999999999998E-3</v>
      </c>
    </row>
    <row r="32" spans="1:6" x14ac:dyDescent="0.2">
      <c r="A32" s="1">
        <f t="shared" si="2"/>
        <v>280</v>
      </c>
      <c r="B32" s="1">
        <v>0.5</v>
      </c>
      <c r="C32" s="9">
        <f t="shared" si="0"/>
        <v>4.8869219055841224</v>
      </c>
      <c r="D32" s="9">
        <f t="shared" si="0"/>
        <v>8.7266462599716477E-3</v>
      </c>
      <c r="E32" s="1">
        <v>1.01</v>
      </c>
      <c r="F32" s="12">
        <f t="shared" si="1"/>
        <v>1.6149999999999999E-3</v>
      </c>
    </row>
    <row r="33" spans="1:6" x14ac:dyDescent="0.2">
      <c r="A33" s="1">
        <f t="shared" si="2"/>
        <v>290</v>
      </c>
      <c r="B33" s="1">
        <v>0.5</v>
      </c>
      <c r="C33" s="9">
        <f t="shared" si="0"/>
        <v>5.0614548307835561</v>
      </c>
      <c r="D33" s="9">
        <f t="shared" si="0"/>
        <v>8.7266462599716477E-3</v>
      </c>
      <c r="E33" s="1">
        <v>0.77</v>
      </c>
      <c r="F33" s="12">
        <f t="shared" si="1"/>
        <v>1.255E-3</v>
      </c>
    </row>
    <row r="34" spans="1:6" x14ac:dyDescent="0.2">
      <c r="A34" s="1">
        <f t="shared" si="2"/>
        <v>300</v>
      </c>
      <c r="B34" s="1">
        <v>0.5</v>
      </c>
      <c r="C34" s="9">
        <f t="shared" si="0"/>
        <v>5.2359877559829888</v>
      </c>
      <c r="D34" s="9">
        <f t="shared" si="0"/>
        <v>8.7266462599716477E-3</v>
      </c>
      <c r="E34" s="1">
        <v>0.51</v>
      </c>
      <c r="F34" s="12">
        <f t="shared" si="1"/>
        <v>8.6499999999999999E-4</v>
      </c>
    </row>
    <row r="35" spans="1:6" x14ac:dyDescent="0.2">
      <c r="A35" s="1">
        <f t="shared" si="2"/>
        <v>310</v>
      </c>
      <c r="B35" s="1">
        <v>0.5</v>
      </c>
      <c r="C35" s="9">
        <f t="shared" si="0"/>
        <v>5.4105206811824216</v>
      </c>
      <c r="D35" s="9">
        <f t="shared" si="0"/>
        <v>8.7266462599716477E-3</v>
      </c>
      <c r="E35" s="1">
        <v>0.28999999999999998</v>
      </c>
      <c r="F35" s="12">
        <f t="shared" si="1"/>
        <v>5.3499999999999999E-4</v>
      </c>
    </row>
    <row r="36" spans="1:6" x14ac:dyDescent="0.2">
      <c r="A36" s="1">
        <f t="shared" si="2"/>
        <v>320</v>
      </c>
      <c r="B36" s="1">
        <v>0.5</v>
      </c>
      <c r="C36" s="9">
        <f t="shared" si="0"/>
        <v>5.5850536063818543</v>
      </c>
      <c r="D36" s="9">
        <f t="shared" si="0"/>
        <v>8.7266462599716477E-3</v>
      </c>
      <c r="E36" s="1">
        <v>0.16</v>
      </c>
      <c r="F36" s="12">
        <f t="shared" si="1"/>
        <v>3.4000000000000002E-4</v>
      </c>
    </row>
    <row r="37" spans="1:6" x14ac:dyDescent="0.2">
      <c r="A37" s="1">
        <f t="shared" si="2"/>
        <v>330</v>
      </c>
      <c r="B37" s="1">
        <v>0.5</v>
      </c>
      <c r="C37" s="9">
        <f t="shared" si="0"/>
        <v>5.7595865315812871</v>
      </c>
      <c r="D37" s="9">
        <f t="shared" si="0"/>
        <v>8.7266462599716477E-3</v>
      </c>
      <c r="E37" s="1">
        <v>0.09</v>
      </c>
      <c r="F37" s="12">
        <f t="shared" si="1"/>
        <v>2.3500000000000002E-4</v>
      </c>
    </row>
    <row r="38" spans="1:6" x14ac:dyDescent="0.2">
      <c r="A38" s="1">
        <f t="shared" si="2"/>
        <v>340</v>
      </c>
      <c r="B38" s="1">
        <v>0.5</v>
      </c>
      <c r="C38" s="9">
        <f t="shared" si="0"/>
        <v>5.9341194567807207</v>
      </c>
      <c r="D38" s="9">
        <f t="shared" si="0"/>
        <v>8.7266462599716477E-3</v>
      </c>
      <c r="E38" s="1">
        <v>0.14000000000000001</v>
      </c>
      <c r="F38" s="12">
        <f t="shared" si="1"/>
        <v>3.1E-4</v>
      </c>
    </row>
    <row r="39" spans="1:6" x14ac:dyDescent="0.2">
      <c r="A39" s="1">
        <f>A38+10</f>
        <v>350</v>
      </c>
      <c r="B39" s="1">
        <v>0.5</v>
      </c>
      <c r="C39" s="9">
        <f t="shared" si="0"/>
        <v>6.1086523819801535</v>
      </c>
      <c r="D39" s="9">
        <f t="shared" si="0"/>
        <v>8.7266462599716477E-3</v>
      </c>
      <c r="E39" s="1">
        <v>0.27</v>
      </c>
      <c r="F39" s="12">
        <f t="shared" si="1"/>
        <v>5.0500000000000002E-4</v>
      </c>
    </row>
    <row r="40" spans="1:6" x14ac:dyDescent="0.2">
      <c r="A40" s="1">
        <f t="shared" si="2"/>
        <v>360</v>
      </c>
      <c r="B40" s="1">
        <v>0.5</v>
      </c>
      <c r="C40" s="9">
        <f t="shared" si="0"/>
        <v>6.2831853071795862</v>
      </c>
      <c r="D40" s="9">
        <f t="shared" si="0"/>
        <v>8.7266462599716477E-3</v>
      </c>
      <c r="E40" s="1">
        <v>0.3</v>
      </c>
      <c r="F40" s="12">
        <f t="shared" si="1"/>
        <v>5.5000000000000003E-4</v>
      </c>
    </row>
  </sheetData>
  <phoneticPr fontId="1" type="noConversion"/>
  <pageMargins left="0.7" right="0.7" top="0.75" bottom="0.75" header="0.3" footer="0.3"/>
  <pageSetup paperSize="9" scale="56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" enableFormatConditionsCalculation="0">
    <pageSetUpPr fitToPage="1"/>
  </sheetPr>
  <dimension ref="A2:T26"/>
  <sheetViews>
    <sheetView workbookViewId="0">
      <selection activeCell="A2" sqref="A2:J22"/>
    </sheetView>
  </sheetViews>
  <sheetFormatPr baseColWidth="10" defaultRowHeight="16" x14ac:dyDescent="0.2"/>
  <cols>
    <col min="7" max="7" width="12.6640625" customWidth="1"/>
    <col min="8" max="8" width="12" bestFit="1" customWidth="1"/>
    <col min="12" max="15" width="11.6640625" bestFit="1" customWidth="1"/>
    <col min="17" max="19" width="18.33203125" customWidth="1"/>
    <col min="20" max="20" width="17" customWidth="1"/>
  </cols>
  <sheetData>
    <row r="2" spans="1:20" x14ac:dyDescent="0.2">
      <c r="A2" s="1" t="s">
        <v>29</v>
      </c>
      <c r="B2" s="1" t="s">
        <v>30</v>
      </c>
      <c r="C2" s="1" t="s">
        <v>32</v>
      </c>
      <c r="D2" s="1" t="s">
        <v>31</v>
      </c>
      <c r="E2" s="1" t="s">
        <v>33</v>
      </c>
      <c r="F2" s="1" t="s">
        <v>34</v>
      </c>
      <c r="G2" s="3" t="s">
        <v>36</v>
      </c>
      <c r="H2" s="3" t="s">
        <v>35</v>
      </c>
      <c r="I2" s="3" t="s">
        <v>37</v>
      </c>
      <c r="J2" s="5"/>
      <c r="K2" s="3" t="s">
        <v>44</v>
      </c>
      <c r="L2" s="1" t="s">
        <v>38</v>
      </c>
      <c r="M2" s="1" t="s">
        <v>43</v>
      </c>
      <c r="N2" s="1" t="s">
        <v>42</v>
      </c>
      <c r="O2" s="1" t="s">
        <v>39</v>
      </c>
      <c r="Q2" s="1" t="s">
        <v>40</v>
      </c>
      <c r="R2" s="1" t="s">
        <v>48</v>
      </c>
      <c r="S2" s="1" t="s">
        <v>47</v>
      </c>
      <c r="T2" s="1" t="s">
        <v>41</v>
      </c>
    </row>
    <row r="3" spans="1:20" x14ac:dyDescent="0.2">
      <c r="A3" s="1">
        <v>0</v>
      </c>
      <c r="B3" s="9">
        <v>0</v>
      </c>
      <c r="C3" s="9">
        <v>1.5</v>
      </c>
      <c r="D3" s="9">
        <v>87.65</v>
      </c>
      <c r="E3" s="9">
        <f>(D3*0.4/100)+0.001</f>
        <v>0.35160000000000002</v>
      </c>
      <c r="F3" s="10">
        <v>2.8899999999999999E-2</v>
      </c>
      <c r="G3" s="11">
        <v>8.0000000000000004E-4</v>
      </c>
      <c r="H3" s="10">
        <f>SQRT(((F3*G3)^2)+(((F3*C3/(2*SQRT(B3+20.63)))^2)))</f>
        <v>4.7721555264494484E-3</v>
      </c>
      <c r="I3" s="10">
        <f>SQRT(H3*H3+$E$3*$E$3)</f>
        <v>0.35163238398698243</v>
      </c>
      <c r="J3" s="2"/>
      <c r="K3" s="1"/>
      <c r="L3" s="1"/>
      <c r="M3" s="1"/>
      <c r="N3" s="1"/>
      <c r="O3" s="1"/>
      <c r="Q3" s="1"/>
      <c r="R3" s="1"/>
      <c r="S3" s="1"/>
      <c r="T3" s="1"/>
    </row>
    <row r="4" spans="1:20" x14ac:dyDescent="0.2">
      <c r="A4" s="1">
        <v>100</v>
      </c>
      <c r="B4" s="9">
        <v>9.93</v>
      </c>
      <c r="C4" s="9">
        <v>1.5</v>
      </c>
      <c r="D4" s="9">
        <v>28.8</v>
      </c>
      <c r="E4" s="9">
        <f t="shared" ref="E4:E22" si="0">(D4*0.4/100)+0.001</f>
        <v>0.11620000000000001</v>
      </c>
      <c r="F4" s="10">
        <v>2.81E-2</v>
      </c>
      <c r="G4" s="11">
        <v>6.9999999999999999E-4</v>
      </c>
      <c r="H4" s="10">
        <f t="shared" ref="H4:H22" si="1">SQRT(((F4*G4)^2)+(((F4*C4/(2*SQRT(B4+20.63)))^2)))</f>
        <v>3.8123844456609828E-3</v>
      </c>
      <c r="I4" s="10">
        <f t="shared" ref="I4:I22" si="2">SQRT(H4*H4+$E$3*$E$3)</f>
        <v>0.35162066815698068</v>
      </c>
      <c r="J4" s="2"/>
      <c r="K4" s="10">
        <f>SQRT(2)*1.5*0.001</f>
        <v>2.1213203435596429E-3</v>
      </c>
      <c r="L4" s="1"/>
      <c r="M4" s="1"/>
      <c r="N4" s="1"/>
      <c r="O4" s="1"/>
      <c r="Q4" s="1"/>
      <c r="R4" s="1"/>
      <c r="S4" s="1"/>
      <c r="T4" s="1"/>
    </row>
    <row r="5" spans="1:20" x14ac:dyDescent="0.2">
      <c r="A5" s="1">
        <v>200</v>
      </c>
      <c r="B5" s="9">
        <v>17.649999999999999</v>
      </c>
      <c r="C5" s="9">
        <v>1.5</v>
      </c>
      <c r="D5" s="9">
        <v>19.149999999999999</v>
      </c>
      <c r="E5" s="9">
        <f t="shared" si="0"/>
        <v>7.7600000000000002E-2</v>
      </c>
      <c r="F5" s="10">
        <v>2.7199999999999998E-2</v>
      </c>
      <c r="G5" s="11">
        <v>6.9999999999999999E-4</v>
      </c>
      <c r="H5" s="10">
        <f t="shared" si="1"/>
        <v>3.2972467113990683E-3</v>
      </c>
      <c r="I5" s="10">
        <f t="shared" si="2"/>
        <v>0.35161546017755796</v>
      </c>
      <c r="J5" s="2"/>
      <c r="L5" s="10">
        <f>LN($D$4/D5)/(B5-$B$4)</f>
        <v>5.2859154341353042E-2</v>
      </c>
      <c r="M5" s="10">
        <f t="shared" ref="M5:M22" si="3">LN($D$4/D5)</f>
        <v>0.4080726715152454</v>
      </c>
      <c r="N5" s="10">
        <f t="shared" ref="N5:N22" si="4">SQRT(((B5*$C$4*0.001/$B$4)^2)+((C5/B5)^2))</f>
        <v>8.5027646648110633E-2</v>
      </c>
      <c r="O5" s="10">
        <f>SQRT(((D5*N5/($D$4*($B$4-B5)))^2)+(((M5*$K$4/(($B$4-B5)^2)))^2))</f>
        <v>7.3235222174242894E-3</v>
      </c>
      <c r="Q5" s="10">
        <f>LN($D$4/(D5+F5))/(B5-$B$4)</f>
        <v>5.2675299707898186E-2</v>
      </c>
      <c r="R5" s="10">
        <f t="shared" ref="R5:R22" si="5">LN($D$4/(D5+F5))</f>
        <v>0.40665331374497393</v>
      </c>
      <c r="S5" s="10">
        <f>SQRT((((B5+F5)*$C$4*0.001/$B$4)^2)+((I5/(B5+F5))^2))</f>
        <v>2.0069338577460735E-2</v>
      </c>
      <c r="T5" s="10">
        <f>SQRT(((D5*S5/($D$4*($B$4-B5)))^2)+(((R5*$K$4/(($B$4-B5)^2)))^2))</f>
        <v>1.7286508122806765E-3</v>
      </c>
    </row>
    <row r="6" spans="1:20" x14ac:dyDescent="0.2">
      <c r="A6" s="1">
        <v>300</v>
      </c>
      <c r="B6" s="9">
        <v>24.9</v>
      </c>
      <c r="C6" s="9">
        <v>1.5</v>
      </c>
      <c r="D6" s="9">
        <v>8.1</v>
      </c>
      <c r="E6" s="9">
        <f t="shared" si="0"/>
        <v>3.3400000000000006E-2</v>
      </c>
      <c r="F6" s="10">
        <v>2.69E-2</v>
      </c>
      <c r="G6" s="11">
        <v>6.9999999999999999E-4</v>
      </c>
      <c r="H6" s="10">
        <f t="shared" si="1"/>
        <v>2.9900147483048539E-3</v>
      </c>
      <c r="I6" s="10">
        <f t="shared" si="2"/>
        <v>0.35161271334835875</v>
      </c>
      <c r="J6" s="2"/>
      <c r="L6" s="10">
        <f t="shared" ref="L6:L22" si="6">LN($D$4/D6)/(B6-$B$4)</f>
        <v>8.4736895488544239E-2</v>
      </c>
      <c r="M6" s="10">
        <f t="shared" si="3"/>
        <v>1.2685113254635072</v>
      </c>
      <c r="N6" s="10">
        <f t="shared" si="4"/>
        <v>6.035827469677954E-2</v>
      </c>
      <c r="O6" s="10">
        <f t="shared" ref="O6:O22" si="7">SQRT(((D6*N6/($D$4*($B$4-B6)))^2)+(((M6*$K$4/(($B$4-B6)^2)))^2))</f>
        <v>1.1340491935767825E-3</v>
      </c>
      <c r="Q6" s="10">
        <f t="shared" ref="Q6:Q22" si="8">LN($D$4/(D6+F6))/(B6-$B$4)</f>
        <v>8.4515420181028922E-2</v>
      </c>
      <c r="R6" s="10">
        <f t="shared" si="5"/>
        <v>1.265195840110003</v>
      </c>
      <c r="S6" s="10">
        <f t="shared" ref="S6:S22" si="9">SQRT((((B6+F6)*$C$4*0.001/$B$4)^2)+((I6/(B6+F6))^2))</f>
        <v>1.4599673682490641E-2</v>
      </c>
      <c r="T6" s="10">
        <f t="shared" ref="T6:T22" si="10">SQRT(((D6*S6/($D$4*($B$4-B6)))^2)+(((R6*$K$4/(($B$4-B6)^2)))^2))</f>
        <v>2.7455379698673E-4</v>
      </c>
    </row>
    <row r="7" spans="1:20" x14ac:dyDescent="0.2">
      <c r="A7" s="1">
        <v>350</v>
      </c>
      <c r="B7" s="9">
        <v>28.519999999999996</v>
      </c>
      <c r="C7" s="9">
        <v>1.5</v>
      </c>
      <c r="D7" s="9">
        <v>6.4</v>
      </c>
      <c r="E7" s="9">
        <f t="shared" si="0"/>
        <v>2.6600000000000006E-2</v>
      </c>
      <c r="F7" s="10">
        <v>2.6599999999999999E-2</v>
      </c>
      <c r="G7" s="11">
        <v>6.9999999999999999E-4</v>
      </c>
      <c r="H7" s="10">
        <f t="shared" si="1"/>
        <v>2.8457086626892392E-3</v>
      </c>
      <c r="I7" s="10">
        <f t="shared" si="2"/>
        <v>0.35161151582078898</v>
      </c>
      <c r="J7" s="2"/>
      <c r="L7" s="10">
        <f t="shared" si="6"/>
        <v>8.0907875028309553E-2</v>
      </c>
      <c r="M7" s="10">
        <f t="shared" si="3"/>
        <v>1.5040773967762742</v>
      </c>
      <c r="N7" s="10">
        <f t="shared" si="4"/>
        <v>5.2770821225261035E-2</v>
      </c>
      <c r="O7" s="10">
        <f t="shared" si="7"/>
        <v>6.3088246767334898E-4</v>
      </c>
      <c r="Q7" s="10">
        <f t="shared" si="8"/>
        <v>8.0684763858278566E-2</v>
      </c>
      <c r="R7" s="10">
        <f t="shared" si="5"/>
        <v>1.4999297601253982</v>
      </c>
      <c r="S7" s="10">
        <f t="shared" si="9"/>
        <v>1.3050132974723055E-2</v>
      </c>
      <c r="T7" s="10">
        <f t="shared" si="10"/>
        <v>1.5627089800631313E-4</v>
      </c>
    </row>
    <row r="8" spans="1:20" x14ac:dyDescent="0.2">
      <c r="A8" s="1">
        <v>400</v>
      </c>
      <c r="B8" s="9">
        <v>32.96</v>
      </c>
      <c r="C8" s="9">
        <v>1.5</v>
      </c>
      <c r="D8" s="9">
        <v>5</v>
      </c>
      <c r="E8" s="9">
        <f t="shared" si="0"/>
        <v>2.1000000000000001E-2</v>
      </c>
      <c r="F8" s="10">
        <v>2.6200000000000001E-2</v>
      </c>
      <c r="G8" s="11">
        <v>6.9999999999999999E-4</v>
      </c>
      <c r="H8" s="10">
        <f t="shared" si="1"/>
        <v>2.684298526597885E-3</v>
      </c>
      <c r="I8" s="10">
        <f t="shared" si="2"/>
        <v>0.35161024652103062</v>
      </c>
      <c r="J8" s="2"/>
      <c r="L8" s="10">
        <f t="shared" si="6"/>
        <v>7.6028548619531039E-2</v>
      </c>
      <c r="M8" s="10">
        <f t="shared" si="3"/>
        <v>1.7509374747077999</v>
      </c>
      <c r="N8" s="10">
        <f t="shared" si="4"/>
        <v>4.5781246775094729E-2</v>
      </c>
      <c r="O8" s="10">
        <f t="shared" si="7"/>
        <v>3.451918923954317E-4</v>
      </c>
      <c r="Q8" s="10">
        <f t="shared" si="8"/>
        <v>7.5801613362406359E-2</v>
      </c>
      <c r="R8" s="10">
        <f t="shared" si="5"/>
        <v>1.7457111557362184</v>
      </c>
      <c r="S8" s="10">
        <f t="shared" si="9"/>
        <v>1.1766450449604143E-2</v>
      </c>
      <c r="T8" s="10">
        <f t="shared" si="10"/>
        <v>8.8975488109423913E-5</v>
      </c>
    </row>
    <row r="9" spans="1:20" x14ac:dyDescent="0.2">
      <c r="A9" s="1">
        <v>450</v>
      </c>
      <c r="B9" s="9">
        <v>37.299999999999997</v>
      </c>
      <c r="C9" s="9">
        <v>1.5</v>
      </c>
      <c r="D9" s="9">
        <v>3.6</v>
      </c>
      <c r="E9" s="9">
        <f t="shared" si="0"/>
        <v>1.54E-2</v>
      </c>
      <c r="F9" s="10">
        <v>2.5700000000000001E-2</v>
      </c>
      <c r="G9" s="10">
        <v>5.9999999999999995E-4</v>
      </c>
      <c r="H9" s="10">
        <f t="shared" si="1"/>
        <v>2.5325071087648064E-3</v>
      </c>
      <c r="I9" s="10">
        <f t="shared" si="2"/>
        <v>0.35160912046227694</v>
      </c>
      <c r="J9" s="2"/>
      <c r="L9" s="10">
        <f t="shared" si="6"/>
        <v>7.5975211606862839E-2</v>
      </c>
      <c r="M9" s="10">
        <f t="shared" si="3"/>
        <v>2.0794415416798357</v>
      </c>
      <c r="N9" s="10">
        <f t="shared" si="4"/>
        <v>4.0607278950797299E-2</v>
      </c>
      <c r="O9" s="10">
        <f t="shared" si="7"/>
        <v>1.8554869870457321E-4</v>
      </c>
      <c r="Q9" s="10">
        <f t="shared" si="8"/>
        <v>7.5715309244759124E-2</v>
      </c>
      <c r="R9" s="10">
        <f t="shared" si="5"/>
        <v>2.0723280140290572</v>
      </c>
      <c r="S9" s="10">
        <f t="shared" si="9"/>
        <v>1.0978506606994747E-2</v>
      </c>
      <c r="T9" s="10">
        <f t="shared" si="10"/>
        <v>5.0481573974615578E-5</v>
      </c>
    </row>
    <row r="10" spans="1:20" x14ac:dyDescent="0.2">
      <c r="A10" s="1">
        <v>500</v>
      </c>
      <c r="B10" s="9">
        <v>40.89</v>
      </c>
      <c r="C10" s="9">
        <v>1.5</v>
      </c>
      <c r="D10" s="9">
        <v>2.92</v>
      </c>
      <c r="E10" s="9">
        <f t="shared" si="0"/>
        <v>1.268E-2</v>
      </c>
      <c r="F10" s="10">
        <v>2.5399999999999999E-2</v>
      </c>
      <c r="G10" s="10">
        <v>5.9999999999999995E-4</v>
      </c>
      <c r="H10" s="10">
        <f t="shared" si="1"/>
        <v>2.4288201998484112E-3</v>
      </c>
      <c r="I10" s="10">
        <f t="shared" si="2"/>
        <v>0.35160838893229385</v>
      </c>
      <c r="J10" s="2"/>
      <c r="L10" s="10">
        <f t="shared" si="6"/>
        <v>7.3927382779770984E-2</v>
      </c>
      <c r="M10" s="10">
        <f t="shared" si="3"/>
        <v>2.2887917708617098</v>
      </c>
      <c r="N10" s="10">
        <f t="shared" si="4"/>
        <v>3.7200164248585084E-2</v>
      </c>
      <c r="O10" s="10">
        <f t="shared" si="7"/>
        <v>1.2192965809775656E-4</v>
      </c>
      <c r="Q10" s="10">
        <f t="shared" si="8"/>
        <v>7.3647634232298961E-2</v>
      </c>
      <c r="R10" s="10">
        <f t="shared" si="5"/>
        <v>2.2801307558319759</v>
      </c>
      <c r="S10" s="10">
        <f t="shared" si="9"/>
        <v>1.0585298066506304E-2</v>
      </c>
      <c r="T10" s="10">
        <f t="shared" si="10"/>
        <v>3.5030465386317159E-5</v>
      </c>
    </row>
    <row r="11" spans="1:20" x14ac:dyDescent="0.2">
      <c r="A11" s="1">
        <v>550</v>
      </c>
      <c r="B11" s="9">
        <v>44.59</v>
      </c>
      <c r="C11" s="9">
        <v>1.5</v>
      </c>
      <c r="D11" s="9">
        <v>2.4</v>
      </c>
      <c r="E11" s="9">
        <f t="shared" si="0"/>
        <v>1.0599999999999998E-2</v>
      </c>
      <c r="F11" s="10">
        <v>2.5000000000000001E-2</v>
      </c>
      <c r="G11" s="10">
        <v>5.9999999999999995E-4</v>
      </c>
      <c r="H11" s="10">
        <f t="shared" si="1"/>
        <v>2.3217739734144355E-3</v>
      </c>
      <c r="I11" s="10">
        <f t="shared" si="2"/>
        <v>0.35160766577875352</v>
      </c>
      <c r="J11" s="2"/>
      <c r="L11" s="10">
        <f t="shared" si="6"/>
        <v>7.1693786779803814E-2</v>
      </c>
      <c r="M11" s="10">
        <f t="shared" si="3"/>
        <v>2.4849066497880004</v>
      </c>
      <c r="N11" s="10">
        <f t="shared" si="4"/>
        <v>3.4307537182406721E-2</v>
      </c>
      <c r="O11" s="10">
        <f t="shared" si="7"/>
        <v>8.2602531697434297E-5</v>
      </c>
      <c r="Q11" s="10">
        <f t="shared" si="8"/>
        <v>7.1394802733769566E-2</v>
      </c>
      <c r="R11" s="10">
        <f t="shared" si="5"/>
        <v>2.4745438627524536</v>
      </c>
      <c r="S11" s="10">
        <f t="shared" si="9"/>
        <v>1.0369614794393699E-2</v>
      </c>
      <c r="T11" s="10">
        <f t="shared" si="10"/>
        <v>2.5311774967732462E-5</v>
      </c>
    </row>
    <row r="12" spans="1:20" x14ac:dyDescent="0.2">
      <c r="A12" s="1">
        <v>600</v>
      </c>
      <c r="B12" s="9">
        <v>48.599999999999994</v>
      </c>
      <c r="C12" s="9">
        <v>1.5</v>
      </c>
      <c r="D12" s="9">
        <v>1.9</v>
      </c>
      <c r="E12" s="9">
        <f t="shared" si="0"/>
        <v>8.6E-3</v>
      </c>
      <c r="F12" s="10">
        <v>2.46E-2</v>
      </c>
      <c r="G12" s="10">
        <v>5.9999999999999995E-4</v>
      </c>
      <c r="H12" s="10">
        <f t="shared" si="1"/>
        <v>2.2174754769122107E-3</v>
      </c>
      <c r="I12" s="10">
        <f t="shared" si="2"/>
        <v>0.35160699253213201</v>
      </c>
      <c r="J12" s="2"/>
      <c r="L12" s="10">
        <f t="shared" si="6"/>
        <v>7.0300530151784474E-2</v>
      </c>
      <c r="M12" s="10">
        <f t="shared" si="3"/>
        <v>2.7185215009695054</v>
      </c>
      <c r="N12" s="10">
        <f t="shared" si="4"/>
        <v>3.1725300508647788E-2</v>
      </c>
      <c r="O12" s="10">
        <f t="shared" si="7"/>
        <v>5.4261566174181757E-5</v>
      </c>
      <c r="Q12" s="10">
        <f t="shared" si="8"/>
        <v>6.9967862249850979E-2</v>
      </c>
      <c r="R12" s="10">
        <f t="shared" si="5"/>
        <v>2.705657233201737</v>
      </c>
      <c r="S12" s="10">
        <f t="shared" si="9"/>
        <v>1.0307215232292964E-2</v>
      </c>
      <c r="T12" s="10">
        <f t="shared" si="10"/>
        <v>1.7998448660998347E-5</v>
      </c>
    </row>
    <row r="13" spans="1:20" x14ac:dyDescent="0.2">
      <c r="A13" s="1">
        <v>650</v>
      </c>
      <c r="B13" s="9">
        <v>52.87</v>
      </c>
      <c r="C13" s="9">
        <v>1.5</v>
      </c>
      <c r="D13" s="9">
        <v>1.6</v>
      </c>
      <c r="E13" s="9">
        <f t="shared" si="0"/>
        <v>7.4000000000000012E-3</v>
      </c>
      <c r="F13" s="10">
        <v>2.4199999999999999E-2</v>
      </c>
      <c r="G13" s="10">
        <v>5.9999999999999995E-4</v>
      </c>
      <c r="H13" s="10">
        <f t="shared" si="1"/>
        <v>2.117108784618826E-3</v>
      </c>
      <c r="I13" s="10">
        <f t="shared" si="2"/>
        <v>0.35160637387511329</v>
      </c>
      <c r="J13" s="2"/>
      <c r="L13" s="10">
        <f t="shared" si="6"/>
        <v>6.7311871399538065E-2</v>
      </c>
      <c r="M13" s="10">
        <f t="shared" si="3"/>
        <v>2.8903717578961645</v>
      </c>
      <c r="N13" s="10">
        <f t="shared" si="4"/>
        <v>2.9474113746608081E-2</v>
      </c>
      <c r="O13" s="10">
        <f t="shared" si="7"/>
        <v>3.8278174373128806E-5</v>
      </c>
      <c r="Q13" s="10">
        <f t="shared" si="8"/>
        <v>6.696227294540584E-2</v>
      </c>
      <c r="R13" s="10">
        <f t="shared" si="5"/>
        <v>2.8753600002757267</v>
      </c>
      <c r="S13" s="10">
        <f t="shared" si="9"/>
        <v>1.0393669040046747E-2</v>
      </c>
      <c r="T13" s="10">
        <f t="shared" si="10"/>
        <v>1.3848197029473906E-5</v>
      </c>
    </row>
    <row r="14" spans="1:20" x14ac:dyDescent="0.2">
      <c r="A14" s="1">
        <v>700</v>
      </c>
      <c r="B14" s="9">
        <v>56.589999999999996</v>
      </c>
      <c r="C14" s="9">
        <v>1.5</v>
      </c>
      <c r="D14" s="9">
        <v>1.25</v>
      </c>
      <c r="E14" s="9">
        <f t="shared" si="0"/>
        <v>6.0000000000000001E-3</v>
      </c>
      <c r="F14" s="10">
        <v>2.3800000000000002E-2</v>
      </c>
      <c r="G14" s="10">
        <v>5.9999999999999995E-4</v>
      </c>
      <c r="H14" s="10">
        <f t="shared" si="1"/>
        <v>2.0313467009758579E-3</v>
      </c>
      <c r="I14" s="10">
        <f t="shared" si="2"/>
        <v>0.35160586793940113</v>
      </c>
      <c r="J14" s="2"/>
      <c r="L14" s="10">
        <f t="shared" si="6"/>
        <v>6.7236001625111244E-2</v>
      </c>
      <c r="M14" s="10">
        <f t="shared" si="3"/>
        <v>3.1372318358276905</v>
      </c>
      <c r="N14" s="10">
        <f t="shared" si="4"/>
        <v>2.7850780515344585E-2</v>
      </c>
      <c r="O14" s="10">
        <f t="shared" si="7"/>
        <v>2.608629901307526E-5</v>
      </c>
      <c r="Q14" s="10">
        <f t="shared" si="8"/>
        <v>6.6831779429635058E-2</v>
      </c>
      <c r="R14" s="10">
        <f t="shared" si="5"/>
        <v>3.1183708281867717</v>
      </c>
      <c r="S14" s="10">
        <f t="shared" si="9"/>
        <v>1.0569160978394729E-2</v>
      </c>
      <c r="T14" s="10">
        <f t="shared" si="10"/>
        <v>1.0290158665407664E-5</v>
      </c>
    </row>
    <row r="15" spans="1:20" x14ac:dyDescent="0.2">
      <c r="A15" s="1">
        <v>750</v>
      </c>
      <c r="B15" s="9">
        <v>58.44</v>
      </c>
      <c r="C15" s="9">
        <v>1.5</v>
      </c>
      <c r="D15" s="9">
        <v>0.9</v>
      </c>
      <c r="E15" s="9">
        <f t="shared" si="0"/>
        <v>4.5999999999999999E-3</v>
      </c>
      <c r="F15" s="10">
        <v>2.3599999999999999E-2</v>
      </c>
      <c r="G15" s="10">
        <v>5.9999999999999995E-4</v>
      </c>
      <c r="H15" s="10">
        <f t="shared" si="1"/>
        <v>1.9905742666218315E-3</v>
      </c>
      <c r="I15" s="10">
        <f t="shared" si="2"/>
        <v>0.35160563474709983</v>
      </c>
      <c r="J15" s="2"/>
      <c r="L15" s="10">
        <f t="shared" si="6"/>
        <v>7.1443741554313059E-2</v>
      </c>
      <c r="M15" s="10">
        <f t="shared" si="3"/>
        <v>3.4657359027997265</v>
      </c>
      <c r="N15" s="10">
        <f t="shared" si="4"/>
        <v>2.7143007770432121E-2</v>
      </c>
      <c r="O15" s="10">
        <f t="shared" si="7"/>
        <v>1.7762360999447465E-5</v>
      </c>
      <c r="Q15" s="10">
        <f t="shared" si="8"/>
        <v>7.0910154373195158E-2</v>
      </c>
      <c r="R15" s="10">
        <f t="shared" si="5"/>
        <v>3.4398515886436969</v>
      </c>
      <c r="S15" s="10">
        <f t="shared" si="9"/>
        <v>1.0684673489917427E-2</v>
      </c>
      <c r="T15" s="10">
        <f t="shared" si="10"/>
        <v>7.549275753380341E-6</v>
      </c>
    </row>
    <row r="16" spans="1:20" x14ac:dyDescent="0.2">
      <c r="A16" s="1">
        <v>800</v>
      </c>
      <c r="B16" s="9">
        <v>62.82</v>
      </c>
      <c r="C16" s="9">
        <v>1.5</v>
      </c>
      <c r="D16" s="9">
        <v>0.8</v>
      </c>
      <c r="E16" s="9">
        <f t="shared" si="0"/>
        <v>4.2000000000000006E-3</v>
      </c>
      <c r="F16" s="10">
        <v>2.3099999999999999E-2</v>
      </c>
      <c r="G16" s="10">
        <v>5.0000000000000001E-4</v>
      </c>
      <c r="H16" s="10">
        <f t="shared" si="1"/>
        <v>1.8965667237908067E-3</v>
      </c>
      <c r="I16" s="10">
        <f t="shared" si="2"/>
        <v>0.35160511510121378</v>
      </c>
      <c r="J16" s="2"/>
      <c r="L16" s="10">
        <f t="shared" si="6"/>
        <v>6.7754186773607672E-2</v>
      </c>
      <c r="M16" s="10">
        <f t="shared" si="3"/>
        <v>3.5835189384561099</v>
      </c>
      <c r="N16" s="10">
        <f t="shared" si="4"/>
        <v>2.5694278675962801E-2</v>
      </c>
      <c r="O16" s="10">
        <f t="shared" si="7"/>
        <v>1.3765511294204379E-5</v>
      </c>
      <c r="Q16" s="10">
        <f t="shared" si="8"/>
        <v>6.7215975915020584E-2</v>
      </c>
      <c r="R16" s="10">
        <f t="shared" si="5"/>
        <v>3.5550529661454391</v>
      </c>
      <c r="S16" s="10">
        <f t="shared" si="9"/>
        <v>1.1019033831597747E-2</v>
      </c>
      <c r="T16" s="10">
        <f t="shared" si="10"/>
        <v>6.3843125975672553E-6</v>
      </c>
    </row>
    <row r="17" spans="1:20" x14ac:dyDescent="0.2">
      <c r="A17" s="1">
        <v>900</v>
      </c>
      <c r="B17" s="9">
        <v>69.87</v>
      </c>
      <c r="C17" s="9">
        <v>1.5</v>
      </c>
      <c r="D17" s="9">
        <v>0.6</v>
      </c>
      <c r="E17" s="9">
        <f t="shared" si="0"/>
        <v>3.3999999999999998E-3</v>
      </c>
      <c r="F17" s="10">
        <v>2.2200000000000001E-2</v>
      </c>
      <c r="G17" s="10">
        <v>5.0000000000000001E-4</v>
      </c>
      <c r="H17" s="10">
        <f t="shared" si="1"/>
        <v>1.7502443412846379E-3</v>
      </c>
      <c r="I17" s="10">
        <f t="shared" si="2"/>
        <v>0.35160435628025744</v>
      </c>
      <c r="J17" s="2"/>
      <c r="L17" s="10">
        <f t="shared" si="6"/>
        <v>6.4584601449914764E-2</v>
      </c>
      <c r="M17" s="10">
        <f t="shared" si="3"/>
        <v>3.8712010109078911</v>
      </c>
      <c r="N17" s="10">
        <f t="shared" si="4"/>
        <v>2.3922561045587265E-2</v>
      </c>
      <c r="O17" s="10">
        <f t="shared" si="7"/>
        <v>8.623203214481755E-6</v>
      </c>
      <c r="Q17" s="10">
        <f t="shared" si="8"/>
        <v>6.3978463157499166E-2</v>
      </c>
      <c r="R17" s="10">
        <f t="shared" si="5"/>
        <v>3.8348690816605004</v>
      </c>
      <c r="S17" s="10">
        <f t="shared" si="9"/>
        <v>1.1695014177404978E-2</v>
      </c>
      <c r="T17" s="10">
        <f t="shared" si="10"/>
        <v>4.6529212037202422E-6</v>
      </c>
    </row>
    <row r="18" spans="1:20" x14ac:dyDescent="0.2">
      <c r="A18" s="1">
        <v>1000</v>
      </c>
      <c r="B18" s="9">
        <v>76.67</v>
      </c>
      <c r="C18" s="9">
        <v>1.5</v>
      </c>
      <c r="D18" s="9">
        <v>0.4</v>
      </c>
      <c r="E18" s="9">
        <f t="shared" si="0"/>
        <v>2.6000000000000003E-3</v>
      </c>
      <c r="F18" s="10">
        <v>2.1399999999999999E-2</v>
      </c>
      <c r="G18" s="10">
        <v>5.0000000000000001E-4</v>
      </c>
      <c r="H18" s="10">
        <f t="shared" si="1"/>
        <v>1.6271515596646853E-3</v>
      </c>
      <c r="I18" s="10">
        <f t="shared" si="2"/>
        <v>0.3516037650853559</v>
      </c>
      <c r="J18" s="2"/>
      <c r="L18" s="10">
        <f t="shared" si="6"/>
        <v>6.4079504330477294E-2</v>
      </c>
      <c r="M18" s="10">
        <f t="shared" si="3"/>
        <v>4.2766661190160553</v>
      </c>
      <c r="N18" s="10">
        <f t="shared" si="4"/>
        <v>2.2735374061988573E-2</v>
      </c>
      <c r="O18" s="10">
        <f t="shared" si="7"/>
        <v>5.1511046670252024E-6</v>
      </c>
      <c r="Q18" s="10">
        <f t="shared" si="8"/>
        <v>6.3298594017889537E-2</v>
      </c>
      <c r="R18" s="10">
        <f t="shared" si="5"/>
        <v>4.2245481647539487</v>
      </c>
      <c r="S18" s="10">
        <f t="shared" si="9"/>
        <v>1.2459002969497059E-2</v>
      </c>
      <c r="T18" s="10">
        <f t="shared" si="10"/>
        <v>3.2818227300969448E-6</v>
      </c>
    </row>
    <row r="19" spans="1:20" x14ac:dyDescent="0.2">
      <c r="A19" s="1">
        <v>1100</v>
      </c>
      <c r="B19" s="9">
        <v>82.81</v>
      </c>
      <c r="C19" s="9">
        <v>1.5</v>
      </c>
      <c r="D19" s="9">
        <v>0.2</v>
      </c>
      <c r="E19" s="9">
        <f t="shared" si="0"/>
        <v>1.8000000000000002E-3</v>
      </c>
      <c r="F19" s="10">
        <v>2.06E-2</v>
      </c>
      <c r="G19" s="10">
        <v>5.0000000000000001E-4</v>
      </c>
      <c r="H19" s="10">
        <f t="shared" si="1"/>
        <v>1.5191274473752721E-3</v>
      </c>
      <c r="I19" s="10">
        <f t="shared" si="2"/>
        <v>0.35160328176540301</v>
      </c>
      <c r="J19" s="2"/>
      <c r="L19" s="10">
        <f t="shared" si="6"/>
        <v>6.8191730235675097E-2</v>
      </c>
      <c r="M19" s="10">
        <f t="shared" si="3"/>
        <v>4.9698132995760007</v>
      </c>
      <c r="N19" s="10">
        <f t="shared" si="4"/>
        <v>2.2013286122176297E-2</v>
      </c>
      <c r="O19" s="10">
        <f t="shared" si="7"/>
        <v>2.8878044691949058E-6</v>
      </c>
      <c r="Q19" s="10">
        <f t="shared" si="8"/>
        <v>6.6846591099130576E-2</v>
      </c>
      <c r="R19" s="10">
        <f t="shared" si="5"/>
        <v>4.8717795593046356</v>
      </c>
      <c r="S19" s="10">
        <f t="shared" si="9"/>
        <v>1.3212617487963306E-2</v>
      </c>
      <c r="T19" s="10">
        <f t="shared" si="10"/>
        <v>2.3174976604615464E-6</v>
      </c>
    </row>
    <row r="20" spans="1:20" x14ac:dyDescent="0.2">
      <c r="A20" s="1">
        <v>1200</v>
      </c>
      <c r="B20" s="9">
        <v>99.66</v>
      </c>
      <c r="C20" s="9">
        <v>1.5</v>
      </c>
      <c r="D20" s="9">
        <v>0.15</v>
      </c>
      <c r="E20" s="9">
        <f t="shared" si="0"/>
        <v>1.5999999999999999E-3</v>
      </c>
      <c r="F20" s="10">
        <v>1.8200000000000001E-2</v>
      </c>
      <c r="G20" s="10">
        <v>5.0000000000000001E-4</v>
      </c>
      <c r="H20" s="10">
        <f t="shared" si="1"/>
        <v>1.2445991435556655E-3</v>
      </c>
      <c r="I20" s="10">
        <f t="shared" si="2"/>
        <v>0.35160220281879373</v>
      </c>
      <c r="J20" s="2"/>
      <c r="L20" s="10">
        <f t="shared" si="6"/>
        <v>5.8592392422019191E-2</v>
      </c>
      <c r="M20" s="10">
        <f t="shared" si="3"/>
        <v>5.2574953720277815</v>
      </c>
      <c r="N20" s="10">
        <f t="shared" si="4"/>
        <v>2.128784196955668E-2</v>
      </c>
      <c r="O20" s="10">
        <f t="shared" si="7"/>
        <v>1.85622391548581E-6</v>
      </c>
      <c r="Q20" s="10">
        <f t="shared" si="8"/>
        <v>5.7316136393460275E-2</v>
      </c>
      <c r="R20" s="10">
        <f t="shared" si="5"/>
        <v>5.1429769185851901</v>
      </c>
      <c r="S20" s="10">
        <f t="shared" si="9"/>
        <v>1.54647832897532E-2</v>
      </c>
      <c r="T20" s="10">
        <f t="shared" si="10"/>
        <v>1.625375399856919E-6</v>
      </c>
    </row>
    <row r="21" spans="1:20" x14ac:dyDescent="0.2">
      <c r="A21" s="1">
        <v>1300</v>
      </c>
      <c r="B21" s="9">
        <v>115.16</v>
      </c>
      <c r="C21" s="9">
        <v>1.5</v>
      </c>
      <c r="D21" s="9">
        <v>0.09</v>
      </c>
      <c r="E21" s="9">
        <f t="shared" si="0"/>
        <v>1.3600000000000001E-3</v>
      </c>
      <c r="F21" s="10">
        <v>1.5800000000000002E-2</v>
      </c>
      <c r="G21" s="10">
        <v>5.0000000000000001E-4</v>
      </c>
      <c r="H21" s="10">
        <f t="shared" si="1"/>
        <v>1.0169452236222698E-3</v>
      </c>
      <c r="I21" s="10">
        <f t="shared" si="2"/>
        <v>0.3516014706703996</v>
      </c>
      <c r="J21" s="2"/>
      <c r="L21" s="10">
        <f t="shared" si="6"/>
        <v>5.4816316599769765E-2</v>
      </c>
      <c r="M21" s="10">
        <f t="shared" si="3"/>
        <v>5.768320995793772</v>
      </c>
      <c r="N21" s="10">
        <f t="shared" si="4"/>
        <v>2.1731836718779096E-2</v>
      </c>
      <c r="O21" s="10">
        <f t="shared" si="7"/>
        <v>1.2796890209800309E-6</v>
      </c>
      <c r="Q21" s="10">
        <f t="shared" si="8"/>
        <v>5.3279294371375449E-2</v>
      </c>
      <c r="R21" s="10">
        <f t="shared" si="5"/>
        <v>5.6065801466998382</v>
      </c>
      <c r="S21" s="10">
        <f t="shared" si="9"/>
        <v>1.7663948483173049E-2</v>
      </c>
      <c r="T21" s="10">
        <f t="shared" si="10"/>
        <v>1.1953049599655594E-6</v>
      </c>
    </row>
    <row r="22" spans="1:20" x14ac:dyDescent="0.2">
      <c r="A22" s="1">
        <v>1400</v>
      </c>
      <c r="B22" s="9">
        <v>121.68</v>
      </c>
      <c r="C22" s="9">
        <v>1.5</v>
      </c>
      <c r="D22" s="9">
        <v>0.01</v>
      </c>
      <c r="E22" s="9">
        <f t="shared" si="0"/>
        <v>1.0400000000000001E-3</v>
      </c>
      <c r="F22" s="10">
        <v>1.4500000000000001E-2</v>
      </c>
      <c r="G22" s="10">
        <v>5.0000000000000001E-4</v>
      </c>
      <c r="H22" s="10">
        <f t="shared" si="1"/>
        <v>9.116440255835383E-4</v>
      </c>
      <c r="I22" s="10">
        <f t="shared" si="2"/>
        <v>0.35160118187348205</v>
      </c>
      <c r="J22" s="2"/>
      <c r="L22" s="10">
        <f t="shared" si="6"/>
        <v>7.1280049871409318E-2</v>
      </c>
      <c r="M22" s="10">
        <f t="shared" si="3"/>
        <v>7.965545573129992</v>
      </c>
      <c r="N22" s="10">
        <f t="shared" si="4"/>
        <v>2.2131742420933728E-2</v>
      </c>
      <c r="O22" s="10">
        <f t="shared" si="7"/>
        <v>1.3548363924994295E-6</v>
      </c>
      <c r="Q22" s="10">
        <f t="shared" si="8"/>
        <v>6.3261365087904753E-2</v>
      </c>
      <c r="R22" s="10">
        <f t="shared" si="5"/>
        <v>7.0694575485733555</v>
      </c>
      <c r="S22" s="10">
        <f t="shared" si="9"/>
        <v>1.8608516922465741E-2</v>
      </c>
      <c r="T22" s="10">
        <f t="shared" si="10"/>
        <v>1.2022646839409693E-6</v>
      </c>
    </row>
    <row r="25" spans="1:20" x14ac:dyDescent="0.2">
      <c r="L25" s="1" t="s">
        <v>45</v>
      </c>
      <c r="M25" s="1" t="s">
        <v>46</v>
      </c>
      <c r="R25" s="1" t="s">
        <v>49</v>
      </c>
      <c r="S25" s="1" t="s">
        <v>50</v>
      </c>
    </row>
    <row r="26" spans="1:20" x14ac:dyDescent="0.2">
      <c r="L26" s="10">
        <f>AVERAGE(L5:L22)</f>
        <v>6.8984432280988633E-2</v>
      </c>
      <c r="M26" s="10">
        <f>SQRT(O5*O5+O6*O6+O7*O7+O8*O8+O9*O9+O10*O10+O11*O11+O12*O12+O13*O13+O14*O14+O15*O15+O16*O16+O17*O17+O18*O18+O19*O19+O20*O20+O21*O21+O22*O22)/SQRT(17)</f>
        <v>1.8068341648268351E-3</v>
      </c>
      <c r="R26" s="10">
        <f>AVERAGE(Q5:Q22)</f>
        <v>6.8016851797822603E-2</v>
      </c>
      <c r="S26" s="10">
        <f>SQRT(T5*T5+T6*T6+T7*T7+T8*T8+T9*T9+T10*T10+T11*T11+T12*T12+T13*T13+T14*T14+T15*T15+T16*T16+T17*T17+T18*T18+T19*T19+T20*T20+T21*T21+T22*T22)/SQRT(17)</f>
        <v>4.2710582240291421E-4</v>
      </c>
    </row>
  </sheetData>
  <phoneticPr fontId="1" type="noConversion"/>
  <pageMargins left="0.7" right="0.7" top="0.75" bottom="0.75" header="0.3" footer="0.3"/>
  <pageSetup paperSize="9" scale="73" fitToHeight="0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" enableFormatConditionsCalculation="0">
    <pageSetUpPr fitToPage="1"/>
  </sheetPr>
  <dimension ref="A1:S41"/>
  <sheetViews>
    <sheetView tabSelected="1" workbookViewId="0">
      <selection activeCell="E10" sqref="E10"/>
    </sheetView>
  </sheetViews>
  <sheetFormatPr baseColWidth="10" defaultRowHeight="16" x14ac:dyDescent="0.2"/>
  <cols>
    <col min="1" max="1" width="12" customWidth="1"/>
    <col min="2" max="3" width="11.83203125" bestFit="1" customWidth="1"/>
    <col min="6" max="6" width="12" bestFit="1" customWidth="1"/>
    <col min="13" max="13" width="11.83203125" bestFit="1" customWidth="1"/>
    <col min="20" max="20" width="11.83203125" bestFit="1" customWidth="1"/>
  </cols>
  <sheetData>
    <row r="1" spans="1:19" x14ac:dyDescent="0.2">
      <c r="H1" s="1" t="s">
        <v>6</v>
      </c>
      <c r="I1" s="1">
        <v>65.5</v>
      </c>
      <c r="J1" s="1" t="s">
        <v>7</v>
      </c>
    </row>
    <row r="2" spans="1:19" x14ac:dyDescent="0.2">
      <c r="H2" s="1" t="s">
        <v>2</v>
      </c>
      <c r="I2" s="1" t="s">
        <v>3</v>
      </c>
      <c r="J2" s="1" t="s">
        <v>4</v>
      </c>
      <c r="K2" s="1" t="s">
        <v>5</v>
      </c>
      <c r="L2" s="3" t="s">
        <v>8</v>
      </c>
      <c r="M2" s="3" t="s">
        <v>9</v>
      </c>
    </row>
    <row r="3" spans="1:19" x14ac:dyDescent="0.2">
      <c r="H3" s="1">
        <v>1</v>
      </c>
      <c r="I3" s="1">
        <v>4.3</v>
      </c>
      <c r="J3" s="1">
        <v>4.3</v>
      </c>
      <c r="K3" s="1">
        <v>0.1</v>
      </c>
      <c r="L3" s="1">
        <f>SIN(ATAN(I3/$I$1))</f>
        <v>6.5507844786131419E-2</v>
      </c>
      <c r="M3" s="1">
        <f>(L3/H3)/100000</f>
        <v>6.5507844786131418E-7</v>
      </c>
    </row>
    <row r="4" spans="1:19" x14ac:dyDescent="0.2">
      <c r="H4" s="1">
        <v>2</v>
      </c>
      <c r="I4" s="1">
        <v>8.4</v>
      </c>
      <c r="J4" s="1">
        <v>8.4</v>
      </c>
      <c r="K4" s="1">
        <v>0.1</v>
      </c>
      <c r="L4" s="1">
        <f t="shared" ref="L4:L5" si="0">SIN(ATAN(I4/$I$1))</f>
        <v>0.12720251660986714</v>
      </c>
      <c r="M4" s="1">
        <f t="shared" ref="M4:M5" si="1">(L4/H4)/100000</f>
        <v>6.3601258304933569E-7</v>
      </c>
    </row>
    <row r="5" spans="1:19" x14ac:dyDescent="0.2">
      <c r="H5" s="1">
        <v>3</v>
      </c>
      <c r="I5" s="1">
        <v>12.7</v>
      </c>
      <c r="J5" s="1">
        <v>12.7</v>
      </c>
      <c r="K5" s="1">
        <v>0.1</v>
      </c>
      <c r="L5" s="1">
        <f t="shared" si="0"/>
        <v>0.19034811521386971</v>
      </c>
      <c r="M5" s="1">
        <f t="shared" si="1"/>
        <v>6.3449371737956573E-7</v>
      </c>
    </row>
    <row r="9" spans="1:19" x14ac:dyDescent="0.2">
      <c r="H9" s="1" t="s">
        <v>6</v>
      </c>
      <c r="I9" s="1">
        <v>102.1</v>
      </c>
      <c r="J9" s="1" t="s">
        <v>7</v>
      </c>
    </row>
    <row r="10" spans="1:19" x14ac:dyDescent="0.2">
      <c r="H10" s="1" t="s">
        <v>2</v>
      </c>
      <c r="I10" s="1" t="s">
        <v>3</v>
      </c>
      <c r="J10" s="1" t="s">
        <v>4</v>
      </c>
      <c r="K10" s="1" t="s">
        <v>5</v>
      </c>
      <c r="L10" s="3" t="s">
        <v>8</v>
      </c>
      <c r="M10" s="3" t="s">
        <v>9</v>
      </c>
    </row>
    <row r="11" spans="1:19" x14ac:dyDescent="0.2">
      <c r="H11" s="4">
        <v>1</v>
      </c>
      <c r="I11" s="4">
        <v>6.5</v>
      </c>
      <c r="J11" s="4">
        <v>6.5</v>
      </c>
      <c r="K11" s="4">
        <v>0.1</v>
      </c>
      <c r="L11" s="4">
        <f>SIN(ATAN(I11/$I$9))</f>
        <v>6.3534453447885372E-2</v>
      </c>
      <c r="M11" s="1">
        <f>(L11/H11)/100000</f>
        <v>6.3534453447885372E-7</v>
      </c>
    </row>
    <row r="12" spans="1:19" x14ac:dyDescent="0.2">
      <c r="H12" s="1">
        <v>2</v>
      </c>
      <c r="I12" s="1">
        <v>13.1</v>
      </c>
      <c r="J12" s="1">
        <v>13.1</v>
      </c>
      <c r="K12" s="1">
        <v>0.1</v>
      </c>
      <c r="L12" s="1">
        <f>SIN(ATAN(I12/$I$9))</f>
        <v>0.12726234191569988</v>
      </c>
      <c r="M12" s="1">
        <f>(L12/H12)/100000</f>
        <v>6.3631170957849943E-7</v>
      </c>
    </row>
    <row r="13" spans="1:19" x14ac:dyDescent="0.2"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5" spans="1:19" x14ac:dyDescent="0.2">
      <c r="A15" s="2"/>
      <c r="B15" s="2"/>
      <c r="C15" s="2"/>
      <c r="D15" s="2"/>
      <c r="E15" s="2"/>
      <c r="F15" s="2"/>
      <c r="G15" s="2"/>
      <c r="H15" s="2"/>
    </row>
    <row r="16" spans="1:19" x14ac:dyDescent="0.2">
      <c r="A16" s="2"/>
      <c r="B16" s="2"/>
      <c r="C16" s="2"/>
      <c r="D16" s="2"/>
      <c r="E16" s="2"/>
      <c r="F16" s="2"/>
      <c r="G16" s="2"/>
      <c r="H16" s="1" t="s">
        <v>6</v>
      </c>
      <c r="I16" s="1">
        <v>106.7</v>
      </c>
      <c r="J16" s="1" t="s">
        <v>7</v>
      </c>
    </row>
    <row r="17" spans="1:13" x14ac:dyDescent="0.2">
      <c r="A17" s="1" t="s">
        <v>10</v>
      </c>
      <c r="B17" s="1" t="s">
        <v>11</v>
      </c>
      <c r="C17" s="1" t="s">
        <v>12</v>
      </c>
      <c r="D17" s="2"/>
      <c r="E17" s="5"/>
      <c r="F17" s="5"/>
      <c r="G17" s="2"/>
      <c r="H17" s="1" t="s">
        <v>2</v>
      </c>
      <c r="I17" s="1" t="s">
        <v>3</v>
      </c>
      <c r="J17" s="1" t="s">
        <v>4</v>
      </c>
      <c r="K17" s="1" t="s">
        <v>5</v>
      </c>
      <c r="L17" s="3" t="s">
        <v>8</v>
      </c>
      <c r="M17" s="3" t="s">
        <v>9</v>
      </c>
    </row>
    <row r="18" spans="1:13" x14ac:dyDescent="0.2">
      <c r="A18" s="1">
        <v>106.7</v>
      </c>
      <c r="B18" s="1">
        <f>AVERAGE(M18:M20)</f>
        <v>6.3335903604766551E-7</v>
      </c>
      <c r="C18" s="1">
        <f>_xlfn.STDEV.S(M18,M19,M20)</f>
        <v>2.3013829182799093E-9</v>
      </c>
      <c r="D18" s="2"/>
      <c r="E18" s="2"/>
      <c r="F18" s="2"/>
      <c r="G18" s="2"/>
      <c r="H18" s="1">
        <v>1</v>
      </c>
      <c r="I18" s="1">
        <v>6.8</v>
      </c>
      <c r="J18" s="1">
        <v>6.8</v>
      </c>
      <c r="K18" s="1">
        <v>0.1</v>
      </c>
      <c r="L18" s="1">
        <f>SIN(ATAN(I18/$I$16))</f>
        <v>6.360105663029661E-2</v>
      </c>
      <c r="M18" s="1">
        <f>(L18/H18)/100000</f>
        <v>6.3601056630296614E-7</v>
      </c>
    </row>
    <row r="19" spans="1:13" x14ac:dyDescent="0.2">
      <c r="A19" s="1">
        <v>55</v>
      </c>
      <c r="B19" s="1">
        <f>AVERAGE(M25:M27)</f>
        <v>6.3534580312933982E-7</v>
      </c>
      <c r="C19" s="1">
        <f>_xlfn.STDEV.S(M25,M26,M27)</f>
        <v>4.6692960912440695E-9</v>
      </c>
      <c r="D19" s="2"/>
      <c r="E19" s="2"/>
      <c r="F19" s="2"/>
      <c r="G19" s="2"/>
      <c r="H19" s="1">
        <v>2</v>
      </c>
      <c r="I19" s="1">
        <v>13.6</v>
      </c>
      <c r="J19" s="1">
        <v>13.6</v>
      </c>
      <c r="K19" s="1">
        <v>0.1</v>
      </c>
      <c r="L19" s="1">
        <f>SIN(ATAN(I19/$I$16))</f>
        <v>0.12643725079523332</v>
      </c>
      <c r="M19" s="1">
        <f t="shared" ref="M19:M20" si="2">(L19/H19)/100000</f>
        <v>6.3218625397616657E-7</v>
      </c>
    </row>
    <row r="20" spans="1:13" x14ac:dyDescent="0.2">
      <c r="A20" s="1">
        <v>65.5</v>
      </c>
      <c r="B20" s="1">
        <f>AVERAGE(M3:M5)</f>
        <v>6.418615827634052E-7</v>
      </c>
      <c r="C20" s="1">
        <f>_xlfn.STDEV.S(M3,M4,M5)</f>
        <v>1.147130683457403E-8</v>
      </c>
      <c r="D20" s="2"/>
      <c r="E20" s="2"/>
      <c r="F20" s="2"/>
      <c r="G20" s="2"/>
      <c r="H20" s="1">
        <v>3</v>
      </c>
      <c r="I20" s="1">
        <v>20.6</v>
      </c>
      <c r="J20" s="1">
        <v>20.6</v>
      </c>
      <c r="K20" s="1">
        <v>0.1</v>
      </c>
      <c r="L20" s="1">
        <f>SIN(ATAN(I20/$I$16))</f>
        <v>0.18956408635915908</v>
      </c>
      <c r="M20" s="1">
        <f t="shared" si="2"/>
        <v>6.318802878638637E-7</v>
      </c>
    </row>
    <row r="21" spans="1:13" x14ac:dyDescent="0.2">
      <c r="A21" s="3">
        <v>70.099999999999994</v>
      </c>
      <c r="B21" s="1">
        <f>AVERAGE(M31:M33)</f>
        <v>6.3739771187044662E-7</v>
      </c>
      <c r="C21" s="1">
        <f>_xlfn.STDEV.S(M31,M32,M33)</f>
        <v>2.9420832128751577E-9</v>
      </c>
      <c r="D21" s="2"/>
      <c r="E21" s="2"/>
      <c r="F21" s="2"/>
      <c r="G21" s="2"/>
      <c r="H21" s="2"/>
    </row>
    <row r="22" spans="1:13" x14ac:dyDescent="0.2">
      <c r="A22" s="3">
        <v>113.2</v>
      </c>
      <c r="B22" s="1">
        <f>AVERAGE(M37:M38)</f>
        <v>6.3501435487318777E-7</v>
      </c>
      <c r="C22" s="1">
        <f>_xlfn.STDEV.S(M37,M38)</f>
        <v>3.6008163625564725E-10</v>
      </c>
      <c r="D22" s="2"/>
      <c r="E22" s="2"/>
      <c r="F22" s="2"/>
      <c r="G22" s="2"/>
      <c r="H22" s="2"/>
    </row>
    <row r="23" spans="1:13" x14ac:dyDescent="0.2">
      <c r="A23" s="3">
        <v>102.1</v>
      </c>
      <c r="B23" s="1">
        <f>AVERAGE(M11:M12)</f>
        <v>6.3582812202867658E-7</v>
      </c>
      <c r="C23" s="1">
        <f>_xlfn.STDEV.S(M11,M12)</f>
        <v>6.8389607155425485E-10</v>
      </c>
      <c r="D23" s="2"/>
      <c r="E23" s="2"/>
      <c r="F23" s="2"/>
      <c r="G23" s="2"/>
      <c r="H23" s="1" t="s">
        <v>6</v>
      </c>
      <c r="I23" s="1">
        <v>55</v>
      </c>
      <c r="J23" s="1" t="s">
        <v>7</v>
      </c>
    </row>
    <row r="24" spans="1:13" x14ac:dyDescent="0.2">
      <c r="H24" s="1" t="s">
        <v>2</v>
      </c>
      <c r="I24" s="1" t="s">
        <v>3</v>
      </c>
      <c r="J24" s="1" t="s">
        <v>4</v>
      </c>
      <c r="K24" s="1" t="s">
        <v>5</v>
      </c>
      <c r="L24" s="3" t="s">
        <v>8</v>
      </c>
      <c r="M24" s="3" t="s">
        <v>9</v>
      </c>
    </row>
    <row r="25" spans="1:13" x14ac:dyDescent="0.2">
      <c r="H25" s="1">
        <v>1</v>
      </c>
      <c r="I25" s="1">
        <v>3.5</v>
      </c>
      <c r="J25" s="1">
        <v>3.5</v>
      </c>
      <c r="K25" s="1">
        <v>0.1</v>
      </c>
      <c r="L25" s="1">
        <f>SIN(ATAN(I25/$I$23))</f>
        <v>6.3507903175447661E-2</v>
      </c>
      <c r="M25" s="1">
        <f>(L25/H25)/100000</f>
        <v>6.3507903175447662E-7</v>
      </c>
    </row>
    <row r="26" spans="1:13" x14ac:dyDescent="0.2">
      <c r="A26" s="8"/>
      <c r="B26" s="6" t="s">
        <v>13</v>
      </c>
      <c r="H26" s="1">
        <v>2</v>
      </c>
      <c r="I26" s="1">
        <v>7.1</v>
      </c>
      <c r="J26" s="1">
        <v>7.1</v>
      </c>
      <c r="K26" s="1">
        <v>0.1</v>
      </c>
      <c r="L26" s="1">
        <f>SIN(ATAN(I26/$I$23))</f>
        <v>0.12802855317038628</v>
      </c>
      <c r="M26" s="1">
        <f t="shared" ref="M26:M27" si="3">(L26/H26)/100000</f>
        <v>6.4014276585193138E-7</v>
      </c>
    </row>
    <row r="27" spans="1:13" x14ac:dyDescent="0.2">
      <c r="A27" s="7" t="s">
        <v>14</v>
      </c>
      <c r="B27" s="1">
        <f>ABS(($B$18-B19)/(SQRT((($C$18*$C$18)*2 + C19*C19*2)/6)))</f>
        <v>0.66104867645367771</v>
      </c>
      <c r="H27" s="1">
        <v>3</v>
      </c>
      <c r="I27" s="1">
        <v>10.6</v>
      </c>
      <c r="J27" s="1">
        <v>10.6</v>
      </c>
      <c r="K27" s="1">
        <v>0.1</v>
      </c>
      <c r="L27" s="1">
        <f>SIN(ATAN(I27/$I$23))</f>
        <v>0.18924468353448334</v>
      </c>
      <c r="M27" s="1">
        <f t="shared" si="3"/>
        <v>6.3081561178161124E-7</v>
      </c>
    </row>
    <row r="28" spans="1:13" x14ac:dyDescent="0.2">
      <c r="A28" s="1" t="s">
        <v>15</v>
      </c>
      <c r="B28" s="1">
        <f>ABS(($B$18-B20)/(SQRT((($C$18*$C$18)*2 + C20*C20*2)/6)))</f>
        <v>1.2587171935231525</v>
      </c>
    </row>
    <row r="29" spans="1:13" x14ac:dyDescent="0.2">
      <c r="A29" s="1" t="s">
        <v>16</v>
      </c>
      <c r="B29" s="1">
        <f t="shared" ref="B29" si="4">ABS(($B$18-B21)/(SQRT((($C$18*$C$18)*2 + C21*C21*2)/6)))</f>
        <v>1.8727422619171596</v>
      </c>
      <c r="H29" s="1" t="s">
        <v>6</v>
      </c>
      <c r="I29" s="1">
        <v>70.099999999999994</v>
      </c>
      <c r="J29" s="1" t="s">
        <v>7</v>
      </c>
    </row>
    <row r="30" spans="1:13" x14ac:dyDescent="0.2">
      <c r="A30" s="1" t="s">
        <v>17</v>
      </c>
      <c r="B30" s="1">
        <f>ABS(($B$18-B22)/(SQRT((($C$18*$C$18)*2 + C22*C22)/6)))</f>
        <v>1.2382592234516134</v>
      </c>
      <c r="H30" s="1" t="s">
        <v>2</v>
      </c>
      <c r="I30" s="1" t="s">
        <v>3</v>
      </c>
      <c r="J30" s="1" t="s">
        <v>4</v>
      </c>
      <c r="K30" s="1" t="s">
        <v>5</v>
      </c>
      <c r="L30" s="3" t="s">
        <v>8</v>
      </c>
      <c r="M30" s="1" t="s">
        <v>9</v>
      </c>
    </row>
    <row r="31" spans="1:13" x14ac:dyDescent="0.2">
      <c r="A31" s="1" t="s">
        <v>18</v>
      </c>
      <c r="B31" s="1">
        <f>ABS(($B$18-B23)/(SQRT((($C$18*$C$18)*2 + C23*C23)/6)))</f>
        <v>1.818551593309387</v>
      </c>
      <c r="H31" s="1">
        <v>1</v>
      </c>
      <c r="I31" s="1">
        <v>4.5</v>
      </c>
      <c r="J31" s="1">
        <v>4.5</v>
      </c>
      <c r="K31" s="1">
        <v>0.1</v>
      </c>
      <c r="L31" s="1">
        <f>SIN(ATAN(I31/$I$29))</f>
        <v>6.406214834808921E-2</v>
      </c>
      <c r="M31" s="1">
        <f>(L31/H31)/100000</f>
        <v>6.4062148348089211E-7</v>
      </c>
    </row>
    <row r="32" spans="1:13" x14ac:dyDescent="0.2">
      <c r="A32" s="3" t="s">
        <v>21</v>
      </c>
      <c r="B32" s="1">
        <f>ABS(($B$19-B20)/(SQRT((($C$19*$C$19)*2 + C20*C20*2)/6)))</f>
        <v>0.91122148755551502</v>
      </c>
      <c r="H32" s="1">
        <v>2</v>
      </c>
      <c r="I32" s="1">
        <v>9</v>
      </c>
      <c r="J32" s="1">
        <v>9</v>
      </c>
      <c r="K32" s="1">
        <v>0.1</v>
      </c>
      <c r="L32" s="1">
        <f>SIN(ATAN(I32/$I$29))</f>
        <v>0.12734278052321568</v>
      </c>
      <c r="M32" s="1">
        <f t="shared" ref="M32:M33" si="5">(L32/H32)/100000</f>
        <v>6.3671390261607841E-7</v>
      </c>
    </row>
    <row r="33" spans="1:13" x14ac:dyDescent="0.2">
      <c r="A33" s="3" t="s">
        <v>22</v>
      </c>
      <c r="B33" s="1">
        <f>ABS(($B$19-B21)/(SQRT((($C$19*$C$19)*2 + C21*C21*2)/6)))</f>
        <v>0.64397157385122061</v>
      </c>
      <c r="H33" s="1">
        <v>3</v>
      </c>
      <c r="I33" s="1">
        <v>13.6</v>
      </c>
      <c r="J33" s="1">
        <v>13.6</v>
      </c>
      <c r="K33" s="1">
        <v>0.1</v>
      </c>
      <c r="L33" s="1">
        <f>SIN(ATAN(I33/$I$29))</f>
        <v>0.1904573248543108</v>
      </c>
      <c r="M33" s="1">
        <f t="shared" si="5"/>
        <v>6.3485774951436933E-7</v>
      </c>
    </row>
    <row r="34" spans="1:13" x14ac:dyDescent="0.2">
      <c r="A34" s="3" t="s">
        <v>19</v>
      </c>
      <c r="B34" s="1">
        <f>ABS(($B$19-B22)/(SQRT((($C$19*$C$19)*2 + C22*C22)/6)))</f>
        <v>0.12276659774411849</v>
      </c>
    </row>
    <row r="35" spans="1:13" x14ac:dyDescent="0.2">
      <c r="A35" s="3" t="s">
        <v>20</v>
      </c>
      <c r="B35" s="1">
        <f>ABS(($B$19-B23)/(SQRT((($C$19*$C$19)*2 + C23*C23)/6)))</f>
        <v>0.17796177259783932</v>
      </c>
      <c r="H35" s="1" t="s">
        <v>6</v>
      </c>
      <c r="I35" s="1">
        <v>113.2</v>
      </c>
      <c r="J35" s="1" t="s">
        <v>7</v>
      </c>
    </row>
    <row r="36" spans="1:13" x14ac:dyDescent="0.2">
      <c r="A36" s="3" t="s">
        <v>23</v>
      </c>
      <c r="B36" s="1">
        <f>ABS(($B$20-B21)/(SQRT((($C$20*$C$20)*2 + C21*C21*2)/6)))</f>
        <v>0.65286873920461097</v>
      </c>
      <c r="H36" s="1" t="s">
        <v>2</v>
      </c>
      <c r="I36" s="1" t="s">
        <v>3</v>
      </c>
      <c r="J36" s="1" t="s">
        <v>4</v>
      </c>
      <c r="K36" s="1" t="s">
        <v>5</v>
      </c>
      <c r="L36" s="3" t="s">
        <v>8</v>
      </c>
      <c r="M36" s="1" t="s">
        <v>9</v>
      </c>
    </row>
    <row r="37" spans="1:13" x14ac:dyDescent="0.2">
      <c r="A37" s="3" t="s">
        <v>24</v>
      </c>
      <c r="B37" s="1">
        <f>ABS(($B$20-B22)/(SQRT((($C$20*$C$20)*2 + C22*C22)/6)))</f>
        <v>1.0336072814684913</v>
      </c>
      <c r="H37" s="1">
        <v>1</v>
      </c>
      <c r="I37" s="1">
        <v>7.2</v>
      </c>
      <c r="J37" s="1">
        <v>7.2</v>
      </c>
      <c r="K37" s="1">
        <v>0.1</v>
      </c>
      <c r="L37" s="1">
        <f>SIN(ATAN(I37/$I$35))</f>
        <v>6.3475973870641064E-2</v>
      </c>
      <c r="M37" s="1">
        <f>(L37/H37)/100000</f>
        <v>6.3475973870641066E-7</v>
      </c>
    </row>
    <row r="38" spans="1:13" x14ac:dyDescent="0.2">
      <c r="A38" s="3" t="s">
        <v>25</v>
      </c>
      <c r="B38" s="1">
        <f>ABS(($B$20-B23)/(SQRT((($C$20*$C$20)*2 + C23*C23)/6)))</f>
        <v>0.91018287623634142</v>
      </c>
      <c r="H38" s="1">
        <v>2</v>
      </c>
      <c r="I38" s="1">
        <v>14.5</v>
      </c>
      <c r="J38" s="1">
        <v>14.5</v>
      </c>
      <c r="K38" s="1">
        <v>0.1</v>
      </c>
      <c r="L38" s="1">
        <f>SIN(ATAN(I38/$I$35))</f>
        <v>0.12705379420799298</v>
      </c>
      <c r="M38" s="1">
        <f>(L38/H38)/100000</f>
        <v>6.3526897103996489E-7</v>
      </c>
    </row>
    <row r="39" spans="1:13" x14ac:dyDescent="0.2">
      <c r="A39" s="3" t="s">
        <v>26</v>
      </c>
      <c r="B39" s="1">
        <f>ABS(($B$21-B22)/(SQRT((($C$21*$C$21)*2 + C22*C22)/6)))</f>
        <v>1.3978947566382216</v>
      </c>
    </row>
    <row r="40" spans="1:13" x14ac:dyDescent="0.2">
      <c r="A40" s="3" t="s">
        <v>27</v>
      </c>
      <c r="B40" s="1">
        <f>ABS(($B$21-B23)/(SQRT((($C$21*$C$21)*2 + C23*C23)/6)))</f>
        <v>0.9118071563134692</v>
      </c>
    </row>
    <row r="41" spans="1:13" x14ac:dyDescent="0.2">
      <c r="A41" s="3" t="s">
        <v>28</v>
      </c>
      <c r="B41" s="1">
        <f>ABS(($B$22-B23)/(SQRT((($C$22*$C$22)+C23*C23)/2)))</f>
        <v>1.4889924579158393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Malus</vt:lpstr>
      <vt:lpstr>Coefficiente di estinzione</vt:lpstr>
      <vt:lpstr>Reticolo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cp:lastPrinted>2016-06-26T19:01:03Z</cp:lastPrinted>
  <dcterms:created xsi:type="dcterms:W3CDTF">2016-06-22T12:56:42Z</dcterms:created>
  <dcterms:modified xsi:type="dcterms:W3CDTF">2016-06-26T21:47:43Z</dcterms:modified>
</cp:coreProperties>
</file>