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mailmissouri-my.sharepoint.com/personal/ma8gf_umsystem_edu/Documents/Desktop/Distributed Digital Manufacturing/Case 1/"/>
    </mc:Choice>
  </mc:AlternateContent>
  <xr:revisionPtr revIDLastSave="19" documentId="13_ncr:1_{873FEC74-C7A8-45D8-8C4B-E2C40B8A32BD}" xr6:coauthVersionLast="47" xr6:coauthVersionMax="47" xr10:uidLastSave="{90940753-AB06-4A44-947D-821DF0CAC2EC}"/>
  <bookViews>
    <workbookView xWindow="-108" yWindow="-108" windowWidth="23256" windowHeight="12456" tabRatio="927" firstSheet="1" activeTab="1" xr2:uid="{00000000-000D-0000-FFFF-FFFF00000000}"/>
  </bookViews>
  <sheets>
    <sheet name="Initial Investment (2)" sheetId="12" r:id="rId1"/>
    <sheet name="Final " sheetId="1" r:id="rId2"/>
    <sheet name="Direct Material" sheetId="2" r:id="rId3"/>
    <sheet name="Direct Labor" sheetId="3" r:id="rId4"/>
    <sheet name="Manufacturing Overhead" sheetId="4" r:id="rId5"/>
    <sheet name="Initial Investment" sheetId="5" r:id="rId6"/>
    <sheet name="Digital Factory" sheetId="6" r:id="rId7"/>
    <sheet name="D2 Direct Material Cost" sheetId="7" r:id="rId8"/>
    <sheet name="D2 Direct Labor" sheetId="8" r:id="rId9"/>
    <sheet name="D2 Manufacturing Overhead scena" sheetId="10" r:id="rId10"/>
    <sheet name="D2 Manufacturing Overhead" sheetId="9" r:id="rId11"/>
    <sheet name="D2 Initial Investmen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19" i="12"/>
  <c r="H18" i="12"/>
  <c r="J18" i="12" s="1"/>
  <c r="H17" i="12"/>
  <c r="J17" i="12" s="1"/>
  <c r="H16" i="12"/>
  <c r="J16" i="12" s="1"/>
  <c r="H15" i="12"/>
  <c r="J15" i="12" s="1"/>
  <c r="H14" i="12"/>
  <c r="J14" i="12" s="1"/>
  <c r="H13" i="12"/>
  <c r="J13" i="12" s="1"/>
  <c r="H12" i="12"/>
  <c r="J12" i="12" s="1"/>
  <c r="H11" i="12"/>
  <c r="J11" i="12" s="1"/>
  <c r="H10" i="12"/>
  <c r="J10" i="12" s="1"/>
  <c r="H9" i="12"/>
  <c r="J9" i="12" s="1"/>
  <c r="H8" i="12"/>
  <c r="J8" i="12" s="1"/>
  <c r="H7" i="12"/>
  <c r="J7" i="12" s="1"/>
  <c r="H6" i="12"/>
  <c r="H24" i="12" s="1"/>
  <c r="J5" i="12"/>
  <c r="C17" i="3"/>
  <c r="L10" i="7"/>
  <c r="M10" i="7" s="1"/>
  <c r="F9" i="7"/>
  <c r="H9" i="7" s="1"/>
  <c r="H15" i="7" s="1"/>
  <c r="H17" i="11"/>
  <c r="J17" i="11" s="1"/>
  <c r="J20" i="11" s="1"/>
  <c r="M15" i="2"/>
  <c r="G14" i="2" s="1"/>
  <c r="I14" i="2" s="1"/>
  <c r="H17" i="5"/>
  <c r="J17" i="5" s="1"/>
  <c r="J55" i="9"/>
  <c r="J49" i="9"/>
  <c r="J48" i="9"/>
  <c r="J47" i="9"/>
  <c r="H18" i="4"/>
  <c r="H49" i="9"/>
  <c r="H48" i="9"/>
  <c r="H47" i="9"/>
  <c r="P10" i="9"/>
  <c r="M10" i="9"/>
  <c r="J10" i="9"/>
  <c r="P8" i="9"/>
  <c r="P7" i="9"/>
  <c r="P6" i="9"/>
  <c r="M8" i="9"/>
  <c r="M7" i="9"/>
  <c r="M6" i="9"/>
  <c r="J8" i="9"/>
  <c r="J7" i="9"/>
  <c r="J6" i="9"/>
  <c r="J30" i="4"/>
  <c r="H28" i="4"/>
  <c r="J28" i="4" s="1"/>
  <c r="H30" i="4"/>
  <c r="H29" i="4"/>
  <c r="J29" i="4"/>
  <c r="E14" i="3"/>
  <c r="E13" i="3"/>
  <c r="E9" i="3"/>
  <c r="E8" i="3"/>
  <c r="E7" i="3"/>
  <c r="H11" i="11"/>
  <c r="J11" i="11" s="1"/>
  <c r="H10" i="11"/>
  <c r="J10" i="11" s="1"/>
  <c r="H9" i="11"/>
  <c r="J9" i="11" s="1"/>
  <c r="H8" i="11"/>
  <c r="J8" i="11" s="1"/>
  <c r="H7" i="11"/>
  <c r="J7" i="11" s="1"/>
  <c r="H6" i="11"/>
  <c r="H13" i="5"/>
  <c r="J13" i="5" s="1"/>
  <c r="H12" i="5"/>
  <c r="J12" i="5" s="1"/>
  <c r="H11" i="5"/>
  <c r="J11" i="5" s="1"/>
  <c r="H10" i="5"/>
  <c r="J10" i="5" s="1"/>
  <c r="H7" i="5"/>
  <c r="J7" i="5" s="1"/>
  <c r="H6" i="5"/>
  <c r="E15" i="3"/>
  <c r="E5" i="3"/>
  <c r="E6" i="3"/>
  <c r="E10" i="3"/>
  <c r="E11" i="3"/>
  <c r="E12" i="3"/>
  <c r="E4" i="3"/>
  <c r="F9" i="8"/>
  <c r="F10" i="8"/>
  <c r="F11" i="8"/>
  <c r="F12" i="8"/>
  <c r="F13" i="8"/>
  <c r="F14" i="8"/>
  <c r="F15" i="8"/>
  <c r="F8" i="8"/>
  <c r="J5" i="5"/>
  <c r="H12" i="11"/>
  <c r="J12" i="11" s="1"/>
  <c r="H13" i="11"/>
  <c r="J13" i="11" s="1"/>
  <c r="H14" i="11"/>
  <c r="J14" i="11" s="1"/>
  <c r="H15" i="11"/>
  <c r="J15" i="11" s="1"/>
  <c r="H16" i="11"/>
  <c r="J16" i="11" s="1"/>
  <c r="H18" i="11"/>
  <c r="J18" i="11" s="1"/>
  <c r="H27" i="11"/>
  <c r="J5" i="11"/>
  <c r="H54" i="9" s="1"/>
  <c r="J54" i="9" s="1"/>
  <c r="H18" i="5"/>
  <c r="J18" i="5" s="1"/>
  <c r="H28" i="11"/>
  <c r="H26" i="11"/>
  <c r="H19" i="5"/>
  <c r="S10" i="10"/>
  <c r="S11" i="10"/>
  <c r="S12" i="10"/>
  <c r="S13" i="10"/>
  <c r="S14" i="10"/>
  <c r="S15" i="10"/>
  <c r="S16" i="10"/>
  <c r="S9" i="10"/>
  <c r="L10" i="10"/>
  <c r="L11" i="10"/>
  <c r="L12" i="10"/>
  <c r="L13" i="10"/>
  <c r="L14" i="10"/>
  <c r="L15" i="10"/>
  <c r="L9" i="10"/>
  <c r="E13" i="10"/>
  <c r="E14" i="10"/>
  <c r="E15" i="10"/>
  <c r="E16" i="10"/>
  <c r="E17" i="10"/>
  <c r="E18" i="10"/>
  <c r="E11" i="10"/>
  <c r="E12" i="10"/>
  <c r="E19" i="10"/>
  <c r="E20" i="10"/>
  <c r="E21" i="10"/>
  <c r="E10" i="10"/>
  <c r="H17" i="4"/>
  <c r="H7" i="4"/>
  <c r="H8" i="4"/>
  <c r="H9" i="4"/>
  <c r="H10" i="4"/>
  <c r="H11" i="4"/>
  <c r="H12" i="4"/>
  <c r="H13" i="4"/>
  <c r="H14" i="4"/>
  <c r="H15" i="4"/>
  <c r="H16" i="4"/>
  <c r="H6" i="4"/>
  <c r="H8" i="5"/>
  <c r="J8" i="5" s="1"/>
  <c r="H9" i="5"/>
  <c r="J9" i="5" s="1"/>
  <c r="H14" i="5"/>
  <c r="J14" i="5" s="1"/>
  <c r="H15" i="5"/>
  <c r="J15" i="5" s="1"/>
  <c r="H16" i="5"/>
  <c r="J16" i="5" s="1"/>
  <c r="T9" i="8"/>
  <c r="T11" i="8"/>
  <c r="T8" i="8"/>
  <c r="L8" i="8"/>
  <c r="L19" i="8" s="1"/>
  <c r="J20" i="5" l="1"/>
  <c r="J6" i="12"/>
  <c r="J20" i="12" s="1"/>
  <c r="H20" i="12"/>
  <c r="H20" i="5"/>
  <c r="H24" i="5"/>
  <c r="I14" i="1" s="1"/>
  <c r="M13" i="7"/>
  <c r="F8" i="7" s="1"/>
  <c r="H8" i="7" s="1"/>
  <c r="F7" i="7"/>
  <c r="H7" i="7" s="1"/>
  <c r="I20" i="2"/>
  <c r="H11" i="1" s="1"/>
  <c r="N15" i="2"/>
  <c r="N18" i="2" s="1"/>
  <c r="G13" i="2" s="1"/>
  <c r="I13" i="2" s="1"/>
  <c r="E23" i="10"/>
  <c r="J27" i="9" s="1"/>
  <c r="S21" i="10"/>
  <c r="J35" i="9" s="1"/>
  <c r="L23" i="10"/>
  <c r="J31" i="9" s="1"/>
  <c r="H20" i="11"/>
  <c r="J6" i="5"/>
  <c r="G36" i="4" s="1"/>
  <c r="H36" i="4" s="1"/>
  <c r="H41" i="4" s="1"/>
  <c r="H47" i="4" s="1"/>
  <c r="H12" i="1" s="1"/>
  <c r="H29" i="11"/>
  <c r="H19" i="11" s="1"/>
  <c r="H33" i="11" s="1"/>
  <c r="E15" i="1" s="1"/>
  <c r="F19" i="8"/>
  <c r="T19" i="8"/>
  <c r="K29" i="8"/>
  <c r="K33" i="8" s="1"/>
  <c r="D10" i="1" s="1"/>
  <c r="J6" i="11"/>
  <c r="E17" i="3"/>
  <c r="E21" i="3" s="1"/>
  <c r="H10" i="1" s="1"/>
  <c r="D11" i="1" l="1"/>
  <c r="G12" i="2"/>
  <c r="I12" i="2" s="1"/>
  <c r="I9" i="1"/>
  <c r="I16" i="1" s="1"/>
  <c r="I17" i="1" s="1"/>
  <c r="J62" i="9"/>
  <c r="J68" i="9" s="1"/>
  <c r="D12" i="1" s="1"/>
  <c r="E16" i="1" l="1"/>
  <c r="E17" i="1" s="1"/>
  <c r="G19" i="1" s="1"/>
</calcChain>
</file>

<file path=xl/sharedStrings.xml><?xml version="1.0" encoding="utf-8"?>
<sst xmlns="http://schemas.openxmlformats.org/spreadsheetml/2006/main" count="429" uniqueCount="205">
  <si>
    <t>Supervisors</t>
  </si>
  <si>
    <t xml:space="preserve">Security guard </t>
  </si>
  <si>
    <t>Maintenance Engineer</t>
  </si>
  <si>
    <t>Janitors</t>
  </si>
  <si>
    <t>Plant Manager</t>
  </si>
  <si>
    <t>Quality inspectors</t>
  </si>
  <si>
    <t>CNC Wire EDM Machine</t>
  </si>
  <si>
    <t>CNC Wire EDM Machine Opeartors</t>
  </si>
  <si>
    <t>Precision Grinding Machine Operators</t>
  </si>
  <si>
    <t>Precision Milling Machine Operators</t>
  </si>
  <si>
    <t>Laser Cutting Machine Operators</t>
  </si>
  <si>
    <t>Drilling Machine Operators</t>
  </si>
  <si>
    <t>EDM Operators</t>
  </si>
  <si>
    <t>Rough Milling Machine Operators</t>
  </si>
  <si>
    <t>Rough Lathe Machine Operators</t>
  </si>
  <si>
    <t>Rough Grinding Machine Operators</t>
  </si>
  <si>
    <t>Rough Surface Grinder Operators</t>
  </si>
  <si>
    <t>Assembly Line Labor</t>
  </si>
  <si>
    <t>Maintenance technician</t>
  </si>
  <si>
    <t>Production Manager</t>
  </si>
  <si>
    <t>Mid level Engineer</t>
  </si>
  <si>
    <t>Heat Treatment Plant Operator</t>
  </si>
  <si>
    <t>Item</t>
  </si>
  <si>
    <t>Loss</t>
  </si>
  <si>
    <t>Manufactirung Overhead</t>
  </si>
  <si>
    <t>Indirect Labor</t>
  </si>
  <si>
    <t>Safety Personnel</t>
  </si>
  <si>
    <t>IT Support Staff</t>
  </si>
  <si>
    <t>Indirect materials</t>
  </si>
  <si>
    <t>No./ Amount</t>
  </si>
  <si>
    <t>Cost</t>
  </si>
  <si>
    <t>Consumables Items</t>
  </si>
  <si>
    <t>Shop Supplies</t>
  </si>
  <si>
    <t>Personal Protective Equipment</t>
  </si>
  <si>
    <t>Tooling Components</t>
  </si>
  <si>
    <t>Cleaning and Maintenance Supplies</t>
  </si>
  <si>
    <t>Office Supplies</t>
  </si>
  <si>
    <t>Maintenance Parts</t>
  </si>
  <si>
    <t>Janitorial Supplies</t>
  </si>
  <si>
    <t>Utilities </t>
  </si>
  <si>
    <t xml:space="preserve">Gas </t>
  </si>
  <si>
    <t>Electricity</t>
  </si>
  <si>
    <t>Telecommunications:</t>
  </si>
  <si>
    <t>Physical CostS</t>
  </si>
  <si>
    <t>Depreciation  of Building</t>
  </si>
  <si>
    <t>Depreciation of Machine</t>
  </si>
  <si>
    <t>Initial Investement</t>
  </si>
  <si>
    <t>Facility and Infrastructure</t>
  </si>
  <si>
    <t>Rough Milling Machine</t>
  </si>
  <si>
    <t>Rough Lathe Machine</t>
  </si>
  <si>
    <t xml:space="preserve">Rough Grinding Machine </t>
  </si>
  <si>
    <t xml:space="preserve">Rough Surface Grinder </t>
  </si>
  <si>
    <t xml:space="preserve">Laser Cutting Machine </t>
  </si>
  <si>
    <t xml:space="preserve">Drilling Machine </t>
  </si>
  <si>
    <t>EDM</t>
  </si>
  <si>
    <t xml:space="preserve">Precision Grinding Machine </t>
  </si>
  <si>
    <t xml:space="preserve">Precision Milling Machine </t>
  </si>
  <si>
    <t xml:space="preserve">Number </t>
  </si>
  <si>
    <t>A. Operational Costs</t>
  </si>
  <si>
    <t>Labor</t>
  </si>
  <si>
    <t xml:space="preserve"> Material</t>
  </si>
  <si>
    <t>Manufacturing Overhead</t>
  </si>
  <si>
    <t>B. Initial Plant Investment Recovery</t>
  </si>
  <si>
    <t>No.</t>
  </si>
  <si>
    <t>Total Number of Die Produced</t>
  </si>
  <si>
    <t>Total Labor Cost</t>
  </si>
  <si>
    <t>Direct Labour Cost per die</t>
  </si>
  <si>
    <t xml:space="preserve">Total Cost </t>
  </si>
  <si>
    <t>Manufacturing Overhead per die</t>
  </si>
  <si>
    <t xml:space="preserve">Heat Treatment Plant </t>
  </si>
  <si>
    <t>Total Cost</t>
  </si>
  <si>
    <t xml:space="preserve">Item </t>
  </si>
  <si>
    <t>Number of items</t>
  </si>
  <si>
    <t>Depreciation cost</t>
  </si>
  <si>
    <t>Reference</t>
  </si>
  <si>
    <t>https://www.salary.com/research/salary/listing/cnc-operator-salary/new-york-ny</t>
  </si>
  <si>
    <t>https://www.salary.com/research/salary/alternate/cnc-operator-ii-salary/ny</t>
  </si>
  <si>
    <t>https://www.salary.com/research/salary/alternate/rough-grinder-salary/new-york-ny</t>
  </si>
  <si>
    <t>https://www.ziprecruiter.com/g/Highest-Paying-Grinding-Machine-Operator-Jobs</t>
  </si>
  <si>
    <t>https://www.talent.com/salary?job=laser+machine+operator&amp;location=new+york</t>
  </si>
  <si>
    <t>https://www.salary.com/research/salary/alternate/drill-operator-salary/new-york-ny</t>
  </si>
  <si>
    <t>https://www.salary.com/research/salary/position/edm-operator-salary/new-york-ny</t>
  </si>
  <si>
    <t>https://www.talent.com/salary?job=security+guard&amp;location=new+york,+ny</t>
  </si>
  <si>
    <t>https://www.salary.com/research/salary/benchmark/janitor-i-salary/poughkeepsie-ny</t>
  </si>
  <si>
    <t>https://www.salary.com/tools/salary-calculator/senior-operations-manager/new-york-ny</t>
  </si>
  <si>
    <t>https://www.salary.com/research/salary/listing/maintenance-engineer-salary/new-york-ny</t>
  </si>
  <si>
    <t>https://www.salary.com/research/salary/listing/hourly-maintenance-technician-salary/new-york-ny</t>
  </si>
  <si>
    <t>https://www.salary.com/research/salary/benchmark/quality-control-inspector-iii-salary/new-york-ny</t>
  </si>
  <si>
    <t>https://www.glassdoor.com/Salaries/new-york-city-supervisor-salary-SRCH_IL.0,13_IM615_KO14,24.htm</t>
  </si>
  <si>
    <t>https://www.salary.com/research/salary/recruiting/senior-systems-engineer-salary/new-york-ny</t>
  </si>
  <si>
    <t>https://www.talent.com/salary?job=quality+inspector&amp;location=missouri#:~:text=The%20average%20quality%20inspector%20salary%20in%20Missouri%20is%20%2436%2C563%20per,up%20to%20%2450%2C056%20per%20year.</t>
  </si>
  <si>
    <t>https://www.glassdoor.com/Salaries/new-york-city-it-support-salary-SRCH_IL.0,13_IM615_KO14,24.htm</t>
  </si>
  <si>
    <t>https://www.glassdoor.com/Salaries/new-york-city-safety-officer-salary-SRCH_IL.0,13_IM615_KO14,28.htm</t>
  </si>
  <si>
    <t xml:space="preserve">Distributive Digital factory </t>
  </si>
  <si>
    <t xml:space="preserve"> Manufacturing in Traditional Plant</t>
  </si>
  <si>
    <t>https://www.haascnc.com/machines/vertical-mills/universal-machine/models/umc-1250SS.html</t>
  </si>
  <si>
    <t>https://www.haascnc.com/machines/lathes/st/models/y-axis/st-28y.html</t>
  </si>
  <si>
    <t>https://www.grainger.com/product/SHARP-Surface-Grinder-Auto-446P06</t>
  </si>
  <si>
    <t>Factory 01</t>
  </si>
  <si>
    <t>Rolla</t>
  </si>
  <si>
    <t>Factory 02</t>
  </si>
  <si>
    <t>Factory 03</t>
  </si>
  <si>
    <t>Wichita</t>
  </si>
  <si>
    <t>Nashville</t>
  </si>
  <si>
    <t>Heat Treatment Plant  Operator</t>
  </si>
  <si>
    <t>Direct Labor</t>
  </si>
  <si>
    <t>https://www.salary.com/research/salary/position/heat-treatment-operator-salary/new-york-ny</t>
  </si>
  <si>
    <t>https://www.salary.com/research/salary/benchmark/precision-grinder-salary/new-york-ny</t>
  </si>
  <si>
    <t>https://www.salary.com/research/salary/hiring/milling-machine-operator-salary/new-york-ny</t>
  </si>
  <si>
    <t>https://www.salary.com/research/salary/benchmark/general-laborer-salary/ny</t>
  </si>
  <si>
    <t>Total Direct Labor Cost</t>
  </si>
  <si>
    <t>Yearly Salary</t>
  </si>
  <si>
    <t>Total Yearly Salary</t>
  </si>
  <si>
    <t>Total Die produced in a Year</t>
  </si>
  <si>
    <t>Direct Labor Cost</t>
  </si>
  <si>
    <t>https://www.haascnc.com/machines/vertical-mills/drill-tap-mill/models/dt-2.html</t>
  </si>
  <si>
    <t>http://www.bosslaser.com/</t>
  </si>
  <si>
    <t>https://hgrinc.com/productDetail/Machine-Tools/Used-Agie-Charmilles-Cnc-Wire-Edm/12231330002/?var1=cpc&amp;var2=google&amp;var3=12231330002&amp;f=shopping&amp;utm_source=merchantcenter&amp;utm_medium=organic&amp;utm_campaign=</t>
  </si>
  <si>
    <t>https://hgrinc.com/productDetail/CNC/Used-Agie-Charmilles--Agie-Charmilles-Cut-E-600-Cnc-Wire-Edm-/07220970003/?var1=cpc&amp;var2=google&amp;var3=07220970003&amp;f=shopping&amp;utm_source=merchantcenter&amp;utm_medium=organic&amp;utm_campaign=merchantcenter&amp;popup=25&amp;src=gads&amp;keyword=&amp;adid=&amp;MT=&amp;site=&amp;sepos=&amp;device=c&amp;campid=20167730282&amp;adgid=&amp;adtype=pla&amp;merchant_id=562609565&amp;product_channel=online&amp;product_id=07220970003&amp;product_country=US&amp;product_language=en&amp;product_partition_id=&amp;store_code=&amp;loc_interest_ms=&amp;loc_physical_ms=9023613&amp;network=x&amp;tid=&amp;utm_source=google&amp;utm_medium=cpc&amp;utm_content=&amp;utm_term=&amp;utm_campaign=Pmax-Demand&amp;hsa_acc=7976513933&amp;hsa_cam=20167730282&amp;hsa_grp=&amp;hsa_ad=&amp;hsa_src=x&amp;hsa_tgt=&amp;hsa_kw=&amp;hsa_mt=&amp;hsa_net=adwords&amp;hsa_ver=3&amp;gad_source=1&amp;gclid=Cj0KCQiA2eKtBhDcARIsAEGTG42WFz4-did3vMiKQI45-PKIDa7Xq20JsdfG_xAnshsKY_WdSxXQ5yYaAgNoEALw_wcB</t>
  </si>
  <si>
    <t>https://www.haascnc.com/machines/vertical-mills/vr-series.html</t>
  </si>
  <si>
    <t>https://hgrinc.com/productDetail/CNC/Used-Cincinnati-Cylindrical-Grinder/02230010020/?var1=cpc&amp;var2=google&amp;var3=02230010020&amp;f=shopping&amp;utm_source=merchantcenter&amp;utm_medium=organic&amp;utm_campaign=merchantcenter&amp;popup=25&amp;src=gads&amp;keyword=&amp;adid=&amp;MT=&amp;site=&amp;sepos=&amp;device=c&amp;campid=20167730282&amp;adgid=&amp;adtype=pla&amp;merchant_id=562609565&amp;product_channel=online&amp;product_id=02230010020&amp;product_country=US&amp;product_language=en&amp;product_partition_id=&amp;store_code=&amp;loc_interest_ms=&amp;loc_physical_ms=9023613&amp;network=x&amp;tid=&amp;utm_source=google&amp;utm_medium=cpc&amp;utm_content=&amp;utm_term=&amp;utm_campaign=Pmax-Demand&amp;hsa_acc=7976513933&amp;hsa_cam=20167730282&amp;hsa_grp=&amp;hsa_ad=&amp;hsa_src=x&amp;hsa_tgt=&amp;hsa_kw=&amp;hsa_mt=&amp;hsa_net=adwords&amp;hsa_ver=3&amp;gad_source=1&amp;gclid=Cj0KCQiA2eKtBhDcARIsAEGTG43su54nKd-_GVvDsa69PEfuiPGTWdxJu9jyTKRvxAnvS-JTnx-yfycaAr82EALw_wcB</t>
  </si>
  <si>
    <t>https://machtrade.us/product/cylinder-head-engine-block-grinding-machines/?utm_source=Google%20Shopping&amp;utm_campaign=All%20products%20for%20Google%20Ads&amp;utm_medium=cpc&amp;utm_term=1103&amp;gclid=Cj0KCQiA2eKtBhDcARIsAEGTG42RiyfwWQulg3vhdOf6w6qsOFuGebVKxD2k-bIw0yym7J_zMBSpp_QaAoAXEALw_wcB</t>
  </si>
  <si>
    <t>Assumption</t>
  </si>
  <si>
    <t>Total Cost of Machine</t>
  </si>
  <si>
    <t>Total Yearly Cost</t>
  </si>
  <si>
    <t>Useful Life ( Years)</t>
  </si>
  <si>
    <t>Consider Same for D2 Factory and Traditional Factory</t>
  </si>
  <si>
    <t>https://www.landsearch.com/price</t>
  </si>
  <si>
    <t>Price/Kg</t>
  </si>
  <si>
    <t>Total Amount</t>
  </si>
  <si>
    <t>Amount(kG)</t>
  </si>
  <si>
    <t>https://store.metalsnet.com/steel/tool-steel/d2-tool-steel-bar/</t>
  </si>
  <si>
    <t>Total Material</t>
  </si>
  <si>
    <t>Value added Material</t>
  </si>
  <si>
    <t xml:space="preserve">Total Number of Die Produced per year </t>
  </si>
  <si>
    <t>Loss ( 5%)</t>
  </si>
  <si>
    <t>Tool Steel  Purchased</t>
  </si>
  <si>
    <t>Actual Amount Used In Production</t>
  </si>
  <si>
    <t>Die Weight</t>
  </si>
  <si>
    <t xml:space="preserve">Direct Material Cost per Die </t>
  </si>
  <si>
    <t>Number</t>
  </si>
  <si>
    <t>Quality Control People</t>
  </si>
  <si>
    <t>Quality Control Supervisors</t>
  </si>
  <si>
    <t>Industrial Robots</t>
  </si>
  <si>
    <t>Indirect Labour</t>
  </si>
  <si>
    <t>Monthly Salary</t>
  </si>
  <si>
    <t>Total</t>
  </si>
  <si>
    <t>https://www.salary.com/research/salary/benchmark/plant-manager-salary/new-york-ny</t>
  </si>
  <si>
    <t>Quality Control Supervisor</t>
  </si>
  <si>
    <t>https://www.talent.com/salary?job=supervisor&amp;location=rolla,+mo</t>
  </si>
  <si>
    <t>https://www.talent.com/salary?job=safety+specialist&amp;location=Rolla%2C+MO</t>
  </si>
  <si>
    <t>https://www.salary.com/research/salary/benchmark/production-senior-manager-salary/ny</t>
  </si>
  <si>
    <t>https://www.talent.com/salary?job=mid+level+engineer&amp;location=new+york</t>
  </si>
  <si>
    <t>Quality  Inspectors</t>
  </si>
  <si>
    <t>Total per Year</t>
  </si>
  <si>
    <t xml:space="preserve">Assume there is 5% wastage </t>
  </si>
  <si>
    <t>Land</t>
  </si>
  <si>
    <t>https://www.nyserda.ny.gov/Energy-Prices/Natural-Gas/Monthly-Average-Price-of-Natural-Gas-Industrial</t>
  </si>
  <si>
    <t>https://www.nyserda.ny.gov/Energy-Prices/Electricity/Monthly-Avg-Electricity-Industrial</t>
  </si>
  <si>
    <t>Amount</t>
  </si>
  <si>
    <t>Unit Price</t>
  </si>
  <si>
    <t>Total Price</t>
  </si>
  <si>
    <t>https://rmurolla.org/customer-service/rates-fees/</t>
  </si>
  <si>
    <t>https://www.nyc.gov/site/nycwaterboard/rates/rates-regulations.page</t>
  </si>
  <si>
    <t>https://www.nespower.com/rates/historical-rates/2023/september-2023/</t>
  </si>
  <si>
    <t xml:space="preserve">Water </t>
  </si>
  <si>
    <t>https://www.nashville.gov/departments/water/customers/rates</t>
  </si>
  <si>
    <t>https://www.eia.gov/dnav/ng/hist/n3035tn3m.htm</t>
  </si>
  <si>
    <t>https://ycharts.com/indicators/ksnatural_gas_industrial_price</t>
  </si>
  <si>
    <t>https://www.electricitylocal.com/states/kansas/wichita/#google_vignette</t>
  </si>
  <si>
    <t>https://www.wichita.gov/DocumentCenter/View/12557/2023-Rate-Ordinance---Sewer-Rates-and-Fees-PDF</t>
  </si>
  <si>
    <t>https://ycharts.com/indicators/monatural_gas_industrial_price</t>
  </si>
  <si>
    <t>I</t>
  </si>
  <si>
    <t>Factoy 02</t>
  </si>
  <si>
    <t>Acres</t>
  </si>
  <si>
    <t xml:space="preserve">Per acres price </t>
  </si>
  <si>
    <t>Total Initial Investment</t>
  </si>
  <si>
    <t>Total Investment</t>
  </si>
  <si>
    <t>https://www.nespower.com/-/media/project/nes/common/pdfs/commercial-rates/2023/december/gsa-december-2023-retail-rate-schedule.pdf</t>
  </si>
  <si>
    <t>https://www.nespower.com/-/media/project/nes/common/pdfs/commercial-rates/2024/february/lms-february-2024-retail-rate-schedule.pdf</t>
  </si>
  <si>
    <t>Total Yearly depreciation Cost</t>
  </si>
  <si>
    <t>Total Yearly Depreciation Cost</t>
  </si>
  <si>
    <t>Yearly Die Production</t>
  </si>
  <si>
    <t>Sinambela, E. A. ., Darmawan, D., &amp; Gardi, B. . (2022). Production Cost Calculation Analysis Using Variable Costing Method. International Journal of Service Science, Management, Engineering, and Technology, 1(2), 13–16</t>
  </si>
  <si>
    <t>[1]</t>
  </si>
  <si>
    <t>[2]</t>
  </si>
  <si>
    <t>Ray H. Garrison, Eric W. Noreen, Peter C. Brewer, Annie McGowan; Managerial Accounting. Issues in Accounting Education 1 November 2010; 25 (4): 792–793.</t>
  </si>
  <si>
    <t>[3]</t>
  </si>
  <si>
    <t>Bridge Crane</t>
  </si>
  <si>
    <t>https://www.freightrun.com/rate/viewquoteresult</t>
  </si>
  <si>
    <t xml:space="preserve"> Assume Yearly 2000 die is manufacturing by this Company</t>
  </si>
  <si>
    <t>B. Transportation Cost [3]</t>
  </si>
  <si>
    <t>Cost Saving</t>
  </si>
  <si>
    <t>https://shop.lkgoodwin.com/product/2t3021s-2-ton-t-series-steel-gantry/41583?gad_source=1&amp;gclid=CjwKCAiAlJKuBhAdEiwAnZb7lQjWMvryV7vc8pIS_Jcq1Kkp0gWYzJzaqkNV0ep89p3s0qRMrOb5cRoC9GsQ</t>
  </si>
  <si>
    <t>Production Cost= Direct Labor Cost+ Direct Material Cost+ Manufacturing Overhead [1], [2]</t>
  </si>
  <si>
    <t>C. Initial Plant Investment Recovery</t>
  </si>
  <si>
    <t>Die Weight KG</t>
  </si>
  <si>
    <t>Service Charge</t>
  </si>
  <si>
    <t>Depreciation  of Building and Infrastructure</t>
  </si>
  <si>
    <t>Gas (CCF)</t>
  </si>
  <si>
    <t>Electricity (KWh)</t>
  </si>
  <si>
    <t>Water ( Gallon)</t>
  </si>
  <si>
    <t>Total Annual Cost</t>
  </si>
  <si>
    <t>https://www.ebay.com/itm/355408495722?_trkparms=amclksrc%3DITM%26aid%3D1110006%26algo%3DHOMESPLICE.SIM%26ao%3D1%26asc%3D20231107084023%26meid%3D03c8a4767b814cd6bec10cc92e544dfd%26pid%3D101875%26rk%3D1%26rkt%3D4%26sd%3D276241674911%26itm%3D355408495722%26pmt%3D1%26noa%3D0%26pg%3D4429486%26algv%3DSimplAMLv11WebTrimmedV3MskuWithLambda85KnnRecallV1V2V4ItemNrtInQueryAndCassiniVisualRankerAndBertRecallWithVMEV3CPCAutoWithCassiniEmbRecall&amp;_trksid=p4429486.c101875.m1851&amp;amdata=cksum%3A35540849572203c8a4767b814cd6bec10cc92e544dfd%7Cenc%3AAQAIAAABcHD%252FO%252BVoFoPPIoZ2g0kOZxWd85mWuIHekSp3qag7zFfwObZeQoitzE%252FDCfcejfO%252BzOLmzZmy11RrgWpA56KM9DpasK%252BGtGYwCFvgaK6ijP5AqShEUhT8f2oX6hvndJ3G0oWH8DD1DlBWseQltpxcSDW2Uu52NrseaxeINpsrDP6vx7ny%252BkPKauMa3yeSanWiiod4xxBeQ14C2EODXb9hQ6vomvFha027LFhuEP6A0I%252BkyszCEwY3P%252FxPlAIcY%252FEXxjI4nTpmTqb%252BQNAagwjGg4D%252FKkj1Tf0B4AW6As5M9VsCOBnfTgRrKzMxCI3vwXcO2%252FB8BbxuX5TV3flDQf3zHCPlQMo9k4U9aqsjzhwbWtVyCeW2oZyJFCsTj%252F72L1QCJr9wdwAyErOk%252BRbDFRby1PK30wI01so6pKh%252FqamDJbVusBRnZXZFZd%252BMZGTl%252Bt9%252F1ZUM9h%252FlbjyQzFlGJ4CTsv00IUjyl08UpY2f4h%252Bkq22L%7Campid%3APL_CLK%7Cclp%3A4429486&amp;itmmeta=01HPHE1SY60R9J2WYW1HVCPFBN</t>
  </si>
  <si>
    <t xml:space="preserve">Bridge  Crane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</si>
</sst>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212221"/>
      <name val="Source Sans Pro"/>
      <family val="2"/>
    </font>
    <font>
      <u/>
      <sz val="11"/>
      <color theme="10"/>
      <name val="Calibri"/>
      <family val="2"/>
      <scheme val="minor"/>
    </font>
    <font>
      <b/>
      <sz val="12"/>
      <color rgb="FF30183F"/>
      <name val="Arial"/>
      <family val="2"/>
    </font>
    <font>
      <b/>
      <sz val="12"/>
      <color rgb="FF212221"/>
      <name val="Source Sans Pro"/>
      <family val="2"/>
    </font>
    <font>
      <sz val="9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2"/>
      <color rgb="FF212221"/>
      <name val="Times New Roman"/>
      <family val="1"/>
    </font>
    <font>
      <sz val="12"/>
      <color rgb="FF2F3639"/>
      <name val="Times New Roman"/>
      <family val="1"/>
    </font>
    <font>
      <sz val="10"/>
      <color rgb="FF212221"/>
      <name val="Source Sans Pro"/>
      <family val="2"/>
    </font>
    <font>
      <i/>
      <sz val="10"/>
      <color rgb="FF222222"/>
      <name val="Arial"/>
      <family val="2"/>
    </font>
    <font>
      <sz val="12"/>
      <color rgb="FF212221"/>
      <name val="Source Sans Pro"/>
      <family val="2"/>
    </font>
    <font>
      <sz val="10"/>
      <color rgb="FF212221"/>
      <name val="Source Sans Pro"/>
      <family val="2"/>
    </font>
    <font>
      <sz val="11"/>
      <color rgb="FF212221"/>
      <name val="Source Sans Pro"/>
      <family val="2"/>
    </font>
    <font>
      <sz val="11"/>
      <color rgb="FF30183F"/>
      <name val="Arial"/>
      <family val="2"/>
    </font>
    <font>
      <sz val="10"/>
      <name val="Source Sans Pro"/>
      <family val="2"/>
    </font>
    <font>
      <sz val="10"/>
      <color rgb="FF39423D"/>
      <name val="Arial"/>
      <family val="2"/>
    </font>
    <font>
      <sz val="8"/>
      <color rgb="FF000000"/>
      <name val="Arial"/>
      <family val="2"/>
    </font>
    <font>
      <sz val="12"/>
      <color rgb="FF30183F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/>
    <xf numFmtId="6" fontId="0" fillId="0" borderId="0" xfId="0" applyNumberFormat="1"/>
    <xf numFmtId="6" fontId="9" fillId="0" borderId="0" xfId="0" applyNumberFormat="1" applyFont="1" applyAlignment="1">
      <alignment horizontal="center"/>
    </xf>
    <xf numFmtId="6" fontId="10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/>
    <xf numFmtId="8" fontId="0" fillId="0" borderId="0" xfId="0" applyNumberFormat="1"/>
    <xf numFmtId="6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0" xfId="0" applyNumberForma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6" fontId="15" fillId="0" borderId="0" xfId="0" applyNumberFormat="1" applyFont="1"/>
    <xf numFmtId="0" fontId="8" fillId="0" borderId="0" xfId="1" applyAlignment="1">
      <alignment horizontal="left"/>
    </xf>
    <xf numFmtId="6" fontId="16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 wrapText="1"/>
    </xf>
    <xf numFmtId="6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6" fontId="15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left" vertical="center"/>
    </xf>
    <xf numFmtId="0" fontId="12" fillId="0" borderId="5" xfId="0" applyFont="1" applyBorder="1"/>
    <xf numFmtId="0" fontId="8" fillId="0" borderId="0" xfId="1"/>
    <xf numFmtId="6" fontId="18" fillId="0" borderId="0" xfId="0" applyNumberFormat="1" applyFont="1"/>
    <xf numFmtId="6" fontId="19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  <xf numFmtId="6" fontId="21" fillId="0" borderId="0" xfId="0" applyNumberFormat="1" applyFont="1"/>
    <xf numFmtId="6" fontId="0" fillId="0" borderId="8" xfId="0" applyNumberFormat="1" applyBorder="1"/>
    <xf numFmtId="6" fontId="7" fillId="0" borderId="0" xfId="0" applyNumberFormat="1" applyFont="1"/>
    <xf numFmtId="6" fontId="0" fillId="0" borderId="0" xfId="0" applyNumberFormat="1" applyAlignment="1">
      <alignment horizontal="left" vertical="center"/>
    </xf>
    <xf numFmtId="6" fontId="0" fillId="0" borderId="0" xfId="0" applyNumberFormat="1" applyAlignment="1">
      <alignment horizontal="left"/>
    </xf>
    <xf numFmtId="6" fontId="22" fillId="0" borderId="0" xfId="0" applyNumberFormat="1" applyFont="1"/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6" fontId="5" fillId="0" borderId="0" xfId="0" applyNumberFormat="1" applyFont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8" fontId="23" fillId="2" borderId="0" xfId="0" applyNumberFormat="1" applyFont="1" applyFill="1"/>
    <xf numFmtId="8" fontId="0" fillId="2" borderId="0" xfId="0" applyNumberFormat="1" applyFill="1"/>
    <xf numFmtId="0" fontId="0" fillId="2" borderId="1" xfId="0" applyFill="1" applyBorder="1"/>
    <xf numFmtId="8" fontId="0" fillId="2" borderId="1" xfId="0" applyNumberFormat="1" applyFill="1" applyBorder="1"/>
    <xf numFmtId="6" fontId="0" fillId="2" borderId="0" xfId="0" applyNumberFormat="1" applyFill="1"/>
    <xf numFmtId="0" fontId="0" fillId="2" borderId="1" xfId="0" applyFill="1" applyBorder="1" applyAlignment="1">
      <alignment horizontal="left"/>
    </xf>
    <xf numFmtId="6" fontId="0" fillId="2" borderId="1" xfId="0" applyNumberFormat="1" applyFill="1" applyBorder="1"/>
    <xf numFmtId="0" fontId="11" fillId="2" borderId="1" xfId="0" applyFont="1" applyFill="1" applyBorder="1"/>
    <xf numFmtId="6" fontId="16" fillId="2" borderId="1" xfId="0" applyNumberFormat="1" applyFont="1" applyFill="1" applyBorder="1"/>
    <xf numFmtId="8" fontId="23" fillId="2" borderId="1" xfId="0" applyNumberFormat="1" applyFont="1" applyFill="1" applyBorder="1"/>
    <xf numFmtId="6" fontId="0" fillId="0" borderId="1" xfId="0" applyNumberFormat="1" applyBorder="1" applyAlignment="1">
      <alignment horizontal="center" vertical="center"/>
    </xf>
    <xf numFmtId="6" fontId="5" fillId="0" borderId="1" xfId="0" applyNumberFormat="1" applyFont="1" applyBorder="1" applyAlignment="1">
      <alignment horizontal="center"/>
    </xf>
    <xf numFmtId="0" fontId="0" fillId="0" borderId="1" xfId="0" applyBorder="1"/>
    <xf numFmtId="8" fontId="0" fillId="0" borderId="1" xfId="0" applyNumberFormat="1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8" fontId="0" fillId="0" borderId="1" xfId="0" applyNumberFormat="1" applyBorder="1"/>
    <xf numFmtId="0" fontId="6" fillId="0" borderId="1" xfId="0" applyFont="1" applyBorder="1"/>
    <xf numFmtId="6" fontId="13" fillId="0" borderId="0" xfId="0" applyNumberFormat="1" applyFont="1" applyAlignment="1">
      <alignment horizontal="center"/>
    </xf>
    <xf numFmtId="6" fontId="17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6" fontId="12" fillId="0" borderId="0" xfId="0" applyNumberFormat="1" applyFont="1" applyAlignment="1">
      <alignment horizontal="center"/>
    </xf>
    <xf numFmtId="9" fontId="27" fillId="0" borderId="15" xfId="2" applyFont="1" applyBorder="1" applyAlignment="1">
      <alignment vertical="center"/>
    </xf>
    <xf numFmtId="0" fontId="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chita.gov/DocumentCenter/View/12557/2023-Rate-Ordinance---Sewer-Rates-and-Fees-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lary.com/research/salary/alternate/cnc-operator-ii-salary/ny" TargetMode="External"/><Relationship Id="rId2" Type="http://schemas.openxmlformats.org/officeDocument/2006/relationships/hyperlink" Target="https://www.salary.com/research/salary/hiring/milling-machine-operator-salary/new-york-ny" TargetMode="External"/><Relationship Id="rId1" Type="http://schemas.openxmlformats.org/officeDocument/2006/relationships/hyperlink" Target="https://www.salary.com/research/salary/benchmark/precision-grinder-salary/new-york-n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serda.ny.gov/Energy-Prices/Natural-Gas/Monthly-Average-Price-of-Natural-Gas-Industrial" TargetMode="External"/><Relationship Id="rId2" Type="http://schemas.openxmlformats.org/officeDocument/2006/relationships/hyperlink" Target="https://www.nyc.gov/site/nycwaterboard/rates/rates-regulations.page" TargetMode="External"/><Relationship Id="rId1" Type="http://schemas.openxmlformats.org/officeDocument/2006/relationships/hyperlink" Target="https://www.talent.com/salary?job=security+guard&amp;location=new+york,+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E076-FB9F-4A1E-B91C-8261729DC20C}">
  <dimension ref="A3:N24"/>
  <sheetViews>
    <sheetView topLeftCell="A12" workbookViewId="0">
      <selection activeCell="D3" sqref="D3:K24"/>
    </sheetView>
  </sheetViews>
  <sheetFormatPr defaultRowHeight="14.4" x14ac:dyDescent="0.3"/>
  <cols>
    <col min="5" max="5" width="32.109375" bestFit="1" customWidth="1"/>
    <col min="6" max="6" width="14.77734375" bestFit="1" customWidth="1"/>
    <col min="7" max="7" width="11.5546875" bestFit="1" customWidth="1"/>
    <col min="8" max="8" width="13.109375" bestFit="1" customWidth="1"/>
    <col min="9" max="9" width="25.88671875" bestFit="1" customWidth="1"/>
    <col min="10" max="10" width="15.44140625" bestFit="1" customWidth="1"/>
  </cols>
  <sheetData>
    <row r="3" spans="1:13" ht="21" x14ac:dyDescent="0.4">
      <c r="D3" s="88" t="s">
        <v>46</v>
      </c>
      <c r="E3" s="88"/>
      <c r="F3" s="88"/>
      <c r="G3" s="88"/>
      <c r="H3" s="88"/>
      <c r="I3" s="88"/>
      <c r="J3" s="88"/>
      <c r="K3" s="88"/>
    </row>
    <row r="4" spans="1:13" x14ac:dyDescent="0.3">
      <c r="E4" t="s">
        <v>71</v>
      </c>
      <c r="F4" t="s">
        <v>72</v>
      </c>
      <c r="G4" t="s">
        <v>30</v>
      </c>
      <c r="H4" t="s">
        <v>70</v>
      </c>
      <c r="I4" t="s">
        <v>125</v>
      </c>
      <c r="J4" t="s">
        <v>73</v>
      </c>
    </row>
    <row r="5" spans="1:13" x14ac:dyDescent="0.3">
      <c r="E5" s="3" t="s">
        <v>47</v>
      </c>
      <c r="H5" s="66">
        <v>8000000</v>
      </c>
      <c r="I5">
        <v>80</v>
      </c>
      <c r="J5" s="15">
        <f>H5/I5</f>
        <v>100000</v>
      </c>
      <c r="M5" t="s">
        <v>122</v>
      </c>
    </row>
    <row r="6" spans="1:13" x14ac:dyDescent="0.3">
      <c r="E6" s="3" t="s">
        <v>48</v>
      </c>
      <c r="F6">
        <v>10</v>
      </c>
      <c r="G6" s="9">
        <v>308995</v>
      </c>
      <c r="H6" s="9">
        <f>G6*F6</f>
        <v>3089950</v>
      </c>
      <c r="I6">
        <v>20</v>
      </c>
      <c r="J6" s="15">
        <f>H6/I6</f>
        <v>154497.5</v>
      </c>
      <c r="M6" t="s">
        <v>95</v>
      </c>
    </row>
    <row r="7" spans="1:13" x14ac:dyDescent="0.3">
      <c r="E7" s="3" t="s">
        <v>49</v>
      </c>
      <c r="F7">
        <v>10</v>
      </c>
      <c r="G7" s="9">
        <v>114295</v>
      </c>
      <c r="H7" s="9">
        <f t="shared" ref="H7:H17" si="0">G7*F7</f>
        <v>1142950</v>
      </c>
      <c r="I7">
        <v>15</v>
      </c>
      <c r="J7" s="15">
        <f t="shared" ref="J7:J18" si="1">H7/I7</f>
        <v>76196.666666666672</v>
      </c>
      <c r="K7" s="14"/>
      <c r="M7" t="s">
        <v>96</v>
      </c>
    </row>
    <row r="8" spans="1:13" x14ac:dyDescent="0.3">
      <c r="E8" s="3" t="s">
        <v>50</v>
      </c>
      <c r="F8">
        <v>10</v>
      </c>
      <c r="G8" s="15">
        <v>49500</v>
      </c>
      <c r="H8" s="9">
        <f t="shared" si="0"/>
        <v>495000</v>
      </c>
      <c r="I8">
        <v>10</v>
      </c>
      <c r="J8" s="15">
        <f t="shared" si="1"/>
        <v>49500</v>
      </c>
      <c r="M8" t="s">
        <v>120</v>
      </c>
    </row>
    <row r="9" spans="1:13" x14ac:dyDescent="0.3">
      <c r="E9" s="3" t="s">
        <v>51</v>
      </c>
      <c r="F9">
        <v>10</v>
      </c>
      <c r="G9" s="15">
        <v>57931.12</v>
      </c>
      <c r="H9" s="9">
        <f t="shared" si="0"/>
        <v>579311.20000000007</v>
      </c>
      <c r="I9">
        <v>10</v>
      </c>
      <c r="J9" s="15">
        <f t="shared" si="1"/>
        <v>57931.12000000001</v>
      </c>
      <c r="M9" t="s">
        <v>97</v>
      </c>
    </row>
    <row r="10" spans="1:13" x14ac:dyDescent="0.3">
      <c r="E10" s="3" t="s">
        <v>52</v>
      </c>
      <c r="F10">
        <v>5</v>
      </c>
      <c r="G10" s="15">
        <v>134997</v>
      </c>
      <c r="H10" s="9">
        <f t="shared" si="0"/>
        <v>674985</v>
      </c>
      <c r="I10">
        <v>20</v>
      </c>
      <c r="J10" s="15">
        <f t="shared" si="1"/>
        <v>33749.25</v>
      </c>
      <c r="M10" t="s">
        <v>116</v>
      </c>
    </row>
    <row r="11" spans="1:13" x14ac:dyDescent="0.3">
      <c r="E11" s="3" t="s">
        <v>53</v>
      </c>
      <c r="F11">
        <v>10</v>
      </c>
      <c r="G11" s="9">
        <v>59795</v>
      </c>
      <c r="H11" s="9">
        <f t="shared" si="0"/>
        <v>597950</v>
      </c>
      <c r="I11">
        <v>15</v>
      </c>
      <c r="J11" s="15">
        <f t="shared" si="1"/>
        <v>39863.333333333336</v>
      </c>
      <c r="M11" t="s">
        <v>115</v>
      </c>
    </row>
    <row r="12" spans="1:13" x14ac:dyDescent="0.3">
      <c r="E12" s="3" t="s">
        <v>54</v>
      </c>
      <c r="F12">
        <v>10</v>
      </c>
      <c r="G12" s="9">
        <v>69500</v>
      </c>
      <c r="H12" s="9">
        <f t="shared" si="0"/>
        <v>695000</v>
      </c>
      <c r="I12">
        <v>15</v>
      </c>
      <c r="J12" s="15">
        <f t="shared" si="1"/>
        <v>46333.333333333336</v>
      </c>
      <c r="M12" t="s">
        <v>118</v>
      </c>
    </row>
    <row r="13" spans="1:13" x14ac:dyDescent="0.3">
      <c r="E13" s="3" t="s">
        <v>6</v>
      </c>
      <c r="F13">
        <v>5</v>
      </c>
      <c r="G13" s="9">
        <v>59500</v>
      </c>
      <c r="H13" s="9">
        <f t="shared" si="0"/>
        <v>297500</v>
      </c>
      <c r="I13">
        <v>15</v>
      </c>
      <c r="J13" s="15">
        <f t="shared" si="1"/>
        <v>19833.333333333332</v>
      </c>
      <c r="M13" t="s">
        <v>117</v>
      </c>
    </row>
    <row r="14" spans="1:13" x14ac:dyDescent="0.3">
      <c r="E14" s="3" t="s">
        <v>55</v>
      </c>
      <c r="F14">
        <v>10</v>
      </c>
      <c r="G14" s="9">
        <v>105650</v>
      </c>
      <c r="H14" s="9">
        <f t="shared" si="0"/>
        <v>1056500</v>
      </c>
      <c r="I14">
        <v>10</v>
      </c>
      <c r="J14" s="15">
        <f t="shared" si="1"/>
        <v>105650</v>
      </c>
      <c r="M14" t="s">
        <v>121</v>
      </c>
    </row>
    <row r="15" spans="1:13" x14ac:dyDescent="0.3">
      <c r="A15" s="59"/>
      <c r="E15" s="3" t="s">
        <v>56</v>
      </c>
      <c r="F15">
        <v>10</v>
      </c>
      <c r="G15" s="27">
        <v>346095</v>
      </c>
      <c r="H15" s="9">
        <f t="shared" si="0"/>
        <v>3460950</v>
      </c>
      <c r="I15">
        <v>15</v>
      </c>
      <c r="J15" s="15">
        <f t="shared" si="1"/>
        <v>230730</v>
      </c>
      <c r="M15" t="s">
        <v>119</v>
      </c>
    </row>
    <row r="16" spans="1:13" x14ac:dyDescent="0.3">
      <c r="E16" s="3" t="s">
        <v>69</v>
      </c>
      <c r="F16">
        <v>5</v>
      </c>
      <c r="G16" s="9">
        <v>500000</v>
      </c>
      <c r="H16" s="9">
        <f t="shared" si="0"/>
        <v>2500000</v>
      </c>
      <c r="I16">
        <v>20</v>
      </c>
      <c r="J16" s="15">
        <f t="shared" si="1"/>
        <v>125000</v>
      </c>
      <c r="M16" t="s">
        <v>122</v>
      </c>
    </row>
    <row r="17" spans="5:14" x14ac:dyDescent="0.3">
      <c r="E17" s="3" t="s">
        <v>188</v>
      </c>
      <c r="F17">
        <v>3</v>
      </c>
      <c r="G17" s="9">
        <v>50000</v>
      </c>
      <c r="H17" s="9">
        <f t="shared" si="0"/>
        <v>150000</v>
      </c>
      <c r="I17">
        <v>15</v>
      </c>
      <c r="J17" s="15">
        <f t="shared" si="1"/>
        <v>10000</v>
      </c>
      <c r="M17" t="s">
        <v>203</v>
      </c>
    </row>
    <row r="18" spans="5:14" x14ac:dyDescent="0.3">
      <c r="E18" s="58" t="s">
        <v>143</v>
      </c>
      <c r="F18" s="59">
        <v>10</v>
      </c>
      <c r="G18" s="60">
        <v>158995</v>
      </c>
      <c r="H18" s="61">
        <f>G18*F18</f>
        <v>1589950</v>
      </c>
      <c r="I18" s="59">
        <v>15</v>
      </c>
      <c r="J18" s="15">
        <f t="shared" si="1"/>
        <v>105996.66666666667</v>
      </c>
      <c r="K18" s="59"/>
      <c r="L18" s="59"/>
      <c r="M18" s="59"/>
      <c r="N18" s="59"/>
    </row>
    <row r="19" spans="5:14" x14ac:dyDescent="0.3">
      <c r="E19" s="58" t="s">
        <v>156</v>
      </c>
      <c r="F19" s="59">
        <v>150</v>
      </c>
      <c r="G19" s="52">
        <v>63718</v>
      </c>
      <c r="H19" s="64">
        <f>F19*G19</f>
        <v>9557700</v>
      </c>
      <c r="I19" s="59"/>
      <c r="J19" s="59"/>
      <c r="K19" s="59"/>
      <c r="L19" s="59"/>
      <c r="M19" s="59" t="s">
        <v>127</v>
      </c>
      <c r="N19" s="59"/>
    </row>
    <row r="20" spans="5:14" x14ac:dyDescent="0.3">
      <c r="E20" s="3" t="s">
        <v>123</v>
      </c>
      <c r="G20" s="9"/>
      <c r="H20" s="9">
        <f>SUM(H5:H18)</f>
        <v>24330046.199999999</v>
      </c>
      <c r="I20" t="s">
        <v>180</v>
      </c>
      <c r="J20" s="15">
        <f>SUM(J5:J18)</f>
        <v>1155281.2033333334</v>
      </c>
    </row>
    <row r="24" spans="5:14" x14ac:dyDescent="0.3">
      <c r="E24" t="s">
        <v>176</v>
      </c>
      <c r="H24" s="9">
        <f>SUM(H5:H19)</f>
        <v>33887746.200000003</v>
      </c>
    </row>
  </sheetData>
  <mergeCells count="1">
    <mergeCell ref="D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C4C0-7727-42C0-A0F6-B07DA9851E9D}">
  <dimension ref="B7:U41"/>
  <sheetViews>
    <sheetView topLeftCell="A7" workbookViewId="0">
      <selection activeCell="B5" sqref="B5:U25"/>
    </sheetView>
  </sheetViews>
  <sheetFormatPr defaultRowHeight="14.4" x14ac:dyDescent="0.3"/>
  <cols>
    <col min="2" max="2" width="22.5546875" bestFit="1" customWidth="1"/>
    <col min="4" max="4" width="13.21875" bestFit="1" customWidth="1"/>
    <col min="5" max="5" width="22.5546875" bestFit="1" customWidth="1"/>
    <col min="9" max="9" width="22.5546875" bestFit="1" customWidth="1"/>
    <col min="16" max="16" width="22.5546875" bestFit="1" customWidth="1"/>
  </cols>
  <sheetData>
    <row r="7" spans="2:21" x14ac:dyDescent="0.3">
      <c r="B7" s="38"/>
      <c r="C7" s="39"/>
      <c r="D7" s="39"/>
      <c r="E7" s="39" t="s">
        <v>99</v>
      </c>
      <c r="F7" s="39"/>
      <c r="G7" s="40"/>
      <c r="I7" s="38"/>
      <c r="J7" s="39"/>
      <c r="K7" s="39" t="s">
        <v>103</v>
      </c>
      <c r="L7" s="39"/>
      <c r="M7" s="39"/>
      <c r="N7" s="40"/>
      <c r="P7" s="105" t="s">
        <v>102</v>
      </c>
      <c r="Q7" s="106"/>
      <c r="R7" s="106"/>
      <c r="S7" s="106"/>
      <c r="T7" s="106"/>
      <c r="U7" s="107"/>
    </row>
    <row r="8" spans="2:21" x14ac:dyDescent="0.3">
      <c r="B8" s="17"/>
      <c r="G8" s="18"/>
      <c r="I8" s="41" t="s">
        <v>144</v>
      </c>
      <c r="J8" t="s">
        <v>140</v>
      </c>
      <c r="N8" s="18"/>
      <c r="P8" s="41" t="s">
        <v>144</v>
      </c>
      <c r="Q8" t="s">
        <v>140</v>
      </c>
      <c r="R8" s="32"/>
      <c r="S8" s="32"/>
      <c r="T8" s="32"/>
      <c r="U8" s="33"/>
    </row>
    <row r="9" spans="2:21" x14ac:dyDescent="0.3">
      <c r="B9" s="42" t="s">
        <v>144</v>
      </c>
      <c r="C9" s="23" t="s">
        <v>140</v>
      </c>
      <c r="D9" t="s">
        <v>145</v>
      </c>
      <c r="E9" t="s">
        <v>146</v>
      </c>
      <c r="F9" s="5"/>
      <c r="G9" s="18"/>
      <c r="I9" s="41" t="s">
        <v>3</v>
      </c>
      <c r="J9">
        <v>3</v>
      </c>
      <c r="K9" s="9">
        <v>32200</v>
      </c>
      <c r="L9" s="9">
        <f>K9*J9</f>
        <v>96600</v>
      </c>
      <c r="N9" s="18"/>
      <c r="P9" s="41" t="s">
        <v>3</v>
      </c>
      <c r="Q9">
        <v>3</v>
      </c>
      <c r="R9" s="9">
        <v>32569</v>
      </c>
      <c r="S9" s="9">
        <f>R9*Q9</f>
        <v>97707</v>
      </c>
      <c r="U9" s="18"/>
    </row>
    <row r="10" spans="2:21" x14ac:dyDescent="0.3">
      <c r="B10" s="41" t="s">
        <v>1</v>
      </c>
      <c r="C10">
        <v>6</v>
      </c>
      <c r="D10" s="16">
        <v>31200</v>
      </c>
      <c r="E10" s="9">
        <f>D10*C10</f>
        <v>187200</v>
      </c>
      <c r="F10" s="5"/>
      <c r="G10" s="18"/>
      <c r="I10" s="41" t="s">
        <v>2</v>
      </c>
      <c r="J10">
        <v>1</v>
      </c>
      <c r="K10" s="44">
        <v>72096</v>
      </c>
      <c r="L10" s="9">
        <f t="shared" ref="L10:L15" si="0">K10*J10</f>
        <v>72096</v>
      </c>
      <c r="N10" s="18"/>
      <c r="P10" s="41" t="s">
        <v>2</v>
      </c>
      <c r="Q10">
        <v>1</v>
      </c>
      <c r="R10" s="49">
        <v>71521</v>
      </c>
      <c r="S10" s="9">
        <f t="shared" ref="S10:S16" si="1">R10*Q10</f>
        <v>71521</v>
      </c>
      <c r="U10" s="18"/>
    </row>
    <row r="11" spans="2:21" x14ac:dyDescent="0.3">
      <c r="B11" s="41" t="s">
        <v>3</v>
      </c>
      <c r="C11">
        <v>7</v>
      </c>
      <c r="D11" s="16">
        <v>32225</v>
      </c>
      <c r="E11" s="9">
        <f t="shared" ref="E11:E21" si="2">D11*C11</f>
        <v>225575</v>
      </c>
      <c r="F11" s="5"/>
      <c r="G11" s="18"/>
      <c r="I11" s="41" t="s">
        <v>18</v>
      </c>
      <c r="J11">
        <v>2</v>
      </c>
      <c r="K11" s="44">
        <v>46819</v>
      </c>
      <c r="L11" s="9">
        <f t="shared" si="0"/>
        <v>93638</v>
      </c>
      <c r="N11" s="18"/>
      <c r="P11" s="41" t="s">
        <v>18</v>
      </c>
      <c r="Q11">
        <v>2</v>
      </c>
      <c r="R11" s="44">
        <v>47354</v>
      </c>
      <c r="S11" s="9">
        <f t="shared" si="1"/>
        <v>94708</v>
      </c>
      <c r="U11" s="18"/>
    </row>
    <row r="12" spans="2:21" x14ac:dyDescent="0.3">
      <c r="B12" s="41" t="s">
        <v>4</v>
      </c>
      <c r="C12">
        <v>2</v>
      </c>
      <c r="D12" s="45">
        <v>180758</v>
      </c>
      <c r="E12" s="9">
        <f t="shared" si="2"/>
        <v>361516</v>
      </c>
      <c r="F12" s="5"/>
      <c r="G12" s="18"/>
      <c r="I12" s="41" t="s">
        <v>26</v>
      </c>
      <c r="J12">
        <v>1</v>
      </c>
      <c r="K12" s="9">
        <v>35100</v>
      </c>
      <c r="L12" s="9">
        <f t="shared" si="0"/>
        <v>35100</v>
      </c>
      <c r="N12" s="18"/>
      <c r="P12" s="41" t="s">
        <v>153</v>
      </c>
      <c r="Q12">
        <v>2</v>
      </c>
      <c r="R12" s="47">
        <v>40000</v>
      </c>
      <c r="S12" s="9">
        <f t="shared" si="1"/>
        <v>80000</v>
      </c>
      <c r="U12" s="18"/>
    </row>
    <row r="13" spans="2:21" x14ac:dyDescent="0.3">
      <c r="B13" s="41" t="s">
        <v>2</v>
      </c>
      <c r="C13">
        <v>3</v>
      </c>
      <c r="D13" s="45">
        <v>72286</v>
      </c>
      <c r="E13" s="9">
        <f t="shared" si="2"/>
        <v>216858</v>
      </c>
      <c r="F13" s="5"/>
      <c r="G13" s="18"/>
      <c r="I13" s="34" t="s">
        <v>5</v>
      </c>
      <c r="J13">
        <v>1</v>
      </c>
      <c r="K13" s="9">
        <v>32546</v>
      </c>
      <c r="L13" s="9">
        <f t="shared" si="0"/>
        <v>32546</v>
      </c>
      <c r="N13" s="18"/>
      <c r="P13" s="41" t="s">
        <v>26</v>
      </c>
      <c r="Q13">
        <v>1</v>
      </c>
      <c r="R13" s="9">
        <v>61551</v>
      </c>
      <c r="S13" s="9">
        <f t="shared" si="1"/>
        <v>61551</v>
      </c>
      <c r="U13" s="18"/>
    </row>
    <row r="14" spans="2:21" x14ac:dyDescent="0.3">
      <c r="B14" s="41" t="s">
        <v>18</v>
      </c>
      <c r="C14">
        <v>5</v>
      </c>
      <c r="D14" s="45">
        <v>46942</v>
      </c>
      <c r="E14" s="9">
        <f t="shared" si="2"/>
        <v>234710</v>
      </c>
      <c r="F14" s="5"/>
      <c r="G14" s="18"/>
      <c r="I14" s="34" t="s">
        <v>19</v>
      </c>
      <c r="J14">
        <v>1</v>
      </c>
      <c r="K14" s="9">
        <v>146895</v>
      </c>
      <c r="L14" s="9">
        <f t="shared" si="0"/>
        <v>146895</v>
      </c>
      <c r="N14" s="18"/>
      <c r="P14" s="34" t="s">
        <v>19</v>
      </c>
      <c r="Q14">
        <v>1</v>
      </c>
      <c r="R14" s="9">
        <v>148574</v>
      </c>
      <c r="S14" s="9">
        <f t="shared" si="1"/>
        <v>148574</v>
      </c>
      <c r="U14" s="18"/>
    </row>
    <row r="15" spans="2:21" x14ac:dyDescent="0.3">
      <c r="B15" s="41" t="s">
        <v>148</v>
      </c>
      <c r="C15">
        <v>2</v>
      </c>
      <c r="D15" s="45">
        <v>54729</v>
      </c>
      <c r="E15" s="9">
        <f t="shared" si="2"/>
        <v>109458</v>
      </c>
      <c r="F15" s="5"/>
      <c r="G15" s="18"/>
      <c r="I15" s="41" t="s">
        <v>1</v>
      </c>
      <c r="J15">
        <v>2</v>
      </c>
      <c r="K15" s="9">
        <v>31200</v>
      </c>
      <c r="L15" s="9">
        <f t="shared" si="0"/>
        <v>62400</v>
      </c>
      <c r="N15" s="18"/>
      <c r="P15" s="34" t="s">
        <v>20</v>
      </c>
      <c r="Q15">
        <v>1</v>
      </c>
      <c r="R15" s="9">
        <v>77500</v>
      </c>
      <c r="S15" s="9">
        <f t="shared" si="1"/>
        <v>77500</v>
      </c>
      <c r="U15" s="18"/>
    </row>
    <row r="16" spans="2:21" x14ac:dyDescent="0.3">
      <c r="B16" s="41" t="s">
        <v>0</v>
      </c>
      <c r="C16">
        <v>2</v>
      </c>
      <c r="D16" s="46">
        <v>52000</v>
      </c>
      <c r="E16" s="9">
        <f t="shared" si="2"/>
        <v>104000</v>
      </c>
      <c r="F16">
        <v>1</v>
      </c>
      <c r="G16" s="18"/>
      <c r="I16" s="41"/>
      <c r="N16" s="18"/>
      <c r="P16" s="41" t="s">
        <v>1</v>
      </c>
      <c r="Q16">
        <v>2</v>
      </c>
      <c r="R16" s="9">
        <v>30225</v>
      </c>
      <c r="S16" s="9">
        <f t="shared" si="1"/>
        <v>60450</v>
      </c>
      <c r="U16" s="18"/>
    </row>
    <row r="17" spans="2:21" x14ac:dyDescent="0.3">
      <c r="B17" s="41" t="s">
        <v>26</v>
      </c>
      <c r="C17">
        <v>2</v>
      </c>
      <c r="D17" s="45">
        <v>69000</v>
      </c>
      <c r="E17" s="9">
        <f t="shared" si="2"/>
        <v>138000</v>
      </c>
      <c r="F17" s="5"/>
      <c r="G17" s="18"/>
      <c r="I17" s="17"/>
      <c r="N17" s="18"/>
      <c r="P17" s="34"/>
      <c r="U17" s="18"/>
    </row>
    <row r="18" spans="2:21" x14ac:dyDescent="0.3">
      <c r="B18" s="41" t="s">
        <v>27</v>
      </c>
      <c r="C18">
        <v>2</v>
      </c>
      <c r="D18" s="45">
        <v>50533</v>
      </c>
      <c r="E18" s="9">
        <f t="shared" si="2"/>
        <v>101066</v>
      </c>
      <c r="F18" s="3"/>
      <c r="G18" s="18"/>
      <c r="I18" s="17"/>
      <c r="N18" s="18"/>
      <c r="P18" s="17"/>
      <c r="U18" s="18"/>
    </row>
    <row r="19" spans="2:21" x14ac:dyDescent="0.3">
      <c r="B19" s="34" t="s">
        <v>5</v>
      </c>
      <c r="C19">
        <v>3</v>
      </c>
      <c r="D19" s="16">
        <v>36580</v>
      </c>
      <c r="E19" s="9">
        <f t="shared" si="2"/>
        <v>109740</v>
      </c>
      <c r="F19" s="3"/>
      <c r="G19" s="18"/>
      <c r="I19" s="34"/>
      <c r="N19" s="18"/>
      <c r="P19" s="17"/>
      <c r="U19" s="18"/>
    </row>
    <row r="20" spans="2:21" x14ac:dyDescent="0.3">
      <c r="B20" s="34" t="s">
        <v>19</v>
      </c>
      <c r="C20">
        <v>2</v>
      </c>
      <c r="D20" s="45">
        <v>147282</v>
      </c>
      <c r="E20" s="9">
        <f t="shared" si="2"/>
        <v>294564</v>
      </c>
      <c r="F20" s="3"/>
      <c r="G20" s="18"/>
      <c r="I20" s="17"/>
      <c r="N20" s="18"/>
      <c r="P20" s="17"/>
      <c r="U20" s="18"/>
    </row>
    <row r="21" spans="2:21" x14ac:dyDescent="0.3">
      <c r="B21" s="34" t="s">
        <v>20</v>
      </c>
      <c r="C21">
        <v>2</v>
      </c>
      <c r="D21" s="16">
        <v>116000</v>
      </c>
      <c r="E21" s="9">
        <f t="shared" si="2"/>
        <v>232000</v>
      </c>
      <c r="G21" s="18"/>
      <c r="I21" s="17"/>
      <c r="N21" s="18"/>
      <c r="P21" s="19" t="s">
        <v>146</v>
      </c>
      <c r="Q21" s="20"/>
      <c r="R21" s="20"/>
      <c r="S21" s="48">
        <f>SUM(S9:S16)</f>
        <v>692011</v>
      </c>
      <c r="T21" s="20"/>
      <c r="U21" s="21"/>
    </row>
    <row r="22" spans="2:21" x14ac:dyDescent="0.3">
      <c r="B22" s="17"/>
      <c r="G22" s="18"/>
      <c r="I22" s="17"/>
      <c r="N22" s="18"/>
    </row>
    <row r="23" spans="2:21" x14ac:dyDescent="0.3">
      <c r="B23" s="19" t="s">
        <v>154</v>
      </c>
      <c r="C23" s="20"/>
      <c r="D23" s="20"/>
      <c r="E23" s="48">
        <f>SUM(E10:E21)</f>
        <v>2314687</v>
      </c>
      <c r="F23" s="20"/>
      <c r="G23" s="21"/>
      <c r="I23" s="19" t="s">
        <v>146</v>
      </c>
      <c r="J23" s="20"/>
      <c r="K23" s="20"/>
      <c r="L23" s="48">
        <f>SUM(L9:L15)</f>
        <v>539275</v>
      </c>
      <c r="M23" s="20"/>
      <c r="N23" s="21"/>
    </row>
    <row r="25" spans="2:21" x14ac:dyDescent="0.3">
      <c r="P25" s="5"/>
      <c r="Q25" s="5"/>
    </row>
    <row r="26" spans="2:21" x14ac:dyDescent="0.3">
      <c r="B26" s="5"/>
      <c r="C26" s="5"/>
      <c r="E26" s="5"/>
      <c r="F26" s="5"/>
      <c r="P26" s="5"/>
      <c r="Q26" s="5"/>
    </row>
    <row r="27" spans="2:21" x14ac:dyDescent="0.3">
      <c r="B27" s="5"/>
      <c r="C27" s="5"/>
      <c r="E27" s="5"/>
      <c r="F27" s="5">
        <v>1</v>
      </c>
      <c r="G27" s="5" t="s">
        <v>149</v>
      </c>
      <c r="P27" s="5"/>
      <c r="Q27" s="5"/>
    </row>
    <row r="28" spans="2:21" x14ac:dyDescent="0.3">
      <c r="B28" s="5"/>
      <c r="C28" s="5"/>
      <c r="E28" s="5"/>
      <c r="F28" s="5"/>
      <c r="P28" s="5"/>
      <c r="Q28" s="5"/>
    </row>
    <row r="29" spans="2:21" x14ac:dyDescent="0.3">
      <c r="B29" s="5"/>
      <c r="C29" s="5"/>
      <c r="E29" s="5"/>
      <c r="F29" s="5"/>
      <c r="P29" s="5"/>
      <c r="Q29" s="5"/>
    </row>
    <row r="30" spans="2:21" x14ac:dyDescent="0.3">
      <c r="B30" s="5"/>
      <c r="C30" s="5"/>
      <c r="E30" s="5"/>
      <c r="F30" s="5"/>
      <c r="P30" s="5"/>
      <c r="Q30" s="5"/>
    </row>
    <row r="31" spans="2:21" x14ac:dyDescent="0.3">
      <c r="B31" s="5"/>
      <c r="C31" s="5"/>
      <c r="E31" s="5"/>
      <c r="F31" s="5"/>
      <c r="P31" s="5"/>
      <c r="Q31" s="5"/>
    </row>
    <row r="32" spans="2:21" x14ac:dyDescent="0.3">
      <c r="B32" s="5"/>
      <c r="C32" s="5"/>
      <c r="E32" s="5"/>
      <c r="F32" s="5"/>
      <c r="P32" s="5"/>
      <c r="Q32" s="5"/>
    </row>
    <row r="33" spans="2:17" x14ac:dyDescent="0.3">
      <c r="B33" s="5"/>
      <c r="C33" s="5"/>
      <c r="E33" s="5"/>
      <c r="F33" s="5"/>
      <c r="P33" s="5"/>
      <c r="Q33" s="5"/>
    </row>
    <row r="34" spans="2:17" x14ac:dyDescent="0.3">
      <c r="B34" s="5"/>
      <c r="C34" s="5"/>
      <c r="E34" s="5"/>
      <c r="F34" s="5"/>
      <c r="P34" s="3"/>
      <c r="Q34" s="3"/>
    </row>
    <row r="35" spans="2:17" x14ac:dyDescent="0.3">
      <c r="B35" s="3"/>
      <c r="C35" s="3"/>
      <c r="E35" s="3"/>
      <c r="F35" s="3"/>
      <c r="P35" s="3"/>
      <c r="Q35" s="3"/>
    </row>
    <row r="36" spans="2:17" x14ac:dyDescent="0.3">
      <c r="B36" s="3"/>
      <c r="C36" s="3"/>
      <c r="E36" s="3"/>
      <c r="F36" s="3"/>
      <c r="P36" s="3"/>
      <c r="Q36" s="3"/>
    </row>
    <row r="37" spans="2:17" x14ac:dyDescent="0.3">
      <c r="B37" s="3"/>
      <c r="C37" s="3"/>
      <c r="E37" s="3"/>
      <c r="F37" s="3"/>
    </row>
    <row r="38" spans="2:17" x14ac:dyDescent="0.3">
      <c r="B38" s="5"/>
      <c r="C38" s="5"/>
    </row>
    <row r="39" spans="2:17" x14ac:dyDescent="0.3">
      <c r="B39" s="3"/>
      <c r="C39" s="3"/>
    </row>
    <row r="40" spans="2:17" x14ac:dyDescent="0.3">
      <c r="B40" s="3"/>
      <c r="C40" s="3"/>
    </row>
    <row r="41" spans="2:17" x14ac:dyDescent="0.3">
      <c r="B41" s="3"/>
      <c r="C41" s="3"/>
    </row>
  </sheetData>
  <mergeCells count="1">
    <mergeCell ref="P7:U7"/>
  </mergeCells>
  <pageMargins left="0.7" right="0.7" top="0.75" bottom="0.75" header="0.3" footer="0.3"/>
  <ignoredErrors>
    <ignoredError sqref="E13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7A52-E636-45D8-B21F-EEB3AC98CA89}">
  <dimension ref="D3:R68"/>
  <sheetViews>
    <sheetView topLeftCell="E58" workbookViewId="0">
      <selection activeCell="K53" sqref="K53"/>
    </sheetView>
  </sheetViews>
  <sheetFormatPr defaultRowHeight="14.4" x14ac:dyDescent="0.3"/>
  <cols>
    <col min="4" max="4" width="6.33203125" customWidth="1"/>
    <col min="5" max="5" width="22.5546875" bestFit="1" customWidth="1"/>
    <col min="6" max="6" width="27.21875" customWidth="1"/>
    <col min="7" max="7" width="18.6640625" bestFit="1" customWidth="1"/>
    <col min="8" max="8" width="13.44140625" bestFit="1" customWidth="1"/>
    <col min="9" max="9" width="13.44140625" customWidth="1"/>
    <col min="10" max="10" width="13.109375" bestFit="1" customWidth="1"/>
    <col min="11" max="11" width="16.44140625" customWidth="1"/>
    <col min="13" max="13" width="15.109375" bestFit="1" customWidth="1"/>
    <col min="14" max="14" width="8" bestFit="1" customWidth="1"/>
    <col min="15" max="15" width="8.88671875" bestFit="1" customWidth="1"/>
    <col min="16" max="16" width="15.109375" bestFit="1" customWidth="1"/>
  </cols>
  <sheetData>
    <row r="3" spans="7:16" x14ac:dyDescent="0.3">
      <c r="H3" s="96" t="s">
        <v>98</v>
      </c>
      <c r="I3" s="96"/>
      <c r="J3" s="96"/>
      <c r="K3" s="96" t="s">
        <v>100</v>
      </c>
      <c r="L3" s="96"/>
      <c r="M3" s="96"/>
      <c r="N3" s="96" t="s">
        <v>101</v>
      </c>
      <c r="O3" s="96"/>
      <c r="P3" s="96"/>
    </row>
    <row r="4" spans="7:16" x14ac:dyDescent="0.3">
      <c r="H4" s="96"/>
      <c r="I4" s="96"/>
      <c r="J4" s="96"/>
      <c r="K4" s="96"/>
      <c r="L4" s="96"/>
      <c r="M4" s="96"/>
      <c r="N4" s="96"/>
      <c r="O4" s="96"/>
      <c r="P4" s="96"/>
    </row>
    <row r="5" spans="7:16" x14ac:dyDescent="0.3">
      <c r="G5" s="1" t="s">
        <v>22</v>
      </c>
      <c r="H5" t="s">
        <v>159</v>
      </c>
      <c r="I5" t="s">
        <v>160</v>
      </c>
      <c r="J5" t="s">
        <v>161</v>
      </c>
      <c r="K5" t="s">
        <v>159</v>
      </c>
      <c r="L5" t="s">
        <v>160</v>
      </c>
      <c r="M5" t="s">
        <v>161</v>
      </c>
      <c r="N5" t="s">
        <v>159</v>
      </c>
      <c r="O5" t="s">
        <v>160</v>
      </c>
      <c r="P5" t="s">
        <v>161</v>
      </c>
    </row>
    <row r="6" spans="7:16" x14ac:dyDescent="0.3">
      <c r="G6" t="s">
        <v>40</v>
      </c>
      <c r="H6">
        <v>6000</v>
      </c>
      <c r="I6" s="15">
        <v>0.83</v>
      </c>
      <c r="J6" s="15">
        <f>H6*I6*12</f>
        <v>59760</v>
      </c>
      <c r="K6">
        <v>8000</v>
      </c>
      <c r="L6" s="15">
        <v>0.41499999999999998</v>
      </c>
      <c r="M6" s="15">
        <f>K6*L6*12</f>
        <v>39840</v>
      </c>
      <c r="N6">
        <v>3500</v>
      </c>
      <c r="O6" s="15">
        <v>0.43099999999999999</v>
      </c>
      <c r="P6" s="15">
        <f>N6*O6*12</f>
        <v>18102</v>
      </c>
    </row>
    <row r="7" spans="7:16" x14ac:dyDescent="0.3">
      <c r="G7" t="s">
        <v>41</v>
      </c>
      <c r="H7">
        <v>18000</v>
      </c>
      <c r="I7" s="15">
        <v>6.2E-2</v>
      </c>
      <c r="J7" s="15">
        <f>H7*I7*12+1000</f>
        <v>14392</v>
      </c>
      <c r="K7">
        <v>20000</v>
      </c>
      <c r="L7" s="15">
        <v>6.182E-2</v>
      </c>
      <c r="M7" s="15">
        <f>K7*L7*12+1454.84</f>
        <v>16291.640000000001</v>
      </c>
      <c r="N7">
        <v>12000</v>
      </c>
      <c r="O7" s="15">
        <v>6.3E-2</v>
      </c>
      <c r="P7" s="15">
        <f>N7*O7*12+2000</f>
        <v>11072</v>
      </c>
    </row>
    <row r="8" spans="7:16" x14ac:dyDescent="0.3">
      <c r="G8" t="s">
        <v>165</v>
      </c>
      <c r="H8">
        <v>8000000</v>
      </c>
      <c r="I8" s="15">
        <v>4.0299999999999997E-3</v>
      </c>
      <c r="J8" s="15">
        <f>H8*I8*12+200</f>
        <v>387079.99999999994</v>
      </c>
      <c r="K8">
        <v>25000000</v>
      </c>
      <c r="L8" s="15">
        <v>4.1799999999999997E-3</v>
      </c>
      <c r="M8" s="15">
        <f>K8*L8*12+195.36</f>
        <v>1254195.3599999999</v>
      </c>
      <c r="N8">
        <v>7000000</v>
      </c>
      <c r="O8" s="15">
        <v>5.7999999999999996E-3</v>
      </c>
      <c r="P8" s="15">
        <f>N8*O8*12+297</f>
        <v>487497</v>
      </c>
    </row>
    <row r="9" spans="7:16" x14ac:dyDescent="0.3">
      <c r="G9" t="s">
        <v>42</v>
      </c>
    </row>
    <row r="10" spans="7:16" x14ac:dyDescent="0.3">
      <c r="G10" t="s">
        <v>146</v>
      </c>
      <c r="J10" s="15">
        <f>SUM(J6:J8)</f>
        <v>461231.99999999994</v>
      </c>
      <c r="M10" s="15">
        <f>SUM(M6:M8)</f>
        <v>1310326.9999999998</v>
      </c>
      <c r="P10" s="15">
        <f>SUM(P6:P8)</f>
        <v>516671</v>
      </c>
    </row>
    <row r="11" spans="7:16" x14ac:dyDescent="0.3">
      <c r="K11" s="95">
        <v>1</v>
      </c>
      <c r="L11" t="s">
        <v>171</v>
      </c>
    </row>
    <row r="12" spans="7:16" x14ac:dyDescent="0.3">
      <c r="K12" s="95"/>
      <c r="L12" t="s">
        <v>162</v>
      </c>
    </row>
    <row r="13" spans="7:16" x14ac:dyDescent="0.3">
      <c r="K13" s="96">
        <v>2</v>
      </c>
      <c r="L13" t="s">
        <v>164</v>
      </c>
    </row>
    <row r="14" spans="7:16" x14ac:dyDescent="0.3">
      <c r="K14" s="96"/>
      <c r="L14" t="s">
        <v>166</v>
      </c>
    </row>
    <row r="15" spans="7:16" x14ac:dyDescent="0.3">
      <c r="K15" s="96"/>
      <c r="L15" t="s">
        <v>167</v>
      </c>
    </row>
    <row r="16" spans="7:16" x14ac:dyDescent="0.3">
      <c r="K16" s="96">
        <v>3</v>
      </c>
      <c r="L16" t="s">
        <v>168</v>
      </c>
    </row>
    <row r="17" spans="4:16" x14ac:dyDescent="0.3">
      <c r="K17" s="96"/>
      <c r="L17" t="s">
        <v>169</v>
      </c>
    </row>
    <row r="18" spans="4:16" x14ac:dyDescent="0.3">
      <c r="K18" s="96"/>
      <c r="L18" s="43" t="s">
        <v>170</v>
      </c>
    </row>
    <row r="19" spans="4:16" x14ac:dyDescent="0.3">
      <c r="L19" t="s">
        <v>178</v>
      </c>
    </row>
    <row r="20" spans="4:16" x14ac:dyDescent="0.3">
      <c r="L20" t="s">
        <v>179</v>
      </c>
    </row>
    <row r="23" spans="4:16" ht="23.4" x14ac:dyDescent="0.45">
      <c r="D23" s="97" t="s">
        <v>24</v>
      </c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4:16" ht="15.6" x14ac:dyDescent="0.3">
      <c r="F24" s="4" t="s">
        <v>22</v>
      </c>
      <c r="G24" s="4" t="s">
        <v>140</v>
      </c>
      <c r="H24" s="4" t="s">
        <v>29</v>
      </c>
      <c r="I24" s="4"/>
      <c r="J24" s="4" t="s">
        <v>30</v>
      </c>
      <c r="K24" s="4"/>
      <c r="L24" s="4"/>
    </row>
    <row r="25" spans="4:16" ht="15.6" x14ac:dyDescent="0.3">
      <c r="E25" s="96" t="s">
        <v>25</v>
      </c>
      <c r="F25" s="96" t="s">
        <v>98</v>
      </c>
      <c r="G25" s="5"/>
      <c r="H25" s="10"/>
      <c r="I25" s="10"/>
      <c r="K25" t="s">
        <v>82</v>
      </c>
    </row>
    <row r="26" spans="4:16" ht="15.6" x14ac:dyDescent="0.3">
      <c r="E26" s="96"/>
      <c r="F26" s="96"/>
      <c r="G26" s="50"/>
      <c r="H26" s="12"/>
      <c r="I26" s="12"/>
      <c r="J26" s="9"/>
      <c r="K26" t="s">
        <v>83</v>
      </c>
    </row>
    <row r="27" spans="4:16" ht="15.6" x14ac:dyDescent="0.3">
      <c r="E27" s="96"/>
      <c r="F27" s="96"/>
      <c r="G27" s="5"/>
      <c r="H27" s="11"/>
      <c r="I27" s="11"/>
      <c r="J27" s="9">
        <f>'D2 Manufacturing Overhead scena'!E23</f>
        <v>2314687</v>
      </c>
      <c r="K27" t="s">
        <v>84</v>
      </c>
    </row>
    <row r="28" spans="4:16" ht="15.6" x14ac:dyDescent="0.3">
      <c r="E28" s="96"/>
      <c r="F28" s="96"/>
      <c r="G28" s="5"/>
      <c r="H28" s="11"/>
      <c r="I28" s="11"/>
      <c r="K28" t="s">
        <v>85</v>
      </c>
    </row>
    <row r="29" spans="4:16" ht="15.6" x14ac:dyDescent="0.3">
      <c r="E29" s="96"/>
      <c r="F29" s="5"/>
      <c r="G29" s="5"/>
      <c r="H29" s="11"/>
      <c r="I29" s="11"/>
      <c r="K29" t="s">
        <v>86</v>
      </c>
    </row>
    <row r="30" spans="4:16" ht="15.6" x14ac:dyDescent="0.3">
      <c r="E30" s="96"/>
      <c r="F30" s="96" t="s">
        <v>100</v>
      </c>
      <c r="G30" s="5"/>
      <c r="H30" s="13"/>
      <c r="I30" s="13"/>
      <c r="K30" t="s">
        <v>87</v>
      </c>
    </row>
    <row r="31" spans="4:16" ht="15.6" x14ac:dyDescent="0.3">
      <c r="E31" s="96"/>
      <c r="F31" s="96"/>
      <c r="G31" s="50"/>
      <c r="H31" s="12"/>
      <c r="I31" s="12"/>
      <c r="J31" s="9">
        <f>'D2 Manufacturing Overhead scena'!L23</f>
        <v>539275</v>
      </c>
      <c r="K31" t="s">
        <v>88</v>
      </c>
    </row>
    <row r="32" spans="4:16" ht="15.6" x14ac:dyDescent="0.3">
      <c r="E32" s="96"/>
      <c r="F32" s="96"/>
      <c r="G32" s="5"/>
      <c r="H32" s="12"/>
      <c r="I32" s="12"/>
      <c r="K32" t="s">
        <v>92</v>
      </c>
    </row>
    <row r="33" spans="5:18" ht="15.6" x14ac:dyDescent="0.3">
      <c r="E33" s="96"/>
      <c r="F33" s="96"/>
      <c r="G33" s="5"/>
      <c r="H33" s="12"/>
      <c r="I33" s="12"/>
      <c r="K33" t="s">
        <v>91</v>
      </c>
    </row>
    <row r="34" spans="5:18" ht="15.6" x14ac:dyDescent="0.3">
      <c r="E34" s="96"/>
      <c r="F34" s="96" t="s">
        <v>101</v>
      </c>
      <c r="G34" s="3"/>
      <c r="H34" s="12"/>
      <c r="I34" s="12"/>
      <c r="K34" t="s">
        <v>90</v>
      </c>
    </row>
    <row r="35" spans="5:18" ht="15.6" x14ac:dyDescent="0.3">
      <c r="E35" s="96"/>
      <c r="F35" s="96"/>
      <c r="G35" s="51"/>
      <c r="H35" s="11"/>
      <c r="I35" s="11"/>
      <c r="J35" s="9">
        <f>'D2 Manufacturing Overhead scena'!S21</f>
        <v>692011</v>
      </c>
    </row>
    <row r="36" spans="5:18" ht="15.6" x14ac:dyDescent="0.3">
      <c r="E36" s="96"/>
      <c r="F36" s="96"/>
      <c r="G36" s="3"/>
      <c r="H36" s="11"/>
      <c r="I36" s="11"/>
      <c r="K36" t="s">
        <v>89</v>
      </c>
    </row>
    <row r="37" spans="5:18" x14ac:dyDescent="0.3">
      <c r="E37" s="96"/>
      <c r="F37" s="96"/>
      <c r="G37" s="3"/>
    </row>
    <row r="38" spans="5:18" x14ac:dyDescent="0.3">
      <c r="E38" s="96" t="s">
        <v>28</v>
      </c>
      <c r="F38" s="5" t="s">
        <v>31</v>
      </c>
      <c r="G38" s="5"/>
      <c r="H38" s="1">
        <v>0</v>
      </c>
      <c r="I38" s="1"/>
    </row>
    <row r="39" spans="5:18" x14ac:dyDescent="0.3">
      <c r="E39" s="96"/>
      <c r="F39" s="3" t="s">
        <v>32</v>
      </c>
      <c r="G39" s="3"/>
      <c r="H39" s="1"/>
      <c r="I39" s="1"/>
    </row>
    <row r="40" spans="5:18" x14ac:dyDescent="0.3">
      <c r="E40" s="96"/>
      <c r="F40" s="3" t="s">
        <v>33</v>
      </c>
      <c r="G40" s="3"/>
      <c r="H40" s="1"/>
      <c r="I40" s="1"/>
      <c r="M40" s="95" t="s">
        <v>126</v>
      </c>
      <c r="N40" s="95"/>
      <c r="O40" s="95"/>
      <c r="P40" s="95"/>
      <c r="Q40" s="95"/>
      <c r="R40" s="95"/>
    </row>
    <row r="41" spans="5:18" x14ac:dyDescent="0.3">
      <c r="E41" s="96"/>
      <c r="F41" s="3" t="s">
        <v>34</v>
      </c>
      <c r="G41" s="3"/>
      <c r="H41" s="1"/>
      <c r="I41" s="1"/>
    </row>
    <row r="42" spans="5:18" x14ac:dyDescent="0.3">
      <c r="E42" s="96"/>
      <c r="F42" s="3" t="s">
        <v>35</v>
      </c>
      <c r="G42" s="3"/>
      <c r="H42" s="1"/>
      <c r="I42" s="1"/>
    </row>
    <row r="43" spans="5:18" x14ac:dyDescent="0.3">
      <c r="E43" s="96"/>
      <c r="F43" t="s">
        <v>36</v>
      </c>
      <c r="H43" s="1"/>
      <c r="I43" s="1"/>
    </row>
    <row r="44" spans="5:18" x14ac:dyDescent="0.3">
      <c r="E44" s="96"/>
      <c r="F44" t="s">
        <v>37</v>
      </c>
      <c r="H44" s="1"/>
      <c r="I44" s="1"/>
    </row>
    <row r="45" spans="5:18" x14ac:dyDescent="0.3">
      <c r="E45" s="96"/>
      <c r="F45" t="s">
        <v>38</v>
      </c>
      <c r="H45" s="1"/>
      <c r="I45" s="1"/>
    </row>
    <row r="47" spans="5:18" x14ac:dyDescent="0.3">
      <c r="E47" t="s">
        <v>39</v>
      </c>
      <c r="F47" t="s">
        <v>40</v>
      </c>
      <c r="H47" s="15">
        <f>SUM(J6,M6,P6)</f>
        <v>117702</v>
      </c>
      <c r="J47" s="15">
        <f>H47</f>
        <v>117702</v>
      </c>
    </row>
    <row r="48" spans="5:18" x14ac:dyDescent="0.3">
      <c r="F48" t="s">
        <v>41</v>
      </c>
      <c r="H48" s="15">
        <f>SUM(J7,M7,P7)</f>
        <v>41755.64</v>
      </c>
      <c r="J48" s="15">
        <f>H48</f>
        <v>41755.64</v>
      </c>
    </row>
    <row r="49" spans="5:18" x14ac:dyDescent="0.3">
      <c r="F49" t="s">
        <v>165</v>
      </c>
      <c r="H49" s="15">
        <f>SUM(J8,M8,P8)</f>
        <v>2128772.36</v>
      </c>
      <c r="J49" s="15">
        <f>H49</f>
        <v>2128772.36</v>
      </c>
    </row>
    <row r="50" spans="5:18" x14ac:dyDescent="0.3">
      <c r="F50" t="s">
        <v>42</v>
      </c>
    </row>
    <row r="52" spans="5:18" x14ac:dyDescent="0.3">
      <c r="F52" s="72"/>
      <c r="G52" s="72"/>
      <c r="H52" s="72"/>
      <c r="I52" s="72"/>
    </row>
    <row r="53" spans="5:18" x14ac:dyDescent="0.3">
      <c r="F53" s="62"/>
      <c r="G53" s="62"/>
      <c r="H53" s="62"/>
      <c r="I53" s="62"/>
    </row>
    <row r="54" spans="5:18" x14ac:dyDescent="0.3">
      <c r="E54" t="s">
        <v>43</v>
      </c>
      <c r="F54" s="62" t="s">
        <v>44</v>
      </c>
      <c r="G54" s="62"/>
      <c r="H54" s="63">
        <f>'D2 Initial Investment'!J5</f>
        <v>266666.66666666669</v>
      </c>
      <c r="I54" s="62"/>
      <c r="J54" s="15">
        <f>H54</f>
        <v>266666.66666666669</v>
      </c>
    </row>
    <row r="55" spans="5:18" x14ac:dyDescent="0.3">
      <c r="F55" s="62" t="s">
        <v>45</v>
      </c>
      <c r="G55" s="62"/>
      <c r="H55" s="63">
        <v>1095281.2033333334</v>
      </c>
      <c r="I55" s="63"/>
      <c r="J55" s="15">
        <f>H55</f>
        <v>1095281.2033333334</v>
      </c>
      <c r="M55" s="95" t="s">
        <v>126</v>
      </c>
      <c r="N55" s="95"/>
      <c r="O55" s="95"/>
      <c r="P55" s="95"/>
      <c r="Q55" s="95"/>
      <c r="R55" s="95"/>
    </row>
    <row r="56" spans="5:18" x14ac:dyDescent="0.3">
      <c r="F56" s="62"/>
      <c r="G56" s="62"/>
      <c r="H56" s="62"/>
      <c r="I56" s="62"/>
    </row>
    <row r="57" spans="5:18" x14ac:dyDescent="0.3">
      <c r="F57" s="62"/>
      <c r="G57" s="62"/>
      <c r="H57" s="62"/>
      <c r="I57" s="62"/>
    </row>
    <row r="58" spans="5:18" x14ac:dyDescent="0.3">
      <c r="F58" s="72"/>
      <c r="G58" s="72"/>
      <c r="H58" s="72"/>
      <c r="I58" s="72"/>
    </row>
    <row r="62" spans="5:18" x14ac:dyDescent="0.3">
      <c r="F62" t="s">
        <v>181</v>
      </c>
      <c r="J62" s="9">
        <f>SUM(J27:J58)</f>
        <v>7196150.8700000001</v>
      </c>
    </row>
    <row r="65" spans="6:10" x14ac:dyDescent="0.3">
      <c r="F65" t="s">
        <v>182</v>
      </c>
      <c r="J65">
        <v>2000</v>
      </c>
    </row>
    <row r="68" spans="6:10" x14ac:dyDescent="0.3">
      <c r="F68" t="s">
        <v>68</v>
      </c>
      <c r="J68" s="15">
        <f>J62/J65</f>
        <v>3598.0754350000002</v>
      </c>
    </row>
  </sheetData>
  <mergeCells count="14">
    <mergeCell ref="M55:R55"/>
    <mergeCell ref="H3:J4"/>
    <mergeCell ref="K3:M4"/>
    <mergeCell ref="N3:P4"/>
    <mergeCell ref="K16:K18"/>
    <mergeCell ref="K13:K15"/>
    <mergeCell ref="K11:K12"/>
    <mergeCell ref="D23:P23"/>
    <mergeCell ref="M40:R40"/>
    <mergeCell ref="F25:F28"/>
    <mergeCell ref="F30:F33"/>
    <mergeCell ref="F34:F37"/>
    <mergeCell ref="E25:E37"/>
    <mergeCell ref="E38:E45"/>
  </mergeCells>
  <hyperlinks>
    <hyperlink ref="L18" r:id="rId1" xr:uid="{DB32E410-75F6-441C-8229-C4ECFFD23CE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9747-815F-4F51-81DD-E652F56EAFE6}">
  <sheetPr codeName="Sheet1"/>
  <dimension ref="A1:T33"/>
  <sheetViews>
    <sheetView topLeftCell="A21" workbookViewId="0">
      <selection activeCell="H33" sqref="H33"/>
    </sheetView>
  </sheetViews>
  <sheetFormatPr defaultRowHeight="14.4" x14ac:dyDescent="0.3"/>
  <cols>
    <col min="5" max="5" width="23.6640625" bestFit="1" customWidth="1"/>
    <col min="7" max="7" width="13.44140625" bestFit="1" customWidth="1"/>
    <col min="8" max="8" width="11.44140625" bestFit="1" customWidth="1"/>
    <col min="10" max="10" width="15.44140625" bestFit="1" customWidth="1"/>
  </cols>
  <sheetData>
    <row r="1" spans="1:20" x14ac:dyDescent="0.3">
      <c r="A1" t="s">
        <v>172</v>
      </c>
    </row>
    <row r="3" spans="1:20" ht="21" x14ac:dyDescent="0.4">
      <c r="D3" s="88" t="s">
        <v>46</v>
      </c>
      <c r="E3" s="88"/>
      <c r="F3" s="88"/>
      <c r="G3" s="88"/>
      <c r="H3" s="88"/>
      <c r="I3" s="88"/>
      <c r="J3" s="88"/>
      <c r="K3" s="88"/>
    </row>
    <row r="4" spans="1:20" x14ac:dyDescent="0.3">
      <c r="E4" s="62" t="s">
        <v>71</v>
      </c>
      <c r="F4" s="62" t="s">
        <v>72</v>
      </c>
      <c r="G4" s="62" t="s">
        <v>30</v>
      </c>
      <c r="H4" s="62" t="s">
        <v>70</v>
      </c>
      <c r="I4" s="62" t="s">
        <v>125</v>
      </c>
      <c r="J4" s="62" t="s">
        <v>73</v>
      </c>
      <c r="K4" s="62"/>
      <c r="L4" s="62"/>
      <c r="M4" s="62"/>
      <c r="N4" s="62"/>
      <c r="O4" s="62"/>
      <c r="P4" s="62"/>
      <c r="Q4" s="62"/>
      <c r="R4" s="62"/>
      <c r="S4" s="62"/>
      <c r="T4" s="62"/>
    </row>
    <row r="5" spans="1:20" x14ac:dyDescent="0.3">
      <c r="E5" s="65" t="s">
        <v>47</v>
      </c>
      <c r="F5" s="62"/>
      <c r="G5" s="62"/>
      <c r="H5" s="66">
        <v>8000000</v>
      </c>
      <c r="I5" s="62">
        <v>30</v>
      </c>
      <c r="J5" s="63">
        <f>H5/I5</f>
        <v>266666.66666666669</v>
      </c>
      <c r="K5" s="62"/>
      <c r="L5" s="62"/>
      <c r="M5" s="62" t="s">
        <v>122</v>
      </c>
      <c r="N5" s="62"/>
      <c r="O5" s="62"/>
      <c r="P5" s="62"/>
      <c r="Q5" s="62"/>
      <c r="R5" s="62"/>
      <c r="S5" s="62"/>
      <c r="T5" s="62"/>
    </row>
    <row r="6" spans="1:20" x14ac:dyDescent="0.3">
      <c r="E6" s="65" t="s">
        <v>48</v>
      </c>
      <c r="F6" s="62">
        <v>10</v>
      </c>
      <c r="G6" s="66">
        <v>308995</v>
      </c>
      <c r="H6" s="66">
        <f>G6*F6</f>
        <v>3089950</v>
      </c>
      <c r="I6" s="62">
        <v>20</v>
      </c>
      <c r="J6" s="63">
        <f>H6/I6</f>
        <v>154497.5</v>
      </c>
      <c r="K6" s="62"/>
      <c r="L6" s="62"/>
      <c r="M6" s="62" t="s">
        <v>95</v>
      </c>
      <c r="N6" s="62"/>
      <c r="O6" s="62"/>
      <c r="P6" s="62"/>
      <c r="Q6" s="62"/>
      <c r="R6" s="62"/>
      <c r="S6" s="62"/>
      <c r="T6" s="62"/>
    </row>
    <row r="7" spans="1:20" x14ac:dyDescent="0.3">
      <c r="E7" s="65" t="s">
        <v>49</v>
      </c>
      <c r="F7" s="62">
        <v>10</v>
      </c>
      <c r="G7" s="66">
        <v>114295</v>
      </c>
      <c r="H7" s="66">
        <f t="shared" ref="H7:H18" si="0">G7*F7</f>
        <v>1142950</v>
      </c>
      <c r="I7" s="62">
        <v>15</v>
      </c>
      <c r="J7" s="63">
        <f t="shared" ref="J7:J18" si="1">H7/I7</f>
        <v>76196.666666666672</v>
      </c>
      <c r="K7" s="67"/>
      <c r="L7" s="62"/>
      <c r="M7" s="62" t="s">
        <v>96</v>
      </c>
      <c r="N7" s="62"/>
      <c r="O7" s="62"/>
      <c r="P7" s="62"/>
      <c r="Q7" s="62"/>
      <c r="R7" s="62"/>
      <c r="S7" s="62"/>
      <c r="T7" s="62"/>
    </row>
    <row r="8" spans="1:20" x14ac:dyDescent="0.3">
      <c r="E8" s="65" t="s">
        <v>50</v>
      </c>
      <c r="F8" s="62">
        <v>10</v>
      </c>
      <c r="G8" s="63">
        <v>49500</v>
      </c>
      <c r="H8" s="66">
        <f t="shared" si="0"/>
        <v>495000</v>
      </c>
      <c r="I8" s="62">
        <v>10</v>
      </c>
      <c r="J8" s="63">
        <f t="shared" si="1"/>
        <v>49500</v>
      </c>
      <c r="K8" s="62"/>
      <c r="L8" s="62"/>
      <c r="M8" s="62" t="s">
        <v>120</v>
      </c>
      <c r="N8" s="62"/>
      <c r="O8" s="62"/>
      <c r="P8" s="62"/>
      <c r="Q8" s="62"/>
      <c r="R8" s="62"/>
      <c r="S8" s="62"/>
      <c r="T8" s="62"/>
    </row>
    <row r="9" spans="1:20" x14ac:dyDescent="0.3">
      <c r="E9" s="65" t="s">
        <v>51</v>
      </c>
      <c r="F9" s="62">
        <v>10</v>
      </c>
      <c r="G9" s="63">
        <v>57931.12</v>
      </c>
      <c r="H9" s="66">
        <f t="shared" si="0"/>
        <v>579311.20000000007</v>
      </c>
      <c r="I9" s="62">
        <v>10</v>
      </c>
      <c r="J9" s="63">
        <f t="shared" si="1"/>
        <v>57931.12000000001</v>
      </c>
      <c r="K9" s="62"/>
      <c r="L9" s="62"/>
      <c r="M9" s="62" t="s">
        <v>97</v>
      </c>
      <c r="N9" s="62"/>
      <c r="O9" s="62"/>
      <c r="P9" s="62"/>
      <c r="Q9" s="62"/>
      <c r="R9" s="62"/>
      <c r="S9" s="62"/>
      <c r="T9" s="62"/>
    </row>
    <row r="10" spans="1:20" x14ac:dyDescent="0.3">
      <c r="E10" s="65" t="s">
        <v>52</v>
      </c>
      <c r="F10" s="62">
        <v>5</v>
      </c>
      <c r="G10" s="63">
        <v>134997</v>
      </c>
      <c r="H10" s="66">
        <f t="shared" si="0"/>
        <v>674985</v>
      </c>
      <c r="I10" s="62">
        <v>20</v>
      </c>
      <c r="J10" s="63">
        <f t="shared" si="1"/>
        <v>33749.25</v>
      </c>
      <c r="K10" s="62"/>
      <c r="L10" s="62"/>
      <c r="M10" s="62" t="s">
        <v>116</v>
      </c>
      <c r="N10" s="62"/>
      <c r="O10" s="62"/>
      <c r="P10" s="62"/>
      <c r="Q10" s="62"/>
      <c r="R10" s="62"/>
      <c r="S10" s="62"/>
      <c r="T10" s="62"/>
    </row>
    <row r="11" spans="1:20" x14ac:dyDescent="0.3">
      <c r="E11" s="65" t="s">
        <v>53</v>
      </c>
      <c r="F11" s="62">
        <v>10</v>
      </c>
      <c r="G11" s="66">
        <v>59795</v>
      </c>
      <c r="H11" s="66">
        <f t="shared" si="0"/>
        <v>597950</v>
      </c>
      <c r="I11" s="62">
        <v>15</v>
      </c>
      <c r="J11" s="63">
        <f t="shared" si="1"/>
        <v>39863.333333333336</v>
      </c>
      <c r="K11" s="62"/>
      <c r="L11" s="62"/>
      <c r="M11" s="62" t="s">
        <v>115</v>
      </c>
      <c r="N11" s="62"/>
      <c r="O11" s="62"/>
      <c r="P11" s="62"/>
      <c r="Q11" s="62"/>
      <c r="R11" s="62"/>
      <c r="S11" s="62"/>
      <c r="T11" s="62"/>
    </row>
    <row r="12" spans="1:20" x14ac:dyDescent="0.3">
      <c r="E12" s="65" t="s">
        <v>54</v>
      </c>
      <c r="F12" s="62">
        <v>10</v>
      </c>
      <c r="G12" s="66">
        <v>69500</v>
      </c>
      <c r="H12" s="66">
        <f t="shared" si="0"/>
        <v>695000</v>
      </c>
      <c r="I12" s="62">
        <v>15</v>
      </c>
      <c r="J12" s="63">
        <f t="shared" si="1"/>
        <v>46333.333333333336</v>
      </c>
      <c r="K12" s="62"/>
      <c r="L12" s="62"/>
      <c r="M12" s="62" t="s">
        <v>118</v>
      </c>
      <c r="N12" s="62"/>
      <c r="O12" s="62"/>
      <c r="P12" s="62"/>
      <c r="Q12" s="62"/>
      <c r="R12" s="62"/>
      <c r="S12" s="62"/>
      <c r="T12" s="62"/>
    </row>
    <row r="13" spans="1:20" x14ac:dyDescent="0.3">
      <c r="E13" s="65" t="s">
        <v>6</v>
      </c>
      <c r="F13" s="62">
        <v>5</v>
      </c>
      <c r="G13" s="66">
        <v>59500</v>
      </c>
      <c r="H13" s="66">
        <f t="shared" si="0"/>
        <v>297500</v>
      </c>
      <c r="I13" s="62">
        <v>15</v>
      </c>
      <c r="J13" s="63">
        <f t="shared" si="1"/>
        <v>19833.333333333332</v>
      </c>
      <c r="K13" s="62"/>
      <c r="L13" s="62"/>
      <c r="M13" s="62" t="s">
        <v>117</v>
      </c>
      <c r="N13" s="62"/>
      <c r="O13" s="62"/>
      <c r="P13" s="62"/>
      <c r="Q13" s="62"/>
      <c r="R13" s="62"/>
      <c r="S13" s="62"/>
      <c r="T13" s="62"/>
    </row>
    <row r="14" spans="1:20" x14ac:dyDescent="0.3">
      <c r="E14" s="65" t="s">
        <v>55</v>
      </c>
      <c r="F14" s="62">
        <v>10</v>
      </c>
      <c r="G14" s="66">
        <v>105650</v>
      </c>
      <c r="H14" s="66">
        <f t="shared" si="0"/>
        <v>1056500</v>
      </c>
      <c r="I14" s="62">
        <v>10</v>
      </c>
      <c r="J14" s="63">
        <f t="shared" si="1"/>
        <v>105650</v>
      </c>
      <c r="K14" s="62"/>
      <c r="L14" s="62"/>
      <c r="M14" s="62" t="s">
        <v>121</v>
      </c>
      <c r="N14" s="62"/>
      <c r="O14" s="62"/>
      <c r="P14" s="62"/>
      <c r="Q14" s="62"/>
      <c r="R14" s="62"/>
      <c r="S14" s="62"/>
      <c r="T14" s="62"/>
    </row>
    <row r="15" spans="1:20" x14ac:dyDescent="0.3">
      <c r="E15" s="65" t="s">
        <v>56</v>
      </c>
      <c r="F15" s="62">
        <v>10</v>
      </c>
      <c r="G15" s="68">
        <v>346095</v>
      </c>
      <c r="H15" s="66">
        <f t="shared" si="0"/>
        <v>3460950</v>
      </c>
      <c r="I15" s="62">
        <v>15</v>
      </c>
      <c r="J15" s="63">
        <f t="shared" si="1"/>
        <v>230730</v>
      </c>
      <c r="K15" s="62"/>
      <c r="L15" s="62"/>
      <c r="M15" s="62" t="s">
        <v>119</v>
      </c>
      <c r="N15" s="62"/>
      <c r="O15" s="62"/>
      <c r="P15" s="62"/>
      <c r="Q15" s="62"/>
      <c r="R15" s="62"/>
      <c r="S15" s="62"/>
      <c r="T15" s="62"/>
    </row>
    <row r="16" spans="1:20" x14ac:dyDescent="0.3">
      <c r="E16" s="65" t="s">
        <v>69</v>
      </c>
      <c r="F16" s="62">
        <v>5</v>
      </c>
      <c r="G16" s="66">
        <v>500000</v>
      </c>
      <c r="H16" s="66">
        <f t="shared" si="0"/>
        <v>2500000</v>
      </c>
      <c r="I16" s="62">
        <v>20</v>
      </c>
      <c r="J16" s="63">
        <f t="shared" si="1"/>
        <v>125000</v>
      </c>
      <c r="K16" s="62"/>
      <c r="L16" s="62"/>
      <c r="M16" s="62" t="s">
        <v>122</v>
      </c>
      <c r="N16" s="62"/>
      <c r="O16" s="62"/>
      <c r="P16" s="62"/>
      <c r="Q16" s="62"/>
      <c r="R16" s="62"/>
      <c r="S16" s="62"/>
      <c r="T16" s="62"/>
    </row>
    <row r="17" spans="5:20" x14ac:dyDescent="0.3">
      <c r="E17" s="65" t="s">
        <v>204</v>
      </c>
      <c r="F17" s="62">
        <v>3</v>
      </c>
      <c r="G17" s="66">
        <v>50000</v>
      </c>
      <c r="H17" s="66">
        <f t="shared" si="0"/>
        <v>150000</v>
      </c>
      <c r="I17" s="62">
        <v>15</v>
      </c>
      <c r="J17" s="63">
        <f t="shared" si="1"/>
        <v>10000</v>
      </c>
      <c r="K17" s="62"/>
      <c r="L17" s="62"/>
      <c r="M17" s="62" t="s">
        <v>193</v>
      </c>
      <c r="N17" s="62"/>
      <c r="O17" s="62"/>
      <c r="P17" s="62"/>
      <c r="Q17" s="62"/>
      <c r="R17" s="62"/>
      <c r="S17" s="62"/>
      <c r="T17" s="62"/>
    </row>
    <row r="18" spans="5:20" x14ac:dyDescent="0.3">
      <c r="E18" s="65" t="s">
        <v>143</v>
      </c>
      <c r="F18" s="62">
        <v>10</v>
      </c>
      <c r="G18" s="69">
        <v>158995</v>
      </c>
      <c r="H18" s="66">
        <f t="shared" si="0"/>
        <v>1589950</v>
      </c>
      <c r="I18" s="62">
        <v>15</v>
      </c>
      <c r="J18" s="62">
        <f t="shared" si="1"/>
        <v>105996.66666666667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</row>
    <row r="19" spans="5:20" x14ac:dyDescent="0.3">
      <c r="E19" s="65" t="s">
        <v>156</v>
      </c>
      <c r="F19" s="62">
        <v>150</v>
      </c>
      <c r="G19" s="62"/>
      <c r="H19" s="66">
        <f>H29</f>
        <v>5185980</v>
      </c>
      <c r="I19" s="62"/>
      <c r="J19" s="62"/>
      <c r="K19" s="62"/>
      <c r="L19" s="62"/>
      <c r="M19" s="62" t="s">
        <v>127</v>
      </c>
      <c r="N19" s="62"/>
      <c r="O19" s="62"/>
      <c r="P19" s="62"/>
      <c r="Q19" s="62"/>
      <c r="R19" s="62"/>
      <c r="S19" s="62"/>
      <c r="T19" s="62"/>
    </row>
    <row r="20" spans="5:20" x14ac:dyDescent="0.3">
      <c r="E20" s="65" t="s">
        <v>123</v>
      </c>
      <c r="F20" s="62"/>
      <c r="G20" s="66"/>
      <c r="H20" s="66">
        <f>SUM(H5:H18)</f>
        <v>24330046.199999999</v>
      </c>
      <c r="I20" s="62" t="s">
        <v>124</v>
      </c>
      <c r="J20" s="63">
        <f>SUM(J5:J18)</f>
        <v>1321947.8700000003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5:20" x14ac:dyDescent="0.3"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5:20" x14ac:dyDescent="0.3"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5" spans="5:20" x14ac:dyDescent="0.3">
      <c r="F25" t="s">
        <v>174</v>
      </c>
      <c r="G25" t="s">
        <v>175</v>
      </c>
      <c r="H25" t="s">
        <v>161</v>
      </c>
    </row>
    <row r="26" spans="5:20" x14ac:dyDescent="0.3">
      <c r="E26" s="1" t="s">
        <v>98</v>
      </c>
      <c r="F26">
        <v>60</v>
      </c>
      <c r="G26" s="52">
        <v>44239</v>
      </c>
      <c r="H26" s="9">
        <f>G26*F26</f>
        <v>2654340</v>
      </c>
    </row>
    <row r="27" spans="5:20" x14ac:dyDescent="0.3">
      <c r="E27" s="1" t="s">
        <v>173</v>
      </c>
      <c r="F27">
        <v>50</v>
      </c>
      <c r="G27" s="52">
        <v>21412</v>
      </c>
      <c r="H27" s="9">
        <f t="shared" ref="H27:H28" si="2">G27*F27</f>
        <v>1070600</v>
      </c>
      <c r="J27" t="s">
        <v>127</v>
      </c>
    </row>
    <row r="28" spans="5:20" x14ac:dyDescent="0.3">
      <c r="E28" s="1" t="s">
        <v>101</v>
      </c>
      <c r="F28">
        <v>40</v>
      </c>
      <c r="G28" s="52">
        <v>36526</v>
      </c>
      <c r="H28" s="9">
        <f t="shared" si="2"/>
        <v>1461040</v>
      </c>
    </row>
    <row r="29" spans="5:20" x14ac:dyDescent="0.3">
      <c r="G29" t="s">
        <v>146</v>
      </c>
      <c r="H29" s="9">
        <f>SUM(H26:H28)</f>
        <v>5185980</v>
      </c>
    </row>
    <row r="33" spans="5:8" x14ac:dyDescent="0.3">
      <c r="E33" t="s">
        <v>177</v>
      </c>
      <c r="H33" s="9">
        <f>SUM(H5:H19)</f>
        <v>29516026.199999999</v>
      </c>
    </row>
  </sheetData>
  <mergeCells count="1">
    <mergeCell ref="D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4"/>
  <sheetViews>
    <sheetView tabSelected="1" workbookViewId="0">
      <selection activeCell="O7" sqref="O7"/>
    </sheetView>
  </sheetViews>
  <sheetFormatPr defaultRowHeight="14.4" x14ac:dyDescent="0.3"/>
  <cols>
    <col min="3" max="3" width="17.109375" customWidth="1"/>
    <col min="4" max="4" width="18.6640625" customWidth="1"/>
    <col min="5" max="5" width="14.109375" bestFit="1" customWidth="1"/>
    <col min="7" max="7" width="20" customWidth="1"/>
    <col min="8" max="8" width="18.33203125" customWidth="1"/>
    <col min="9" max="9" width="15.109375" bestFit="1" customWidth="1"/>
  </cols>
  <sheetData>
    <row r="3" spans="3:9" ht="21" x14ac:dyDescent="0.4">
      <c r="C3" s="89" t="s">
        <v>194</v>
      </c>
      <c r="D3" s="89"/>
      <c r="E3" s="89"/>
      <c r="F3" s="89"/>
      <c r="G3" s="89"/>
      <c r="H3" s="89"/>
      <c r="I3" s="89"/>
    </row>
    <row r="6" spans="3:9" x14ac:dyDescent="0.3">
      <c r="C6" s="91" t="s">
        <v>93</v>
      </c>
      <c r="D6" s="91"/>
      <c r="E6" s="91"/>
      <c r="F6" s="92"/>
      <c r="G6" s="93" t="s">
        <v>94</v>
      </c>
      <c r="H6" s="93"/>
      <c r="I6" s="93"/>
    </row>
    <row r="7" spans="3:9" x14ac:dyDescent="0.3">
      <c r="C7" s="91"/>
      <c r="D7" s="91"/>
      <c r="E7" s="91"/>
      <c r="F7" s="92"/>
      <c r="G7" s="93"/>
      <c r="H7" s="93"/>
      <c r="I7" s="93"/>
    </row>
    <row r="8" spans="3:9" x14ac:dyDescent="0.3">
      <c r="C8" s="91"/>
      <c r="D8" s="91"/>
      <c r="E8" s="91"/>
      <c r="F8" s="92"/>
      <c r="G8" s="93"/>
      <c r="H8" s="93"/>
      <c r="I8" s="93"/>
    </row>
    <row r="9" spans="3:9" ht="15.6" x14ac:dyDescent="0.3">
      <c r="C9" s="90" t="s">
        <v>58</v>
      </c>
      <c r="D9" s="90"/>
      <c r="E9" s="94">
        <f>SUM(D10:D12)</f>
        <v>33320.791434999999</v>
      </c>
      <c r="F9" s="7"/>
      <c r="G9" s="90" t="s">
        <v>58</v>
      </c>
      <c r="H9" s="90"/>
      <c r="I9" s="94">
        <f>SUM(H10:H12)</f>
        <v>36815.714695000002</v>
      </c>
    </row>
    <row r="10" spans="3:9" ht="15.6" x14ac:dyDescent="0.3">
      <c r="C10" s="28" t="s">
        <v>59</v>
      </c>
      <c r="D10" s="29">
        <f>'D2 Direct Labor'!K33</f>
        <v>6232.7160000000003</v>
      </c>
      <c r="E10" s="92"/>
      <c r="F10" s="7"/>
      <c r="G10" s="28" t="s">
        <v>59</v>
      </c>
      <c r="H10" s="29">
        <f>'Direct Labor'!E21</f>
        <v>7670.0929999999998</v>
      </c>
      <c r="I10" s="92"/>
    </row>
    <row r="11" spans="3:9" ht="15.6" x14ac:dyDescent="0.3">
      <c r="C11" s="28" t="s">
        <v>60</v>
      </c>
      <c r="D11" s="29">
        <f>'Direct Material'!I20</f>
        <v>23490</v>
      </c>
      <c r="E11" s="92"/>
      <c r="F11" s="7"/>
      <c r="G11" s="28" t="s">
        <v>60</v>
      </c>
      <c r="H11" s="29">
        <f>'Direct Material'!I20</f>
        <v>23490</v>
      </c>
      <c r="I11" s="92"/>
    </row>
    <row r="12" spans="3:9" ht="31.2" x14ac:dyDescent="0.3">
      <c r="C12" s="28" t="s">
        <v>61</v>
      </c>
      <c r="D12" s="29">
        <f>'D2 Manufacturing Overhead'!J68</f>
        <v>3598.0754350000002</v>
      </c>
      <c r="E12" s="92"/>
      <c r="F12" s="7"/>
      <c r="G12" s="28" t="s">
        <v>61</v>
      </c>
      <c r="H12" s="29">
        <f>'Manufacturing Overhead'!H47</f>
        <v>5655.6216950000007</v>
      </c>
      <c r="I12" s="92"/>
    </row>
    <row r="13" spans="3:9" ht="15.6" x14ac:dyDescent="0.3">
      <c r="C13" s="90" t="s">
        <v>191</v>
      </c>
      <c r="D13" s="90"/>
      <c r="E13" s="30">
        <v>274</v>
      </c>
      <c r="F13" s="7"/>
      <c r="G13" s="90"/>
      <c r="H13" s="90"/>
      <c r="I13" s="7"/>
    </row>
    <row r="14" spans="3:9" ht="15.6" x14ac:dyDescent="0.3">
      <c r="C14" s="90"/>
      <c r="D14" s="90"/>
      <c r="E14" s="71"/>
      <c r="F14" s="7"/>
      <c r="G14" s="90" t="s">
        <v>62</v>
      </c>
      <c r="H14" s="90"/>
      <c r="I14" s="70">
        <f>('Initial Investment'!H24)/(5*2000)</f>
        <v>3388.7746200000001</v>
      </c>
    </row>
    <row r="15" spans="3:9" ht="15.6" x14ac:dyDescent="0.3">
      <c r="C15" s="90" t="s">
        <v>195</v>
      </c>
      <c r="D15" s="90"/>
      <c r="E15" s="70">
        <f>('D2 Initial Investment'!H33)/(5*2000)</f>
        <v>2951.6026200000001</v>
      </c>
      <c r="F15" s="7"/>
      <c r="G15" s="7"/>
      <c r="H15" s="7"/>
      <c r="I15" s="6"/>
    </row>
    <row r="16" spans="3:9" ht="15.6" x14ac:dyDescent="0.3">
      <c r="C16" s="90" t="s">
        <v>70</v>
      </c>
      <c r="D16" s="90"/>
      <c r="E16" s="73">
        <f>SUM(E9:E15)</f>
        <v>36546.394054999997</v>
      </c>
      <c r="F16" s="7"/>
      <c r="G16" s="90" t="s">
        <v>70</v>
      </c>
      <c r="H16" s="90"/>
      <c r="I16" s="73">
        <f>SUM(I9:I15)</f>
        <v>40204.489314999999</v>
      </c>
    </row>
    <row r="17" spans="2:9" ht="15.6" x14ac:dyDescent="0.3">
      <c r="C17" s="80" t="s">
        <v>202</v>
      </c>
      <c r="D17" s="72"/>
      <c r="E17" s="79">
        <f>E16*2500</f>
        <v>91365985.137499988</v>
      </c>
      <c r="F17" s="72"/>
      <c r="G17" s="72"/>
      <c r="H17" s="72"/>
      <c r="I17" s="79">
        <f>I16*2500</f>
        <v>100511223.28749999</v>
      </c>
    </row>
    <row r="18" spans="2:9" ht="15" thickBot="1" x14ac:dyDescent="0.35"/>
    <row r="19" spans="2:9" ht="24" thickBot="1" x14ac:dyDescent="0.35">
      <c r="E19" s="74" t="s">
        <v>192</v>
      </c>
      <c r="F19" s="75"/>
      <c r="G19" s="87">
        <f>(I17-E17)/I17</f>
        <v>9.0987233573321225E-2</v>
      </c>
    </row>
    <row r="22" spans="2:9" x14ac:dyDescent="0.3">
      <c r="B22" t="s">
        <v>184</v>
      </c>
      <c r="C22" t="s">
        <v>183</v>
      </c>
    </row>
    <row r="23" spans="2:9" x14ac:dyDescent="0.3">
      <c r="B23" t="s">
        <v>185</v>
      </c>
      <c r="C23" t="s">
        <v>186</v>
      </c>
    </row>
    <row r="24" spans="2:9" x14ac:dyDescent="0.3">
      <c r="B24" t="s">
        <v>187</v>
      </c>
      <c r="C24" t="s">
        <v>189</v>
      </c>
    </row>
  </sheetData>
  <mergeCells count="15">
    <mergeCell ref="C3:I3"/>
    <mergeCell ref="C16:D16"/>
    <mergeCell ref="G16:H16"/>
    <mergeCell ref="C6:E8"/>
    <mergeCell ref="F6:F8"/>
    <mergeCell ref="G6:I8"/>
    <mergeCell ref="C9:D9"/>
    <mergeCell ref="E9:E12"/>
    <mergeCell ref="G9:H9"/>
    <mergeCell ref="I9:I12"/>
    <mergeCell ref="C13:D13"/>
    <mergeCell ref="G13:H13"/>
    <mergeCell ref="C14:D14"/>
    <mergeCell ref="G14:H14"/>
    <mergeCell ref="C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7D47-5C8E-40F4-90BB-BC3E4D7EA403}">
  <dimension ref="D11:N34"/>
  <sheetViews>
    <sheetView topLeftCell="F7" workbookViewId="0">
      <selection activeCell="G12" sqref="G12:G14"/>
    </sheetView>
  </sheetViews>
  <sheetFormatPr defaultRowHeight="14.4" x14ac:dyDescent="0.3"/>
  <cols>
    <col min="3" max="3" width="23.6640625" bestFit="1" customWidth="1"/>
    <col min="6" max="6" width="33.88671875" bestFit="1" customWidth="1"/>
    <col min="7" max="7" width="13.33203125" bestFit="1" customWidth="1"/>
    <col min="8" max="8" width="10.109375" bestFit="1" customWidth="1"/>
    <col min="9" max="9" width="15.5546875" bestFit="1" customWidth="1"/>
    <col min="10" max="10" width="24.44140625" customWidth="1"/>
    <col min="11" max="11" width="32.109375" customWidth="1"/>
    <col min="13" max="13" width="18.5546875" bestFit="1" customWidth="1"/>
    <col min="14" max="14" width="12.5546875" bestFit="1" customWidth="1"/>
  </cols>
  <sheetData>
    <row r="11" spans="5:14" ht="18" x14ac:dyDescent="0.35">
      <c r="E11" s="24" t="s">
        <v>63</v>
      </c>
      <c r="F11" s="2" t="s">
        <v>22</v>
      </c>
      <c r="G11" s="2" t="s">
        <v>130</v>
      </c>
      <c r="H11" s="2" t="s">
        <v>128</v>
      </c>
      <c r="I11" s="2" t="s">
        <v>129</v>
      </c>
    </row>
    <row r="12" spans="5:14" x14ac:dyDescent="0.3">
      <c r="E12" s="1">
        <v>1</v>
      </c>
      <c r="F12" s="3" t="s">
        <v>136</v>
      </c>
      <c r="G12" s="1">
        <f>N15</f>
        <v>3780000</v>
      </c>
      <c r="H12" s="22">
        <v>13.05</v>
      </c>
      <c r="I12" s="22">
        <f>G12*H12</f>
        <v>49329000</v>
      </c>
      <c r="J12" t="s">
        <v>187</v>
      </c>
    </row>
    <row r="13" spans="5:14" x14ac:dyDescent="0.3">
      <c r="E13" s="1">
        <v>2</v>
      </c>
      <c r="F13" s="3" t="s">
        <v>135</v>
      </c>
      <c r="G13" s="1">
        <f>N18</f>
        <v>180000</v>
      </c>
      <c r="H13" s="22">
        <v>13.05</v>
      </c>
      <c r="I13" s="22">
        <f t="shared" ref="I13:I14" si="0">G13*H13</f>
        <v>2349000</v>
      </c>
      <c r="J13" t="s">
        <v>155</v>
      </c>
    </row>
    <row r="14" spans="5:14" x14ac:dyDescent="0.3">
      <c r="E14" s="1">
        <v>3</v>
      </c>
      <c r="F14" s="3" t="s">
        <v>137</v>
      </c>
      <c r="G14" s="1">
        <f>M15</f>
        <v>3600000</v>
      </c>
      <c r="H14" s="22">
        <v>13.05</v>
      </c>
      <c r="I14" s="22">
        <f t="shared" si="0"/>
        <v>46980000</v>
      </c>
      <c r="M14" t="s">
        <v>133</v>
      </c>
      <c r="N14" t="s">
        <v>132</v>
      </c>
    </row>
    <row r="15" spans="5:14" x14ac:dyDescent="0.3">
      <c r="E15" s="1"/>
      <c r="G15" s="1"/>
      <c r="H15" s="1"/>
      <c r="I15" s="1"/>
      <c r="M15">
        <f>G17*G19</f>
        <v>3600000</v>
      </c>
      <c r="N15">
        <f>M15+5%*M15</f>
        <v>3780000</v>
      </c>
    </row>
    <row r="17" spans="4:14" x14ac:dyDescent="0.3">
      <c r="F17" s="1" t="s">
        <v>134</v>
      </c>
      <c r="G17">
        <v>2000</v>
      </c>
    </row>
    <row r="18" spans="4:14" x14ac:dyDescent="0.3">
      <c r="M18" t="s">
        <v>23</v>
      </c>
      <c r="N18">
        <f>N15-M15</f>
        <v>180000</v>
      </c>
    </row>
    <row r="19" spans="4:14" x14ac:dyDescent="0.3">
      <c r="F19" t="s">
        <v>196</v>
      </c>
      <c r="G19">
        <v>1800</v>
      </c>
    </row>
    <row r="20" spans="4:14" x14ac:dyDescent="0.3">
      <c r="D20" s="95" t="s">
        <v>139</v>
      </c>
      <c r="E20" s="95"/>
      <c r="F20" s="95"/>
      <c r="I20" s="15">
        <f>I14/G17</f>
        <v>23490</v>
      </c>
    </row>
    <row r="24" spans="4:14" x14ac:dyDescent="0.3">
      <c r="E24" s="1" t="s">
        <v>187</v>
      </c>
      <c r="F24" t="s">
        <v>131</v>
      </c>
    </row>
    <row r="34" spans="9:9" x14ac:dyDescent="0.3">
      <c r="I34">
        <v>8</v>
      </c>
    </row>
  </sheetData>
  <mergeCells count="1">
    <mergeCell ref="D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8475-5B9B-44CB-BA6C-6091C5942DE3}">
  <dimension ref="B3:F24"/>
  <sheetViews>
    <sheetView workbookViewId="0">
      <selection activeCell="F10" sqref="F10"/>
    </sheetView>
  </sheetViews>
  <sheetFormatPr defaultRowHeight="14.4" x14ac:dyDescent="0.3"/>
  <cols>
    <col min="2" max="2" width="32.109375" bestFit="1" customWidth="1"/>
    <col min="3" max="3" width="8" bestFit="1" customWidth="1"/>
    <col min="4" max="4" width="13.21875" bestFit="1" customWidth="1"/>
    <col min="5" max="5" width="26.44140625" customWidth="1"/>
    <col min="6" max="6" width="88" customWidth="1"/>
  </cols>
  <sheetData>
    <row r="3" spans="2:6" ht="18" x14ac:dyDescent="0.35">
      <c r="B3" s="2" t="s">
        <v>105</v>
      </c>
      <c r="C3" s="24" t="s">
        <v>57</v>
      </c>
      <c r="D3" s="24" t="s">
        <v>111</v>
      </c>
      <c r="E3" s="24" t="s">
        <v>112</v>
      </c>
      <c r="F3" s="24" t="s">
        <v>74</v>
      </c>
    </row>
    <row r="4" spans="2:6" ht="15.6" x14ac:dyDescent="0.3">
      <c r="B4" s="3" t="s">
        <v>13</v>
      </c>
      <c r="C4" s="1">
        <v>24</v>
      </c>
      <c r="D4" s="81">
        <v>49541</v>
      </c>
      <c r="E4" s="16">
        <f>D4*C4</f>
        <v>1188984</v>
      </c>
      <c r="F4" t="s">
        <v>75</v>
      </c>
    </row>
    <row r="5" spans="2:6" ht="15.6" x14ac:dyDescent="0.3">
      <c r="B5" s="3" t="s">
        <v>14</v>
      </c>
      <c r="C5" s="1">
        <v>24</v>
      </c>
      <c r="D5" s="81">
        <v>74500</v>
      </c>
      <c r="E5" s="16">
        <f t="shared" ref="E5:E14" si="0">D5*C5</f>
        <v>1788000</v>
      </c>
      <c r="F5" s="43" t="s">
        <v>76</v>
      </c>
    </row>
    <row r="6" spans="2:6" ht="15.6" x14ac:dyDescent="0.3">
      <c r="B6" s="3" t="s">
        <v>15</v>
      </c>
      <c r="C6" s="1">
        <v>24</v>
      </c>
      <c r="D6" s="81">
        <v>46359</v>
      </c>
      <c r="E6" s="16">
        <f t="shared" si="0"/>
        <v>1112616</v>
      </c>
      <c r="F6" t="s">
        <v>77</v>
      </c>
    </row>
    <row r="7" spans="2:6" ht="15.6" x14ac:dyDescent="0.3">
      <c r="B7" s="3" t="s">
        <v>16</v>
      </c>
      <c r="C7" s="1">
        <v>24</v>
      </c>
      <c r="D7" s="82">
        <v>46359</v>
      </c>
      <c r="E7" s="16">
        <f t="shared" si="0"/>
        <v>1112616</v>
      </c>
      <c r="F7" t="s">
        <v>78</v>
      </c>
    </row>
    <row r="8" spans="2:6" ht="15.6" x14ac:dyDescent="0.3">
      <c r="B8" s="3" t="s">
        <v>10</v>
      </c>
      <c r="C8" s="1">
        <v>12</v>
      </c>
      <c r="D8" s="83">
        <v>51200</v>
      </c>
      <c r="E8" s="16">
        <f t="shared" si="0"/>
        <v>614400</v>
      </c>
      <c r="F8" t="s">
        <v>79</v>
      </c>
    </row>
    <row r="9" spans="2:6" ht="15.6" x14ac:dyDescent="0.3">
      <c r="B9" s="3" t="s">
        <v>11</v>
      </c>
      <c r="C9" s="1">
        <v>24</v>
      </c>
      <c r="D9" s="81">
        <v>64500</v>
      </c>
      <c r="E9" s="16">
        <f t="shared" si="0"/>
        <v>1548000</v>
      </c>
      <c r="F9" t="s">
        <v>80</v>
      </c>
    </row>
    <row r="10" spans="2:6" ht="15.6" x14ac:dyDescent="0.3">
      <c r="B10" s="3" t="s">
        <v>12</v>
      </c>
      <c r="C10" s="1">
        <v>24</v>
      </c>
      <c r="D10" s="81">
        <v>46671</v>
      </c>
      <c r="E10" s="16">
        <f t="shared" si="0"/>
        <v>1120104</v>
      </c>
      <c r="F10" s="3" t="s">
        <v>81</v>
      </c>
    </row>
    <row r="11" spans="2:6" ht="15.6" x14ac:dyDescent="0.3">
      <c r="B11" s="3" t="s">
        <v>7</v>
      </c>
      <c r="C11" s="1">
        <v>12</v>
      </c>
      <c r="D11" s="81">
        <v>55053</v>
      </c>
      <c r="E11" s="16">
        <f t="shared" si="0"/>
        <v>660636</v>
      </c>
      <c r="F11" s="3" t="s">
        <v>81</v>
      </c>
    </row>
    <row r="12" spans="2:6" ht="15.6" x14ac:dyDescent="0.3">
      <c r="B12" s="3" t="s">
        <v>8</v>
      </c>
      <c r="C12" s="1">
        <v>24</v>
      </c>
      <c r="D12" s="81">
        <v>60787</v>
      </c>
      <c r="E12" s="16">
        <f t="shared" si="0"/>
        <v>1458888</v>
      </c>
      <c r="F12" s="26" t="s">
        <v>107</v>
      </c>
    </row>
    <row r="13" spans="2:6" ht="15.6" x14ac:dyDescent="0.3">
      <c r="B13" s="3" t="s">
        <v>9</v>
      </c>
      <c r="C13" s="1">
        <v>24</v>
      </c>
      <c r="D13" s="83">
        <v>42389</v>
      </c>
      <c r="E13" s="16">
        <f t="shared" si="0"/>
        <v>1017336</v>
      </c>
      <c r="F13" s="26" t="s">
        <v>108</v>
      </c>
    </row>
    <row r="14" spans="2:6" ht="15.6" x14ac:dyDescent="0.3">
      <c r="B14" s="3" t="s">
        <v>21</v>
      </c>
      <c r="C14" s="1">
        <v>36</v>
      </c>
      <c r="D14" s="84">
        <v>50721</v>
      </c>
      <c r="E14" s="16">
        <f t="shared" si="0"/>
        <v>1825956</v>
      </c>
      <c r="F14" t="s">
        <v>106</v>
      </c>
    </row>
    <row r="15" spans="2:6" ht="15.6" x14ac:dyDescent="0.3">
      <c r="B15" s="3" t="s">
        <v>17</v>
      </c>
      <c r="C15" s="1">
        <v>50</v>
      </c>
      <c r="D15" s="82">
        <v>37853</v>
      </c>
      <c r="E15" s="16">
        <f>D15*C15</f>
        <v>1892650</v>
      </c>
      <c r="F15" t="s">
        <v>109</v>
      </c>
    </row>
    <row r="16" spans="2:6" x14ac:dyDescent="0.3">
      <c r="B16" s="3"/>
      <c r="C16" s="1"/>
      <c r="D16" s="16"/>
      <c r="E16" s="1"/>
    </row>
    <row r="17" spans="2:6" x14ac:dyDescent="0.3">
      <c r="B17" s="3" t="s">
        <v>65</v>
      </c>
      <c r="C17" s="1">
        <f>SUM(C4:C15)</f>
        <v>302</v>
      </c>
      <c r="D17" s="1"/>
      <c r="E17" s="86">
        <f>SUM(E4:E15)</f>
        <v>15340186</v>
      </c>
    </row>
    <row r="18" spans="2:6" x14ac:dyDescent="0.3">
      <c r="B18" s="3"/>
      <c r="C18" s="1"/>
      <c r="D18" s="1"/>
      <c r="E18" s="1"/>
    </row>
    <row r="19" spans="2:6" x14ac:dyDescent="0.3">
      <c r="B19" s="3" t="s">
        <v>64</v>
      </c>
      <c r="C19" s="1"/>
      <c r="D19" s="1"/>
      <c r="E19" s="1">
        <v>2000</v>
      </c>
      <c r="F19" t="s">
        <v>190</v>
      </c>
    </row>
    <row r="20" spans="2:6" x14ac:dyDescent="0.3">
      <c r="B20" s="3"/>
      <c r="C20" s="1"/>
      <c r="D20" s="1"/>
      <c r="E20" s="1"/>
    </row>
    <row r="21" spans="2:6" ht="15.6" x14ac:dyDescent="0.3">
      <c r="B21" s="3" t="s">
        <v>66</v>
      </c>
      <c r="C21" s="1"/>
      <c r="D21" s="1"/>
      <c r="E21" s="85">
        <f>E17/E19</f>
        <v>7670.0929999999998</v>
      </c>
    </row>
    <row r="24" spans="2:6" x14ac:dyDescent="0.3">
      <c r="F24" s="3"/>
    </row>
  </sheetData>
  <hyperlinks>
    <hyperlink ref="F12" r:id="rId1" xr:uid="{2C6A06CE-4661-4423-9553-DF877A8AA1DB}"/>
    <hyperlink ref="F13" r:id="rId2" xr:uid="{D34115CB-6FD5-4E0C-A7C3-C20593FF3B56}"/>
    <hyperlink ref="F5" r:id="rId3" xr:uid="{E07B7FAF-8518-4ED5-AAB0-13A8E74A3D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4C74-634C-44AE-B8E6-42A6AEF64E44}">
  <dimension ref="C4:O47"/>
  <sheetViews>
    <sheetView topLeftCell="A22" workbookViewId="0">
      <selection activeCell="H47" sqref="H47"/>
    </sheetView>
  </sheetViews>
  <sheetFormatPr defaultRowHeight="14.4" x14ac:dyDescent="0.3"/>
  <cols>
    <col min="4" max="4" width="15.33203125" bestFit="1" customWidth="1"/>
    <col min="5" max="5" width="30" bestFit="1" customWidth="1"/>
    <col min="6" max="6" width="9" bestFit="1" customWidth="1"/>
    <col min="7" max="7" width="14.88671875" customWidth="1"/>
    <col min="8" max="8" width="14.33203125" customWidth="1"/>
    <col min="9" max="9" width="12.44140625" customWidth="1"/>
    <col min="10" max="10" width="13.109375" bestFit="1" customWidth="1"/>
  </cols>
  <sheetData>
    <row r="4" spans="3:12" ht="23.4" x14ac:dyDescent="0.45">
      <c r="C4" s="97" t="s">
        <v>24</v>
      </c>
      <c r="D4" s="97"/>
      <c r="E4" s="97"/>
      <c r="F4" s="97"/>
      <c r="G4" s="97"/>
      <c r="H4" s="97"/>
      <c r="I4" s="97"/>
      <c r="J4" s="97"/>
      <c r="K4" s="97"/>
      <c r="L4" s="97"/>
    </row>
    <row r="5" spans="3:12" ht="15.6" x14ac:dyDescent="0.3">
      <c r="E5" s="4" t="s">
        <v>22</v>
      </c>
      <c r="F5" s="37" t="s">
        <v>140</v>
      </c>
      <c r="G5" s="4" t="s">
        <v>29</v>
      </c>
      <c r="H5" s="4" t="s">
        <v>30</v>
      </c>
      <c r="I5" s="4"/>
    </row>
    <row r="6" spans="3:12" ht="15.6" x14ac:dyDescent="0.3">
      <c r="D6" s="96" t="s">
        <v>25</v>
      </c>
      <c r="E6" s="5" t="s">
        <v>1</v>
      </c>
      <c r="F6" s="77">
        <v>15</v>
      </c>
      <c r="G6" s="55">
        <v>34309</v>
      </c>
      <c r="H6" s="16">
        <f>G6*F6</f>
        <v>514635</v>
      </c>
      <c r="I6" s="43" t="s">
        <v>82</v>
      </c>
    </row>
    <row r="7" spans="3:12" ht="15.6" x14ac:dyDescent="0.3">
      <c r="D7" s="96"/>
      <c r="E7" s="5" t="s">
        <v>3</v>
      </c>
      <c r="F7" s="77">
        <v>20</v>
      </c>
      <c r="G7" s="56">
        <v>37103</v>
      </c>
      <c r="H7" s="16">
        <f t="shared" ref="H7:H17" si="0">G7*F7</f>
        <v>742060</v>
      </c>
      <c r="I7" t="s">
        <v>83</v>
      </c>
    </row>
    <row r="8" spans="3:12" ht="15.6" x14ac:dyDescent="0.3">
      <c r="D8" s="96"/>
      <c r="E8" s="5" t="s">
        <v>4</v>
      </c>
      <c r="F8" s="77">
        <v>4</v>
      </c>
      <c r="G8" s="57">
        <v>227204</v>
      </c>
      <c r="H8" s="16">
        <f t="shared" si="0"/>
        <v>908816</v>
      </c>
      <c r="I8" t="s">
        <v>147</v>
      </c>
    </row>
    <row r="9" spans="3:12" ht="15.6" x14ac:dyDescent="0.3">
      <c r="D9" s="96"/>
      <c r="E9" s="5" t="s">
        <v>2</v>
      </c>
      <c r="F9" s="77">
        <v>7</v>
      </c>
      <c r="G9" s="57">
        <v>90633</v>
      </c>
      <c r="H9" s="16">
        <f t="shared" si="0"/>
        <v>634431</v>
      </c>
      <c r="I9" t="s">
        <v>85</v>
      </c>
    </row>
    <row r="10" spans="3:12" ht="15.6" x14ac:dyDescent="0.3">
      <c r="D10" s="96"/>
      <c r="E10" s="5" t="s">
        <v>18</v>
      </c>
      <c r="F10" s="77">
        <v>10</v>
      </c>
      <c r="G10" s="57">
        <v>59004</v>
      </c>
      <c r="H10" s="16">
        <f t="shared" si="0"/>
        <v>590040</v>
      </c>
      <c r="I10" t="s">
        <v>86</v>
      </c>
    </row>
    <row r="11" spans="3:12" ht="15.6" x14ac:dyDescent="0.3">
      <c r="D11" s="96"/>
      <c r="E11" s="5" t="s">
        <v>142</v>
      </c>
      <c r="F11" s="77">
        <v>4</v>
      </c>
      <c r="G11" s="56">
        <v>68614</v>
      </c>
      <c r="H11" s="16">
        <f t="shared" si="0"/>
        <v>274456</v>
      </c>
      <c r="I11" t="s">
        <v>87</v>
      </c>
    </row>
    <row r="12" spans="3:12" ht="15.6" x14ac:dyDescent="0.3">
      <c r="D12" s="96"/>
      <c r="E12" s="5" t="s">
        <v>0</v>
      </c>
      <c r="F12" s="77">
        <v>7</v>
      </c>
      <c r="G12" s="56">
        <v>73929</v>
      </c>
      <c r="H12" s="16">
        <f t="shared" si="0"/>
        <v>517503</v>
      </c>
      <c r="I12" t="s">
        <v>88</v>
      </c>
    </row>
    <row r="13" spans="3:12" ht="15.6" x14ac:dyDescent="0.3">
      <c r="D13" s="96"/>
      <c r="E13" s="5" t="s">
        <v>26</v>
      </c>
      <c r="F13" s="77">
        <v>5</v>
      </c>
      <c r="G13" s="56">
        <v>70077</v>
      </c>
      <c r="H13" s="16">
        <f t="shared" si="0"/>
        <v>350385</v>
      </c>
      <c r="I13" t="s">
        <v>150</v>
      </c>
    </row>
    <row r="14" spans="3:12" ht="15.6" x14ac:dyDescent="0.3">
      <c r="D14" s="96"/>
      <c r="E14" s="5" t="s">
        <v>27</v>
      </c>
      <c r="F14" s="77">
        <v>4</v>
      </c>
      <c r="G14" s="57">
        <v>63518</v>
      </c>
      <c r="H14" s="16">
        <f t="shared" si="0"/>
        <v>254072</v>
      </c>
      <c r="I14" t="s">
        <v>91</v>
      </c>
    </row>
    <row r="15" spans="3:12" ht="15.6" x14ac:dyDescent="0.3">
      <c r="E15" s="3" t="s">
        <v>141</v>
      </c>
      <c r="F15" s="1">
        <v>10</v>
      </c>
      <c r="G15" s="56">
        <v>36563</v>
      </c>
      <c r="H15" s="16">
        <f t="shared" si="0"/>
        <v>365630</v>
      </c>
      <c r="I15" t="s">
        <v>90</v>
      </c>
    </row>
    <row r="16" spans="3:12" ht="15.6" x14ac:dyDescent="0.3">
      <c r="E16" s="3" t="s">
        <v>19</v>
      </c>
      <c r="F16" s="1">
        <v>5</v>
      </c>
      <c r="G16" s="57">
        <v>168127</v>
      </c>
      <c r="H16" s="16">
        <f t="shared" si="0"/>
        <v>840635</v>
      </c>
      <c r="I16" t="s">
        <v>151</v>
      </c>
    </row>
    <row r="17" spans="4:15" ht="15.6" x14ac:dyDescent="0.3">
      <c r="E17" s="3" t="s">
        <v>20</v>
      </c>
      <c r="F17" s="1">
        <v>7</v>
      </c>
      <c r="G17" s="57">
        <v>125000</v>
      </c>
      <c r="H17" s="16">
        <f t="shared" si="0"/>
        <v>875000</v>
      </c>
      <c r="I17" t="s">
        <v>152</v>
      </c>
    </row>
    <row r="18" spans="4:15" ht="15.6" x14ac:dyDescent="0.3">
      <c r="E18" s="3" t="s">
        <v>70</v>
      </c>
      <c r="F18" s="1"/>
      <c r="G18" s="53"/>
      <c r="H18" s="86">
        <f>SUM(H6:H17)</f>
        <v>6867663</v>
      </c>
    </row>
    <row r="19" spans="4:15" ht="15.6" customHeight="1" x14ac:dyDescent="0.3">
      <c r="D19" t="s">
        <v>28</v>
      </c>
      <c r="E19" s="5" t="s">
        <v>31</v>
      </c>
      <c r="F19" s="5"/>
      <c r="G19" s="98">
        <v>0</v>
      </c>
    </row>
    <row r="20" spans="4:15" ht="15.6" customHeight="1" x14ac:dyDescent="0.3">
      <c r="E20" s="3" t="s">
        <v>32</v>
      </c>
      <c r="F20" s="3"/>
      <c r="G20" s="98"/>
    </row>
    <row r="21" spans="4:15" ht="15.6" customHeight="1" x14ac:dyDescent="0.3">
      <c r="E21" s="3" t="s">
        <v>33</v>
      </c>
      <c r="F21" s="3"/>
      <c r="G21" s="98"/>
      <c r="J21" s="95" t="s">
        <v>126</v>
      </c>
      <c r="K21" s="95"/>
      <c r="L21" s="95"/>
      <c r="M21" s="95"/>
      <c r="N21" s="95"/>
    </row>
    <row r="22" spans="4:15" ht="15.6" customHeight="1" x14ac:dyDescent="0.3">
      <c r="E22" s="3" t="s">
        <v>34</v>
      </c>
      <c r="F22" s="3"/>
      <c r="G22" s="98"/>
    </row>
    <row r="23" spans="4:15" ht="15.6" customHeight="1" x14ac:dyDescent="0.3">
      <c r="E23" s="3" t="s">
        <v>35</v>
      </c>
      <c r="F23" s="3"/>
      <c r="G23" s="98"/>
    </row>
    <row r="24" spans="4:15" ht="15.6" customHeight="1" x14ac:dyDescent="0.3">
      <c r="E24" t="s">
        <v>36</v>
      </c>
      <c r="G24" s="98"/>
    </row>
    <row r="25" spans="4:15" ht="15.6" customHeight="1" x14ac:dyDescent="0.3">
      <c r="E25" t="s">
        <v>37</v>
      </c>
      <c r="G25" s="98"/>
    </row>
    <row r="26" spans="4:15" ht="15.6" customHeight="1" x14ac:dyDescent="0.3">
      <c r="E26" t="s">
        <v>38</v>
      </c>
      <c r="G26" s="98"/>
    </row>
    <row r="27" spans="4:15" ht="15.6" x14ac:dyDescent="0.3">
      <c r="G27" s="53"/>
      <c r="I27" t="s">
        <v>197</v>
      </c>
    </row>
    <row r="28" spans="4:15" ht="15.6" x14ac:dyDescent="0.3">
      <c r="D28" t="s">
        <v>39</v>
      </c>
      <c r="E28" t="s">
        <v>199</v>
      </c>
      <c r="F28" s="59">
        <v>17500</v>
      </c>
      <c r="G28" s="78">
        <v>0.92900000000000005</v>
      </c>
      <c r="H28" s="15">
        <f>F28*G28*12</f>
        <v>195090</v>
      </c>
      <c r="J28" s="15">
        <f>H28</f>
        <v>195090</v>
      </c>
      <c r="K28" s="43" t="s">
        <v>157</v>
      </c>
    </row>
    <row r="29" spans="4:15" ht="15.6" x14ac:dyDescent="0.3">
      <c r="E29" t="s">
        <v>200</v>
      </c>
      <c r="F29" s="59">
        <v>50000</v>
      </c>
      <c r="G29" s="78">
        <v>6.4600000000000005E-2</v>
      </c>
      <c r="H29" s="15">
        <f>F29*G29*12</f>
        <v>38760.000000000007</v>
      </c>
      <c r="I29" s="15">
        <v>7500</v>
      </c>
      <c r="J29" s="15">
        <f>H29+I29</f>
        <v>46260.000000000007</v>
      </c>
      <c r="K29" t="s">
        <v>158</v>
      </c>
    </row>
    <row r="30" spans="4:15" ht="15.6" x14ac:dyDescent="0.3">
      <c r="E30" t="s">
        <v>201</v>
      </c>
      <c r="F30" s="59">
        <v>40000000</v>
      </c>
      <c r="G30" s="78">
        <v>6.0000000000000001E-3</v>
      </c>
      <c r="H30" s="15">
        <f>F30*G30*12</f>
        <v>2880000</v>
      </c>
      <c r="I30">
        <v>282.52</v>
      </c>
      <c r="J30" s="15">
        <f>H30+I30</f>
        <v>2880282.52</v>
      </c>
      <c r="K30" s="43" t="s">
        <v>163</v>
      </c>
    </row>
    <row r="31" spans="4:15" ht="15.6" x14ac:dyDescent="0.3">
      <c r="E31" t="s">
        <v>42</v>
      </c>
      <c r="F31" s="59"/>
      <c r="G31" s="53">
        <v>0</v>
      </c>
      <c r="K31" s="95" t="s">
        <v>126</v>
      </c>
      <c r="L31" s="95"/>
      <c r="M31" s="95"/>
      <c r="N31" s="95"/>
      <c r="O31" s="95"/>
    </row>
    <row r="32" spans="4:15" ht="15.6" x14ac:dyDescent="0.3">
      <c r="F32" s="59"/>
      <c r="G32" s="53"/>
    </row>
    <row r="33" spans="3:8" ht="15.6" x14ac:dyDescent="0.3">
      <c r="G33" s="53"/>
    </row>
    <row r="34" spans="3:8" ht="15.6" x14ac:dyDescent="0.3">
      <c r="G34" s="53"/>
    </row>
    <row r="35" spans="3:8" ht="15.6" x14ac:dyDescent="0.3">
      <c r="D35" t="s">
        <v>43</v>
      </c>
      <c r="E35" t="s">
        <v>198</v>
      </c>
      <c r="G35" s="54"/>
      <c r="H35" s="22"/>
    </row>
    <row r="36" spans="3:8" x14ac:dyDescent="0.3">
      <c r="E36" t="s">
        <v>45</v>
      </c>
      <c r="G36" s="22">
        <f>'Initial Investment'!J20</f>
        <v>1321947.8700000003</v>
      </c>
      <c r="H36" s="22">
        <f>G36</f>
        <v>1321947.8700000003</v>
      </c>
    </row>
    <row r="37" spans="3:8" x14ac:dyDescent="0.3">
      <c r="G37" s="1"/>
      <c r="H37" s="1"/>
    </row>
    <row r="38" spans="3:8" x14ac:dyDescent="0.3">
      <c r="G38" s="1"/>
      <c r="H38" s="1"/>
    </row>
    <row r="39" spans="3:8" x14ac:dyDescent="0.3">
      <c r="G39" s="1"/>
      <c r="H39" s="1"/>
    </row>
    <row r="40" spans="3:8" x14ac:dyDescent="0.3">
      <c r="G40" s="1"/>
      <c r="H40" s="1"/>
    </row>
    <row r="41" spans="3:8" x14ac:dyDescent="0.3">
      <c r="D41" t="s">
        <v>67</v>
      </c>
      <c r="G41" s="1"/>
      <c r="H41" s="16">
        <f>SUM(H18,J28,J29,J30,H35,H36)</f>
        <v>11311243.390000001</v>
      </c>
    </row>
    <row r="42" spans="3:8" x14ac:dyDescent="0.3">
      <c r="G42" s="1"/>
      <c r="H42" s="1"/>
    </row>
    <row r="43" spans="3:8" x14ac:dyDescent="0.3">
      <c r="G43" s="1"/>
      <c r="H43" s="1"/>
    </row>
    <row r="44" spans="3:8" x14ac:dyDescent="0.3">
      <c r="C44" t="s">
        <v>64</v>
      </c>
      <c r="F44">
        <v>2000</v>
      </c>
      <c r="G44" s="1"/>
      <c r="H44" s="1"/>
    </row>
    <row r="45" spans="3:8" x14ac:dyDescent="0.3">
      <c r="G45" s="1"/>
      <c r="H45" s="1"/>
    </row>
    <row r="46" spans="3:8" x14ac:dyDescent="0.3">
      <c r="G46" s="1"/>
      <c r="H46" s="1"/>
    </row>
    <row r="47" spans="3:8" x14ac:dyDescent="0.3">
      <c r="D47" s="95" t="s">
        <v>68</v>
      </c>
      <c r="E47" s="95"/>
      <c r="F47" s="1"/>
      <c r="G47" s="1"/>
      <c r="H47" s="22">
        <f>H41/F44</f>
        <v>5655.6216950000007</v>
      </c>
    </row>
  </sheetData>
  <mergeCells count="6">
    <mergeCell ref="D6:D14"/>
    <mergeCell ref="C4:L4"/>
    <mergeCell ref="D47:E47"/>
    <mergeCell ref="J21:N21"/>
    <mergeCell ref="K31:O31"/>
    <mergeCell ref="G19:G26"/>
  </mergeCells>
  <hyperlinks>
    <hyperlink ref="I6" r:id="rId1" xr:uid="{8DA597D3-B5DB-4C83-BC90-FC7D16599BDF}"/>
    <hyperlink ref="K30" r:id="rId2" xr:uid="{F58D6812-83D7-41AA-B76D-A7AC0A6FD3F3}"/>
    <hyperlink ref="K28" r:id="rId3" xr:uid="{28B4BB0C-CFE5-46B7-9C55-E3AD51237F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615D-474D-4B5A-80E3-3FC5922431E6}">
  <dimension ref="A3:N24"/>
  <sheetViews>
    <sheetView topLeftCell="A11" workbookViewId="0">
      <selection activeCell="H24" sqref="H24"/>
    </sheetView>
  </sheetViews>
  <sheetFormatPr defaultRowHeight="14.4" x14ac:dyDescent="0.3"/>
  <cols>
    <col min="5" max="5" width="32.109375" bestFit="1" customWidth="1"/>
    <col min="6" max="6" width="14.77734375" bestFit="1" customWidth="1"/>
    <col min="7" max="7" width="11.5546875" bestFit="1" customWidth="1"/>
    <col min="8" max="8" width="13.109375" bestFit="1" customWidth="1"/>
    <col min="9" max="9" width="25.88671875" bestFit="1" customWidth="1"/>
    <col min="10" max="10" width="15.44140625" bestFit="1" customWidth="1"/>
  </cols>
  <sheetData>
    <row r="3" spans="1:13" ht="21" x14ac:dyDescent="0.4">
      <c r="D3" s="88" t="s">
        <v>46</v>
      </c>
      <c r="E3" s="88"/>
      <c r="F3" s="88"/>
      <c r="G3" s="88"/>
      <c r="H3" s="88"/>
      <c r="I3" s="88"/>
      <c r="J3" s="88"/>
      <c r="K3" s="88"/>
    </row>
    <row r="4" spans="1:13" x14ac:dyDescent="0.3">
      <c r="E4" t="s">
        <v>71</v>
      </c>
      <c r="F4" t="s">
        <v>72</v>
      </c>
      <c r="G4" t="s">
        <v>30</v>
      </c>
      <c r="H4" t="s">
        <v>70</v>
      </c>
      <c r="I4" t="s">
        <v>125</v>
      </c>
      <c r="J4" t="s">
        <v>73</v>
      </c>
    </row>
    <row r="5" spans="1:13" x14ac:dyDescent="0.3">
      <c r="E5" s="3" t="s">
        <v>47</v>
      </c>
      <c r="H5" s="66">
        <v>8000000</v>
      </c>
      <c r="I5">
        <v>30</v>
      </c>
      <c r="J5" s="15">
        <f>H5/I5</f>
        <v>266666.66666666669</v>
      </c>
      <c r="M5" t="s">
        <v>122</v>
      </c>
    </row>
    <row r="6" spans="1:13" x14ac:dyDescent="0.3">
      <c r="E6" s="3" t="s">
        <v>48</v>
      </c>
      <c r="F6">
        <v>10</v>
      </c>
      <c r="G6" s="9">
        <v>308995</v>
      </c>
      <c r="H6" s="9">
        <f>G6*F6</f>
        <v>3089950</v>
      </c>
      <c r="I6">
        <v>20</v>
      </c>
      <c r="J6" s="15">
        <f>H6/I6</f>
        <v>154497.5</v>
      </c>
      <c r="M6" t="s">
        <v>95</v>
      </c>
    </row>
    <row r="7" spans="1:13" x14ac:dyDescent="0.3">
      <c r="E7" s="3" t="s">
        <v>49</v>
      </c>
      <c r="F7">
        <v>10</v>
      </c>
      <c r="G7" s="9">
        <v>114295</v>
      </c>
      <c r="H7" s="9">
        <f t="shared" ref="H7:H17" si="0">G7*F7</f>
        <v>1142950</v>
      </c>
      <c r="I7">
        <v>15</v>
      </c>
      <c r="J7" s="15">
        <f t="shared" ref="J7:J18" si="1">H7/I7</f>
        <v>76196.666666666672</v>
      </c>
      <c r="K7" s="14"/>
      <c r="M7" t="s">
        <v>96</v>
      </c>
    </row>
    <row r="8" spans="1:13" x14ac:dyDescent="0.3">
      <c r="E8" s="3" t="s">
        <v>50</v>
      </c>
      <c r="F8">
        <v>10</v>
      </c>
      <c r="G8" s="15">
        <v>49500</v>
      </c>
      <c r="H8" s="9">
        <f t="shared" si="0"/>
        <v>495000</v>
      </c>
      <c r="I8">
        <v>10</v>
      </c>
      <c r="J8" s="15">
        <f t="shared" si="1"/>
        <v>49500</v>
      </c>
      <c r="M8" t="s">
        <v>120</v>
      </c>
    </row>
    <row r="9" spans="1:13" x14ac:dyDescent="0.3">
      <c r="E9" s="3" t="s">
        <v>51</v>
      </c>
      <c r="F9">
        <v>10</v>
      </c>
      <c r="G9" s="15">
        <v>57931.12</v>
      </c>
      <c r="H9" s="9">
        <f t="shared" si="0"/>
        <v>579311.20000000007</v>
      </c>
      <c r="I9">
        <v>10</v>
      </c>
      <c r="J9" s="15">
        <f t="shared" si="1"/>
        <v>57931.12000000001</v>
      </c>
      <c r="M9" t="s">
        <v>97</v>
      </c>
    </row>
    <row r="10" spans="1:13" x14ac:dyDescent="0.3">
      <c r="E10" s="3" t="s">
        <v>52</v>
      </c>
      <c r="F10">
        <v>5</v>
      </c>
      <c r="G10" s="15">
        <v>134997</v>
      </c>
      <c r="H10" s="9">
        <f t="shared" si="0"/>
        <v>674985</v>
      </c>
      <c r="I10">
        <v>20</v>
      </c>
      <c r="J10" s="15">
        <f t="shared" si="1"/>
        <v>33749.25</v>
      </c>
      <c r="M10" t="s">
        <v>116</v>
      </c>
    </row>
    <row r="11" spans="1:13" x14ac:dyDescent="0.3">
      <c r="E11" s="3" t="s">
        <v>53</v>
      </c>
      <c r="F11">
        <v>10</v>
      </c>
      <c r="G11" s="9">
        <v>59795</v>
      </c>
      <c r="H11" s="9">
        <f t="shared" si="0"/>
        <v>597950</v>
      </c>
      <c r="I11">
        <v>15</v>
      </c>
      <c r="J11" s="15">
        <f t="shared" si="1"/>
        <v>39863.333333333336</v>
      </c>
      <c r="M11" t="s">
        <v>115</v>
      </c>
    </row>
    <row r="12" spans="1:13" x14ac:dyDescent="0.3">
      <c r="E12" s="3" t="s">
        <v>54</v>
      </c>
      <c r="F12">
        <v>10</v>
      </c>
      <c r="G12" s="9">
        <v>69500</v>
      </c>
      <c r="H12" s="9">
        <f t="shared" si="0"/>
        <v>695000</v>
      </c>
      <c r="I12">
        <v>15</v>
      </c>
      <c r="J12" s="15">
        <f t="shared" si="1"/>
        <v>46333.333333333336</v>
      </c>
      <c r="M12" t="s">
        <v>118</v>
      </c>
    </row>
    <row r="13" spans="1:13" x14ac:dyDescent="0.3">
      <c r="E13" s="3" t="s">
        <v>6</v>
      </c>
      <c r="F13">
        <v>5</v>
      </c>
      <c r="G13" s="9">
        <v>59500</v>
      </c>
      <c r="H13" s="9">
        <f t="shared" si="0"/>
        <v>297500</v>
      </c>
      <c r="I13">
        <v>15</v>
      </c>
      <c r="J13" s="15">
        <f t="shared" si="1"/>
        <v>19833.333333333332</v>
      </c>
      <c r="M13" t="s">
        <v>117</v>
      </c>
    </row>
    <row r="14" spans="1:13" x14ac:dyDescent="0.3">
      <c r="E14" s="3" t="s">
        <v>55</v>
      </c>
      <c r="F14">
        <v>10</v>
      </c>
      <c r="G14" s="9">
        <v>105650</v>
      </c>
      <c r="H14" s="9">
        <f t="shared" si="0"/>
        <v>1056500</v>
      </c>
      <c r="I14">
        <v>10</v>
      </c>
      <c r="J14" s="15">
        <f t="shared" si="1"/>
        <v>105650</v>
      </c>
      <c r="M14" t="s">
        <v>121</v>
      </c>
    </row>
    <row r="15" spans="1:13" x14ac:dyDescent="0.3">
      <c r="A15" s="59"/>
      <c r="E15" s="3" t="s">
        <v>56</v>
      </c>
      <c r="F15">
        <v>10</v>
      </c>
      <c r="G15" s="27">
        <v>346095</v>
      </c>
      <c r="H15" s="9">
        <f t="shared" si="0"/>
        <v>3460950</v>
      </c>
      <c r="I15">
        <v>15</v>
      </c>
      <c r="J15" s="15">
        <f t="shared" si="1"/>
        <v>230730</v>
      </c>
      <c r="M15" t="s">
        <v>119</v>
      </c>
    </row>
    <row r="16" spans="1:13" x14ac:dyDescent="0.3">
      <c r="E16" s="3" t="s">
        <v>69</v>
      </c>
      <c r="F16">
        <v>5</v>
      </c>
      <c r="G16" s="9">
        <v>500000</v>
      </c>
      <c r="H16" s="9">
        <f t="shared" si="0"/>
        <v>2500000</v>
      </c>
      <c r="I16">
        <v>20</v>
      </c>
      <c r="J16" s="15">
        <f t="shared" si="1"/>
        <v>125000</v>
      </c>
      <c r="M16" t="s">
        <v>122</v>
      </c>
    </row>
    <row r="17" spans="5:14" x14ac:dyDescent="0.3">
      <c r="E17" s="3" t="s">
        <v>188</v>
      </c>
      <c r="F17">
        <v>3</v>
      </c>
      <c r="G17" s="9">
        <v>50000</v>
      </c>
      <c r="H17" s="9">
        <f t="shared" si="0"/>
        <v>150000</v>
      </c>
      <c r="I17">
        <v>15</v>
      </c>
      <c r="J17" s="15">
        <f t="shared" si="1"/>
        <v>10000</v>
      </c>
      <c r="M17" t="s">
        <v>203</v>
      </c>
    </row>
    <row r="18" spans="5:14" x14ac:dyDescent="0.3">
      <c r="E18" s="58" t="s">
        <v>143</v>
      </c>
      <c r="F18" s="59">
        <v>10</v>
      </c>
      <c r="G18" s="60">
        <v>158995</v>
      </c>
      <c r="H18" s="61">
        <f>G18*F18</f>
        <v>1589950</v>
      </c>
      <c r="I18" s="59">
        <v>15</v>
      </c>
      <c r="J18" s="15">
        <f t="shared" si="1"/>
        <v>105996.66666666667</v>
      </c>
      <c r="K18" s="59"/>
      <c r="L18" s="59"/>
      <c r="M18" s="59"/>
      <c r="N18" s="59"/>
    </row>
    <row r="19" spans="5:14" x14ac:dyDescent="0.3">
      <c r="E19" s="58" t="s">
        <v>156</v>
      </c>
      <c r="F19" s="59">
        <v>150</v>
      </c>
      <c r="G19" s="52">
        <v>63718</v>
      </c>
      <c r="H19" s="64">
        <f>F19*G19</f>
        <v>9557700</v>
      </c>
      <c r="I19" s="59"/>
      <c r="J19" s="59"/>
      <c r="K19" s="59"/>
      <c r="L19" s="59"/>
      <c r="M19" s="59" t="s">
        <v>127</v>
      </c>
      <c r="N19" s="59"/>
    </row>
    <row r="20" spans="5:14" x14ac:dyDescent="0.3">
      <c r="E20" s="3" t="s">
        <v>123</v>
      </c>
      <c r="G20" s="9"/>
      <c r="H20" s="9">
        <f>SUM(H5:H18)</f>
        <v>24330046.199999999</v>
      </c>
      <c r="I20" t="s">
        <v>180</v>
      </c>
      <c r="J20" s="15">
        <f>SUM(J5:J18)</f>
        <v>1321947.8700000003</v>
      </c>
    </row>
    <row r="24" spans="5:14" x14ac:dyDescent="0.3">
      <c r="E24" t="s">
        <v>176</v>
      </c>
      <c r="H24" s="9">
        <f>SUM(H5:H19)</f>
        <v>33887746.200000003</v>
      </c>
    </row>
  </sheetData>
  <mergeCells count="1">
    <mergeCell ref="D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BF09-1657-4FAA-B8F5-056A07847881}">
  <dimension ref="A1"/>
  <sheetViews>
    <sheetView topLeftCell="B1" workbookViewId="0">
      <selection activeCell="G11" sqref="G1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DE44-3C7B-48F3-AD99-087AB34FBAD7}">
  <dimension ref="C6:S19"/>
  <sheetViews>
    <sheetView workbookViewId="0">
      <selection activeCell="L2" sqref="L2"/>
    </sheetView>
  </sheetViews>
  <sheetFormatPr defaultRowHeight="14.4" x14ac:dyDescent="0.3"/>
  <cols>
    <col min="4" max="4" width="4" bestFit="1" customWidth="1"/>
    <col min="5" max="5" width="54.21875" bestFit="1" customWidth="1"/>
    <col min="6" max="6" width="14.109375" bestFit="1" customWidth="1"/>
    <col min="7" max="7" width="10.109375" bestFit="1" customWidth="1"/>
    <col min="8" max="8" width="15.5546875" bestFit="1" customWidth="1"/>
    <col min="9" max="9" width="33.88671875" bestFit="1" customWidth="1"/>
    <col min="10" max="10" width="14.109375" bestFit="1" customWidth="1"/>
    <col min="11" max="11" width="10.109375" bestFit="1" customWidth="1"/>
    <col min="12" max="12" width="15.5546875" bestFit="1" customWidth="1"/>
  </cols>
  <sheetData>
    <row r="6" spans="3:19" ht="18" x14ac:dyDescent="0.35">
      <c r="D6" s="23" t="s">
        <v>63</v>
      </c>
      <c r="E6" s="2" t="s">
        <v>22</v>
      </c>
      <c r="F6" s="8" t="s">
        <v>130</v>
      </c>
      <c r="G6" s="8" t="s">
        <v>128</v>
      </c>
      <c r="H6" s="8" t="s">
        <v>129</v>
      </c>
    </row>
    <row r="7" spans="3:19" x14ac:dyDescent="0.3">
      <c r="D7">
        <v>1</v>
      </c>
      <c r="E7" s="3" t="s">
        <v>136</v>
      </c>
      <c r="F7">
        <f>M10</f>
        <v>3780000</v>
      </c>
      <c r="G7" s="15">
        <v>13.05</v>
      </c>
      <c r="H7" s="15">
        <f>F7*G7</f>
        <v>49329000</v>
      </c>
      <c r="I7" t="s">
        <v>187</v>
      </c>
    </row>
    <row r="8" spans="3:19" x14ac:dyDescent="0.3">
      <c r="D8">
        <v>2</v>
      </c>
      <c r="E8" s="3" t="s">
        <v>135</v>
      </c>
      <c r="F8">
        <f>M13</f>
        <v>180000</v>
      </c>
      <c r="G8" s="15">
        <v>13.05</v>
      </c>
      <c r="H8" s="15">
        <f t="shared" ref="H8:H9" si="0">F8*G8</f>
        <v>2349000</v>
      </c>
      <c r="I8" t="s">
        <v>155</v>
      </c>
      <c r="N8" s="76"/>
      <c r="O8" s="76"/>
      <c r="P8" s="76"/>
      <c r="Q8" s="76"/>
      <c r="R8" s="76"/>
      <c r="S8" s="76"/>
    </row>
    <row r="9" spans="3:19" x14ac:dyDescent="0.3">
      <c r="D9">
        <v>3</v>
      </c>
      <c r="E9" s="3" t="s">
        <v>137</v>
      </c>
      <c r="F9">
        <f>L10</f>
        <v>3600000</v>
      </c>
      <c r="G9" s="15">
        <v>13.05</v>
      </c>
      <c r="H9" s="15">
        <f t="shared" si="0"/>
        <v>46980000</v>
      </c>
      <c r="L9" t="s">
        <v>133</v>
      </c>
      <c r="M9" t="s">
        <v>132</v>
      </c>
      <c r="N9" s="76"/>
      <c r="O9" s="76"/>
      <c r="P9" s="76"/>
      <c r="Q9" s="76"/>
      <c r="R9" s="76"/>
      <c r="S9" s="76"/>
    </row>
    <row r="10" spans="3:19" x14ac:dyDescent="0.3">
      <c r="L10">
        <f>F12*F14</f>
        <v>3600000</v>
      </c>
      <c r="M10">
        <f>L10+5%*L10</f>
        <v>3780000</v>
      </c>
      <c r="N10" s="76"/>
      <c r="O10" s="76"/>
      <c r="P10" s="76"/>
      <c r="Q10" s="76"/>
      <c r="R10" s="76"/>
      <c r="S10" s="76"/>
    </row>
    <row r="12" spans="3:19" x14ac:dyDescent="0.3">
      <c r="E12" s="1" t="s">
        <v>134</v>
      </c>
      <c r="F12">
        <v>2000</v>
      </c>
      <c r="I12" t="s">
        <v>122</v>
      </c>
    </row>
    <row r="13" spans="3:19" x14ac:dyDescent="0.3">
      <c r="L13" t="s">
        <v>23</v>
      </c>
      <c r="M13">
        <f>M10-L10</f>
        <v>180000</v>
      </c>
    </row>
    <row r="14" spans="3:19" x14ac:dyDescent="0.3">
      <c r="E14" t="s">
        <v>138</v>
      </c>
      <c r="F14">
        <v>1800</v>
      </c>
      <c r="I14" t="s">
        <v>122</v>
      </c>
    </row>
    <row r="15" spans="3:19" x14ac:dyDescent="0.3">
      <c r="C15" s="95" t="s">
        <v>139</v>
      </c>
      <c r="D15" s="95"/>
      <c r="E15" s="95"/>
      <c r="H15" s="15">
        <f>H9/F12</f>
        <v>23490</v>
      </c>
    </row>
    <row r="19" spans="4:5" x14ac:dyDescent="0.3">
      <c r="D19" s="1" t="s">
        <v>187</v>
      </c>
      <c r="E19" t="s">
        <v>131</v>
      </c>
    </row>
  </sheetData>
  <mergeCells count="1">
    <mergeCell ref="C15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EC97-8360-488B-A545-EEA3CD844088}">
  <dimension ref="C4:U40"/>
  <sheetViews>
    <sheetView workbookViewId="0">
      <selection activeCell="C4" sqref="C4:U34"/>
    </sheetView>
  </sheetViews>
  <sheetFormatPr defaultRowHeight="14.4" x14ac:dyDescent="0.3"/>
  <cols>
    <col min="3" max="3" width="29.88671875" bestFit="1" customWidth="1"/>
    <col min="5" max="5" width="13.21875" bestFit="1" customWidth="1"/>
    <col min="6" max="6" width="18" bestFit="1" customWidth="1"/>
    <col min="7" max="7" width="9.33203125" bestFit="1" customWidth="1"/>
    <col min="9" max="9" width="27.21875" bestFit="1" customWidth="1"/>
    <col min="11" max="11" width="13.21875" bestFit="1" customWidth="1"/>
    <col min="12" max="12" width="18" bestFit="1" customWidth="1"/>
    <col min="17" max="17" width="32.109375" bestFit="1" customWidth="1"/>
    <col min="18" max="18" width="8" bestFit="1" customWidth="1"/>
    <col min="19" max="19" width="13.21875" bestFit="1" customWidth="1"/>
    <col min="20" max="20" width="18" bestFit="1" customWidth="1"/>
    <col min="21" max="21" width="9.33203125" bestFit="1" customWidth="1"/>
  </cols>
  <sheetData>
    <row r="4" spans="3:21" x14ac:dyDescent="0.3">
      <c r="C4" s="99" t="s">
        <v>98</v>
      </c>
      <c r="D4" s="100"/>
      <c r="E4" s="100"/>
      <c r="F4" s="100"/>
      <c r="G4" s="101"/>
      <c r="I4" s="99" t="s">
        <v>100</v>
      </c>
      <c r="J4" s="100"/>
      <c r="K4" s="100"/>
      <c r="L4" s="100"/>
      <c r="M4" s="101"/>
      <c r="Q4" s="99" t="s">
        <v>101</v>
      </c>
      <c r="R4" s="100"/>
      <c r="S4" s="100"/>
      <c r="T4" s="100"/>
      <c r="U4" s="101"/>
    </row>
    <row r="5" spans="3:21" x14ac:dyDescent="0.3">
      <c r="C5" s="102" t="s">
        <v>99</v>
      </c>
      <c r="D5" s="103"/>
      <c r="E5" s="103"/>
      <c r="F5" s="103"/>
      <c r="G5" s="104"/>
      <c r="I5" s="102" t="s">
        <v>102</v>
      </c>
      <c r="J5" s="103"/>
      <c r="K5" s="103"/>
      <c r="L5" s="103"/>
      <c r="M5" s="104"/>
      <c r="Q5" s="102" t="s">
        <v>103</v>
      </c>
      <c r="R5" s="103"/>
      <c r="S5" s="103"/>
      <c r="T5" s="103"/>
      <c r="U5" s="104"/>
    </row>
    <row r="6" spans="3:21" x14ac:dyDescent="0.3">
      <c r="C6" s="31"/>
      <c r="D6" s="32"/>
      <c r="E6" s="32"/>
      <c r="F6" s="32"/>
      <c r="G6" s="33"/>
      <c r="I6" s="17"/>
      <c r="M6" s="18"/>
      <c r="Q6" s="17"/>
      <c r="U6" s="18"/>
    </row>
    <row r="7" spans="3:21" x14ac:dyDescent="0.3">
      <c r="C7" s="17" t="s">
        <v>105</v>
      </c>
      <c r="D7" t="s">
        <v>57</v>
      </c>
      <c r="E7" t="s">
        <v>111</v>
      </c>
      <c r="F7" t="s">
        <v>112</v>
      </c>
      <c r="G7" s="18" t="s">
        <v>74</v>
      </c>
      <c r="I7" s="17" t="s">
        <v>105</v>
      </c>
      <c r="J7" t="s">
        <v>57</v>
      </c>
      <c r="K7" t="s">
        <v>111</v>
      </c>
      <c r="L7" t="s">
        <v>112</v>
      </c>
      <c r="M7" t="s">
        <v>74</v>
      </c>
      <c r="Q7" s="17" t="s">
        <v>105</v>
      </c>
      <c r="R7" t="s">
        <v>57</v>
      </c>
      <c r="S7" t="s">
        <v>111</v>
      </c>
      <c r="T7" t="s">
        <v>112</v>
      </c>
      <c r="U7" t="s">
        <v>74</v>
      </c>
    </row>
    <row r="8" spans="3:21" x14ac:dyDescent="0.3">
      <c r="C8" s="3" t="s">
        <v>13</v>
      </c>
      <c r="D8">
        <v>24</v>
      </c>
      <c r="E8" s="35">
        <v>39413</v>
      </c>
      <c r="F8" s="9">
        <f>E8*D8</f>
        <v>945912</v>
      </c>
      <c r="G8" s="18"/>
      <c r="I8" s="3" t="s">
        <v>104</v>
      </c>
      <c r="J8">
        <v>36</v>
      </c>
      <c r="K8" s="9">
        <v>41104</v>
      </c>
      <c r="L8" s="9">
        <f>K8*J8</f>
        <v>1479744</v>
      </c>
      <c r="M8" s="18"/>
      <c r="Q8" s="3" t="s">
        <v>8</v>
      </c>
      <c r="R8">
        <v>24</v>
      </c>
      <c r="S8" s="25">
        <v>48233</v>
      </c>
      <c r="T8" s="9">
        <f>S8*R8</f>
        <v>1157592</v>
      </c>
      <c r="U8" s="18"/>
    </row>
    <row r="9" spans="3:21" x14ac:dyDescent="0.3">
      <c r="C9" s="3" t="s">
        <v>14</v>
      </c>
      <c r="D9">
        <v>24</v>
      </c>
      <c r="E9" s="16">
        <v>65200</v>
      </c>
      <c r="F9" s="9">
        <f t="shared" ref="F9:F15" si="0">E9*D9</f>
        <v>1564800</v>
      </c>
      <c r="G9" s="18"/>
      <c r="I9" s="17"/>
      <c r="M9" s="18"/>
      <c r="Q9" s="3" t="s">
        <v>9</v>
      </c>
      <c r="R9">
        <v>24</v>
      </c>
      <c r="S9" s="9">
        <v>33635</v>
      </c>
      <c r="T9" s="9">
        <f t="shared" ref="T9:T11" si="1">S9*R9</f>
        <v>807240</v>
      </c>
      <c r="U9" s="18"/>
    </row>
    <row r="10" spans="3:21" x14ac:dyDescent="0.3">
      <c r="C10" s="3" t="s">
        <v>15</v>
      </c>
      <c r="D10">
        <v>24</v>
      </c>
      <c r="E10" s="35">
        <v>36880</v>
      </c>
      <c r="F10" s="9">
        <f t="shared" si="0"/>
        <v>885120</v>
      </c>
      <c r="G10" s="18"/>
      <c r="I10" s="17"/>
      <c r="M10" s="18"/>
      <c r="Q10" s="3"/>
      <c r="S10" s="25"/>
      <c r="T10" s="9"/>
      <c r="U10" s="18"/>
    </row>
    <row r="11" spans="3:21" x14ac:dyDescent="0.3">
      <c r="C11" s="3" t="s">
        <v>16</v>
      </c>
      <c r="D11">
        <v>24</v>
      </c>
      <c r="E11" s="35">
        <v>36880</v>
      </c>
      <c r="F11" s="9">
        <f t="shared" si="0"/>
        <v>885120</v>
      </c>
      <c r="G11" s="18"/>
      <c r="I11" s="17"/>
      <c r="M11" s="18"/>
      <c r="Q11" s="3" t="s">
        <v>17</v>
      </c>
      <c r="R11">
        <v>50</v>
      </c>
      <c r="S11" s="25">
        <v>33072</v>
      </c>
      <c r="T11" s="9">
        <f t="shared" si="1"/>
        <v>1653600</v>
      </c>
      <c r="U11" s="18"/>
    </row>
    <row r="12" spans="3:21" x14ac:dyDescent="0.3">
      <c r="C12" s="3" t="s">
        <v>10</v>
      </c>
      <c r="D12">
        <v>12</v>
      </c>
      <c r="E12" s="35">
        <v>35100</v>
      </c>
      <c r="F12" s="9">
        <f t="shared" si="0"/>
        <v>421200</v>
      </c>
      <c r="G12" s="18"/>
      <c r="I12" s="17"/>
      <c r="M12" s="18"/>
      <c r="U12" s="18"/>
    </row>
    <row r="13" spans="3:21" x14ac:dyDescent="0.3">
      <c r="C13" s="3" t="s">
        <v>11</v>
      </c>
      <c r="D13">
        <v>24</v>
      </c>
      <c r="E13" s="35">
        <v>51300</v>
      </c>
      <c r="F13" s="9">
        <f t="shared" si="0"/>
        <v>1231200</v>
      </c>
      <c r="G13" s="18"/>
      <c r="I13" s="17"/>
      <c r="M13" s="18"/>
      <c r="Q13" s="17"/>
      <c r="U13" s="18"/>
    </row>
    <row r="14" spans="3:21" x14ac:dyDescent="0.3">
      <c r="C14" s="3" t="s">
        <v>12</v>
      </c>
      <c r="D14">
        <v>24</v>
      </c>
      <c r="E14" s="16">
        <v>37847</v>
      </c>
      <c r="F14" s="9">
        <f t="shared" si="0"/>
        <v>908328</v>
      </c>
      <c r="G14" s="18"/>
      <c r="I14" s="17"/>
      <c r="M14" s="18"/>
      <c r="Q14" s="17"/>
      <c r="U14" s="18"/>
    </row>
    <row r="15" spans="3:21" x14ac:dyDescent="0.3">
      <c r="C15" s="3" t="s">
        <v>7</v>
      </c>
      <c r="D15">
        <v>12</v>
      </c>
      <c r="E15" s="36">
        <v>43798</v>
      </c>
      <c r="F15" s="9">
        <f t="shared" si="0"/>
        <v>525576</v>
      </c>
      <c r="G15" s="18"/>
      <c r="I15" s="17"/>
      <c r="M15" s="18"/>
      <c r="Q15" s="17"/>
      <c r="U15" s="18"/>
    </row>
    <row r="16" spans="3:21" x14ac:dyDescent="0.3">
      <c r="C16" s="17"/>
      <c r="G16" s="18"/>
      <c r="I16" s="17"/>
      <c r="M16" s="18"/>
      <c r="Q16" s="17"/>
      <c r="U16" s="18"/>
    </row>
    <row r="17" spans="3:21" x14ac:dyDescent="0.3">
      <c r="C17" s="17"/>
      <c r="G17" s="18"/>
      <c r="I17" s="17"/>
      <c r="M17" s="18"/>
      <c r="Q17" s="17"/>
      <c r="U17" s="18"/>
    </row>
    <row r="18" spans="3:21" x14ac:dyDescent="0.3">
      <c r="C18" s="17"/>
      <c r="G18" s="18"/>
      <c r="I18" s="17"/>
      <c r="M18" s="18"/>
      <c r="Q18" s="17"/>
      <c r="U18" s="18"/>
    </row>
    <row r="19" spans="3:21" x14ac:dyDescent="0.3">
      <c r="C19" s="17" t="s">
        <v>110</v>
      </c>
      <c r="F19" s="9">
        <f>SUM(F8:F15)</f>
        <v>7367256</v>
      </c>
      <c r="G19" s="18"/>
      <c r="I19" s="17" t="s">
        <v>110</v>
      </c>
      <c r="L19" s="9">
        <f>SUM(L8:L10)</f>
        <v>1479744</v>
      </c>
      <c r="M19" s="18"/>
      <c r="Q19" s="17" t="s">
        <v>110</v>
      </c>
      <c r="T19" s="9">
        <f>SUM(T8:T11)</f>
        <v>3618432</v>
      </c>
      <c r="U19" s="18"/>
    </row>
    <row r="20" spans="3:21" x14ac:dyDescent="0.3">
      <c r="C20" s="17"/>
      <c r="G20" s="18"/>
      <c r="I20" s="17"/>
      <c r="M20" s="18"/>
      <c r="Q20" s="17"/>
      <c r="U20" s="18"/>
    </row>
    <row r="21" spans="3:21" x14ac:dyDescent="0.3">
      <c r="C21" s="17"/>
      <c r="G21" s="18"/>
      <c r="I21" s="17"/>
      <c r="M21" s="18"/>
      <c r="Q21" s="17"/>
      <c r="U21" s="18"/>
    </row>
    <row r="22" spans="3:21" x14ac:dyDescent="0.3">
      <c r="C22" s="17"/>
      <c r="G22" s="18"/>
      <c r="I22" s="17"/>
      <c r="M22" s="18"/>
      <c r="Q22" s="17"/>
      <c r="U22" s="18"/>
    </row>
    <row r="23" spans="3:21" x14ac:dyDescent="0.3">
      <c r="C23" s="19"/>
      <c r="D23" s="20"/>
      <c r="E23" s="20"/>
      <c r="F23" s="20"/>
      <c r="G23" s="21"/>
      <c r="I23" s="17"/>
      <c r="M23" s="18"/>
      <c r="Q23" s="17"/>
      <c r="U23" s="18"/>
    </row>
    <row r="24" spans="3:21" x14ac:dyDescent="0.3">
      <c r="C24" s="17"/>
      <c r="G24" s="18"/>
      <c r="I24" s="17"/>
      <c r="M24" s="18"/>
      <c r="Q24" s="17"/>
      <c r="U24" s="18"/>
    </row>
    <row r="25" spans="3:21" x14ac:dyDescent="0.3">
      <c r="C25" s="19"/>
      <c r="D25" s="20"/>
      <c r="E25" s="20"/>
      <c r="F25" s="20"/>
      <c r="G25" s="21"/>
      <c r="I25" s="19"/>
      <c r="J25" s="20"/>
      <c r="K25" s="20"/>
      <c r="L25" s="20"/>
      <c r="M25" s="21"/>
      <c r="Q25" s="19"/>
      <c r="R25" s="20"/>
      <c r="S25" s="20"/>
      <c r="T25" s="20"/>
      <c r="U25" s="21"/>
    </row>
    <row r="29" spans="3:21" x14ac:dyDescent="0.3">
      <c r="C29" s="3"/>
      <c r="I29" t="s">
        <v>110</v>
      </c>
      <c r="K29" s="9">
        <f>F19+L19+T19</f>
        <v>12465432</v>
      </c>
    </row>
    <row r="30" spans="3:21" x14ac:dyDescent="0.3">
      <c r="C30" s="3"/>
    </row>
    <row r="31" spans="3:21" x14ac:dyDescent="0.3">
      <c r="C31" s="3"/>
      <c r="I31" t="s">
        <v>113</v>
      </c>
      <c r="K31">
        <v>2000</v>
      </c>
    </row>
    <row r="32" spans="3:21" x14ac:dyDescent="0.3">
      <c r="C32" s="3"/>
    </row>
    <row r="33" spans="3:11" x14ac:dyDescent="0.3">
      <c r="C33" s="3"/>
      <c r="I33" t="s">
        <v>114</v>
      </c>
      <c r="K33" s="15">
        <f>K29/K31</f>
        <v>6232.7160000000003</v>
      </c>
    </row>
    <row r="34" spans="3:11" x14ac:dyDescent="0.3">
      <c r="C34" s="3"/>
    </row>
    <row r="35" spans="3:11" x14ac:dyDescent="0.3">
      <c r="C35" s="3"/>
    </row>
    <row r="36" spans="3:11" x14ac:dyDescent="0.3">
      <c r="C36" s="3"/>
    </row>
    <row r="37" spans="3:11" x14ac:dyDescent="0.3">
      <c r="C37" s="3"/>
    </row>
    <row r="38" spans="3:11" x14ac:dyDescent="0.3">
      <c r="C38" s="3"/>
    </row>
    <row r="39" spans="3:11" x14ac:dyDescent="0.3">
      <c r="C39" s="3"/>
    </row>
    <row r="40" spans="3:11" x14ac:dyDescent="0.3">
      <c r="C40" s="3"/>
    </row>
  </sheetData>
  <mergeCells count="6">
    <mergeCell ref="C4:G4"/>
    <mergeCell ref="C5:G5"/>
    <mergeCell ref="I4:M4"/>
    <mergeCell ref="I5:M5"/>
    <mergeCell ref="Q4:U4"/>
    <mergeCell ref="Q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Initial Investment (2)</vt:lpstr>
      <vt:lpstr>Final </vt:lpstr>
      <vt:lpstr>Direct Material</vt:lpstr>
      <vt:lpstr>Direct Labor</vt:lpstr>
      <vt:lpstr>Manufacturing Overhead</vt:lpstr>
      <vt:lpstr>Initial Investment</vt:lpstr>
      <vt:lpstr>Digital Factory</vt:lpstr>
      <vt:lpstr>D2 Direct Material Cost</vt:lpstr>
      <vt:lpstr>D2 Direct Labor</vt:lpstr>
      <vt:lpstr>D2 Manufacturing Overhead scena</vt:lpstr>
      <vt:lpstr>D2 Manufacturing Overhead</vt:lpstr>
      <vt:lpstr>D2 Initial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md.sazol ahmmed</dc:creator>
  <cp:lastModifiedBy>Md Sazol Ahmmed</cp:lastModifiedBy>
  <dcterms:created xsi:type="dcterms:W3CDTF">2015-06-05T18:17:20Z</dcterms:created>
  <dcterms:modified xsi:type="dcterms:W3CDTF">2024-06-05T20:55:15Z</dcterms:modified>
</cp:coreProperties>
</file>