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cc822a8f06888/Desktop/GitHub Repositories/excel-challenge/"/>
    </mc:Choice>
  </mc:AlternateContent>
  <xr:revisionPtr revIDLastSave="1039" documentId="8_{F08E2E22-5AD0-45AA-82A7-047499F2A299}" xr6:coauthVersionLast="47" xr6:coauthVersionMax="47" xr10:uidLastSave="{EB157EF0-9337-475F-8038-F2955044A322}"/>
  <bookViews>
    <workbookView xWindow="-110" yWindow="-110" windowWidth="19420" windowHeight="11500" firstSheet="3" activeTab="4" xr2:uid="{00000000-000D-0000-FFFF-FFFF00000000}"/>
  </bookViews>
  <sheets>
    <sheet name="Crowdfunding" sheetId="1" r:id="rId1"/>
    <sheet name="campaignsCount per Category" sheetId="6" r:id="rId2"/>
    <sheet name="CampaignsCount per Sub-Category" sheetId="10" r:id="rId3"/>
    <sheet name="Count of Outcome Vs Months" sheetId="12" r:id="rId4"/>
    <sheet name="Crowdfunding Goal Analysis" sheetId="13" r:id="rId5"/>
  </sheet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3" l="1"/>
  <c r="H3" i="13"/>
  <c r="H4" i="13"/>
  <c r="H5" i="13"/>
  <c r="H6" i="13"/>
  <c r="H7" i="13"/>
  <c r="H8" i="13"/>
  <c r="H9" i="13"/>
  <c r="H10" i="13"/>
  <c r="H11" i="13"/>
  <c r="H12" i="13"/>
  <c r="H13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10" i="13"/>
  <c r="F11" i="13"/>
  <c r="F12" i="13"/>
  <c r="F13" i="13"/>
  <c r="F2" i="13"/>
  <c r="C2" i="13"/>
  <c r="E3" i="13"/>
  <c r="E4" i="13"/>
  <c r="E5" i="13"/>
  <c r="E6" i="13"/>
  <c r="E7" i="13"/>
  <c r="E8" i="13"/>
  <c r="E9" i="13"/>
  <c r="E10" i="13"/>
  <c r="E11" i="13"/>
  <c r="E12" i="13"/>
  <c r="E13" i="13"/>
  <c r="E2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D13" i="13"/>
  <c r="C13" i="13"/>
  <c r="B13" i="13"/>
  <c r="B12" i="13"/>
  <c r="B11" i="13"/>
  <c r="B10" i="13"/>
  <c r="B9" i="13"/>
  <c r="B8" i="13"/>
  <c r="B7" i="13"/>
  <c r="B6" i="13"/>
  <c r="B5" i="13"/>
  <c r="B4" i="13"/>
  <c r="B3" i="13"/>
  <c r="B2" i="1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/>
  <c r="S267" i="1" a="1"/>
  <c r="S267" i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/>
  <c r="S448" i="1" a="1"/>
  <c r="S448" i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 s="1"/>
  <c r="S534" i="1" a="1"/>
  <c r="S534" i="1" s="1"/>
  <c r="S535" i="1" a="1"/>
  <c r="S535" i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/>
  <c r="S620" i="1" a="1"/>
  <c r="S620" i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/>
  <c r="S780" i="1" a="1"/>
  <c r="S780" i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20" i="1"/>
  <c r="I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8" i="1"/>
  <c r="F9" i="1"/>
  <c r="F7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<sst xmlns="http://schemas.openxmlformats.org/spreadsheetml/2006/main" count="6121" uniqueCount="2106">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</sst>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75CC"/>
      <color rgb="FF00A84C"/>
      <color rgb="FF007DC0"/>
      <color rgb="FF00B650"/>
      <color rgb="FFFF7575"/>
      <color rgb="FFABDB77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Category!PivotTable6</c:name>
    <c:fmtId val="36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1-44A5-99AF-BEECCD43DF10}"/>
            </c:ext>
          </c:extLst>
        </c:ser>
        <c:ser>
          <c:idx val="1"/>
          <c:order val="1"/>
          <c:tx>
            <c:strRef>
              <c:f>'campaignsCount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1-44A5-99AF-BEECCD43DF10}"/>
            </c:ext>
          </c:extLst>
        </c:ser>
        <c:ser>
          <c:idx val="2"/>
          <c:order val="2"/>
          <c:tx>
            <c:strRef>
              <c:f>'campaignsCount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1-44A5-99AF-BEECCD43DF10}"/>
            </c:ext>
          </c:extLst>
        </c:ser>
        <c:ser>
          <c:idx val="3"/>
          <c:order val="3"/>
          <c:tx>
            <c:strRef>
              <c:f>'campaignsCount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C1-44A5-99AF-BEECCD43D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2714111"/>
        <c:axId val="1832706431"/>
      </c:barChart>
      <c:catAx>
        <c:axId val="183271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06431"/>
        <c:crosses val="autoZero"/>
        <c:auto val="1"/>
        <c:lblAlgn val="ctr"/>
        <c:lblOffset val="100"/>
        <c:noMultiLvlLbl val="0"/>
      </c:catAx>
      <c:valAx>
        <c:axId val="18327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1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Sub-Category!PivotTable9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252-90B4-351A2D4901EC}"/>
            </c:ext>
          </c:extLst>
        </c:ser>
        <c:ser>
          <c:idx val="1"/>
          <c:order val="1"/>
          <c:tx>
            <c:strRef>
              <c:f>'CampaignsCount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E-4252-90B4-351A2D4901EC}"/>
            </c:ext>
          </c:extLst>
        </c:ser>
        <c:ser>
          <c:idx val="2"/>
          <c:order val="2"/>
          <c:tx>
            <c:strRef>
              <c:f>'CampaignsCount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8E-4252-90B4-351A2D4901EC}"/>
            </c:ext>
          </c:extLst>
        </c:ser>
        <c:ser>
          <c:idx val="3"/>
          <c:order val="3"/>
          <c:tx>
            <c:strRef>
              <c:f>'CampaignsCount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8E-4252-90B4-351A2D490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0162351"/>
        <c:axId val="1730169071"/>
      </c:barChart>
      <c:catAx>
        <c:axId val="173016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9071"/>
        <c:crosses val="autoZero"/>
        <c:auto val="1"/>
        <c:lblAlgn val="ctr"/>
        <c:lblOffset val="100"/>
        <c:noMultiLvlLbl val="0"/>
      </c:catAx>
      <c:valAx>
        <c:axId val="17301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of Outcome Vs Months!PivotTable11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75C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2">
                <a:alpha val="93000"/>
              </a:schemeClr>
            </a:solidFill>
            <a:ln w="9525">
              <a:solidFill>
                <a:srgbClr val="FFC000">
                  <a:alpha val="65000"/>
                </a:srgb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 Vs Months'!$B$5:$B$6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rgbClr val="0075CC"/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5-4B4E-8A53-7876FBF73971}"/>
            </c:ext>
          </c:extLst>
        </c:ser>
        <c:ser>
          <c:idx val="1"/>
          <c:order val="1"/>
          <c:tx>
            <c:strRef>
              <c:f>'Count of Outcome Vs Months'!$C$5:$C$6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2">
                  <a:alpha val="93000"/>
                </a:schemeClr>
              </a:solidFill>
              <a:ln w="9525">
                <a:solidFill>
                  <a:srgbClr val="FFC000">
                    <a:alpha val="65000"/>
                  </a:srgb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5-4B4E-8A53-7876FBF73971}"/>
            </c:ext>
          </c:extLst>
        </c:ser>
        <c:ser>
          <c:idx val="2"/>
          <c:order val="2"/>
          <c:tx>
            <c:strRef>
              <c:f>'Count of Outcome Vs Months'!$D$5:$D$6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5CC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5CC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5-4B4E-8A53-7876FBF73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994143"/>
        <c:axId val="1001995103"/>
      </c:lineChart>
      <c:catAx>
        <c:axId val="100199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5103"/>
        <c:crosses val="autoZero"/>
        <c:auto val="1"/>
        <c:lblAlgn val="ctr"/>
        <c:lblOffset val="100"/>
        <c:noMultiLvlLbl val="0"/>
      </c:catAx>
      <c:valAx>
        <c:axId val="10019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C-4B3C-8EA3-2AC522DE6795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C-4B3C-8EA3-2AC522DE6795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BC-4B3C-8EA3-2AC522DE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674000"/>
        <c:axId val="1024681200"/>
      </c:lineChart>
      <c:catAx>
        <c:axId val="102467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81200"/>
        <c:crosses val="autoZero"/>
        <c:auto val="1"/>
        <c:lblAlgn val="ctr"/>
        <c:lblOffset val="100"/>
        <c:noMultiLvlLbl val="0"/>
      </c:catAx>
      <c:valAx>
        <c:axId val="10246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7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422274</xdr:colOff>
      <xdr:row>1</xdr:row>
      <xdr:rowOff>190500</xdr:rowOff>
    </xdr:from>
    <xdr:to>
      <xdr:col>17</xdr:col>
      <xdr:colOff>603250</xdr:colOff>
      <xdr:row>25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7E3AD-0726-4065-05C3-C13B9C7A0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0.31684</cdr:x>
      <cdr:y>0.03883</cdr:y>
    </cdr:from>
    <cdr:to>
      <cdr:x>0.64179</cdr:x>
      <cdr:y>0.08738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51F31C2-DF1E-7C43-1F5C-3409DC802EF1}"/>
            </a:ext>
          </a:extLst>
        </cdr:cNvPr>
        <cdr:cNvSpPr txBox="1"/>
      </cdr:nvSpPr>
      <cdr:spPr>
        <a:xfrm xmlns:a="http://schemas.openxmlformats.org/drawingml/2006/main">
          <a:off x="2359026" y="177800"/>
          <a:ext cx="241935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0.27335</cdr:x>
      <cdr:y>0.0208</cdr:y>
    </cdr:from>
    <cdr:to>
      <cdr:x>0.67932</cdr:x>
      <cdr:y>0.07906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3DD850E-E5E5-1954-5EBD-74173FFB6CF6}"/>
            </a:ext>
          </a:extLst>
        </cdr:cNvPr>
        <cdr:cNvSpPr txBox="1"/>
      </cdr:nvSpPr>
      <cdr:spPr>
        <a:xfrm xmlns:a="http://schemas.openxmlformats.org/drawingml/2006/main">
          <a:off x="2035176" y="95250"/>
          <a:ext cx="3022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u="sng" kern="1200"/>
            <a:t>Count of outcome Vs</a:t>
          </a:r>
          <a:r>
            <a:rPr lang="en-US" sz="1400" b="1" u="sng" kern="1200" baseline="0"/>
            <a:t> Parent Category</a:t>
          </a:r>
          <a:endParaRPr lang="en-US" sz="1400" b="1" u="sng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2</xdr:row>
      <xdr:rowOff>50800</xdr:rowOff>
    </xdr:from>
    <xdr:to>
      <xdr:col>18</xdr:col>
      <xdr:colOff>647700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7D92D-276C-8093-ACFE-7294255A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539750</xdr:colOff>
      <xdr:row>2</xdr:row>
      <xdr:rowOff>158750</xdr:rowOff>
    </xdr:from>
    <xdr:to>
      <xdr:col>16</xdr:col>
      <xdr:colOff>463550</xdr:colOff>
      <xdr:row>4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65B127-17CE-CB08-90F2-312D73238ED9}"/>
            </a:ext>
          </a:extLst>
        </xdr:cNvPr>
        <xdr:cNvSpPr txBox="1"/>
      </xdr:nvSpPr>
      <xdr:spPr>
        <a:xfrm>
          <a:off x="8489950" y="552450"/>
          <a:ext cx="32258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 of outcome Vs</a:t>
          </a:r>
          <a:r>
            <a:rPr lang="en-US" sz="14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Sub-Category</a:t>
          </a:r>
          <a:endParaRPr lang="en-US" sz="1400" b="1" u="sng">
            <a:effectLst/>
          </a:endParaRPr>
        </a:p>
        <a:p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54742</xdr:colOff>
      <xdr:row>0</xdr:row>
      <xdr:rowOff>166633</xdr:rowOff>
    </xdr:from>
    <xdr:to>
      <xdr:col>23</xdr:col>
      <xdr:colOff>645949</xdr:colOff>
      <xdr:row>38</xdr:row>
      <xdr:rowOff>164223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D488-A6E6-A6A2-8467-993B25E56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0.40782</cdr:x>
      <cdr:y>0.01284</cdr:y>
    </cdr:from>
    <cdr:to>
      <cdr:x>0.78585</cdr:x>
      <cdr:y>0.09035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713132-DD4E-37D4-7D72-F1F9312C475B}"/>
            </a:ext>
          </a:extLst>
        </cdr:cNvPr>
        <cdr:cNvSpPr txBox="1"/>
      </cdr:nvSpPr>
      <cdr:spPr>
        <a:xfrm xmlns:a="http://schemas.openxmlformats.org/drawingml/2006/main">
          <a:off x="4795345" y="96126"/>
          <a:ext cx="4445000" cy="5802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 u="none" kern="1200"/>
            <a:t>   </a:t>
          </a:r>
          <a:r>
            <a:rPr lang="en-US" sz="2400" b="1" u="sng" kern="1200"/>
            <a:t>Count of outcome Vs</a:t>
          </a:r>
          <a:r>
            <a:rPr lang="en-US" sz="2400" b="1" u="sng" kern="1200" baseline="0"/>
            <a:t> Months</a:t>
          </a:r>
          <a:endParaRPr lang="en-US" sz="2400" b="1" u="sng" kern="12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679450</xdr:colOff>
      <xdr:row>16</xdr:row>
      <xdr:rowOff>44450</xdr:rowOff>
    </xdr:from>
    <xdr:to>
      <xdr:col>8</xdr:col>
      <xdr:colOff>234950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E4DFB-BBB7-4AD4-A800-C328FE29E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Bendahmane" refreshedDate="45585.076644675923" createdVersion="8" refreshedVersion="8" minRefreshableVersion="3" recordCount="1000" xr:uid="{B79F73EE-ECF5-4391-9005-9C5F72A1669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3CE2C-FA5F-4ABB-B1AA-54930012FC58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6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3903-D43B-49A5-B07F-DEF03B3F9EBA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24BA5-B02F-4346-A8CB-9D36F1B9F49C}" name="PivotTable1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P1" zoomScale="183" workbookViewId="0">
      <selection activeCell="G3" sqref="G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7.33203125" customWidth="1"/>
    <col min="8" max="8" width="13" bestFit="1" customWidth="1"/>
    <col min="9" max="9" width="17" customWidth="1"/>
    <col min="12" max="13" width="11.1640625" bestFit="1" customWidth="1"/>
    <col min="14" max="15" width="22.58203125" customWidth="1"/>
    <col min="18" max="18" width="27.4140625" customWidth="1"/>
    <col min="19" max="19" width="14.9140625" customWidth="1"/>
    <col min="20" max="20" width="20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_xlfn.TEXTSPLIT(R2,{"/"})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5" si="0">ROUND((E3/D3*100),0)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_xlfn.TEXTSPLIT(R3,{"/"})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_xlfn.TEXTSPLIT(R4,{"/"})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_xlfn.TEXTSPLIT(R5,{"/"})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ref="F6:F9" si="4">ROUND((E6/D6*100),0)</f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_xlfn.TEXTSPLIT(R6,{"/"})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4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_xlfn.TEXTSPLIT(R7,{"/"})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4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_xlfn.TEXTSPLIT(R8,{"/"})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4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_xlfn.TEXTSPLIT(R9,{"/"})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ref="F10:F73" si="5">ROUND((E10/D10*100),0)</f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_xlfn.TEXTSPLIT(R10,{"/"})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5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_xlfn.TEXTSPLIT(R11,{"/"})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_xlfn.TEXTSPLIT(R12,{"/"})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_xlfn.TEXTSPLIT(R13,{"/"})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_xlfn.TEXTSPLIT(R14,{"/"})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_xlfn.TEXTSPLIT(R15,{"/"})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_xlfn.TEXTSPLIT(R16,{"/"})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_xlfn.TEXTSPLIT(R17,{"/"})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_xlfn.TEXTSPLIT(R18,{"/"})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>
        <f>ROUND((E19/H19),2)</f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_xlfn.TEXTSPLIT(R19,{"/"})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>
        <f>ROUND((E20/H20),2)</f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_xlfn.TEXTSPLIT(R20,{"/"})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_xlfn.TEXTSPLIT(R21,{"/"})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_xlfn.TEXTSPLIT(R22,{"/"})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_xlfn.TEXTSPLIT(R23,{"/"})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_xlfn.TEXTSPLIT(R24,{"/"})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_xlfn.TEXTSPLIT(R25,{"/"})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_xlfn.TEXTSPLIT(R26,{"/"})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_xlfn.TEXTSPLIT(R27,{"/"})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_xlfn.TEXTSPLIT(R28,{"/"})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_xlfn.TEXTSPLIT(R29,{"/"})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_xlfn.TEXTSPLIT(R30,{"/"})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_xlfn.TEXTSPLIT(R31,{"/"})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_xlfn.TEXTSPLIT(R32,{"/"})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_xlfn.TEXTSPLIT(R33,{"/"})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_xlfn.TEXTSPLIT(R34,{"/"})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_xlfn.TEXTSPLIT(R35,{"/"})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_xlfn.TEXTSPLIT(R36,{"/"})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_xlfn.TEXTSPLIT(R37,{"/"})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_xlfn.TEXTSPLIT(R38,{"/"})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_xlfn.TEXTSPLIT(R39,{"/"})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_xlfn.TEXTSPLIT(R40,{"/"})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_xlfn.TEXTSPLIT(R41,{"/"})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_xlfn.TEXTSPLIT(R42,{"/"})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_xlfn.TEXTSPLIT(R43,{"/"})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_xlfn.TEXTSPLIT(R44,{"/"})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_xlfn.TEXTSPLIT(R45,{"/"})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_xlfn.TEXTSPLIT(R46,{"/"})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_xlfn.TEXTSPLIT(R47,{"/"})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_xlfn.TEXTSPLIT(R48,{"/"})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_xlfn.TEXTSPLIT(R49,{"/"})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_xlfn.TEXTSPLIT(R50,{"/"})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_xlfn.TEXTSPLIT(R51,{"/"})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_xlfn.TEXTSPLIT(R52,{"/"})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_xlfn.TEXTSPLIT(R53,{"/"})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_xlfn.TEXTSPLIT(R54,{"/"})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_xlfn.TEXTSPLIT(R55,{"/"})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_xlfn.TEXTSPLIT(R56,{"/"})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_xlfn.TEXTSPLIT(R57,{"/"})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_xlfn.TEXTSPLIT(R58,{"/"})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_xlfn.TEXTSPLIT(R59,{"/"})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_xlfn.TEXTSPLIT(R60,{"/"})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_xlfn.TEXTSPLIT(R61,{"/"})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_xlfn.TEXTSPLIT(R62,{"/"})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_xlfn.TEXTSPLIT(R63,{"/"})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_xlfn.TEXTSPLIT(R64,{"/"})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_xlfn.TEXTSPLIT(R65,{"/"})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_xlfn.TEXTSPLIT(R66,{"/"})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_xlfn.TEXTSPLIT(R67,{"/"})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ref="I68:I131" si="8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_xlfn.TEXTSPLIT(R68,{"/"})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_xlfn.TEXTSPLIT(R69,{"/"})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_xlfn.TEXTSPLIT(R70,{"/"})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_xlfn.TEXTSPLIT(R71,{"/"})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_xlfn.TEXTSPLIT(R72,{"/"})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_xlfn.TEXTSPLIT(R73,{"/"})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ref="F74:F137" si="9">ROUND((E74/D74*100),0)</f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_xlfn.TEXTSPLIT(R74,{"/"})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9"/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_xlfn.TEXTSPLIT(R75,{"/"})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9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_xlfn.TEXTSPLIT(R76,{"/"})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9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_xlfn.TEXTSPLIT(R77,{"/"})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9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_xlfn.TEXTSPLIT(R78,{"/"})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9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_xlfn.TEXTSPLIT(R79,{"/"})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9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_xlfn.TEXTSPLIT(R80,{"/"})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9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_xlfn.TEXTSPLIT(R81,{"/"})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9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_xlfn.TEXTSPLIT(R82,{"/"})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9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_xlfn.TEXTSPLIT(R83,{"/"})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9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_xlfn.TEXTSPLIT(R84,{"/"})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9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_xlfn.TEXTSPLIT(R85,{"/"})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9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_xlfn.TEXTSPLIT(R86,{"/"})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9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_xlfn.TEXTSPLIT(R87,{"/"})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9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_xlfn.TEXTSPLIT(R88,{"/"})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9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_xlfn.TEXTSPLIT(R89,{"/"})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9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_xlfn.TEXTSPLIT(R90,{"/"})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9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_xlfn.TEXTSPLIT(R91,{"/"})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9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_xlfn.TEXTSPLIT(R92,{"/"})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9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_xlfn.TEXTSPLIT(R93,{"/"})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9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_xlfn.TEXTSPLIT(R94,{"/"})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9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_xlfn.TEXTSPLIT(R95,{"/"})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9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_xlfn.TEXTSPLIT(R96,{"/"})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9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_xlfn.TEXTSPLIT(R97,{"/"})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9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_xlfn.TEXTSPLIT(R98,{"/"})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9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_xlfn.TEXTSPLIT(R99,{"/"})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9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_xlfn.TEXTSPLIT(R100,{"/"})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9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_xlfn.TEXTSPLIT(R101,{"/"})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9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_xlfn.TEXTSPLIT(R102,{"/"})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9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_xlfn.TEXTSPLIT(R103,{"/"})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9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_xlfn.TEXTSPLIT(R104,{"/"})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9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_xlfn.TEXTSPLIT(R105,{"/"})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9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_xlfn.TEXTSPLIT(R106,{"/"})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9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_xlfn.TEXTSPLIT(R107,{"/"})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9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_xlfn.TEXTSPLIT(R108,{"/"})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9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_xlfn.TEXTSPLIT(R109,{"/"})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9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_xlfn.TEXTSPLIT(R110,{"/"})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9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_xlfn.TEXTSPLIT(R111,{"/"})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9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_xlfn.TEXTSPLIT(R112,{"/"})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9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_xlfn.TEXTSPLIT(R113,{"/"})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9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_xlfn.TEXTSPLIT(R114,{"/"})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9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_xlfn.TEXTSPLIT(R115,{"/"})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9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_xlfn.TEXTSPLIT(R116,{"/"})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9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_xlfn.TEXTSPLIT(R117,{"/"})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9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_xlfn.TEXTSPLIT(R118,{"/"})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9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_xlfn.TEXTSPLIT(R119,{"/"})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9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_xlfn.TEXTSPLIT(R120,{"/"})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9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_xlfn.TEXTSPLIT(R121,{"/"})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9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_xlfn.TEXTSPLIT(R122,{"/"})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9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_xlfn.TEXTSPLIT(R123,{"/"})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9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_xlfn.TEXTSPLIT(R124,{"/"})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9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_xlfn.TEXTSPLIT(R125,{"/"})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9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_xlfn.TEXTSPLIT(R126,{"/"})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9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_xlfn.TEXTSPLIT(R127,{"/"})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9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_xlfn.TEXTSPLIT(R128,{"/"})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9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_xlfn.TEXTSPLIT(R129,{"/"})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9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_xlfn.TEXTSPLIT(R130,{"/"})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9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_xlfn.TEXTSPLIT(R131,{"/"})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9"/>
        <v>155</v>
      </c>
      <c r="G132" t="s">
        <v>20</v>
      </c>
      <c r="H132">
        <v>533</v>
      </c>
      <c r="I132">
        <f t="shared" ref="I132:I195" si="12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_xlfn.TEXTSPLIT(R132,{"/"})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v>2443</v>
      </c>
      <c r="I133">
        <f t="shared" si="12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_xlfn.TEXTSPLIT(R133,{"/"})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v>89</v>
      </c>
      <c r="I134">
        <f t="shared" si="12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_xlfn.TEXTSPLIT(R134,{"/"})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v>159</v>
      </c>
      <c r="I135">
        <f t="shared" si="12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_xlfn.TEXTSPLIT(R135,{"/"})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v>940</v>
      </c>
      <c r="I136">
        <f t="shared" si="12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_xlfn.TEXTSPLIT(R136,{"/"})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v>117</v>
      </c>
      <c r="I137">
        <f t="shared" si="12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_xlfn.TEXTSPLIT(R137,{"/"})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ref="F138:F201" si="13">ROUND((E138/D138*100),0)</f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_xlfn.TEXTSPLIT(R138,{"/"})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3"/>
        <v>262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_xlfn.TEXTSPLIT(R139,{"/"})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3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_xlfn.TEXTSPLIT(R140,{"/"})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3"/>
        <v>21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_xlfn.TEXTSPLIT(R141,{"/"})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3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_xlfn.TEXTSPLIT(R142,{"/"})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3"/>
        <v>102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_xlfn.TEXTSPLIT(R143,{"/"})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3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_xlfn.TEXTSPLIT(R144,{"/"})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3"/>
        <v>136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_xlfn.TEXTSPLIT(R145,{"/"})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3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_xlfn.TEXTSPLIT(R146,{"/"})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3"/>
        <v>237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_xlfn.TEXTSPLIT(R147,{"/"})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3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_xlfn.TEXTSPLIT(R148,{"/"})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3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_xlfn.TEXTSPLIT(R149,{"/"})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3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_xlfn.TEXTSPLIT(R150,{"/"})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3"/>
        <v>220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_xlfn.TEXTSPLIT(R151,{"/"})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3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_xlfn.TEXTSPLIT(R152,{"/"})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3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_xlfn.TEXTSPLIT(R153,{"/"})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3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_xlfn.TEXTSPLIT(R154,{"/"})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3"/>
        <v>93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_xlfn.TEXTSPLIT(R155,{"/"})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3"/>
        <v>59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_xlfn.TEXTSPLIT(R156,{"/"})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3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_xlfn.TEXTSPLIT(R157,{"/"})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3"/>
        <v>74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_xlfn.TEXTSPLIT(R158,{"/"})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3"/>
        <v>53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_xlfn.TEXTSPLIT(R159,{"/"})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3"/>
        <v>221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_xlfn.TEXTSPLIT(R160,{"/"})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3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_xlfn.TEXTSPLIT(R161,{"/"})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3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_xlfn.TEXTSPLIT(R162,{"/"})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3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_xlfn.TEXTSPLIT(R163,{"/"})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3"/>
        <v>150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_xlfn.TEXTSPLIT(R164,{"/"})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3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_xlfn.TEXTSPLIT(R165,{"/"})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3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_xlfn.TEXTSPLIT(R166,{"/"})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3"/>
        <v>122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_xlfn.TEXTSPLIT(R167,{"/"})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3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_xlfn.TEXTSPLIT(R168,{"/"})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3"/>
        <v>416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_xlfn.TEXTSPLIT(R169,{"/"})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3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_xlfn.TEXTSPLIT(R170,{"/"})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3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_xlfn.TEXTSPLIT(R171,{"/"})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3"/>
        <v>3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_xlfn.TEXTSPLIT(R172,{"/"})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3"/>
        <v>11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_xlfn.TEXTSPLIT(R173,{"/"})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3"/>
        <v>83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_xlfn.TEXTSPLIT(R174,{"/"})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3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_xlfn.TEXTSPLIT(R175,{"/"})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3"/>
        <v>895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_xlfn.TEXTSPLIT(R176,{"/"})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3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_xlfn.TEXTSPLIT(R177,{"/"})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3"/>
        <v>75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_xlfn.TEXTSPLIT(R178,{"/"})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3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_xlfn.TEXTSPLIT(R179,{"/"})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3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_xlfn.TEXTSPLIT(R180,{"/"})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3"/>
        <v>358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_xlfn.TEXTSPLIT(R181,{"/"})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3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_xlfn.TEXTSPLIT(R182,{"/"})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3"/>
        <v>62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_xlfn.TEXTSPLIT(R183,{"/"})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3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_xlfn.TEXTSPLIT(R184,{"/"})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3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_xlfn.TEXTSPLIT(R185,{"/"})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3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_xlfn.TEXTSPLIT(R186,{"/"})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3"/>
        <v>72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_xlfn.TEXTSPLIT(R187,{"/"})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3"/>
        <v>32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_xlfn.TEXTSPLIT(R188,{"/"})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3"/>
        <v>230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_xlfn.TEXTSPLIT(R189,{"/"})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3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_xlfn.TEXTSPLIT(R190,{"/"})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3"/>
        <v>24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_xlfn.TEXTSPLIT(R191,{"/"})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3"/>
        <v>69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_xlfn.TEXTSPLIT(R192,{"/"})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3"/>
        <v>38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_xlfn.TEXTSPLIT(R193,{"/"})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3"/>
        <v>20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_xlfn.TEXTSPLIT(R194,{"/"})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3"/>
        <v>46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_xlfn.TEXTSPLIT(R195,{"/"})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3"/>
        <v>123</v>
      </c>
      <c r="G196" t="s">
        <v>20</v>
      </c>
      <c r="H196">
        <v>126</v>
      </c>
      <c r="I196">
        <f t="shared" ref="I196:I259" si="16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_xlfn.TEXTSPLIT(R196,{"/"})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v>524</v>
      </c>
      <c r="I197">
        <f t="shared" si="16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_xlfn.TEXTSPLIT(R197,{"/"})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v>100</v>
      </c>
      <c r="I198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_xlfn.TEXTSPLIT(R198,{"/"})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v>1989</v>
      </c>
      <c r="I199">
        <f t="shared" si="16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_xlfn.TEXTSPLIT(R199,{"/"})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v>168</v>
      </c>
      <c r="I200">
        <f t="shared" si="16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_xlfn.TEXTSPLIT(R200,{"/"})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v>13</v>
      </c>
      <c r="I201">
        <f t="shared" si="16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_xlfn.TEXTSPLIT(R201,{"/"})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ref="F202:F265" si="17">ROUND((E202/D202*100),0)</f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_xlfn.TEXTSPLIT(R202,{"/"})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7"/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_xlfn.TEXTSPLIT(R203,{"/"})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7"/>
        <v>79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_xlfn.TEXTSPLIT(R204,{"/"})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7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_xlfn.TEXTSPLIT(R205,{"/"})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7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_xlfn.TEXTSPLIT(R206,{"/"})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7"/>
        <v>432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_xlfn.TEXTSPLIT(R207,{"/"})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7"/>
        <v>39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_xlfn.TEXTSPLIT(R208,{"/"})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7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_xlfn.TEXTSPLIT(R209,{"/"})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7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_xlfn.TEXTSPLIT(R210,{"/"})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7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_xlfn.TEXTSPLIT(R211,{"/"})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7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_xlfn.TEXTSPLIT(R212,{"/"})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7"/>
        <v>95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_xlfn.TEXTSPLIT(R213,{"/"})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7"/>
        <v>152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_xlfn.TEXTSPLIT(R214,{"/"})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7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_xlfn.TEXTSPLIT(R215,{"/"})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7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_xlfn.TEXTSPLIT(R216,{"/"})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7"/>
        <v>4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_xlfn.TEXTSPLIT(R217,{"/"})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7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_xlfn.TEXTSPLIT(R218,{"/"})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7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_xlfn.TEXTSPLIT(R219,{"/"})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7"/>
        <v>216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_xlfn.TEXTSPLIT(R220,{"/"})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7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_xlfn.TEXTSPLIT(R221,{"/"})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7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_xlfn.TEXTSPLIT(R222,{"/"})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7"/>
        <v>99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_xlfn.TEXTSPLIT(R223,{"/"})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7"/>
        <v>138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_xlfn.TEXTSPLIT(R224,{"/"})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7"/>
        <v>94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_xlfn.TEXTSPLIT(R225,{"/"})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7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_xlfn.TEXTSPLIT(R226,{"/"})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7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_xlfn.TEXTSPLIT(R227,{"/"})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7"/>
        <v>367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_xlfn.TEXTSPLIT(R228,{"/"})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7"/>
        <v>169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_xlfn.TEXTSPLIT(R229,{"/"})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7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_xlfn.TEXTSPLIT(R230,{"/"})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7"/>
        <v>194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_xlfn.TEXTSPLIT(R231,{"/"})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7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_xlfn.TEXTSPLIT(R232,{"/"})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7"/>
        <v>77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_xlfn.TEXTSPLIT(R233,{"/"})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7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_xlfn.TEXTSPLIT(R234,{"/"})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7"/>
        <v>158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_xlfn.TEXTSPLIT(R235,{"/"})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7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_xlfn.TEXTSPLIT(R236,{"/"})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7"/>
        <v>42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_xlfn.TEXTSPLIT(R237,{"/"})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7"/>
        <v>11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_xlfn.TEXTSPLIT(R238,{"/"})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7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_xlfn.TEXTSPLIT(R239,{"/"})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7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_xlfn.TEXTSPLIT(R240,{"/"})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7"/>
        <v>98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_xlfn.TEXTSPLIT(R241,{"/"})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7"/>
        <v>419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_xlfn.TEXTSPLIT(R242,{"/"})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7"/>
        <v>102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_xlfn.TEXTSPLIT(R243,{"/"})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7"/>
        <v>128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_xlfn.TEXTSPLIT(R244,{"/"})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7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_xlfn.TEXTSPLIT(R245,{"/"})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7"/>
        <v>570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_xlfn.TEXTSPLIT(R246,{"/"})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7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_xlfn.TEXTSPLIT(R247,{"/"})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7"/>
        <v>326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_xlfn.TEXTSPLIT(R248,{"/"})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7"/>
        <v>933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_xlfn.TEXTSPLIT(R249,{"/"})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7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_xlfn.TEXTSPLIT(R250,{"/"})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7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_xlfn.TEXTSPLIT(R251,{"/"})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7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_xlfn.TEXTSPLIT(R252,{"/"})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7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_xlfn.TEXTSPLIT(R253,{"/"})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7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_xlfn.TEXTSPLIT(R254,{"/"})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7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_xlfn.TEXTSPLIT(R255,{"/"})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7"/>
        <v>185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_xlfn.TEXTSPLIT(R256,{"/"})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7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_xlfn.TEXTSPLIT(R257,{"/"})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7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_xlfn.TEXTSPLIT(R258,{"/"})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7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_xlfn.TEXTSPLIT(R259,{"/"})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7"/>
        <v>268</v>
      </c>
      <c r="G260" t="s">
        <v>20</v>
      </c>
      <c r="H260">
        <v>186</v>
      </c>
      <c r="I260">
        <f t="shared" ref="I260:I323" si="20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_xlfn.TEXTSPLIT(R260,{"/"})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v>138</v>
      </c>
      <c r="I261">
        <f t="shared" si="20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_xlfn.TEXTSPLIT(R261,{"/"})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v>261</v>
      </c>
      <c r="I262">
        <f t="shared" si="20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_xlfn.TEXTSPLIT(R262,{"/"})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v>454</v>
      </c>
      <c r="I263">
        <f t="shared" si="20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_xlfn.TEXTSPLIT(R263,{"/"})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v>107</v>
      </c>
      <c r="I264">
        <f t="shared" si="20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_xlfn.TEXTSPLIT(R264,{"/"})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v>199</v>
      </c>
      <c r="I265">
        <f t="shared" si="20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_xlfn.TEXTSPLIT(R265,{"/"})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ref="F266:F329" si="21">ROUND((E266/D266*100),0)</f>
        <v>363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_xlfn.TEXTSPLIT(R266,{"/"})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1"/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_xlfn.TEXTSPLIT(R267,{"/"})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1"/>
        <v>77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_xlfn.TEXTSPLIT(R268,{"/"})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1"/>
        <v>234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_xlfn.TEXTSPLIT(R269,{"/"})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1"/>
        <v>181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_xlfn.TEXTSPLIT(R270,{"/"})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1"/>
        <v>253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_xlfn.TEXTSPLIT(R271,{"/"})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1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_xlfn.TEXTSPLIT(R272,{"/"})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1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_xlfn.TEXTSPLIT(R273,{"/"})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1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_xlfn.TEXTSPLIT(R274,{"/"})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1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_xlfn.TEXTSPLIT(R275,{"/"})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1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_xlfn.TEXTSPLIT(R276,{"/"})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1"/>
        <v>242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_xlfn.TEXTSPLIT(R277,{"/"})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1"/>
        <v>97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_xlfn.TEXTSPLIT(R278,{"/"})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1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_xlfn.TEXTSPLIT(R279,{"/"})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1"/>
        <v>326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_xlfn.TEXTSPLIT(R280,{"/"})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1"/>
        <v>171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_xlfn.TEXTSPLIT(R281,{"/"})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1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_xlfn.TEXTSPLIT(R282,{"/"})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1"/>
        <v>92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_xlfn.TEXTSPLIT(R283,{"/"})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1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_xlfn.TEXTSPLIT(R284,{"/"})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1"/>
        <v>19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_xlfn.TEXTSPLIT(R285,{"/"})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1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_xlfn.TEXTSPLIT(R286,{"/"})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1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_xlfn.TEXTSPLIT(R287,{"/"})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1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_xlfn.TEXTSPLIT(R288,{"/"})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1"/>
        <v>210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_xlfn.TEXTSPLIT(R289,{"/"})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1"/>
        <v>98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_xlfn.TEXTSPLIT(R290,{"/"})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1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_xlfn.TEXTSPLIT(R291,{"/"})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1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_xlfn.TEXTSPLIT(R292,{"/"})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1"/>
        <v>457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_xlfn.TEXTSPLIT(R293,{"/"})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1"/>
        <v>10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_xlfn.TEXTSPLIT(R294,{"/"})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1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_xlfn.TEXTSPLIT(R295,{"/"})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1"/>
        <v>1340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_xlfn.TEXTSPLIT(R296,{"/"})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1"/>
        <v>36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_xlfn.TEXTSPLIT(R297,{"/"})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1"/>
        <v>55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_xlfn.TEXTSPLIT(R298,{"/"})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1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_xlfn.TEXTSPLIT(R299,{"/"})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1"/>
        <v>144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_xlfn.TEXTSPLIT(R300,{"/"})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1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_xlfn.TEXTSPLIT(R301,{"/"})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1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_xlfn.TEXTSPLIT(R302,{"/"})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1"/>
        <v>1345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_xlfn.TEXTSPLIT(R303,{"/"})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1"/>
        <v>32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_xlfn.TEXTSPLIT(R304,{"/"})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1"/>
        <v>83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_xlfn.TEXTSPLIT(R305,{"/"})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1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_xlfn.TEXTSPLIT(R306,{"/"})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1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_xlfn.TEXTSPLIT(R307,{"/"})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1"/>
        <v>8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_xlfn.TEXTSPLIT(R308,{"/"})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1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_xlfn.TEXTSPLIT(R309,{"/"})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1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_xlfn.TEXTSPLIT(R310,{"/"})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1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_xlfn.TEXTSPLIT(R311,{"/"})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1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_xlfn.TEXTSPLIT(R312,{"/"})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1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_xlfn.TEXTSPLIT(R313,{"/"})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1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_xlfn.TEXTSPLIT(R314,{"/"})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1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_xlfn.TEXTSPLIT(R315,{"/"})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1"/>
        <v>295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_xlfn.TEXTSPLIT(R316,{"/"})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1"/>
        <v>34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_xlfn.TEXTSPLIT(R317,{"/"})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1"/>
        <v>67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_xlfn.TEXTSPLIT(R318,{"/"})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1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_xlfn.TEXTSPLIT(R319,{"/"})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1"/>
        <v>16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_xlfn.TEXTSPLIT(R320,{"/"})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1"/>
        <v>39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_xlfn.TEXTSPLIT(R321,{"/"})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1"/>
        <v>10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_xlfn.TEXTSPLIT(R322,{"/"})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1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_xlfn.TEXTSPLIT(R323,{"/"})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1"/>
        <v>167</v>
      </c>
      <c r="G324" t="s">
        <v>20</v>
      </c>
      <c r="H324">
        <v>5168</v>
      </c>
      <c r="I324">
        <f t="shared" ref="I324:I387" si="24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_xlfn.TEXTSPLIT(R324,{"/"})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v>26</v>
      </c>
      <c r="I325">
        <f t="shared" si="24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_xlfn.TEXTSPLIT(R325,{"/"})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v>307</v>
      </c>
      <c r="I326">
        <f t="shared" si="24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_xlfn.TEXTSPLIT(R326,{"/"})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v>73</v>
      </c>
      <c r="I327">
        <f t="shared" si="24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_xlfn.TEXTSPLIT(R327,{"/"})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v>128</v>
      </c>
      <c r="I328">
        <f t="shared" si="24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_xlfn.TEXTSPLIT(R328,{"/"})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v>33</v>
      </c>
      <c r="I329">
        <f t="shared" si="24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_xlfn.TEXTSPLIT(R329,{"/"})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ref="F330:F393" si="25">ROUND((E330/D330*100),0)</f>
        <v>134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_xlfn.TEXTSPLIT(R330,{"/"})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5"/>
        <v>23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_xlfn.TEXTSPLIT(R331,{"/"})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_xlfn.TEXTSPLIT(R332,{"/"})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_xlfn.TEXTSPLIT(R333,{"/"})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_xlfn.TEXTSPLIT(R334,{"/"})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_xlfn.TEXTSPLIT(R335,{"/"})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_xlfn.TEXTSPLIT(R336,{"/"})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_xlfn.TEXTSPLIT(R337,{"/"})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_xlfn.TEXTSPLIT(R338,{"/"})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_xlfn.TEXTSPLIT(R339,{"/"})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_xlfn.TEXTSPLIT(R340,{"/"})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_xlfn.TEXTSPLIT(R341,{"/"})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_xlfn.TEXTSPLIT(R342,{"/"})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_xlfn.TEXTSPLIT(R343,{"/"})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_xlfn.TEXTSPLIT(R344,{"/"})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_xlfn.TEXTSPLIT(R345,{"/"})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_xlfn.TEXTSPLIT(R346,{"/"})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_xlfn.TEXTSPLIT(R347,{"/"})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_xlfn.TEXTSPLIT(R348,{"/"})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_xlfn.TEXTSPLIT(R349,{"/"})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_xlfn.TEXTSPLIT(R350,{"/"})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_xlfn.TEXTSPLIT(R351,{"/"})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_xlfn.TEXTSPLIT(R352,{"/"})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_xlfn.TEXTSPLIT(R353,{"/"})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_xlfn.TEXTSPLIT(R354,{"/"})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_xlfn.TEXTSPLIT(R355,{"/"})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_xlfn.TEXTSPLIT(R356,{"/"})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_xlfn.TEXTSPLIT(R357,{"/"})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_xlfn.TEXTSPLIT(R358,{"/"})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_xlfn.TEXTSPLIT(R359,{"/"})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_xlfn.TEXTSPLIT(R360,{"/"})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_xlfn.TEXTSPLIT(R361,{"/"})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_xlfn.TEXTSPLIT(R362,{"/"})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_xlfn.TEXTSPLIT(R363,{"/"})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_xlfn.TEXTSPLIT(R364,{"/"})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_xlfn.TEXTSPLIT(R365,{"/"})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_xlfn.TEXTSPLIT(R366,{"/"})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_xlfn.TEXTSPLIT(R367,{"/"})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_xlfn.TEXTSPLIT(R368,{"/"})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_xlfn.TEXTSPLIT(R369,{"/"})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_xlfn.TEXTSPLIT(R370,{"/"})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_xlfn.TEXTSPLIT(R371,{"/"})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_xlfn.TEXTSPLIT(R372,{"/"})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_xlfn.TEXTSPLIT(R373,{"/"})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_xlfn.TEXTSPLIT(R374,{"/"})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_xlfn.TEXTSPLIT(R375,{"/"})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_xlfn.TEXTSPLIT(R376,{"/"})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_xlfn.TEXTSPLIT(R377,{"/"})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_xlfn.TEXTSPLIT(R378,{"/"})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_xlfn.TEXTSPLIT(R379,{"/"})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_xlfn.TEXTSPLIT(R380,{"/"})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_xlfn.TEXTSPLIT(R381,{"/"})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_xlfn.TEXTSPLIT(R382,{"/"})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_xlfn.TEXTSPLIT(R383,{"/"})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_xlfn.TEXTSPLIT(R384,{"/"})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_xlfn.TEXTSPLIT(R385,{"/"})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5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_xlfn.TEXTSPLIT(R386,{"/"})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5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_xlfn.TEXTSPLIT(R387,{"/"})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5"/>
        <v>76</v>
      </c>
      <c r="G388" t="s">
        <v>14</v>
      </c>
      <c r="H388">
        <v>1068</v>
      </c>
      <c r="I388">
        <f t="shared" ref="I388:I451" si="28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_xlfn.TEXTSPLIT(R388,{"/"})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v>424</v>
      </c>
      <c r="I389">
        <f t="shared" si="28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_xlfn.TEXTSPLIT(R389,{"/"})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v>145</v>
      </c>
      <c r="I390">
        <f t="shared" si="28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_xlfn.TEXTSPLIT(R390,{"/"})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v>1152</v>
      </c>
      <c r="I391">
        <f t="shared" si="28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_xlfn.TEXTSPLIT(R391,{"/"})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v>50</v>
      </c>
      <c r="I392">
        <f t="shared" si="28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_xlfn.TEXTSPLIT(R392,{"/"})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v>151</v>
      </c>
      <c r="I393">
        <f t="shared" si="28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_xlfn.TEXTSPLIT(R393,{"/"})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ref="F394:F457" si="29">ROUND((E394/D394*100),0)</f>
        <v>66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_xlfn.TEXTSPLIT(R394,{"/"})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9"/>
        <v>229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_xlfn.TEXTSPLIT(R395,{"/"})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9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_xlfn.TEXTSPLIT(R396,{"/"})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9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_xlfn.TEXTSPLIT(R397,{"/"})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9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_xlfn.TEXTSPLIT(R398,{"/"})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9"/>
        <v>174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_xlfn.TEXTSPLIT(R399,{"/"})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9"/>
        <v>718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_xlfn.TEXTSPLIT(R400,{"/"})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9"/>
        <v>64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_xlfn.TEXTSPLIT(R401,{"/"})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9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_xlfn.TEXTSPLIT(R402,{"/"})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9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_xlfn.TEXTSPLIT(R403,{"/"})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9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_xlfn.TEXTSPLIT(R404,{"/"})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9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_xlfn.TEXTSPLIT(R405,{"/"})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9"/>
        <v>316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_xlfn.TEXTSPLIT(R406,{"/"})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9"/>
        <v>90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_xlfn.TEXTSPLIT(R407,{"/"})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9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_xlfn.TEXTSPLIT(R408,{"/"})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9"/>
        <v>356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_xlfn.TEXTSPLIT(R409,{"/"})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9"/>
        <v>132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_xlfn.TEXTSPLIT(R410,{"/"})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9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_xlfn.TEXTSPLIT(R411,{"/"})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9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_xlfn.TEXTSPLIT(R412,{"/"})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9"/>
        <v>105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_xlfn.TEXTSPLIT(R413,{"/"})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9"/>
        <v>669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_xlfn.TEXTSPLIT(R414,{"/"})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9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_xlfn.TEXTSPLIT(R415,{"/"})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9"/>
        <v>85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_xlfn.TEXTSPLIT(R416,{"/"})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9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_xlfn.TEXTSPLIT(R417,{"/"})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9"/>
        <v>44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_xlfn.TEXTSPLIT(R418,{"/"})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9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_xlfn.TEXTSPLIT(R419,{"/"})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9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_xlfn.TEXTSPLIT(R420,{"/"})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9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_xlfn.TEXTSPLIT(R421,{"/"})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9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_xlfn.TEXTSPLIT(R422,{"/"})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9"/>
        <v>64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_xlfn.TEXTSPLIT(R423,{"/"})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9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_xlfn.TEXTSPLIT(R424,{"/"})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9"/>
        <v>11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_xlfn.TEXTSPLIT(R425,{"/"})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9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_xlfn.TEXTSPLIT(R426,{"/"})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9"/>
        <v>288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_xlfn.TEXTSPLIT(R427,{"/"})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9"/>
        <v>573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_xlfn.TEXTSPLIT(R428,{"/"})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9"/>
        <v>113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_xlfn.TEXTSPLIT(R429,{"/"})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9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_xlfn.TEXTSPLIT(R430,{"/"})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9"/>
        <v>91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_xlfn.TEXTSPLIT(R431,{"/"})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9"/>
        <v>68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_xlfn.TEXTSPLIT(R432,{"/"})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9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_xlfn.TEXTSPLIT(R433,{"/"})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9"/>
        <v>83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_xlfn.TEXTSPLIT(R434,{"/"})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9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_xlfn.TEXTSPLIT(R435,{"/"})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9"/>
        <v>17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_xlfn.TEXTSPLIT(R436,{"/"})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9"/>
        <v>117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_xlfn.TEXTSPLIT(R437,{"/"})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9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_xlfn.TEXTSPLIT(R438,{"/"})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9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_xlfn.TEXTSPLIT(R439,{"/"})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9"/>
        <v>179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_xlfn.TEXTSPLIT(R440,{"/"})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9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_xlfn.TEXTSPLIT(R441,{"/"})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9"/>
        <v>162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_xlfn.TEXTSPLIT(R442,{"/"})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9"/>
        <v>25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_xlfn.TEXTSPLIT(R443,{"/"})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9"/>
        <v>199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_xlfn.TEXTSPLIT(R444,{"/"})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9"/>
        <v>35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_xlfn.TEXTSPLIT(R445,{"/"})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9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_xlfn.TEXTSPLIT(R446,{"/"})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9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_xlfn.TEXTSPLIT(R447,{"/"})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9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_xlfn.TEXTSPLIT(R448,{"/"})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9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_xlfn.TEXTSPLIT(R449,{"/"})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9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_xlfn.TEXTSPLIT(R450,{"/"})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9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_xlfn.TEXTSPLIT(R451,{"/"})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9"/>
        <v>4</v>
      </c>
      <c r="G452" t="s">
        <v>14</v>
      </c>
      <c r="H452">
        <v>1</v>
      </c>
      <c r="I452">
        <f t="shared" ref="I452:I515" si="32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_xlfn.TEXTSPLIT(R452,{"/"})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v>6286</v>
      </c>
      <c r="I453">
        <f t="shared" si="32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_xlfn.TEXTSPLIT(R453,{"/"})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v>31</v>
      </c>
      <c r="I454">
        <f t="shared" si="32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_xlfn.TEXTSPLIT(R454,{"/"})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v>1181</v>
      </c>
      <c r="I455">
        <f t="shared" si="32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_xlfn.TEXTSPLIT(R455,{"/"})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v>39</v>
      </c>
      <c r="I456">
        <f t="shared" si="32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_xlfn.TEXTSPLIT(R456,{"/"})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v>3727</v>
      </c>
      <c r="I457">
        <f t="shared" si="32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_xlfn.TEXTSPLIT(R457,{"/"})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ref="F458:F521" si="33">ROUND((E458/D458*100),0)</f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_xlfn.TEXTSPLIT(R458,{"/"})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3"/>
        <v>27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_xlfn.TEXTSPLIT(R459,{"/"})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3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_xlfn.TEXTSPLIT(R460,{"/"})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3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_xlfn.TEXTSPLIT(R461,{"/"})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3"/>
        <v>172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_xlfn.TEXTSPLIT(R462,{"/"})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3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_xlfn.TEXTSPLIT(R463,{"/"})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3"/>
        <v>31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_xlfn.TEXTSPLIT(R464,{"/"})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3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_xlfn.TEXTSPLIT(R465,{"/"})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3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_xlfn.TEXTSPLIT(R466,{"/"})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3"/>
        <v>188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_xlfn.TEXTSPLIT(R467,{"/"})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3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_xlfn.TEXTSPLIT(R468,{"/"})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3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_xlfn.TEXTSPLIT(R469,{"/"})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3"/>
        <v>41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_xlfn.TEXTSPLIT(R470,{"/"})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3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_xlfn.TEXTSPLIT(R471,{"/"})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3"/>
        <v>286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_xlfn.TEXTSPLIT(R472,{"/"})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3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_xlfn.TEXTSPLIT(R473,{"/"})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3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_xlfn.TEXTSPLIT(R474,{"/"})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3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_xlfn.TEXTSPLIT(R475,{"/"})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3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_xlfn.TEXTSPLIT(R476,{"/"})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3"/>
        <v>114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_xlfn.TEXTSPLIT(R477,{"/"})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3"/>
        <v>30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_xlfn.TEXTSPLIT(R478,{"/"})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3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_xlfn.TEXTSPLIT(R479,{"/"})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3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_xlfn.TEXTSPLIT(R480,{"/"})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3"/>
        <v>513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_xlfn.TEXTSPLIT(R481,{"/"})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3"/>
        <v>101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_xlfn.TEXTSPLIT(R482,{"/"})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3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_xlfn.TEXTSPLIT(R483,{"/"})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3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_xlfn.TEXTSPLIT(R484,{"/"})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3"/>
        <v>53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_xlfn.TEXTSPLIT(R485,{"/"})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3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_xlfn.TEXTSPLIT(R486,{"/"})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3"/>
        <v>31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_xlfn.TEXTSPLIT(R487,{"/"})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3"/>
        <v>14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_xlfn.TEXTSPLIT(R488,{"/"})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3"/>
        <v>179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_xlfn.TEXTSPLIT(R489,{"/"})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3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_xlfn.TEXTSPLIT(R490,{"/"})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3"/>
        <v>102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_xlfn.TEXTSPLIT(R491,{"/"})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3"/>
        <v>192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_xlfn.TEXTSPLIT(R492,{"/"})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3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_xlfn.TEXTSPLIT(R493,{"/"})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3"/>
        <v>24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_xlfn.TEXTSPLIT(R494,{"/"})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3"/>
        <v>724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_xlfn.TEXTSPLIT(R495,{"/"})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3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_xlfn.TEXTSPLIT(R496,{"/"})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3"/>
        <v>415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_xlfn.TEXTSPLIT(R497,{"/"})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3"/>
        <v>1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_xlfn.TEXTSPLIT(R498,{"/"})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3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_xlfn.TEXTSPLIT(R499,{"/"})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3"/>
        <v>24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_xlfn.TEXTSPLIT(R500,{"/"})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3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_xlfn.TEXTSPLIT(R501,{"/"})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3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_xlfn.TEXTSPLIT(R502,{"/"})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3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_xlfn.TEXTSPLIT(R503,{"/"})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3"/>
        <v>530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_xlfn.TEXTSPLIT(R504,{"/"})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3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_xlfn.TEXTSPLIT(R505,{"/"})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3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_xlfn.TEXTSPLIT(R506,{"/"})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3"/>
        <v>14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_xlfn.TEXTSPLIT(R507,{"/"})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3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_xlfn.TEXTSPLIT(R508,{"/"})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3"/>
        <v>40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_xlfn.TEXTSPLIT(R509,{"/"})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3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_xlfn.TEXTSPLIT(R510,{"/"})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3"/>
        <v>71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_xlfn.TEXTSPLIT(R511,{"/"})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3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_xlfn.TEXTSPLIT(R512,{"/"})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3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_xlfn.TEXTSPLIT(R513,{"/"})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3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_xlfn.TEXTSPLIT(R514,{"/"})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3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_xlfn.TEXTSPLIT(R515,{"/"})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3"/>
        <v>22</v>
      </c>
      <c r="G516" t="s">
        <v>74</v>
      </c>
      <c r="H516">
        <v>528</v>
      </c>
      <c r="I516">
        <f t="shared" ref="I516:I579" si="36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_xlfn.TEXTSPLIT(R516,{"/"})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v>133</v>
      </c>
      <c r="I517">
        <f t="shared" si="36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_xlfn.TEXTSPLIT(R517,{"/"})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v>846</v>
      </c>
      <c r="I518">
        <f t="shared" si="36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_xlfn.TEXTSPLIT(R518,{"/"})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v>78</v>
      </c>
      <c r="I519">
        <f t="shared" si="36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_xlfn.TEXTSPLIT(R519,{"/"})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v>10</v>
      </c>
      <c r="I520">
        <f t="shared" si="36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_xlfn.TEXTSPLIT(R520,{"/"})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v>1773</v>
      </c>
      <c r="I521">
        <f t="shared" si="36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_xlfn.TEXTSPLIT(R521,{"/"})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ref="F522:F585" si="37">ROUND((E522/D522*100),0)</f>
        <v>426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_xlfn.TEXTSPLIT(R522,{"/"})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7"/>
        <v>146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_xlfn.TEXTSPLIT(R523,{"/"})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7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_xlfn.TEXTSPLIT(R524,{"/"})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7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_xlfn.TEXTSPLIT(R525,{"/"})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7"/>
        <v>84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_xlfn.TEXTSPLIT(R526,{"/"})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7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_xlfn.TEXTSPLIT(R527,{"/"})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7"/>
        <v>156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_xlfn.TEXTSPLIT(R528,{"/"})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7"/>
        <v>100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_xlfn.TEXTSPLIT(R529,{"/"})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7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_xlfn.TEXTSPLIT(R530,{"/"})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7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_xlfn.TEXTSPLIT(R531,{"/"})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7"/>
        <v>92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_xlfn.TEXTSPLIT(R532,{"/"})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7"/>
        <v>96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_xlfn.TEXTSPLIT(R533,{"/"})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7"/>
        <v>503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_xlfn.TEXTSPLIT(R534,{"/"})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7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_xlfn.TEXTSPLIT(R535,{"/"})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7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_xlfn.TEXTSPLIT(R536,{"/"})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7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_xlfn.TEXTSPLIT(R537,{"/"})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7"/>
        <v>150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_xlfn.TEXTSPLIT(R538,{"/"})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7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_xlfn.TEXTSPLIT(R539,{"/"})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7"/>
        <v>38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_xlfn.TEXTSPLIT(R540,{"/"})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7"/>
        <v>73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_xlfn.TEXTSPLIT(R541,{"/"})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7"/>
        <v>266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_xlfn.TEXTSPLIT(R542,{"/"})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7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_xlfn.TEXTSPLIT(R543,{"/"})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7"/>
        <v>3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_xlfn.TEXTSPLIT(R544,{"/"})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7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_xlfn.TEXTSPLIT(R545,{"/"})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7"/>
        <v>277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_xlfn.TEXTSPLIT(R546,{"/"})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7"/>
        <v>89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_xlfn.TEXTSPLIT(R547,{"/"})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7"/>
        <v>164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_xlfn.TEXTSPLIT(R548,{"/"})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7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_xlfn.TEXTSPLIT(R549,{"/"})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7"/>
        <v>271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_xlfn.TEXTSPLIT(R550,{"/"})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7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_xlfn.TEXTSPLIT(R551,{"/"})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7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_xlfn.TEXTSPLIT(R552,{"/"})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7"/>
        <v>59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_xlfn.TEXTSPLIT(R553,{"/"})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7"/>
        <v>99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_xlfn.TEXTSPLIT(R554,{"/"})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7"/>
        <v>44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_xlfn.TEXTSPLIT(R555,{"/"})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7"/>
        <v>152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_xlfn.TEXTSPLIT(R556,{"/"})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7"/>
        <v>224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_xlfn.TEXTSPLIT(R557,{"/"})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7"/>
        <v>240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_xlfn.TEXTSPLIT(R558,{"/"})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7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_xlfn.TEXTSPLIT(R559,{"/"})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7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_xlfn.TEXTSPLIT(R560,{"/"})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7"/>
        <v>101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_xlfn.TEXTSPLIT(R561,{"/"})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7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_xlfn.TEXTSPLIT(R562,{"/"})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7"/>
        <v>370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_xlfn.TEXTSPLIT(R563,{"/"})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7"/>
        <v>13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_xlfn.TEXTSPLIT(R564,{"/"})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7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_xlfn.TEXTSPLIT(R565,{"/"})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7"/>
        <v>84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_xlfn.TEXTSPLIT(R566,{"/"})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7"/>
        <v>205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_xlfn.TEXTSPLIT(R567,{"/"})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7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_xlfn.TEXTSPLIT(R568,{"/"})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7"/>
        <v>219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_xlfn.TEXTSPLIT(R569,{"/"})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7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_xlfn.TEXTSPLIT(R570,{"/"})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7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_xlfn.TEXTSPLIT(R571,{"/"})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7"/>
        <v>306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_xlfn.TEXTSPLIT(R572,{"/"})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7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_xlfn.TEXTSPLIT(R573,{"/"})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7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_xlfn.TEXTSPLIT(R574,{"/"})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7"/>
        <v>112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_xlfn.TEXTSPLIT(R575,{"/"})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7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_xlfn.TEXTSPLIT(R576,{"/"})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7"/>
        <v>63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_xlfn.TEXTSPLIT(R577,{"/"})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7"/>
        <v>65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_xlfn.TEXTSPLIT(R578,{"/"})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7"/>
        <v>19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_xlfn.TEXTSPLIT(R579,{"/"})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7"/>
        <v>17</v>
      </c>
      <c r="G580" t="s">
        <v>14</v>
      </c>
      <c r="H580">
        <v>245</v>
      </c>
      <c r="I580">
        <f t="shared" ref="I580:I643" si="40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_xlfn.TEXTSPLIT(R580,{"/"})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v>87</v>
      </c>
      <c r="I581">
        <f t="shared" si="40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_xlfn.TEXTSPLIT(R581,{"/"})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v>3116</v>
      </c>
      <c r="I582">
        <f t="shared" si="40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_xlfn.TEXTSPLIT(R582,{"/"})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v>71</v>
      </c>
      <c r="I583">
        <f t="shared" si="40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_xlfn.TEXTSPLIT(R583,{"/"})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v>42</v>
      </c>
      <c r="I584">
        <f t="shared" si="40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_xlfn.TEXTSPLIT(R584,{"/"})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v>909</v>
      </c>
      <c r="I585">
        <f t="shared" si="40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_xlfn.TEXTSPLIT(R585,{"/"})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ref="F586:F649" si="41">ROUND((E586/D586*100),0)</f>
        <v>120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_xlfn.TEXTSPLIT(R586,{"/"})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1"/>
        <v>147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_xlfn.TEXTSPLIT(R587,{"/"})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1"/>
        <v>951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_xlfn.TEXTSPLIT(R588,{"/"})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1"/>
        <v>73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_xlfn.TEXTSPLIT(R589,{"/"})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1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_xlfn.TEXTSPLIT(R590,{"/"})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1"/>
        <v>65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_xlfn.TEXTSPLIT(R591,{"/"})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1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_xlfn.TEXTSPLIT(R592,{"/"})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1"/>
        <v>1038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_xlfn.TEXTSPLIT(R593,{"/"})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1"/>
        <v>13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_xlfn.TEXTSPLIT(R594,{"/"})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1"/>
        <v>155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_xlfn.TEXTSPLIT(R595,{"/"})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1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_xlfn.TEXTSPLIT(R596,{"/"})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1"/>
        <v>209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_xlfn.TEXTSPLIT(R597,{"/"})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1"/>
        <v>100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_xlfn.TEXTSPLIT(R598,{"/"})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1"/>
        <v>202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_xlfn.TEXTSPLIT(R599,{"/"})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1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_xlfn.TEXTSPLIT(R600,{"/"})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1"/>
        <v>4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_xlfn.TEXTSPLIT(R601,{"/"})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1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_xlfn.TEXTSPLIT(R602,{"/"})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1"/>
        <v>207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_xlfn.TEXTSPLIT(R603,{"/"})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1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_xlfn.TEXTSPLIT(R604,{"/"})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1"/>
        <v>120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_xlfn.TEXTSPLIT(R605,{"/"})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1"/>
        <v>171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_xlfn.TEXTSPLIT(R606,{"/"})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1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_xlfn.TEXTSPLIT(R607,{"/"})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1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_xlfn.TEXTSPLIT(R608,{"/"})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1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_xlfn.TEXTSPLIT(R609,{"/"})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1"/>
        <v>284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_xlfn.TEXTSPLIT(R610,{"/"})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1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_xlfn.TEXTSPLIT(R611,{"/"})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1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_xlfn.TEXTSPLIT(R612,{"/"})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1"/>
        <v>14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_xlfn.TEXTSPLIT(R613,{"/"})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1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_xlfn.TEXTSPLIT(R614,{"/"})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1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_xlfn.TEXTSPLIT(R615,{"/"})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1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_xlfn.TEXTSPLIT(R616,{"/"})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1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_xlfn.TEXTSPLIT(R617,{"/"})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1"/>
        <v>190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_xlfn.TEXTSPLIT(R618,{"/"})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1"/>
        <v>250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_xlfn.TEXTSPLIT(R619,{"/"})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1"/>
        <v>49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_xlfn.TEXTSPLIT(R620,{"/"})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1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_xlfn.TEXTSPLIT(R621,{"/"})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1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_xlfn.TEXTSPLIT(R622,{"/"})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1"/>
        <v>620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_xlfn.TEXTSPLIT(R623,{"/"})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1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_xlfn.TEXTSPLIT(R624,{"/"})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1"/>
        <v>160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_xlfn.TEXTSPLIT(R625,{"/"})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1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_xlfn.TEXTSPLIT(R626,{"/"})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1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_xlfn.TEXTSPLIT(R627,{"/"})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1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_xlfn.TEXTSPLIT(R628,{"/"})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1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_xlfn.TEXTSPLIT(R629,{"/"})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1"/>
        <v>152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_xlfn.TEXTSPLIT(R630,{"/"})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1"/>
        <v>65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_xlfn.TEXTSPLIT(R631,{"/"})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1"/>
        <v>63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_xlfn.TEXTSPLIT(R632,{"/"})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1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_xlfn.TEXTSPLIT(R633,{"/"})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1"/>
        <v>43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_xlfn.TEXTSPLIT(R634,{"/"})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1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_xlfn.TEXTSPLIT(R635,{"/"})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1"/>
        <v>79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_xlfn.TEXTSPLIT(R636,{"/"})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1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_xlfn.TEXTSPLIT(R637,{"/"})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1"/>
        <v>65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_xlfn.TEXTSPLIT(R638,{"/"})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1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_xlfn.TEXTSPLIT(R639,{"/"})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1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_xlfn.TEXTSPLIT(R640,{"/"})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1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_xlfn.TEXTSPLIT(R641,{"/"})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1"/>
        <v>17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_xlfn.TEXTSPLIT(R642,{"/"})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1"/>
        <v>120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_xlfn.TEXTSPLIT(R643,{"/"})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1"/>
        <v>145</v>
      </c>
      <c r="G644" t="s">
        <v>20</v>
      </c>
      <c r="H644">
        <v>129</v>
      </c>
      <c r="I644">
        <f t="shared" ref="I644:I707" si="44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_xlfn.TEXTSPLIT(R644,{"/"})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v>375</v>
      </c>
      <c r="I645">
        <f t="shared" si="44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_xlfn.TEXTSPLIT(R645,{"/"})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v>2928</v>
      </c>
      <c r="I646">
        <f t="shared" si="44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_xlfn.TEXTSPLIT(R646,{"/"})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v>4697</v>
      </c>
      <c r="I647">
        <f t="shared" si="44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_xlfn.TEXTSPLIT(R647,{"/"})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v>2915</v>
      </c>
      <c r="I648">
        <f t="shared" si="44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_xlfn.TEXTSPLIT(R648,{"/"})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v>18</v>
      </c>
      <c r="I649">
        <f t="shared" si="44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_xlfn.TEXTSPLIT(R649,{"/"})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ref="F650:F713" si="45">ROUND((E650/D650*100),0)</f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_xlfn.TEXTSPLIT(R650,{"/"})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5"/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_xlfn.TEXTSPLIT(R651,{"/"})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5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_xlfn.TEXTSPLIT(R652,{"/"})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5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_xlfn.TEXTSPLIT(R653,{"/"})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5"/>
        <v>127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_xlfn.TEXTSPLIT(R654,{"/"})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5"/>
        <v>2339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_xlfn.TEXTSPLIT(R655,{"/"})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5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_xlfn.TEXTSPLIT(R656,{"/"})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5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_xlfn.TEXTSPLIT(R657,{"/"})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5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_xlfn.TEXTSPLIT(R658,{"/"})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5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_xlfn.TEXTSPLIT(R659,{"/"})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5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_xlfn.TEXTSPLIT(R660,{"/"})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5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_xlfn.TEXTSPLIT(R661,{"/"})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5"/>
        <v>82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_xlfn.TEXTSPLIT(R662,{"/"})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5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_xlfn.TEXTSPLIT(R663,{"/"})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5"/>
        <v>98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_xlfn.TEXTSPLIT(R664,{"/"})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5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_xlfn.TEXTSPLIT(R665,{"/"})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5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_xlfn.TEXTSPLIT(R666,{"/"})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5"/>
        <v>240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_xlfn.TEXTSPLIT(R667,{"/"})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5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_xlfn.TEXTSPLIT(R668,{"/"})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5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_xlfn.TEXTSPLIT(R669,{"/"})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5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_xlfn.TEXTSPLIT(R670,{"/"})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5"/>
        <v>359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_xlfn.TEXTSPLIT(R671,{"/"})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5"/>
        <v>469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_xlfn.TEXTSPLIT(R672,{"/"})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5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_xlfn.TEXTSPLIT(R673,{"/"})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5"/>
        <v>56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_xlfn.TEXTSPLIT(R674,{"/"})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5"/>
        <v>44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_xlfn.TEXTSPLIT(R675,{"/"})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5"/>
        <v>34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_xlfn.TEXTSPLIT(R676,{"/"})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5"/>
        <v>123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_xlfn.TEXTSPLIT(R677,{"/"})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5"/>
        <v>190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_xlfn.TEXTSPLIT(R678,{"/"})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5"/>
        <v>84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_xlfn.TEXTSPLIT(R679,{"/"})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5"/>
        <v>18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_xlfn.TEXTSPLIT(R680,{"/"})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5"/>
        <v>1037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_xlfn.TEXTSPLIT(R681,{"/"})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5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_xlfn.TEXTSPLIT(R682,{"/"})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5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_xlfn.TEXTSPLIT(R683,{"/"})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5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_xlfn.TEXTSPLIT(R684,{"/"})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5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_xlfn.TEXTSPLIT(R685,{"/"})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5"/>
        <v>543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_xlfn.TEXTSPLIT(R686,{"/"})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5"/>
        <v>68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_xlfn.TEXTSPLIT(R687,{"/"})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5"/>
        <v>192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_xlfn.TEXTSPLIT(R688,{"/"})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5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_xlfn.TEXTSPLIT(R689,{"/"})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5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_xlfn.TEXTSPLIT(R690,{"/"})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5"/>
        <v>101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_xlfn.TEXTSPLIT(R691,{"/"})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5"/>
        <v>227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_xlfn.TEXTSPLIT(R692,{"/"})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5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_xlfn.TEXTSPLIT(R693,{"/"})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5"/>
        <v>91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_xlfn.TEXTSPLIT(R694,{"/"})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5"/>
        <v>64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_xlfn.TEXTSPLIT(R695,{"/"})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5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_xlfn.TEXTSPLIT(R696,{"/"})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5"/>
        <v>134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_xlfn.TEXTSPLIT(R697,{"/"})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5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_xlfn.TEXTSPLIT(R698,{"/"})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5"/>
        <v>153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_xlfn.TEXTSPLIT(R699,{"/"})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5"/>
        <v>447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_xlfn.TEXTSPLIT(R700,{"/"})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5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_xlfn.TEXTSPLIT(R701,{"/"})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5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_xlfn.TEXTSPLIT(R702,{"/"})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5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_xlfn.TEXTSPLIT(R703,{"/"})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5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_xlfn.TEXTSPLIT(R704,{"/"})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5"/>
        <v>312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_xlfn.TEXTSPLIT(R705,{"/"})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5"/>
        <v>123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_xlfn.TEXTSPLIT(R706,{"/"})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5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_xlfn.TEXTSPLIT(R707,{"/"})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5"/>
        <v>128</v>
      </c>
      <c r="G708" t="s">
        <v>20</v>
      </c>
      <c r="H708">
        <v>1345</v>
      </c>
      <c r="I708">
        <f t="shared" ref="I708:I771" si="48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_xlfn.TEXTSPLIT(R708,{"/"})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v>168</v>
      </c>
      <c r="I709">
        <f t="shared" si="48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_xlfn.TEXTSPLIT(R709,{"/"})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v>137</v>
      </c>
      <c r="I710">
        <f t="shared" si="48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_xlfn.TEXTSPLIT(R710,{"/"})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v>186</v>
      </c>
      <c r="I711">
        <f t="shared" si="4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_xlfn.TEXTSPLIT(R711,{"/"})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v>125</v>
      </c>
      <c r="I712">
        <f t="shared" si="48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_xlfn.TEXTSPLIT(R712,{"/"})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v>14</v>
      </c>
      <c r="I713">
        <f t="shared" si="48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_xlfn.TEXTSPLIT(R713,{"/"})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ref="F714:F777" si="49">ROUND((E714/D714*100),0)</f>
        <v>1841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_xlfn.TEXTSPLIT(R714,{"/"})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9"/>
        <v>162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_xlfn.TEXTSPLIT(R715,{"/"})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9"/>
        <v>473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_xlfn.TEXTSPLIT(R716,{"/"})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9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_xlfn.TEXTSPLIT(R717,{"/"})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9"/>
        <v>518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_xlfn.TEXTSPLIT(R718,{"/"})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9"/>
        <v>248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_xlfn.TEXTSPLIT(R719,{"/"})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9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_xlfn.TEXTSPLIT(R720,{"/"})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9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_xlfn.TEXTSPLIT(R721,{"/"})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9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_xlfn.TEXTSPLIT(R722,{"/"})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9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_xlfn.TEXTSPLIT(R723,{"/"})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9"/>
        <v>157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_xlfn.TEXTSPLIT(R724,{"/"})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9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_xlfn.TEXTSPLIT(R725,{"/"})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9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_xlfn.TEXTSPLIT(R726,{"/"})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9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_xlfn.TEXTSPLIT(R727,{"/"})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9"/>
        <v>89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_xlfn.TEXTSPLIT(R728,{"/"})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9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_xlfn.TEXTSPLIT(R729,{"/"})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9"/>
        <v>18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_xlfn.TEXTSPLIT(R730,{"/"})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9"/>
        <v>186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_xlfn.TEXTSPLIT(R731,{"/"})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9"/>
        <v>413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_xlfn.TEXTSPLIT(R732,{"/"})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9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_xlfn.TEXTSPLIT(R733,{"/"})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9"/>
        <v>92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_xlfn.TEXTSPLIT(R734,{"/"})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9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_xlfn.TEXTSPLIT(R735,{"/"})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9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_xlfn.TEXTSPLIT(R736,{"/"})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9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_xlfn.TEXTSPLIT(R737,{"/"})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9"/>
        <v>33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_xlfn.TEXTSPLIT(R738,{"/"})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9"/>
        <v>136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_xlfn.TEXTSPLIT(R739,{"/"})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9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_xlfn.TEXTSPLIT(R740,{"/"})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9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_xlfn.TEXTSPLIT(R741,{"/"})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9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_xlfn.TEXTSPLIT(R742,{"/"})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9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_xlfn.TEXTSPLIT(R743,{"/"})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9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_xlfn.TEXTSPLIT(R744,{"/"})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9"/>
        <v>13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_xlfn.TEXTSPLIT(R745,{"/"})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9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_xlfn.TEXTSPLIT(R746,{"/"})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9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_xlfn.TEXTSPLIT(R747,{"/"})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9"/>
        <v>213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_xlfn.TEXTSPLIT(R748,{"/"})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9"/>
        <v>229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_xlfn.TEXTSPLIT(R749,{"/"})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9"/>
        <v>35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_xlfn.TEXTSPLIT(R750,{"/"})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9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_xlfn.TEXTSPLIT(R751,{"/"})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9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_xlfn.TEXTSPLIT(R752,{"/"})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9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_xlfn.TEXTSPLIT(R753,{"/"})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9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_xlfn.TEXTSPLIT(R754,{"/"})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9"/>
        <v>257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_xlfn.TEXTSPLIT(R755,{"/"})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9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_xlfn.TEXTSPLIT(R756,{"/"})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9"/>
        <v>167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_xlfn.TEXTSPLIT(R757,{"/"})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9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_xlfn.TEXTSPLIT(R758,{"/"})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9"/>
        <v>407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_xlfn.TEXTSPLIT(R759,{"/"})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9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_xlfn.TEXTSPLIT(R760,{"/"})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9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_xlfn.TEXTSPLIT(R761,{"/"})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9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_xlfn.TEXTSPLIT(R762,{"/"})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9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_xlfn.TEXTSPLIT(R763,{"/"})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9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_xlfn.TEXTSPLIT(R764,{"/"})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9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_xlfn.TEXTSPLIT(R765,{"/"})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9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_xlfn.TEXTSPLIT(R766,{"/"})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9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_xlfn.TEXTSPLIT(R767,{"/"})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9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_xlfn.TEXTSPLIT(R768,{"/"})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9"/>
        <v>57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_xlfn.TEXTSPLIT(R769,{"/"})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9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_xlfn.TEXTSPLIT(R770,{"/"})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9"/>
        <v>87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_xlfn.TEXTSPLIT(R771,{"/"})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9"/>
        <v>271</v>
      </c>
      <c r="G772" t="s">
        <v>20</v>
      </c>
      <c r="H772">
        <v>216</v>
      </c>
      <c r="I772">
        <f t="shared" ref="I772:I835" si="52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_xlfn.TEXTSPLIT(R772,{"/"})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v>26</v>
      </c>
      <c r="I773">
        <f t="shared" si="52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_xlfn.TEXTSPLIT(R773,{"/"})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v>5139</v>
      </c>
      <c r="I774">
        <f t="shared" si="52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_xlfn.TEXTSPLIT(R774,{"/"})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v>2353</v>
      </c>
      <c r="I775">
        <f t="shared" si="52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_xlfn.TEXTSPLIT(R775,{"/"})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v>78</v>
      </c>
      <c r="I776">
        <f t="shared" si="52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_xlfn.TEXTSPLIT(R776,{"/"})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v>10</v>
      </c>
      <c r="I777">
        <f t="shared" si="52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_xlfn.TEXTSPLIT(R777,{"/"})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ref="F778:F841" si="53">ROUND((E778/D778*100),0)</f>
        <v>66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_xlfn.TEXTSPLIT(R778,{"/"})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3"/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_xlfn.TEXTSPLIT(R779,{"/"})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3"/>
        <v>788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_xlfn.TEXTSPLIT(R780,{"/"})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3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_xlfn.TEXTSPLIT(R781,{"/"})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3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_xlfn.TEXTSPLIT(R782,{"/"})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3"/>
        <v>51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_xlfn.TEXTSPLIT(R783,{"/"})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3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_xlfn.TEXTSPLIT(R784,{"/"})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3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_xlfn.TEXTSPLIT(R785,{"/"})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3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_xlfn.TEXTSPLIT(R786,{"/"})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3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_xlfn.TEXTSPLIT(R787,{"/"})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3"/>
        <v>730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_xlfn.TEXTSPLIT(R788,{"/"})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3"/>
        <v>100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_xlfn.TEXTSPLIT(R789,{"/"})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3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_xlfn.TEXTSPLIT(R790,{"/"})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3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_xlfn.TEXTSPLIT(R791,{"/"})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3"/>
        <v>31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_xlfn.TEXTSPLIT(R792,{"/"})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3"/>
        <v>26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_xlfn.TEXTSPLIT(R793,{"/"})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3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_xlfn.TEXTSPLIT(R794,{"/"})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3"/>
        <v>1186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_xlfn.TEXTSPLIT(R795,{"/"})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3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_xlfn.TEXTSPLIT(R796,{"/"})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3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_xlfn.TEXTSPLIT(R797,{"/"})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3"/>
        <v>55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_xlfn.TEXTSPLIT(R798,{"/"})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3"/>
        <v>110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_xlfn.TEXTSPLIT(R799,{"/"})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3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_xlfn.TEXTSPLIT(R800,{"/"})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3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_xlfn.TEXTSPLIT(R801,{"/"})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3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_xlfn.TEXTSPLIT(R802,{"/"})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3"/>
        <v>203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_xlfn.TEXTSPLIT(R803,{"/"})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3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_xlfn.TEXTSPLIT(R804,{"/"})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3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_xlfn.TEXTSPLIT(R805,{"/"})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3"/>
        <v>269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_xlfn.TEXTSPLIT(R806,{"/"})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3"/>
        <v>51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_xlfn.TEXTSPLIT(R807,{"/"})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3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_xlfn.TEXTSPLIT(R808,{"/"})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3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_xlfn.TEXTSPLIT(R809,{"/"})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3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_xlfn.TEXTSPLIT(R810,{"/"})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3"/>
        <v>63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_xlfn.TEXTSPLIT(R811,{"/"})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3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_xlfn.TEXTSPLIT(R812,{"/"})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3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_xlfn.TEXTSPLIT(R813,{"/"})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3"/>
        <v>226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_xlfn.TEXTSPLIT(R814,{"/"})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3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_xlfn.TEXTSPLIT(R815,{"/"})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3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_xlfn.TEXTSPLIT(R816,{"/"})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3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_xlfn.TEXTSPLIT(R817,{"/"})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3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_xlfn.TEXTSPLIT(R818,{"/"})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3"/>
        <v>369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_xlfn.TEXTSPLIT(R819,{"/"})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3"/>
        <v>1095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_xlfn.TEXTSPLIT(R820,{"/"})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3"/>
        <v>51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_xlfn.TEXTSPLIT(R821,{"/"})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3"/>
        <v>801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_xlfn.TEXTSPLIT(R822,{"/"})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3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_xlfn.TEXTSPLIT(R823,{"/"})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3"/>
        <v>350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_xlfn.TEXTSPLIT(R824,{"/"})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3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_xlfn.TEXTSPLIT(R825,{"/"})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3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_xlfn.TEXTSPLIT(R826,{"/"})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3"/>
        <v>388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_xlfn.TEXTSPLIT(R827,{"/"})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3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_xlfn.TEXTSPLIT(R828,{"/"})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3"/>
        <v>267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_xlfn.TEXTSPLIT(R829,{"/"})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3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_xlfn.TEXTSPLIT(R830,{"/"})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3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_xlfn.TEXTSPLIT(R831,{"/"})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3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_xlfn.TEXTSPLIT(R832,{"/"})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3"/>
        <v>109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_xlfn.TEXTSPLIT(R833,{"/"})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3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_xlfn.TEXTSPLIT(R834,{"/"})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3"/>
        <v>158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_xlfn.TEXTSPLIT(R835,{"/"})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3"/>
        <v>154</v>
      </c>
      <c r="G836" t="s">
        <v>20</v>
      </c>
      <c r="H836">
        <v>119</v>
      </c>
      <c r="I836">
        <f t="shared" ref="I836:I899" si="56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_xlfn.TEXTSPLIT(R836,{"/"})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v>1758</v>
      </c>
      <c r="I837">
        <f t="shared" si="56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_xlfn.TEXTSPLIT(R837,{"/"})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v>94</v>
      </c>
      <c r="I838">
        <f t="shared" si="56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_xlfn.TEXTSPLIT(R838,{"/"})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v>1797</v>
      </c>
      <c r="I839">
        <f t="shared" si="56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_xlfn.TEXTSPLIT(R839,{"/"})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v>261</v>
      </c>
      <c r="I840">
        <f t="shared" si="56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_xlfn.TEXTSPLIT(R840,{"/"})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v>157</v>
      </c>
      <c r="I841">
        <f t="shared" si="56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_xlfn.TEXTSPLIT(R841,{"/"})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ref="F842:F905" si="57">ROUND((E842/D842*100),0)</f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_xlfn.TEXTSPLIT(R842,{"/"})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7"/>
        <v>143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_xlfn.TEXTSPLIT(R843,{"/"})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7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_xlfn.TEXTSPLIT(R844,{"/"})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7"/>
        <v>31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_xlfn.TEXTSPLIT(R845,{"/"})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7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_xlfn.TEXTSPLIT(R846,{"/"})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7"/>
        <v>198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_xlfn.TEXTSPLIT(R847,{"/"})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7"/>
        <v>509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_xlfn.TEXTSPLIT(R848,{"/"})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7"/>
        <v>238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_xlfn.TEXTSPLIT(R849,{"/"})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7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_xlfn.TEXTSPLIT(R850,{"/"})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7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_xlfn.TEXTSPLIT(R851,{"/"})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7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_xlfn.TEXTSPLIT(R852,{"/"})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7"/>
        <v>208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_xlfn.TEXTSPLIT(R853,{"/"})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7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_xlfn.TEXTSPLIT(R854,{"/"})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7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_xlfn.TEXTSPLIT(R855,{"/"})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7"/>
        <v>114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_xlfn.TEXTSPLIT(R856,{"/"})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7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_xlfn.TEXTSPLIT(R857,{"/"})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7"/>
        <v>357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_xlfn.TEXTSPLIT(R858,{"/"})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7"/>
        <v>140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_xlfn.TEXTSPLIT(R859,{"/"})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7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_xlfn.TEXTSPLIT(R860,{"/"})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7"/>
        <v>36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_xlfn.TEXTSPLIT(R861,{"/"})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7"/>
        <v>252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_xlfn.TEXTSPLIT(R862,{"/"})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7"/>
        <v>106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_xlfn.TEXTSPLIT(R863,{"/"})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7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_xlfn.TEXTSPLIT(R864,{"/"})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7"/>
        <v>387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_xlfn.TEXTSPLIT(R865,{"/"})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7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_xlfn.TEXTSPLIT(R866,{"/"})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7"/>
        <v>186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_xlfn.TEXTSPLIT(R867,{"/"})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7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_xlfn.TEXTSPLIT(R868,{"/"})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7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_xlfn.TEXTSPLIT(R869,{"/"})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7"/>
        <v>185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_xlfn.TEXTSPLIT(R870,{"/"})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7"/>
        <v>24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_xlfn.TEXTSPLIT(R871,{"/"})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7"/>
        <v>90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_xlfn.TEXTSPLIT(R872,{"/"})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7"/>
        <v>273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_xlfn.TEXTSPLIT(R873,{"/"})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7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_xlfn.TEXTSPLIT(R874,{"/"})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7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_xlfn.TEXTSPLIT(R875,{"/"})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7"/>
        <v>347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_xlfn.TEXTSPLIT(R876,{"/"})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7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_xlfn.TEXTSPLIT(R877,{"/"})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7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_xlfn.TEXTSPLIT(R878,{"/"})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7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_xlfn.TEXTSPLIT(R879,{"/"})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7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_xlfn.TEXTSPLIT(R880,{"/"})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7"/>
        <v>544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_xlfn.TEXTSPLIT(R881,{"/"})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7"/>
        <v>229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_xlfn.TEXTSPLIT(R882,{"/"})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7"/>
        <v>39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_xlfn.TEXTSPLIT(R883,{"/"})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7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_xlfn.TEXTSPLIT(R884,{"/"})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7"/>
        <v>238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_xlfn.TEXTSPLIT(R885,{"/"})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7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_xlfn.TEXTSPLIT(R886,{"/"})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7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_xlfn.TEXTSPLIT(R887,{"/"})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7"/>
        <v>85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_xlfn.TEXTSPLIT(R888,{"/"})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7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_xlfn.TEXTSPLIT(R889,{"/"})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7"/>
        <v>210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_xlfn.TEXTSPLIT(R890,{"/"})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7"/>
        <v>170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_xlfn.TEXTSPLIT(R891,{"/"})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7"/>
        <v>116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_xlfn.TEXTSPLIT(R892,{"/"})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7"/>
        <v>259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_xlfn.TEXTSPLIT(R893,{"/"})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7"/>
        <v>231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_xlfn.TEXTSPLIT(R894,{"/"})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7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_xlfn.TEXTSPLIT(R895,{"/"})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7"/>
        <v>189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_xlfn.TEXTSPLIT(R896,{"/"})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7"/>
        <v>7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_xlfn.TEXTSPLIT(R897,{"/"})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7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_xlfn.TEXTSPLIT(R898,{"/"})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7"/>
        <v>28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_xlfn.TEXTSPLIT(R899,{"/"})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7"/>
        <v>52</v>
      </c>
      <c r="G900" t="s">
        <v>14</v>
      </c>
      <c r="H900">
        <v>1221</v>
      </c>
      <c r="I900">
        <f t="shared" ref="I900:I963" si="60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_xlfn.TEXTSPLIT(R900,{"/"})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v>123</v>
      </c>
      <c r="I901">
        <f t="shared" si="60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_xlfn.TEXTSPLIT(R901,{"/"})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v>1</v>
      </c>
      <c r="I902">
        <f t="shared" si="60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_xlfn.TEXTSPLIT(R902,{"/"})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v>159</v>
      </c>
      <c r="I903">
        <f t="shared" si="60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_xlfn.TEXTSPLIT(R903,{"/"})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v>110</v>
      </c>
      <c r="I904">
        <f t="shared" si="6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_xlfn.TEXTSPLIT(R904,{"/"})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v>14</v>
      </c>
      <c r="I905">
        <f t="shared" si="60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_xlfn.TEXTSPLIT(R905,{"/"})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ref="F906:F969" si="61">ROUND((E906/D906*100),0)</f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_xlfn.TEXTSPLIT(R906,{"/"})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1"/>
        <v>164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_xlfn.TEXTSPLIT(R907,{"/"})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1"/>
        <v>163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_xlfn.TEXTSPLIT(R908,{"/"})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1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_xlfn.TEXTSPLIT(R909,{"/"})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1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_xlfn.TEXTSPLIT(R910,{"/"})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1"/>
        <v>479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_xlfn.TEXTSPLIT(R911,{"/"})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1"/>
        <v>20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_xlfn.TEXTSPLIT(R912,{"/"})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1"/>
        <v>199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_xlfn.TEXTSPLIT(R913,{"/"})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1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_xlfn.TEXTSPLIT(R914,{"/"})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1"/>
        <v>51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_xlfn.TEXTSPLIT(R915,{"/"})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1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_xlfn.TEXTSPLIT(R916,{"/"})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1"/>
        <v>156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_xlfn.TEXTSPLIT(R917,{"/"})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1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_xlfn.TEXTSPLIT(R918,{"/"})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1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_xlfn.TEXTSPLIT(R919,{"/"})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1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_xlfn.TEXTSPLIT(R920,{"/"})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1"/>
        <v>59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_xlfn.TEXTSPLIT(R921,{"/"})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1"/>
        <v>183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_xlfn.TEXTSPLIT(R922,{"/"})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1"/>
        <v>1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_xlfn.TEXTSPLIT(R923,{"/"})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1"/>
        <v>176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_xlfn.TEXTSPLIT(R924,{"/"})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1"/>
        <v>238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_xlfn.TEXTSPLIT(R925,{"/"})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1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_xlfn.TEXTSPLIT(R926,{"/"})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1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_xlfn.TEXTSPLIT(R927,{"/"})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1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_xlfn.TEXTSPLIT(R928,{"/"})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1"/>
        <v>46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_xlfn.TEXTSPLIT(R929,{"/"})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1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_xlfn.TEXTSPLIT(R930,{"/"})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1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_xlfn.TEXTSPLIT(R931,{"/"})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1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_xlfn.TEXTSPLIT(R932,{"/"})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1"/>
        <v>73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_xlfn.TEXTSPLIT(R933,{"/"})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1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_xlfn.TEXTSPLIT(R934,{"/"})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1"/>
        <v>240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_xlfn.TEXTSPLIT(R935,{"/"})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1"/>
        <v>182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_xlfn.TEXTSPLIT(R936,{"/"})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1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_xlfn.TEXTSPLIT(R937,{"/"})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1"/>
        <v>2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_xlfn.TEXTSPLIT(R938,{"/"})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1"/>
        <v>50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_xlfn.TEXTSPLIT(R939,{"/"})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1"/>
        <v>110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_xlfn.TEXTSPLIT(R940,{"/"})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1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_xlfn.TEXTSPLIT(R941,{"/"})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1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_xlfn.TEXTSPLIT(R942,{"/"})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1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_xlfn.TEXTSPLIT(R943,{"/"})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1"/>
        <v>65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_xlfn.TEXTSPLIT(R944,{"/"})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1"/>
        <v>160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_xlfn.TEXTSPLIT(R945,{"/"})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1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_xlfn.TEXTSPLIT(R946,{"/"})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1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_xlfn.TEXTSPLIT(R947,{"/"})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1"/>
        <v>10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_xlfn.TEXTSPLIT(R948,{"/"})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1"/>
        <v>27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_xlfn.TEXTSPLIT(R949,{"/"})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1"/>
        <v>63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_xlfn.TEXTSPLIT(R950,{"/"})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1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_xlfn.TEXTSPLIT(R951,{"/"})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1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_xlfn.TEXTSPLIT(R952,{"/"})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1"/>
        <v>1097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_xlfn.TEXTSPLIT(R953,{"/"})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1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_xlfn.TEXTSPLIT(R954,{"/"})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1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_xlfn.TEXTSPLIT(R955,{"/"})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1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_xlfn.TEXTSPLIT(R956,{"/"})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1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_xlfn.TEXTSPLIT(R957,{"/"})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1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_xlfn.TEXTSPLIT(R958,{"/"})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1"/>
        <v>127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_xlfn.TEXTSPLIT(R959,{"/"})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1"/>
        <v>735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_xlfn.TEXTSPLIT(R960,{"/"})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1"/>
        <v>5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_xlfn.TEXTSPLIT(R961,{"/"})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1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_xlfn.TEXTSPLIT(R962,{"/"})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1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_xlfn.TEXTSPLIT(R963,{"/"})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1"/>
        <v>296</v>
      </c>
      <c r="G964" t="s">
        <v>20</v>
      </c>
      <c r="H964">
        <v>266</v>
      </c>
      <c r="I964">
        <f t="shared" ref="I964:I1001" si="64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_xlfn.TEXTSPLIT(R964,{"/"})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v>114</v>
      </c>
      <c r="I965">
        <f t="shared" si="64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_xlfn.TEXTSPLIT(R965,{"/"})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v>155</v>
      </c>
      <c r="I966">
        <f t="shared" si="64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_xlfn.TEXTSPLIT(R966,{"/"})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v>207</v>
      </c>
      <c r="I967">
        <f t="shared" si="64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_xlfn.TEXTSPLIT(R967,{"/"})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v>245</v>
      </c>
      <c r="I968">
        <f t="shared" si="64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_xlfn.TEXTSPLIT(R968,{"/"})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v>1573</v>
      </c>
      <c r="I969">
        <f t="shared" si="64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_xlfn.TEXTSPLIT(R969,{"/"})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ref="F970:F1001" si="65">ROUND((E970/D970*100),0)</f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_xlfn.TEXTSPLIT(R970,{"/"})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5"/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_xlfn.TEXTSPLIT(R971,{"/"})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5"/>
        <v>61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_xlfn.TEXTSPLIT(R972,{"/"})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5"/>
        <v>28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_xlfn.TEXTSPLIT(R973,{"/"})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5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_xlfn.TEXTSPLIT(R974,{"/"})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5"/>
        <v>22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_xlfn.TEXTSPLIT(R975,{"/"})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5"/>
        <v>374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_xlfn.TEXTSPLIT(R976,{"/"})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5"/>
        <v>155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_xlfn.TEXTSPLIT(R977,{"/"})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5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_xlfn.TEXTSPLIT(R978,{"/"})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5"/>
        <v>74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_xlfn.TEXTSPLIT(R979,{"/"})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5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_xlfn.TEXTSPLIT(R980,{"/"})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5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_xlfn.TEXTSPLIT(R981,{"/"})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5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_xlfn.TEXTSPLIT(R982,{"/"})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5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_xlfn.TEXTSPLIT(R983,{"/"})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5"/>
        <v>85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_xlfn.TEXTSPLIT(R984,{"/"})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5"/>
        <v>146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_xlfn.TEXTSPLIT(R985,{"/"})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5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_xlfn.TEXTSPLIT(R986,{"/"})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5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_xlfn.TEXTSPLIT(R987,{"/"})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5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_xlfn.TEXTSPLIT(R988,{"/"})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5"/>
        <v>217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_xlfn.TEXTSPLIT(R989,{"/"})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5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_xlfn.TEXTSPLIT(R990,{"/"})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5"/>
        <v>500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_xlfn.TEXTSPLIT(R991,{"/"})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5"/>
        <v>88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_xlfn.TEXTSPLIT(R992,{"/"})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5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_xlfn.TEXTSPLIT(R993,{"/"})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5"/>
        <v>427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_xlfn.TEXTSPLIT(R994,{"/"})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5"/>
        <v>78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_xlfn.TEXTSPLIT(R995,{"/"})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5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_xlfn.TEXTSPLIT(R996,{"/"})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5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_xlfn.TEXTSPLIT(R997,{"/"})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5"/>
        <v>73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_xlfn.TEXTSPLIT(R998,{"/"})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5"/>
        <v>61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_xlfn.TEXTSPLIT(R999,{"/"})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5"/>
        <v>57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_xlfn.TEXTSPLIT(R1000,{"/"})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5"/>
        <v>57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_xlfn.TEXTSPLIT(R1001,{"/"})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7575"/>
        <color theme="9" tint="-0.249977111117893"/>
        <color theme="4" tint="-0.249977111117893"/>
      </colorScale>
    </cfRule>
    <cfRule type="colorScale" priority="2">
      <colorScale>
        <cfvo type="min"/>
        <cfvo type="num" val="100"/>
        <cfvo type="max"/>
        <color rgb="FFF8696B"/>
        <color rgb="FF0070C0"/>
        <color rgb="FF63BE7B"/>
      </colorScale>
    </cfRule>
    <cfRule type="colorScale" priority="3">
      <colorScale>
        <cfvo type="num" val="0"/>
        <cfvo type="percentile" val="100"/>
        <cfvo type="num" val="200"/>
        <color rgb="FFFF7575"/>
        <color rgb="FFABDB77"/>
        <color rgb="FF0070C0"/>
      </colorScale>
    </cfRule>
  </conditionalFormatting>
  <conditionalFormatting sqref="G2:G1001">
    <cfRule type="containsText" dxfId="3" priority="4" operator="containsText" text="canceled">
      <formula>NOT(ISERROR(SEARCH("canceled",G2)))</formula>
    </cfRule>
    <cfRule type="containsText" dxfId="2" priority="5" operator="containsText" text="live">
      <formula>NOT(ISERROR(SEARCH("live",G2)))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2FEF-52D2-4103-9EA3-18DA7A221954}">
  <dimension ref="A1:F14"/>
  <sheetViews>
    <sheetView topLeftCell="D10" workbookViewId="0">
      <selection activeCell="E20" sqref="E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3" spans="1:6" x14ac:dyDescent="0.35">
      <c r="A3" s="4" t="s">
        <v>2046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2039</v>
      </c>
      <c r="E8">
        <v>4</v>
      </c>
      <c r="F8">
        <v>4</v>
      </c>
    </row>
    <row r="9" spans="1:6" x14ac:dyDescent="0.35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24AE-60FB-4C0C-AB2D-C48D0E562FC7}">
  <dimension ref="A1:F30"/>
  <sheetViews>
    <sheetView topLeftCell="E17" workbookViewId="0">
      <selection activeCell="G16" sqref="G16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2" spans="1:6" x14ac:dyDescent="0.35">
      <c r="A2" s="4" t="s">
        <v>2031</v>
      </c>
      <c r="B2" t="s">
        <v>2035</v>
      </c>
    </row>
    <row r="4" spans="1:6" x14ac:dyDescent="0.35">
      <c r="A4" s="4" t="s">
        <v>2046</v>
      </c>
      <c r="B4" s="4" t="s">
        <v>2045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2056</v>
      </c>
      <c r="E7">
        <v>4</v>
      </c>
      <c r="F7">
        <v>4</v>
      </c>
    </row>
    <row r="8" spans="1:6" x14ac:dyDescent="0.3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2057</v>
      </c>
      <c r="C10">
        <v>8</v>
      </c>
      <c r="E10">
        <v>10</v>
      </c>
      <c r="F10">
        <v>18</v>
      </c>
    </row>
    <row r="11" spans="1:6" x14ac:dyDescent="0.3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2060</v>
      </c>
      <c r="C15">
        <v>3</v>
      </c>
      <c r="E15">
        <v>4</v>
      </c>
      <c r="F15">
        <v>7</v>
      </c>
    </row>
    <row r="16" spans="1:6" x14ac:dyDescent="0.3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2066</v>
      </c>
      <c r="C20">
        <v>4</v>
      </c>
      <c r="E20">
        <v>4</v>
      </c>
      <c r="F20">
        <v>8</v>
      </c>
    </row>
    <row r="21" spans="1:6" x14ac:dyDescent="0.3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2050</v>
      </c>
      <c r="C22">
        <v>9</v>
      </c>
      <c r="E22">
        <v>5</v>
      </c>
      <c r="F22">
        <v>14</v>
      </c>
    </row>
    <row r="23" spans="1:6" x14ac:dyDescent="0.3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2067</v>
      </c>
      <c r="C25">
        <v>7</v>
      </c>
      <c r="E25">
        <v>14</v>
      </c>
      <c r="F25">
        <v>21</v>
      </c>
    </row>
    <row r="26" spans="1:6" x14ac:dyDescent="0.3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2062</v>
      </c>
      <c r="E29">
        <v>3</v>
      </c>
      <c r="F29">
        <v>3</v>
      </c>
    </row>
    <row r="30" spans="1:6" x14ac:dyDescent="0.3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BC5-3F78-4534-BC2C-E7BD9F70BDD6}">
  <dimension ref="A2:E19"/>
  <sheetViews>
    <sheetView zoomScale="58" workbookViewId="0">
      <selection activeCell="E24" sqref="E24"/>
    </sheetView>
  </sheetViews>
  <sheetFormatPr defaultRowHeight="15.5" x14ac:dyDescent="0.35"/>
  <cols>
    <col min="1" max="1" width="16.5" bestFit="1" customWidth="1"/>
    <col min="2" max="2" width="16.9140625" bestFit="1" customWidth="1"/>
    <col min="3" max="3" width="5.58203125" bestFit="1" customWidth="1"/>
    <col min="4" max="4" width="9.58203125" bestFit="1" customWidth="1"/>
    <col min="5" max="6" width="11" bestFit="1" customWidth="1"/>
  </cols>
  <sheetData>
    <row r="2" spans="1:5" x14ac:dyDescent="0.35">
      <c r="A2" s="4" t="s">
        <v>2031</v>
      </c>
      <c r="B2" t="s">
        <v>2035</v>
      </c>
    </row>
    <row r="3" spans="1:5" x14ac:dyDescent="0.35">
      <c r="A3" s="4" t="s">
        <v>2085</v>
      </c>
      <c r="B3" t="s">
        <v>2035</v>
      </c>
    </row>
    <row r="5" spans="1:5" x14ac:dyDescent="0.35">
      <c r="A5" s="4" t="s">
        <v>2046</v>
      </c>
      <c r="B5" s="4" t="s">
        <v>2045</v>
      </c>
    </row>
    <row r="6" spans="1:5" x14ac:dyDescent="0.35">
      <c r="A6" s="4" t="s">
        <v>2033</v>
      </c>
      <c r="B6" t="s">
        <v>74</v>
      </c>
      <c r="C6" t="s">
        <v>14</v>
      </c>
      <c r="D6" t="s">
        <v>20</v>
      </c>
      <c r="E6" t="s">
        <v>2034</v>
      </c>
    </row>
    <row r="7" spans="1:5" x14ac:dyDescent="0.35">
      <c r="A7" s="5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5">
      <c r="A8" s="5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35">
      <c r="A9" s="5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35">
      <c r="A10" s="5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5">
      <c r="A11" s="5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5">
      <c r="A12" s="5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5">
      <c r="A13" s="5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5">
      <c r="A14" s="5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5">
      <c r="A15" s="5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5">
      <c r="A16" s="5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5">
      <c r="A17" s="5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5">
      <c r="A18" s="5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5">
      <c r="A19" s="5" t="s">
        <v>2034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AA53-6350-434A-A5E7-7DA2527AD7AE}">
  <dimension ref="A1:I13"/>
  <sheetViews>
    <sheetView tabSelected="1" topLeftCell="B26" workbookViewId="0">
      <selection activeCell="J28" sqref="J28"/>
    </sheetView>
  </sheetViews>
  <sheetFormatPr defaultRowHeight="15.5" x14ac:dyDescent="0.35"/>
  <cols>
    <col min="1" max="1" width="28.75" style="7" customWidth="1"/>
    <col min="2" max="2" width="19.4140625" customWidth="1"/>
    <col min="3" max="3" width="15" customWidth="1"/>
    <col min="4" max="4" width="16.75" customWidth="1"/>
    <col min="5" max="5" width="15.25" customWidth="1"/>
    <col min="6" max="6" width="19.4140625" customWidth="1"/>
    <col min="7" max="7" width="17" customWidth="1"/>
    <col min="8" max="8" width="20.4140625" customWidth="1"/>
  </cols>
  <sheetData>
    <row r="1" spans="1:9" ht="25" customHeight="1" x14ac:dyDescent="0.35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7" t="s">
        <v>2091</v>
      </c>
      <c r="G1" s="7" t="s">
        <v>2092</v>
      </c>
      <c r="H1" s="7" t="s">
        <v>2093</v>
      </c>
      <c r="I1" s="7"/>
    </row>
    <row r="2" spans="1:9" x14ac:dyDescent="0.35">
      <c r="A2" s="7" t="s">
        <v>2094</v>
      </c>
      <c r="B2">
        <f>COUNTIFS(Crowdfunding!$D:$D,"&lt;1000", Crowdfunding!$G:$G,"=Successful")</f>
        <v>30</v>
      </c>
      <c r="C2">
        <f>COUNTIFS(Crowdfunding!$D:$D,"&lt;1000", Crowdfunding!$G:$G,"=Failed")</f>
        <v>20</v>
      </c>
      <c r="D2">
        <f>COUNTIFS(Crowdfunding!$D:$D,"&lt;1000", Crowdfunding!$G:$G,"=Canceled")</f>
        <v>1</v>
      </c>
      <c r="E2">
        <f>SUM(B2,C2,D2)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9" x14ac:dyDescent="0.35">
      <c r="A3" s="7" t="s">
        <v>2095</v>
      </c>
      <c r="B3">
        <f>COUNTIFS(Crowdfunding!$D:$D,"&gt;=1000", Crowdfunding!$D:$D,"&lt;=4999",Crowdfunding!$G:$G,"=Successful")</f>
        <v>191</v>
      </c>
      <c r="C3">
        <f>COUNTIFS(Crowdfunding!$D:$D,"&gt;=1000", Crowdfunding!$D:$D,"&lt;=4999",Crowdfunding!$G:$G,"=Failed")</f>
        <v>38</v>
      </c>
      <c r="D3">
        <f>COUNTIFS(Crowdfunding!$D:$D,"&gt;=1000", Crowdfunding!$D:$D,"&lt;=4999",Crowdfunding!$G:$G,"=Canceled")</f>
        <v>2</v>
      </c>
      <c r="E3">
        <f t="shared" ref="E3:E13" si="0">SUM(B3,C3,D3)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9" x14ac:dyDescent="0.35">
      <c r="A4" s="7" t="s">
        <v>2096</v>
      </c>
      <c r="B4">
        <f>COUNTIFS(Crowdfunding!$D:$D,"&gt;=5000", Crowdfunding!$D:$D,"&lt;=9999",Crowdfunding!$G:$G,"=Successful")</f>
        <v>164</v>
      </c>
      <c r="C4">
        <f>COUNTIFS(Crowdfunding!$D:$D,"&gt;=5000", Crowdfunding!$D:$D,"&lt;=9999",Crowdfunding!$G:$G,"=Failed")</f>
        <v>126</v>
      </c>
      <c r="D4">
        <f>COUNTIFS(Crowdfunding!$D:$D,"&gt;=5000", Crowdfunding!$D:$D,"&lt;=9999",Crowdfunding!$G:$G,"=Canceled")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9" x14ac:dyDescent="0.35">
      <c r="A5" s="7" t="s">
        <v>2097</v>
      </c>
      <c r="B5">
        <f>COUNTIFS(Crowdfunding!$D:$D,"&gt;=10000", Crowdfunding!$D:$D,"&lt;=14999",Crowdfunding!$G:$G,"=Successful")</f>
        <v>4</v>
      </c>
      <c r="C5">
        <f>COUNTIFS(Crowdfunding!$D:$D,"&gt;=10000", Crowdfunding!$D:$D,"&lt;=14999",Crowdfunding!$G:$G,"=Failed")</f>
        <v>5</v>
      </c>
      <c r="D5">
        <f>COUNTIFS(Crowdfunding!$D:$D,"&gt;=10000", Crowdfunding!$D:$D,"&lt;=14999",Crowdfunding!$G:$G,"=Canceled")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9" x14ac:dyDescent="0.35">
      <c r="A6" s="7" t="s">
        <v>2098</v>
      </c>
      <c r="B6">
        <f>COUNTIFS(Crowdfunding!$D:$D,"&gt;=15000", Crowdfunding!$D:$D,"&lt;=19999",Crowdfunding!$G:$G,"=Successful")</f>
        <v>10</v>
      </c>
      <c r="C6">
        <f>COUNTIFS(Crowdfunding!$D:$D,"&gt;=15000", Crowdfunding!$D:$D,"&lt;=19999",Crowdfunding!$G:$G,"=Failed")</f>
        <v>0</v>
      </c>
      <c r="D6">
        <f>COUNTIFS(Crowdfunding!$D:$D,"&gt;=15000", Crowdfunding!$D:$D,"&lt;=19999",Crowdfunding!$G:$G,"=Canceled")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9" x14ac:dyDescent="0.35">
      <c r="A7" s="7" t="s">
        <v>2099</v>
      </c>
      <c r="B7">
        <f>COUNTIFS(Crowdfunding!$D:$D,"&gt;=20000", Crowdfunding!$D:$D,"&lt;=24999",Crowdfunding!$G:$G,"=Successful")</f>
        <v>7</v>
      </c>
      <c r="C7">
        <f>COUNTIFS(Crowdfunding!$D:$D,"&gt;=20000", Crowdfunding!$D:$D,"&lt;=24999",Crowdfunding!$G:$G,"=Failed")</f>
        <v>0</v>
      </c>
      <c r="D7">
        <f>COUNTIFS(Crowdfunding!$D:$D,"&gt;=20000", Crowdfunding!$D:$D,"&lt;=24999",Crowdfunding!$G:$G,"=Canceled")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9" x14ac:dyDescent="0.35">
      <c r="A8" s="7" t="s">
        <v>2100</v>
      </c>
      <c r="B8">
        <f>COUNTIFS(Crowdfunding!$D:$D,"&gt;=25000", Crowdfunding!$D:$D,"&lt;=29999",Crowdfunding!$G:$G,"=Successful")</f>
        <v>11</v>
      </c>
      <c r="C8">
        <f>COUNTIFS(Crowdfunding!$D:$D,"&gt;=25000", Crowdfunding!$D:$D,"&lt;=29999",Crowdfunding!$G:$G,"=Failed")</f>
        <v>3</v>
      </c>
      <c r="D8">
        <f>COUNTIFS(Crowdfunding!$D:$D,"&gt;=25000", Crowdfunding!$D:$D,"&lt;=29999",Crowdfunding!$G:$G,"=Canceled")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9" x14ac:dyDescent="0.35">
      <c r="A9" s="7" t="s">
        <v>2101</v>
      </c>
      <c r="B9">
        <f>COUNTIFS(Crowdfunding!$D:$D,"&gt;=30000", Crowdfunding!$D:$D,"&lt;=34999",Crowdfunding!$G:$G,"=Successful")</f>
        <v>7</v>
      </c>
      <c r="C9">
        <f>COUNTIFS(Crowdfunding!$D:$D,"&gt;=30000", Crowdfunding!$D:$D,"&lt;=34999",Crowdfunding!$G:$G,"=failed")</f>
        <v>0</v>
      </c>
      <c r="D9">
        <f>COUNTIFS(Crowdfunding!$D:$D,"&gt;=30000", Crowdfunding!$D:$D,"&lt;=34999",Crowdfunding!$G:$G,"=Canceled")</f>
        <v>0</v>
      </c>
      <c r="E9">
        <f t="shared" si="0"/>
        <v>7</v>
      </c>
      <c r="F9" s="8">
        <f>B9/E9</f>
        <v>1</v>
      </c>
      <c r="G9" s="8">
        <f t="shared" si="2"/>
        <v>0</v>
      </c>
      <c r="H9" s="8">
        <f t="shared" si="3"/>
        <v>0</v>
      </c>
    </row>
    <row r="10" spans="1:9" x14ac:dyDescent="0.35">
      <c r="A10" s="7" t="s">
        <v>2102</v>
      </c>
      <c r="B10">
        <f>COUNTIFS(Crowdfunding!$D:$D,"&gt;=35000", Crowdfunding!$D:$D,"&lt;=39999",Crowdfunding!$G:$G,"=Successful")</f>
        <v>8</v>
      </c>
      <c r="C10">
        <f>COUNTIFS(Crowdfunding!$D:$D,"&gt;=35000", Crowdfunding!$D:$D,"&lt;=39999",Crowdfunding!$G:$G,"=Failed")</f>
        <v>3</v>
      </c>
      <c r="D10">
        <f>COUNTIFS(Crowdfunding!$D:$D,"&gt;=35000", Crowdfunding!$D:$D,"&lt;=39999",Crowdfunding!$G:$G,"=Canceled")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9" x14ac:dyDescent="0.35">
      <c r="A11" s="7" t="s">
        <v>2103</v>
      </c>
      <c r="B11">
        <f>COUNTIFS(Crowdfunding!$D:$D,"&gt;=40000", Crowdfunding!$D:$D,"&lt;=44999",Crowdfunding!$G:$G,"=Successful")</f>
        <v>11</v>
      </c>
      <c r="C11">
        <f>COUNTIFS(Crowdfunding!$D:$D,"&gt;=40000", Crowdfunding!$D:$D,"&lt;=44999",Crowdfunding!$G:$G,"=Failed")</f>
        <v>3</v>
      </c>
      <c r="D11">
        <f>COUNTIFS(Crowdfunding!$D:$D,"&gt;=40000", Crowdfunding!$D:$D,"&lt;=44999",Crowdfunding!$G:$G,"=Canceled")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9" x14ac:dyDescent="0.35">
      <c r="A12" s="7" t="s">
        <v>2104</v>
      </c>
      <c r="B12">
        <f>COUNTIFS(Crowdfunding!$D:$D,"&gt;=45000", Crowdfunding!$D:$D,"&lt;=49999",Crowdfunding!$G:$G,"=Successful")</f>
        <v>8</v>
      </c>
      <c r="C12">
        <f>COUNTIFS(Crowdfunding!$D:$D,"&gt;=45000", Crowdfunding!$D:$D,"&lt;=49999",Crowdfunding!$G:$G,"=Failed")</f>
        <v>3</v>
      </c>
      <c r="D12">
        <f>COUNTIFS(Crowdfunding!$D:$D,"&gt;=45000", Crowdfunding!$D:$D,"&lt;=49999",Crowdfunding!$G:$G,"=Canceled")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9" x14ac:dyDescent="0.35">
      <c r="A13" s="7" t="s">
        <v>2105</v>
      </c>
      <c r="B13">
        <f>COUNTIFS(Crowdfunding!$D:$D,"&gt;=50000", Crowdfunding!$G:$G,"=Successful")</f>
        <v>114</v>
      </c>
      <c r="C13">
        <f>COUNTIFS(Crowdfunding!$D:$D,"&gt;=50000", Crowdfunding!$G:$G,"=Failed")</f>
        <v>163</v>
      </c>
      <c r="D13">
        <f>COUNTIFS(Crowdfunding!$D:$D,"&gt;=50000", Crowdfunding!$G:$G,"=Canceled")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campaignsCount per Category</vt:lpstr>
      <vt:lpstr>CampaignsCount per Sub-Category</vt:lpstr>
      <vt:lpstr>Count of Outcome Vs Months</vt:lpstr>
      <vt:lpstr>Crowdfunding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 Bendahmane</cp:lastModifiedBy>
  <dcterms:created xsi:type="dcterms:W3CDTF">2021-09-29T18:52:28Z</dcterms:created>
  <dcterms:modified xsi:type="dcterms:W3CDTF">2024-10-21T00:09:50Z</dcterms:modified>
</cp:coreProperties>
</file>