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0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343CA272-F3C7-4853-86CD-CFB30BA9E9E2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Sheet1" sheetId="19" r:id="rId3"/>
    <sheet name="플러그파워" sheetId="11" r:id="rId4"/>
    <sheet name="리사이클" sheetId="16" r:id="rId5"/>
    <sheet name="금융사이클" sheetId="10" r:id="rId6"/>
    <sheet name="단타일지" sheetId="9" r:id="rId7"/>
    <sheet name="2022단타일지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0" i="5" l="1"/>
  <c r="H13" i="19" l="1"/>
  <c r="I13" i="19" s="1"/>
  <c r="H12" i="19"/>
  <c r="I11" i="19"/>
  <c r="K11" i="19" s="1"/>
  <c r="L11" i="19" s="1"/>
  <c r="H11" i="19"/>
  <c r="L10" i="19"/>
  <c r="K10" i="19"/>
  <c r="I10" i="19"/>
  <c r="H10" i="19"/>
  <c r="L9" i="19"/>
  <c r="K9" i="19"/>
  <c r="J9" i="19"/>
  <c r="I9" i="19"/>
  <c r="I8" i="19"/>
  <c r="K13" i="19" l="1"/>
  <c r="L13" i="19" s="1"/>
  <c r="I12" i="19"/>
  <c r="K12" i="19" s="1"/>
  <c r="L12" i="19" s="1"/>
  <c r="H43" i="18"/>
  <c r="H42" i="18"/>
  <c r="H41" i="18"/>
  <c r="H40" i="18"/>
  <c r="H39" i="18"/>
  <c r="H38" i="18"/>
  <c r="H37" i="18"/>
  <c r="H36" i="18"/>
  <c r="H35" i="18"/>
  <c r="H34" i="18"/>
  <c r="H33" i="18"/>
  <c r="V20" i="5"/>
  <c r="V21" i="5" l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F68" i="11" l="1"/>
  <c r="E44" i="11"/>
  <c r="G60" i="11"/>
  <c r="F52" i="11"/>
  <c r="D60" i="11" l="1"/>
  <c r="C60" i="11"/>
  <c r="S17" i="5" l="1"/>
  <c r="S13" i="5" l="1"/>
  <c r="E43" i="11" l="1"/>
  <c r="F67" i="11"/>
  <c r="G59" i="11"/>
  <c r="F51" i="11"/>
  <c r="D59" i="11" l="1"/>
  <c r="G52" i="11"/>
  <c r="C59" i="11"/>
  <c r="E68" i="11" s="1"/>
  <c r="G68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26" i="18"/>
  <c r="R25" i="18"/>
  <c r="F66" i="11" l="1"/>
  <c r="G58" i="11"/>
  <c r="F50" i="11"/>
  <c r="E42" i="11"/>
  <c r="G51" i="11" l="1"/>
  <c r="C58" i="11"/>
  <c r="D58" i="11"/>
  <c r="N19" i="18"/>
  <c r="N20" i="18" s="1"/>
  <c r="E67" i="11" l="1"/>
  <c r="G67" i="11" s="1"/>
  <c r="H68" i="11" s="1"/>
  <c r="P20" i="18"/>
  <c r="N21" i="18"/>
  <c r="G37" i="9"/>
  <c r="F37" i="9"/>
  <c r="H37" i="9" s="1"/>
  <c r="H36" i="9"/>
  <c r="H35" i="9"/>
  <c r="H34" i="9"/>
  <c r="H33" i="9"/>
  <c r="H32" i="9"/>
  <c r="H31" i="9"/>
  <c r="H30" i="9"/>
  <c r="H29" i="9"/>
  <c r="H28" i="9"/>
  <c r="H27" i="9"/>
  <c r="C27" i="9"/>
  <c r="C26" i="9"/>
  <c r="P21" i="18" l="1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K4" i="18"/>
  <c r="K5" i="18" s="1"/>
  <c r="F123" i="5"/>
  <c r="G123" i="5"/>
  <c r="P22" i="18" l="1"/>
  <c r="K6" i="18"/>
  <c r="F65" i="11"/>
  <c r="E41" i="11"/>
  <c r="G57" i="11"/>
  <c r="F49" i="11"/>
  <c r="C57" i="11" s="1"/>
  <c r="E66" i="11" l="1"/>
  <c r="G66" i="11" s="1"/>
  <c r="G50" i="11"/>
  <c r="D57" i="11"/>
  <c r="P23" i="18"/>
  <c r="K7" i="18"/>
  <c r="F13" i="16"/>
  <c r="G9" i="16"/>
  <c r="D9" i="16"/>
  <c r="E3" i="16"/>
  <c r="H67" i="11" l="1"/>
  <c r="P24" i="18"/>
  <c r="K8" i="18"/>
  <c r="C9" i="16"/>
  <c r="E13" i="16" s="1"/>
  <c r="G13" i="16" s="1"/>
  <c r="P25" i="18" l="1"/>
  <c r="K9" i="18"/>
  <c r="F64" i="11"/>
  <c r="G55" i="11"/>
  <c r="G56" i="11"/>
  <c r="P26" i="18" l="1"/>
  <c r="K10" i="18"/>
  <c r="F48" i="11"/>
  <c r="C56" i="11" s="1"/>
  <c r="E40" i="11"/>
  <c r="E65" i="11" l="1"/>
  <c r="G65" i="11" s="1"/>
  <c r="G49" i="11"/>
  <c r="D56" i="11"/>
  <c r="P27" i="18"/>
  <c r="K11" i="18"/>
  <c r="H66" i="11" l="1"/>
  <c r="P28" i="18"/>
  <c r="K12" i="18"/>
  <c r="P29" i="18" l="1"/>
  <c r="K13" i="18"/>
  <c r="C22" i="9"/>
  <c r="C23" i="9" s="1"/>
  <c r="C19" i="9"/>
  <c r="C20" i="9" s="1"/>
  <c r="K30" i="11"/>
  <c r="F47" i="11"/>
  <c r="E39" i="11"/>
  <c r="D31" i="11"/>
  <c r="G30" i="11" s="1"/>
  <c r="I30" i="11" s="1"/>
  <c r="D55" i="11" l="1"/>
  <c r="G48" i="11"/>
  <c r="P30" i="18"/>
  <c r="K14" i="18"/>
  <c r="C55" i="11"/>
  <c r="E64" i="11" s="1"/>
  <c r="G64" i="11" s="1"/>
  <c r="H65" i="11" s="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C17" i="13" s="1"/>
  <c r="F14" i="13"/>
  <c r="F17" i="13" s="1"/>
  <c r="I14" i="13"/>
  <c r="I16" i="13" s="1"/>
  <c r="L14" i="13"/>
  <c r="L16" i="13" s="1"/>
  <c r="O14" i="13"/>
  <c r="O16" i="13" s="1"/>
  <c r="C16" i="13"/>
  <c r="F16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L17" i="13" l="1"/>
  <c r="P31" i="18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P35" i="18" l="1"/>
  <c r="K19" i="18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P36" i="18" l="1"/>
  <c r="K20" i="18"/>
  <c r="Q20" i="18" s="1"/>
  <c r="T13" i="5"/>
  <c r="T14" i="5"/>
  <c r="T12" i="5"/>
  <c r="T11" i="5"/>
  <c r="T10" i="5"/>
  <c r="T9" i="5"/>
  <c r="T8" i="5"/>
  <c r="T7" i="5"/>
  <c r="T6" i="5"/>
  <c r="T5" i="5"/>
  <c r="T4" i="5"/>
  <c r="T3" i="5"/>
  <c r="U3" i="5" s="1"/>
  <c r="C14" i="9"/>
  <c r="C16" i="9" s="1"/>
  <c r="P37" i="18" l="1"/>
  <c r="K21" i="18"/>
  <c r="Q21" i="18" s="1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U13" i="5" s="1"/>
  <c r="P46" i="18"/>
  <c r="K30" i="18"/>
  <c r="Q30" i="18" s="1"/>
  <c r="S30" i="18" s="1"/>
  <c r="C14" i="5" l="1"/>
  <c r="U14" i="5" s="1"/>
  <c r="C15" i="5" s="1"/>
  <c r="P47" i="18"/>
  <c r="K31" i="18"/>
  <c r="Q31" i="18" s="1"/>
  <c r="S31" i="18" s="1"/>
  <c r="U15" i="5" l="1"/>
  <c r="C16" i="5" s="1"/>
  <c r="P48" i="18"/>
  <c r="K32" i="18"/>
  <c r="Q32" i="18" s="1"/>
  <c r="S32" i="18" s="1"/>
  <c r="U16" i="5" l="1"/>
  <c r="C17" i="5" s="1"/>
  <c r="P49" i="18"/>
  <c r="K33" i="18"/>
  <c r="Q33" i="18" s="1"/>
  <c r="S33" i="18" s="1"/>
  <c r="U17" i="5" l="1"/>
  <c r="C18" i="5" s="1"/>
  <c r="P50" i="18"/>
  <c r="K34" i="18"/>
  <c r="Q34" i="18" s="1"/>
  <c r="S34" i="18" s="1"/>
  <c r="U18" i="5" l="1"/>
  <c r="C19" i="5" s="1"/>
  <c r="P51" i="18"/>
  <c r="K35" i="18"/>
  <c r="Q35" i="18" s="1"/>
  <c r="S35" i="18" s="1"/>
  <c r="U19" i="5" l="1"/>
  <c r="C20" i="5" s="1"/>
  <c r="P52" i="18"/>
  <c r="K36" i="18"/>
  <c r="Q36" i="18" s="1"/>
  <c r="S36" i="18" s="1"/>
  <c r="U20" i="5" l="1"/>
  <c r="C21" i="5" s="1"/>
  <c r="P53" i="18"/>
  <c r="K37" i="18"/>
  <c r="Q37" i="18" s="1"/>
  <c r="S37" i="18" s="1"/>
  <c r="U21" i="5" l="1"/>
  <c r="C22" i="5" s="1"/>
  <c r="P54" i="18"/>
  <c r="K38" i="18"/>
  <c r="Q38" i="18" s="1"/>
  <c r="S38" i="18" s="1"/>
  <c r="U22" i="5" l="1"/>
  <c r="C23" i="5" s="1"/>
  <c r="P55" i="18"/>
  <c r="K39" i="18"/>
  <c r="Q39" i="18" s="1"/>
  <c r="S39" i="18" s="1"/>
  <c r="U23" i="5" l="1"/>
  <c r="C24" i="5" s="1"/>
  <c r="P56" i="18"/>
  <c r="K40" i="18"/>
  <c r="Q40" i="18" s="1"/>
  <c r="S40" i="18" s="1"/>
  <c r="U24" i="5" l="1"/>
  <c r="C25" i="5" s="1"/>
  <c r="P57" i="18"/>
  <c r="K41" i="18"/>
  <c r="Q41" i="18" s="1"/>
  <c r="S41" i="18" s="1"/>
  <c r="U25" i="5" l="1"/>
  <c r="C26" i="5" s="1"/>
  <c r="P58" i="18"/>
  <c r="K42" i="18"/>
  <c r="Q42" i="18" s="1"/>
  <c r="S42" i="18" s="1"/>
  <c r="U26" i="5" l="1"/>
  <c r="C27" i="5" s="1"/>
  <c r="P59" i="18"/>
  <c r="K43" i="18"/>
  <c r="Q43" i="18" s="1"/>
  <c r="S43" i="18" s="1"/>
  <c r="U27" i="5" l="1"/>
  <c r="C28" i="5" s="1"/>
  <c r="P60" i="18"/>
  <c r="K44" i="18"/>
  <c r="Q44" i="18" s="1"/>
  <c r="S44" i="18" s="1"/>
  <c r="U28" i="5" l="1"/>
  <c r="C29" i="5" s="1"/>
  <c r="P61" i="18"/>
  <c r="K45" i="18"/>
  <c r="Q45" i="18" s="1"/>
  <c r="S45" i="18" s="1"/>
  <c r="U29" i="5" l="1"/>
  <c r="C30" i="5" s="1"/>
  <c r="P62" i="18"/>
  <c r="K46" i="18"/>
  <c r="Q46" i="18" s="1"/>
  <c r="S46" i="18" s="1"/>
  <c r="U30" i="5" l="1"/>
  <c r="C31" i="5" s="1"/>
  <c r="P63" i="18"/>
  <c r="K47" i="18"/>
  <c r="Q47" i="18" s="1"/>
  <c r="S47" i="18" s="1"/>
  <c r="U31" i="5" l="1"/>
  <c r="C32" i="5" s="1"/>
  <c r="P64" i="18"/>
  <c r="K48" i="18"/>
  <c r="Q48" i="18" s="1"/>
  <c r="S48" i="18" s="1"/>
  <c r="U32" i="5" l="1"/>
  <c r="C33" i="5" s="1"/>
  <c r="P65" i="18"/>
  <c r="K49" i="18"/>
  <c r="Q49" i="18" s="1"/>
  <c r="S49" i="18" s="1"/>
  <c r="U33" i="5" l="1"/>
  <c r="C34" i="5" s="1"/>
  <c r="P66" i="18"/>
  <c r="K50" i="18"/>
  <c r="Q50" i="18" s="1"/>
  <c r="S50" i="18" s="1"/>
  <c r="U34" i="5" l="1"/>
  <c r="C35" i="5" s="1"/>
  <c r="P67" i="18"/>
  <c r="K51" i="18"/>
  <c r="Q51" i="18" s="1"/>
  <c r="S51" i="18" s="1"/>
  <c r="U35" i="5" l="1"/>
  <c r="C36" i="5" s="1"/>
  <c r="P68" i="18"/>
  <c r="K52" i="18"/>
  <c r="Q52" i="18" s="1"/>
  <c r="S52" i="18" s="1"/>
  <c r="U36" i="5" l="1"/>
  <c r="C37" i="5" s="1"/>
  <c r="P69" i="18"/>
  <c r="K53" i="18"/>
  <c r="Q53" i="18" s="1"/>
  <c r="S53" i="18" s="1"/>
  <c r="U37" i="5" l="1"/>
  <c r="C38" i="5" s="1"/>
  <c r="P70" i="18"/>
  <c r="K54" i="18"/>
  <c r="Q54" i="18" s="1"/>
  <c r="S54" i="18" s="1"/>
  <c r="U38" i="5" l="1"/>
  <c r="C39" i="5" s="1"/>
  <c r="P71" i="18"/>
  <c r="K55" i="18"/>
  <c r="Q55" i="18" s="1"/>
  <c r="S55" i="18" s="1"/>
  <c r="U39" i="5" l="1"/>
  <c r="P72" i="18"/>
  <c r="K56" i="18"/>
  <c r="Q56" i="18" s="1"/>
  <c r="S56" i="18" s="1"/>
  <c r="U40" i="5" l="1"/>
  <c r="C41" i="5" s="1"/>
  <c r="P73" i="18"/>
  <c r="K57" i="18"/>
  <c r="Q57" i="18" s="1"/>
  <c r="S57" i="18" s="1"/>
  <c r="U41" i="5" l="1"/>
  <c r="C42" i="5" s="1"/>
  <c r="P74" i="18"/>
  <c r="K58" i="18"/>
  <c r="Q58" i="18" s="1"/>
  <c r="S58" i="18" s="1"/>
  <c r="U42" i="5" l="1"/>
  <c r="C43" i="5" s="1"/>
  <c r="P75" i="18"/>
  <c r="K59" i="18"/>
  <c r="Q59" i="18" s="1"/>
  <c r="S59" i="18" s="1"/>
  <c r="U43" i="5" l="1"/>
  <c r="C44" i="5" s="1"/>
  <c r="P76" i="18"/>
  <c r="K60" i="18"/>
  <c r="Q60" i="18" s="1"/>
  <c r="S60" i="18" s="1"/>
  <c r="U44" i="5" l="1"/>
  <c r="C45" i="5" s="1"/>
  <c r="P77" i="18"/>
  <c r="K61" i="18"/>
  <c r="Q61" i="18" s="1"/>
  <c r="S61" i="18" s="1"/>
  <c r="U45" i="5" l="1"/>
  <c r="C46" i="5" s="1"/>
  <c r="P78" i="18"/>
  <c r="K62" i="18"/>
  <c r="Q62" i="18" s="1"/>
  <c r="S62" i="18" s="1"/>
  <c r="U46" i="5" l="1"/>
  <c r="C47" i="5" s="1"/>
  <c r="P79" i="18"/>
  <c r="K63" i="18"/>
  <c r="Q63" i="18" s="1"/>
  <c r="S63" i="18" s="1"/>
  <c r="U47" i="5" l="1"/>
  <c r="C48" i="5" s="1"/>
  <c r="P80" i="18"/>
  <c r="K64" i="18"/>
  <c r="Q64" i="18" s="1"/>
  <c r="S64" i="18" s="1"/>
  <c r="U48" i="5" l="1"/>
  <c r="C49" i="5" s="1"/>
  <c r="P81" i="18"/>
  <c r="K65" i="18"/>
  <c r="Q65" i="18" s="1"/>
  <c r="S65" i="18" s="1"/>
  <c r="U49" i="5" l="1"/>
  <c r="C50" i="5" s="1"/>
  <c r="P82" i="18"/>
  <c r="K66" i="18"/>
  <c r="Q66" i="18" s="1"/>
  <c r="S66" i="18" s="1"/>
  <c r="U50" i="5" l="1"/>
  <c r="C51" i="5" s="1"/>
  <c r="P83" i="18"/>
  <c r="K67" i="18"/>
  <c r="Q67" i="18" s="1"/>
  <c r="S67" i="18" s="1"/>
  <c r="U51" i="5" l="1"/>
  <c r="C52" i="5" s="1"/>
  <c r="P84" i="18"/>
  <c r="K68" i="18"/>
  <c r="Q68" i="18" s="1"/>
  <c r="S68" i="18" s="1"/>
  <c r="U52" i="5" l="1"/>
  <c r="C53" i="5" s="1"/>
  <c r="P85" i="18"/>
  <c r="K69" i="18"/>
  <c r="Q69" i="18" s="1"/>
  <c r="S69" i="18" s="1"/>
  <c r="U53" i="5" l="1"/>
  <c r="C54" i="5" s="1"/>
  <c r="P86" i="18"/>
  <c r="K70" i="18"/>
  <c r="Q70" i="18" s="1"/>
  <c r="S70" i="18" s="1"/>
  <c r="U54" i="5" l="1"/>
  <c r="C55" i="5" s="1"/>
  <c r="P87" i="18"/>
  <c r="K71" i="18"/>
  <c r="Q71" i="18" s="1"/>
  <c r="S71" i="18" s="1"/>
  <c r="U55" i="5" l="1"/>
  <c r="C56" i="5" s="1"/>
  <c r="P88" i="18"/>
  <c r="K72" i="18"/>
  <c r="Q72" i="18" s="1"/>
  <c r="S72" i="18" s="1"/>
  <c r="U56" i="5" l="1"/>
  <c r="C57" i="5" s="1"/>
  <c r="P89" i="18"/>
  <c r="K73" i="18"/>
  <c r="Q73" i="18" s="1"/>
  <c r="S73" i="18" s="1"/>
  <c r="U57" i="5" l="1"/>
  <c r="C58" i="5" s="1"/>
  <c r="P90" i="18"/>
  <c r="K74" i="18"/>
  <c r="Q74" i="18" s="1"/>
  <c r="S74" i="18" s="1"/>
  <c r="U58" i="5" l="1"/>
  <c r="C59" i="5" s="1"/>
  <c r="P91" i="18"/>
  <c r="K75" i="18"/>
  <c r="Q75" i="18" s="1"/>
  <c r="S75" i="18" s="1"/>
  <c r="U59" i="5" l="1"/>
  <c r="C60" i="5" s="1"/>
  <c r="P92" i="18"/>
  <c r="K76" i="18"/>
  <c r="Q76" i="18" s="1"/>
  <c r="S76" i="18" s="1"/>
  <c r="U60" i="5" l="1"/>
  <c r="C61" i="5" s="1"/>
  <c r="P93" i="18"/>
  <c r="K77" i="18"/>
  <c r="Q77" i="18" s="1"/>
  <c r="S77" i="18" s="1"/>
  <c r="U61" i="5" l="1"/>
  <c r="C62" i="5" s="1"/>
  <c r="P94" i="18"/>
  <c r="K78" i="18"/>
  <c r="Q78" i="18" s="1"/>
  <c r="S78" i="18" s="1"/>
  <c r="U62" i="5" l="1"/>
  <c r="C63" i="5" s="1"/>
  <c r="P95" i="18"/>
  <c r="K79" i="18"/>
  <c r="Q79" i="18" s="1"/>
  <c r="S79" i="18" s="1"/>
  <c r="U63" i="5" l="1"/>
  <c r="C64" i="5" s="1"/>
  <c r="P96" i="18"/>
  <c r="K80" i="18"/>
  <c r="Q80" i="18" s="1"/>
  <c r="S80" i="18" s="1"/>
  <c r="U64" i="5" l="1"/>
  <c r="C65" i="5" s="1"/>
  <c r="P97" i="18"/>
  <c r="K81" i="18"/>
  <c r="Q81" i="18" s="1"/>
  <c r="S81" i="18" s="1"/>
  <c r="U65" i="5" l="1"/>
  <c r="C66" i="5" s="1"/>
  <c r="P98" i="18"/>
  <c r="K82" i="18"/>
  <c r="Q82" i="18" s="1"/>
  <c r="S82" i="18" s="1"/>
  <c r="U66" i="5" l="1"/>
  <c r="C67" i="5" s="1"/>
  <c r="P99" i="18"/>
  <c r="K83" i="18"/>
  <c r="Q83" i="18" s="1"/>
  <c r="S83" i="18" s="1"/>
  <c r="U67" i="5" l="1"/>
  <c r="C68" i="5" s="1"/>
  <c r="P100" i="18"/>
  <c r="K84" i="18"/>
  <c r="Q84" i="18" s="1"/>
  <c r="S84" i="18" s="1"/>
  <c r="U68" i="5" l="1"/>
  <c r="C69" i="5" s="1"/>
  <c r="P101" i="18"/>
  <c r="K85" i="18"/>
  <c r="Q85" i="18" s="1"/>
  <c r="S85" i="18" s="1"/>
  <c r="U69" i="5" l="1"/>
  <c r="C70" i="5" s="1"/>
  <c r="P102" i="18"/>
  <c r="K86" i="18"/>
  <c r="Q86" i="18" s="1"/>
  <c r="S86" i="18" s="1"/>
  <c r="U70" i="5" l="1"/>
  <c r="C71" i="5" s="1"/>
  <c r="P103" i="18"/>
  <c r="K87" i="18"/>
  <c r="Q87" i="18" s="1"/>
  <c r="S87" i="18" s="1"/>
  <c r="U71" i="5" l="1"/>
  <c r="C72" i="5" s="1"/>
  <c r="P104" i="18"/>
  <c r="K88" i="18"/>
  <c r="Q88" i="18" s="1"/>
  <c r="S88" i="18" s="1"/>
  <c r="U72" i="5" l="1"/>
  <c r="C73" i="5" s="1"/>
  <c r="P105" i="18"/>
  <c r="K89" i="18"/>
  <c r="Q89" i="18" s="1"/>
  <c r="S89" i="18" s="1"/>
  <c r="U73" i="5" l="1"/>
  <c r="C74" i="5" s="1"/>
  <c r="P106" i="18"/>
  <c r="K90" i="18"/>
  <c r="Q90" i="18" s="1"/>
  <c r="S90" i="18" s="1"/>
  <c r="U74" i="5" l="1"/>
  <c r="C75" i="5" s="1"/>
  <c r="P107" i="18"/>
  <c r="K91" i="18"/>
  <c r="Q91" i="18" s="1"/>
  <c r="S91" i="18" s="1"/>
  <c r="U75" i="5" l="1"/>
  <c r="C76" i="5" s="1"/>
  <c r="P108" i="18"/>
  <c r="K92" i="18"/>
  <c r="Q92" i="18" s="1"/>
  <c r="S92" i="18" s="1"/>
  <c r="U76" i="5" l="1"/>
  <c r="C77" i="5" s="1"/>
  <c r="P109" i="18"/>
  <c r="K93" i="18"/>
  <c r="Q93" i="18" s="1"/>
  <c r="S93" i="18" s="1"/>
  <c r="U77" i="5" l="1"/>
  <c r="C78" i="5" s="1"/>
  <c r="P110" i="18"/>
  <c r="K94" i="18"/>
  <c r="Q94" i="18" s="1"/>
  <c r="S94" i="18" s="1"/>
  <c r="U78" i="5" l="1"/>
  <c r="C79" i="5" s="1"/>
  <c r="P111" i="18"/>
  <c r="K95" i="18"/>
  <c r="Q95" i="18" s="1"/>
  <c r="S95" i="18" s="1"/>
  <c r="U79" i="5" l="1"/>
  <c r="C80" i="5" s="1"/>
  <c r="P112" i="18"/>
  <c r="K96" i="18"/>
  <c r="Q96" i="18" s="1"/>
  <c r="S96" i="18" s="1"/>
  <c r="U80" i="5" l="1"/>
  <c r="C81" i="5" s="1"/>
  <c r="P113" i="18"/>
  <c r="K97" i="18"/>
  <c r="Q97" i="18" s="1"/>
  <c r="S97" i="18" s="1"/>
  <c r="U81" i="5" l="1"/>
  <c r="C82" i="5" s="1"/>
  <c r="P114" i="18"/>
  <c r="K98" i="18"/>
  <c r="Q98" i="18" s="1"/>
  <c r="S98" i="18" s="1"/>
  <c r="U82" i="5" l="1"/>
  <c r="C83" i="5" s="1"/>
  <c r="P115" i="18"/>
  <c r="K99" i="18"/>
  <c r="Q99" i="18" s="1"/>
  <c r="S99" i="18" s="1"/>
  <c r="U83" i="5" l="1"/>
  <c r="C84" i="5" s="1"/>
  <c r="P116" i="18"/>
  <c r="K100" i="18"/>
  <c r="Q100" i="18" s="1"/>
  <c r="S100" i="18" s="1"/>
  <c r="U84" i="5" l="1"/>
  <c r="C85" i="5" s="1"/>
  <c r="P117" i="18"/>
  <c r="K101" i="18"/>
  <c r="Q101" i="18" s="1"/>
  <c r="S101" i="18" s="1"/>
  <c r="U85" i="5" l="1"/>
  <c r="C86" i="5" s="1"/>
  <c r="P118" i="18"/>
  <c r="K102" i="18"/>
  <c r="Q102" i="18" s="1"/>
  <c r="S102" i="18" s="1"/>
  <c r="U86" i="5" l="1"/>
  <c r="C87" i="5" s="1"/>
  <c r="P119" i="18"/>
  <c r="K103" i="18"/>
  <c r="Q103" i="18" s="1"/>
  <c r="S103" i="18" s="1"/>
  <c r="U87" i="5" l="1"/>
  <c r="C88" i="5" s="1"/>
  <c r="P120" i="18"/>
  <c r="K104" i="18"/>
  <c r="Q104" i="18" s="1"/>
  <c r="S104" i="18" s="1"/>
  <c r="U88" i="5" l="1"/>
  <c r="C89" i="5" s="1"/>
  <c r="P121" i="18"/>
  <c r="K105" i="18"/>
  <c r="Q105" i="18" s="1"/>
  <c r="S105" i="18" s="1"/>
  <c r="U89" i="5" l="1"/>
  <c r="C90" i="5" s="1"/>
  <c r="P122" i="18"/>
  <c r="K106" i="18"/>
  <c r="Q106" i="18" s="1"/>
  <c r="S106" i="18" s="1"/>
  <c r="U90" i="5" l="1"/>
  <c r="C91" i="5" s="1"/>
  <c r="P123" i="18"/>
  <c r="K107" i="18"/>
  <c r="Q107" i="18" s="1"/>
  <c r="S107" i="18" s="1"/>
  <c r="U91" i="5" l="1"/>
  <c r="C92" i="5" s="1"/>
  <c r="P124" i="18"/>
  <c r="K108" i="18"/>
  <c r="Q108" i="18" s="1"/>
  <c r="S108" i="18" s="1"/>
  <c r="U92" i="5" l="1"/>
  <c r="C93" i="5" s="1"/>
  <c r="P125" i="18"/>
  <c r="K109" i="18"/>
  <c r="Q109" i="18" s="1"/>
  <c r="S109" i="18" s="1"/>
  <c r="U93" i="5" l="1"/>
  <c r="C94" i="5" s="1"/>
  <c r="P126" i="18"/>
  <c r="K110" i="18"/>
  <c r="Q110" i="18" s="1"/>
  <c r="S110" i="18" s="1"/>
  <c r="U94" i="5" l="1"/>
  <c r="C95" i="5" s="1"/>
  <c r="P127" i="18"/>
  <c r="K111" i="18"/>
  <c r="Q111" i="18" s="1"/>
  <c r="S111" i="18" s="1"/>
  <c r="U95" i="5" l="1"/>
  <c r="C96" i="5" s="1"/>
  <c r="P128" i="18"/>
  <c r="K112" i="18"/>
  <c r="Q112" i="18" s="1"/>
  <c r="S112" i="18" s="1"/>
  <c r="U96" i="5" l="1"/>
  <c r="C97" i="5" s="1"/>
  <c r="P129" i="18"/>
  <c r="K113" i="18"/>
  <c r="Q113" i="18" s="1"/>
  <c r="S113" i="18" s="1"/>
  <c r="U97" i="5" l="1"/>
  <c r="C98" i="5" s="1"/>
  <c r="P130" i="18"/>
  <c r="K114" i="18"/>
  <c r="Q114" i="18" s="1"/>
  <c r="S114" i="18" s="1"/>
  <c r="U98" i="5" l="1"/>
  <c r="C99" i="5" s="1"/>
  <c r="P131" i="18"/>
  <c r="K115" i="18"/>
  <c r="Q115" i="18" s="1"/>
  <c r="S115" i="18" s="1"/>
  <c r="U99" i="5" l="1"/>
  <c r="C100" i="5" s="1"/>
  <c r="P132" i="18"/>
  <c r="K116" i="18"/>
  <c r="Q116" i="18" s="1"/>
  <c r="S116" i="18" s="1"/>
  <c r="U100" i="5" l="1"/>
  <c r="C101" i="5" s="1"/>
  <c r="P133" i="18"/>
  <c r="K117" i="18"/>
  <c r="Q117" i="18" s="1"/>
  <c r="S117" i="18" s="1"/>
  <c r="U101" i="5" l="1"/>
  <c r="C102" i="5" s="1"/>
  <c r="P134" i="18"/>
  <c r="K118" i="18"/>
  <c r="Q118" i="18" s="1"/>
  <c r="S118" i="18" s="1"/>
  <c r="U102" i="5" l="1"/>
  <c r="C103" i="5" s="1"/>
  <c r="P135" i="18"/>
  <c r="K119" i="18"/>
  <c r="Q119" i="18" s="1"/>
  <c r="S119" i="18" s="1"/>
  <c r="U103" i="5" l="1"/>
  <c r="C104" i="5" s="1"/>
  <c r="P136" i="18"/>
  <c r="K120" i="18"/>
  <c r="Q120" i="18" s="1"/>
  <c r="S120" i="18" s="1"/>
  <c r="U104" i="5" l="1"/>
  <c r="C105" i="5" s="1"/>
  <c r="P137" i="18"/>
  <c r="K121" i="18"/>
  <c r="Q121" i="18" s="1"/>
  <c r="S121" i="18" s="1"/>
  <c r="U105" i="5" l="1"/>
  <c r="C106" i="5" s="1"/>
  <c r="P138" i="18"/>
  <c r="K122" i="18"/>
  <c r="Q122" i="18" s="1"/>
  <c r="S122" i="18" s="1"/>
  <c r="U106" i="5" l="1"/>
  <c r="C107" i="5" s="1"/>
  <c r="P139" i="18"/>
  <c r="K123" i="18"/>
  <c r="Q123" i="18" s="1"/>
  <c r="S123" i="18" s="1"/>
  <c r="U107" i="5" l="1"/>
  <c r="C108" i="5" s="1"/>
  <c r="P140" i="18"/>
  <c r="K124" i="18"/>
  <c r="Q124" i="18" s="1"/>
  <c r="S124" i="18" s="1"/>
  <c r="U108" i="5" l="1"/>
  <c r="C109" i="5" s="1"/>
  <c r="P141" i="18"/>
  <c r="K125" i="18"/>
  <c r="Q125" i="18" s="1"/>
  <c r="S125" i="18" s="1"/>
  <c r="U109" i="5" l="1"/>
  <c r="C110" i="5" s="1"/>
  <c r="P142" i="18"/>
  <c r="K126" i="18"/>
  <c r="Q126" i="18" s="1"/>
  <c r="S126" i="18" s="1"/>
  <c r="U110" i="5" l="1"/>
  <c r="C111" i="5" s="1"/>
  <c r="P143" i="18"/>
  <c r="K127" i="18"/>
  <c r="Q127" i="18" s="1"/>
  <c r="S127" i="18" s="1"/>
  <c r="U111" i="5" l="1"/>
  <c r="C112" i="5" s="1"/>
  <c r="P144" i="18"/>
  <c r="K128" i="18"/>
  <c r="Q128" i="18" s="1"/>
  <c r="S128" i="18" s="1"/>
  <c r="U112" i="5" l="1"/>
  <c r="C113" i="5" s="1"/>
  <c r="P145" i="18"/>
  <c r="K129" i="18"/>
  <c r="Q129" i="18" s="1"/>
  <c r="S129" i="18" s="1"/>
  <c r="U113" i="5" l="1"/>
  <c r="C114" i="5" s="1"/>
  <c r="P146" i="18"/>
  <c r="K130" i="18"/>
  <c r="Q130" i="18" s="1"/>
  <c r="S130" i="18" s="1"/>
  <c r="U114" i="5" l="1"/>
  <c r="C115" i="5" s="1"/>
  <c r="P147" i="18"/>
  <c r="K131" i="18"/>
  <c r="Q131" i="18" s="1"/>
  <c r="S131" i="18" s="1"/>
  <c r="U115" i="5" l="1"/>
  <c r="C116" i="5" s="1"/>
  <c r="K132" i="18"/>
  <c r="Q132" i="18" s="1"/>
  <c r="S132" i="18" s="1"/>
  <c r="U116" i="5" l="1"/>
  <c r="C117" i="5" s="1"/>
  <c r="K133" i="18"/>
  <c r="Q133" i="18" s="1"/>
  <c r="S133" i="18" s="1"/>
  <c r="U117" i="5" l="1"/>
  <c r="C118" i="5" s="1"/>
  <c r="K134" i="18"/>
  <c r="Q134" i="18" s="1"/>
  <c r="S134" i="18" s="1"/>
  <c r="U118" i="5" l="1"/>
  <c r="C119" i="5" s="1"/>
  <c r="K135" i="18"/>
  <c r="Q135" i="18" s="1"/>
  <c r="S135" i="18" s="1"/>
  <c r="U119" i="5" l="1"/>
  <c r="C120" i="5" s="1"/>
  <c r="K136" i="18"/>
  <c r="Q136" i="18" s="1"/>
  <c r="S136" i="18" s="1"/>
  <c r="U120" i="5" l="1"/>
  <c r="C121" i="5" s="1"/>
  <c r="K137" i="18"/>
  <c r="Q137" i="18" s="1"/>
  <c r="S137" i="18" s="1"/>
  <c r="U121" i="5" l="1"/>
  <c r="C122" i="5" s="1"/>
  <c r="K138" i="18"/>
  <c r="Q138" i="18" s="1"/>
  <c r="S138" i="18" s="1"/>
  <c r="U122" i="5" l="1"/>
  <c r="K139" i="18"/>
  <c r="Q139" i="18" s="1"/>
  <c r="S139" i="18" s="1"/>
  <c r="K140" i="18" l="1"/>
  <c r="Q140" i="18" s="1"/>
  <c r="S140" i="18" s="1"/>
  <c r="K141" i="18" l="1"/>
  <c r="Q141" i="18" s="1"/>
  <c r="S141" i="18" s="1"/>
  <c r="K142" i="18" l="1"/>
  <c r="Q142" i="18" s="1"/>
  <c r="S142" i="18" s="1"/>
  <c r="K143" i="18" l="1"/>
  <c r="Q143" i="18" s="1"/>
  <c r="S143" i="18" s="1"/>
  <c r="K144" i="18" l="1"/>
  <c r="Q144" i="18" s="1"/>
  <c r="S144" i="18" s="1"/>
  <c r="K145" i="18" l="1"/>
  <c r="Q145" i="18" s="1"/>
  <c r="S145" i="18" s="1"/>
  <c r="K146" i="18" l="1"/>
  <c r="Q146" i="18" s="1"/>
  <c r="S146" i="18" s="1"/>
  <c r="K147" i="18" l="1"/>
  <c r="Q147" i="18" s="1"/>
  <c r="S14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<sst xmlns="http://schemas.openxmlformats.org/spreadsheetml/2006/main" count="411" uniqueCount="192">
  <si>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</si>
  <si>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</si>
  <si>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</si>
  <si>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</si>
  <si>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</si>
  <si>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</si>
  <si>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</si>
  <si>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</si>
  <si>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</si>
  <si>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</si>
  <si>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</si>
  <si>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</si>
  <si>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</si>
  <si>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</si>
  <si>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</si>
  <si>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</si>
  <si>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</si>
  <si>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</si>
  <si>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</si>
  <si>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</si>
  <si>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</si>
  <si>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</si>
  <si>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</si>
  <si>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</si>
  <si>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</si>
  <si>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</si>
  <si>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</si>
  <si>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</si>
  <si>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</si>
  <si>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</si>
  <si>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</si>
  <si>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</si>
  <si>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</si>
  <si>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</si>
  <si>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</si>
  <si>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</si>
  <si>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</si>
  <si>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</si>
  <si>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</si>
  <si>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</si>
  <si>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</si>
  <si>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</si>
  <si>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</si>
  <si>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</si>
  <si>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</si>
  <si>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</si>
  <si>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</si>
  <si>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</si>
  <si>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</si>
  <si>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</si>
  <si>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</si>
  <si>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</si>
  <si>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</si>
  <si>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</si>
  <si>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</si>
  <si>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</si>
  <si>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</si>
  <si>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</si>
  <si>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</si>
  <si>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</si>
  <si>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</si>
  <si>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</si>
  <si>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</si>
  <si>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</si>
  <si>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</si>
  <si>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</si>
  <si>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</si>
  <si>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</si>
  <si>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</si>
  <si>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</si>
  <si>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</si>
  <si>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</si>
  <si>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</si>
  <si>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</si>
  <si>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</si>
  <si>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</si>
  <si>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</si>
  <si>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</si>
  <si>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</si>
  <si>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</si>
  <si>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</si>
  <si>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</si>
  <si>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</si>
  <si>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</si>
  <si>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</si>
  <si>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</si>
  <si>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</si>
  <si>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</si>
  <si>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</si>
  <si>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</si>
  <si>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</si>
  <si>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</si>
  <si>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</si>
  <si>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</si>
  <si>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</si>
  <si>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</si>
  <si>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</si>
  <si>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</si>
  <si>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</si>
  <si>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</si>
  <si>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</si>
  <si>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</si>
  <si>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</si>
  <si>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</si>
  <si>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</si>
  <si>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</si>
  <si>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</si>
  <si>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</si>
  <si>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</si>
  <si>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</si>
  <si>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</si>
  <si>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</si>
  <si>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</si>
  <si>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</si>
  <si>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</si>
  <si>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</si>
  <si>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</si>
  <si>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</si>
  <si>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</si>
  <si>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</si>
  <si>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</si>
  <si>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</si>
  <si>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</si>
  <si>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</si>
  <si>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</si>
  <si>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</si>
  <si>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</si>
  <si>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</si>
  <si>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</si>
  <si>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</si>
  <si>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</si>
  <si>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</si>
  <si>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</si>
  <si>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LICY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</si>
  <si>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</si>
  <si>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</si>
  <si>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</si>
  <si>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</si>
  <si>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</si>
  <si>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</si>
  <si>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</si>
  <si>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</si>
  <si>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</si>
  <si>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</si>
  <si>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</si>
  <si>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</si>
  <si>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</si>
  <si>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</si>
  <si>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</si>
  <si>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</si>
  <si>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</si>
  <si>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</si>
  <si>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</si>
  <si>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</si>
  <si>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</si>
  <si>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</si>
  <si>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</si>
  <si>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</si>
  <si>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</si>
  <si>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</si>
  <si>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</si>
  <si>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</si>
  <si>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</si>
  <si>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</si>
  <si>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</si>
  <si>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</si>
  <si>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</si>
  <si>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</si>
  <si>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</si>
  <si>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</si>
  <si>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23년 5월 현재 매매법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</si>
  <si>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</si>
  <si>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</si>
  <si>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</si>
  <si>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</si>
  <si>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</si>
  <si>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</si>
  <si>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</si>
  <si>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유동 합계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</si>
  <si>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</si>
  <si>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</si>
  <si>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</si>
  <si>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</si>
  <si>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</si>
  <si>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</si>
  <si>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</si>
  <si>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원금 7400만원 대출 2억 1천</t>
    <phoneticPr fontId="1" type="noConversion"/>
  </si>
  <si>
    <t>대출원금</t>
    <phoneticPr fontId="1" type="noConversion"/>
  </si>
  <si>
    <t>가족지출</t>
    <phoneticPr fontId="1" type="noConversion"/>
  </si>
  <si>
    <t>2024-5</t>
    <phoneticPr fontId="1" type="noConversion"/>
  </si>
  <si>
    <t>신용대출</t>
    <phoneticPr fontId="1" type="noConversion"/>
  </si>
  <si>
    <t>차량 3천 2천 8퍼 차량대출 5년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</si>
</sst>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04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17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3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4" xfId="0" applyFont="1" applyFill="1" applyBorder="1">
      <alignment vertical="center"/>
    </xf>
    <xf numFmtId="0" fontId="0" fillId="43" borderId="38" xfId="0" applyFill="1" applyBorder="1">
      <alignment vertical="center"/>
    </xf>
    <xf numFmtId="0" fontId="0" fillId="43" borderId="37" xfId="0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77" fontId="0" fillId="44" borderId="5" xfId="0" applyNumberFormat="1" applyFill="1" applyBorder="1">
      <alignment vertical="center"/>
    </xf>
    <xf numFmtId="177" fontId="0" fillId="44" borderId="1" xfId="0" applyNumberFormat="1" applyFill="1" applyBorder="1">
      <alignment vertical="center"/>
    </xf>
    <xf numFmtId="176" fontId="2" fillId="44" borderId="5" xfId="0" applyNumberFormat="1" applyFont="1" applyFill="1" applyBorder="1">
      <alignment vertical="center"/>
    </xf>
    <xf numFmtId="176" fontId="2" fillId="44" borderId="1" xfId="0" applyNumberFormat="1" applyFont="1" applyFill="1" applyBorder="1">
      <alignment vertical="center"/>
    </xf>
    <xf numFmtId="0" fontId="0" fillId="44" borderId="38" xfId="0" applyFill="1" applyBorder="1">
      <alignment vertical="center"/>
    </xf>
    <xf numFmtId="0" fontId="0" fillId="44" borderId="37" xfId="0" applyFill="1" applyBorder="1">
      <alignment vertical="center"/>
    </xf>
    <xf numFmtId="0" fontId="0" fillId="44" borderId="33" xfId="0" applyFill="1" applyBorder="1">
      <alignment vertical="center"/>
    </xf>
    <xf numFmtId="0" fontId="0" fillId="44" borderId="34" xfId="0" applyFill="1" applyBorder="1">
      <alignment vertical="center"/>
    </xf>
    <xf numFmtId="176" fontId="2" fillId="44" borderId="56" xfId="0" applyNumberFormat="1" applyFont="1" applyFill="1" applyBorder="1">
      <alignment vertical="center"/>
    </xf>
    <xf numFmtId="182" fontId="2" fillId="44" borderId="3" xfId="0" applyNumberFormat="1" applyFont="1" applyFill="1" applyBorder="1">
      <alignment vertical="center"/>
    </xf>
    <xf numFmtId="0" fontId="2" fillId="44" borderId="34" xfId="0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8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5" borderId="1" xfId="0" applyFill="1" applyBorder="1">
      <alignment vertical="center"/>
    </xf>
    <xf numFmtId="0" fontId="0" fillId="45" borderId="4" xfId="0" applyFill="1" applyBorder="1">
      <alignment vertical="center"/>
    </xf>
    <xf numFmtId="177" fontId="0" fillId="45" borderId="5" xfId="0" applyNumberFormat="1" applyFill="1" applyBorder="1">
      <alignment vertical="center"/>
    </xf>
    <xf numFmtId="177" fontId="0" fillId="45" borderId="1" xfId="0" applyNumberFormat="1" applyFill="1" applyBorder="1">
      <alignment vertical="center"/>
    </xf>
    <xf numFmtId="176" fontId="2" fillId="45" borderId="56" xfId="0" applyNumberFormat="1" applyFont="1" applyFill="1" applyBorder="1">
      <alignment vertical="center"/>
    </xf>
    <xf numFmtId="182" fontId="2" fillId="45" borderId="3" xfId="0" applyNumberFormat="1" applyFont="1" applyFill="1" applyBorder="1">
      <alignment vertical="center"/>
    </xf>
    <xf numFmtId="177" fontId="2" fillId="45" borderId="1" xfId="0" applyNumberFormat="1" applyFont="1" applyFill="1" applyBorder="1">
      <alignment vertical="center"/>
    </xf>
    <xf numFmtId="176" fontId="2" fillId="45" borderId="5" xfId="0" applyNumberFormat="1" applyFont="1" applyFill="1" applyBorder="1">
      <alignment vertical="center"/>
    </xf>
    <xf numFmtId="0" fontId="2" fillId="45" borderId="4" xfId="0" applyFont="1" applyFill="1" applyBorder="1">
      <alignment vertical="center"/>
    </xf>
    <xf numFmtId="176" fontId="2" fillId="45" borderId="1" xfId="0" applyNumberFormat="1" applyFont="1" applyFill="1" applyBorder="1">
      <alignment vertical="center"/>
    </xf>
    <xf numFmtId="0" fontId="0" fillId="45" borderId="5" xfId="0" applyFill="1" applyBorder="1">
      <alignment vertical="center"/>
    </xf>
    <xf numFmtId="0" fontId="0" fillId="46" borderId="1" xfId="0" applyFill="1" applyBorder="1">
      <alignment vertical="center"/>
    </xf>
    <xf numFmtId="176" fontId="0" fillId="46" borderId="1" xfId="0" applyNumberFormat="1" applyFill="1" applyBorder="1">
      <alignment vertical="center"/>
    </xf>
    <xf numFmtId="0" fontId="18" fillId="42" borderId="57" xfId="41" applyFill="1" applyBorder="1">
      <alignment vertical="center"/>
    </xf>
    <xf numFmtId="0" fontId="0" fillId="42" borderId="21" xfId="0" applyFill="1" applyBorder="1">
      <alignment vertical="center"/>
    </xf>
    <xf numFmtId="0" fontId="18" fillId="47" borderId="57" xfId="41" applyFill="1" applyBorder="1">
      <alignment vertical="center"/>
    </xf>
    <xf numFmtId="176" fontId="0" fillId="47" borderId="1" xfId="0" applyNumberFormat="1" applyFill="1" applyBorder="1">
      <alignment vertical="center"/>
    </xf>
    <xf numFmtId="0" fontId="0" fillId="47" borderId="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0" fontId="2" fillId="3" borderId="34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2" fillId="49" borderId="2" xfId="0" applyFont="1" applyFill="1" applyBorder="1" applyAlignment="1">
      <alignment horizontal="center" vertical="center"/>
    </xf>
    <xf numFmtId="177" fontId="2" fillId="49" borderId="1" xfId="0" applyNumberFormat="1" applyFont="1" applyFill="1" applyBorder="1">
      <alignment vertical="center"/>
    </xf>
    <xf numFmtId="0" fontId="2" fillId="49" borderId="1" xfId="0" applyFont="1" applyFill="1" applyBorder="1">
      <alignment vertical="center"/>
    </xf>
    <xf numFmtId="0" fontId="2" fillId="49" borderId="52" xfId="0" applyFont="1" applyFill="1" applyBorder="1">
      <alignment vertical="center"/>
    </xf>
    <xf numFmtId="0" fontId="0" fillId="50" borderId="21" xfId="0" applyFill="1" applyBorder="1">
      <alignment vertical="center"/>
    </xf>
    <xf numFmtId="176" fontId="0" fillId="50" borderId="1" xfId="0" applyNumberFormat="1" applyFill="1" applyBorder="1">
      <alignment vertical="center"/>
    </xf>
    <xf numFmtId="0" fontId="18" fillId="51" borderId="57" xfId="41" applyFill="1" applyBorder="1">
      <alignment vertical="center"/>
    </xf>
    <xf numFmtId="176" fontId="0" fillId="51" borderId="1" xfId="0" applyNumberFormat="1" applyFill="1" applyBorder="1">
      <alignment vertical="center"/>
    </xf>
    <xf numFmtId="0" fontId="18" fillId="51" borderId="1" xfId="41" applyFill="1" applyBorder="1">
      <alignment vertical="center"/>
    </xf>
    <xf numFmtId="176" fontId="18" fillId="51" borderId="1" xfId="41" applyNumberFormat="1" applyFill="1" applyBorder="1">
      <alignment vertical="center"/>
    </xf>
    <xf numFmtId="176" fontId="18" fillId="48" borderId="1" xfId="41" applyNumberFormat="1" applyFill="1" applyBorder="1">
      <alignment vertical="center"/>
    </xf>
    <xf numFmtId="0" fontId="0" fillId="50" borderId="1" xfId="0" applyFill="1" applyBorder="1">
      <alignment vertical="center"/>
    </xf>
    <xf numFmtId="0" fontId="18" fillId="47" borderId="1" xfId="41" applyFill="1" applyBorder="1">
      <alignment vertical="center"/>
    </xf>
    <xf numFmtId="176" fontId="18" fillId="47" borderId="1" xfId="41" applyNumberFormat="1" applyFill="1" applyBorder="1">
      <alignment vertical="center"/>
    </xf>
    <xf numFmtId="176" fontId="26" fillId="5" borderId="1" xfId="0" applyNumberFormat="1" applyFont="1" applyFill="1" applyBorder="1">
      <alignment vertical="center"/>
    </xf>
    <xf numFmtId="176" fontId="26" fillId="40" borderId="1" xfId="0" applyNumberFormat="1" applyFont="1" applyFill="1" applyBorder="1">
      <alignment vertical="center"/>
    </xf>
    <xf numFmtId="0" fontId="26" fillId="40" borderId="1" xfId="0" applyFont="1" applyFill="1" applyBorder="1">
      <alignment vertical="center"/>
    </xf>
    <xf numFmtId="0" fontId="4" fillId="42" borderId="1" xfId="41" applyFont="1" applyFill="1" applyBorder="1">
      <alignment vertical="center"/>
    </xf>
    <xf numFmtId="176" fontId="26" fillId="42" borderId="1" xfId="41" applyNumberFormat="1" applyFont="1" applyFill="1" applyBorder="1">
      <alignment vertical="center"/>
    </xf>
    <xf numFmtId="176" fontId="26" fillId="40" borderId="1" xfId="41" applyNumberFormat="1" applyFont="1" applyFill="1" applyBorder="1">
      <alignment vertical="center"/>
    </xf>
    <xf numFmtId="176" fontId="26" fillId="50" borderId="1" xfId="0" applyNumberFormat="1" applyFont="1" applyFill="1" applyBorder="1">
      <alignment vertical="center"/>
    </xf>
    <xf numFmtId="3" fontId="0" fillId="0" borderId="21" xfId="0" applyNumberFormat="1" applyBorder="1" applyAlignment="1">
      <alignment horizontal="center" vertical="center" wrapText="1"/>
    </xf>
    <xf numFmtId="179" fontId="0" fillId="40" borderId="1" xfId="0" applyNumberFormat="1" applyFill="1" applyBorder="1">
      <alignment vertical="center"/>
    </xf>
    <xf numFmtId="179" fontId="26" fillId="40" borderId="1" xfId="0" applyNumberFormat="1" applyFont="1" applyFill="1" applyBorder="1">
      <alignment vertical="center"/>
    </xf>
    <xf numFmtId="179" fontId="26" fillId="40" borderId="57" xfId="41" applyNumberFormat="1" applyFont="1" applyFill="1" applyBorder="1">
      <alignment vertical="center"/>
    </xf>
    <xf numFmtId="179" fontId="0" fillId="40" borderId="21" xfId="0" applyNumberFormat="1" applyFill="1" applyBorder="1">
      <alignment vertical="center"/>
    </xf>
    <xf numFmtId="179" fontId="0" fillId="0" borderId="1" xfId="0" applyNumberFormat="1" applyBorder="1">
      <alignment vertical="center"/>
    </xf>
    <xf numFmtId="179" fontId="26" fillId="2" borderId="1" xfId="0" applyNumberFormat="1" applyFont="1" applyFill="1" applyBorder="1">
      <alignment vertical="center"/>
    </xf>
    <xf numFmtId="0" fontId="0" fillId="38" borderId="4" xfId="0" applyFill="1" applyBorder="1">
      <alignment vertical="center"/>
    </xf>
    <xf numFmtId="177" fontId="0" fillId="38" borderId="5" xfId="0" applyNumberFormat="1" applyFill="1" applyBorder="1">
      <alignment vertical="center"/>
    </xf>
    <xf numFmtId="177" fontId="0" fillId="38" borderId="4" xfId="0" applyNumberFormat="1" applyFill="1" applyBorder="1">
      <alignment vertical="center"/>
    </xf>
    <xf numFmtId="177" fontId="0" fillId="38" borderId="1" xfId="0" applyNumberFormat="1" applyFill="1" applyBorder="1">
      <alignment vertical="center"/>
    </xf>
    <xf numFmtId="176" fontId="2" fillId="38" borderId="56" xfId="0" applyNumberFormat="1" applyFont="1" applyFill="1" applyBorder="1">
      <alignment vertical="center"/>
    </xf>
    <xf numFmtId="182" fontId="2" fillId="38" borderId="3" xfId="0" applyNumberFormat="1" applyFont="1" applyFill="1" applyBorder="1">
      <alignment vertical="center"/>
    </xf>
    <xf numFmtId="177" fontId="2" fillId="38" borderId="1" xfId="0" applyNumberFormat="1" applyFont="1" applyFill="1" applyBorder="1">
      <alignment vertical="center"/>
    </xf>
    <xf numFmtId="176" fontId="2" fillId="38" borderId="5" xfId="0" applyNumberFormat="1" applyFont="1" applyFill="1" applyBorder="1">
      <alignment vertical="center"/>
    </xf>
    <xf numFmtId="0" fontId="2" fillId="38" borderId="4" xfId="0" applyFont="1" applyFill="1" applyBorder="1">
      <alignment vertical="center"/>
    </xf>
    <xf numFmtId="176" fontId="2" fillId="38" borderId="1" xfId="0" applyNumberFormat="1" applyFont="1" applyFill="1" applyBorder="1">
      <alignment vertical="center"/>
    </xf>
    <xf numFmtId="0" fontId="0" fillId="38" borderId="5" xfId="0" applyFill="1" applyBorder="1">
      <alignment vertical="center"/>
    </xf>
    <xf numFmtId="179" fontId="0" fillId="42" borderId="1" xfId="0" applyNumberFormat="1" applyFill="1" applyBorder="1">
      <alignment vertical="center"/>
    </xf>
    <xf numFmtId="179" fontId="0" fillId="51" borderId="1" xfId="0" applyNumberFormat="1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41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756285</xdr:colOff>
      <xdr:row>75</xdr:row>
      <xdr:rowOff>0</xdr:rowOff>
    </xdr:from>
    <xdr:to>
      <xdr:col>13</xdr:col>
      <xdr:colOff>271364</xdr:colOff>
      <xdr:row>107</xdr:row>
      <xdr:rowOff>41061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3365" y="18547080"/>
          <a:ext cx="8438099" cy="6872391"/>
        </a:xfrm>
        <a:prstGeom prst="rect">
          <a:avLst/>
        </a:prstGeom>
      </xdr:spPr>
    </xdr:pic>
    <xdr:clientData/>
  </xdr:twoCellAnchor>
  <xdr:twoCellAnchor editAs="oneCell">
    <xdr:from>
      <xdr:col>2</xdr:col>
      <xdr:colOff>1251585</xdr:colOff>
      <xdr:row>75</xdr:row>
      <xdr:rowOff>207645</xdr:rowOff>
    </xdr:from>
    <xdr:to>
      <xdr:col>7</xdr:col>
      <xdr:colOff>225707</xdr:colOff>
      <xdr:row>105</xdr:row>
      <xdr:rowOff>185892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5165" y="18754725"/>
          <a:ext cx="7918097" cy="6371427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100</xdr:row>
      <xdr:rowOff>49530</xdr:rowOff>
    </xdr:from>
    <xdr:to>
      <xdr:col>7</xdr:col>
      <xdr:colOff>1063887</xdr:colOff>
      <xdr:row>115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116</xdr:row>
      <xdr:rowOff>198120</xdr:rowOff>
    </xdr:from>
    <xdr:to>
      <xdr:col>5</xdr:col>
      <xdr:colOff>1444896</xdr:colOff>
      <xdr:row>144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israting.com/ratingsStatistics/statics_spread.d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houstat.hf.go.kr/research/portal/theme/indexStatPage.do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T147"/>
  <sheetViews>
    <sheetView topLeftCell="A34" workbookViewId="0">
      <selection activeCell="E54" sqref="E54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39" customWidth="1"/>
    <col min="5" max="5" width="12.5" style="19" bestFit="1" customWidth="1"/>
    <col min="6" max="6" width="11.25" style="79" customWidth="1"/>
    <col min="7" max="7" width="14.25" style="136" customWidth="1"/>
    <col min="8" max="8" width="12.5" style="102" bestFit="1" customWidth="1"/>
    <col min="9" max="9" width="13.625" style="102" hidden="1" customWidth="1"/>
    <col min="10" max="10" width="14.25" style="102" hidden="1" customWidth="1"/>
    <col min="11" max="11" width="14.875" style="141" bestFit="1" customWidth="1"/>
    <col min="12" max="12" width="11.25" style="106" bestFit="1" customWidth="1"/>
    <col min="13" max="13" width="14.25" style="120" bestFit="1" customWidth="1"/>
    <col min="14" max="14" width="16.625" style="119" bestFit="1" customWidth="1"/>
    <col min="15" max="15" width="9.125" style="81" bestFit="1" customWidth="1"/>
    <col min="16" max="16" width="14.25" style="212" bestFit="1" customWidth="1"/>
    <col min="17" max="17" width="16.625" style="152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259"/>
      <c r="B1" s="259"/>
      <c r="C1" s="259"/>
      <c r="D1" s="260" t="s">
        <v>84</v>
      </c>
      <c r="E1" s="261"/>
      <c r="F1" s="261"/>
      <c r="G1" s="261"/>
      <c r="H1" s="265" t="s">
        <v>175</v>
      </c>
      <c r="I1" s="265"/>
      <c r="J1" s="262" t="s">
        <v>165</v>
      </c>
      <c r="K1" s="263"/>
      <c r="L1" s="264"/>
      <c r="M1" s="255" t="s">
        <v>166</v>
      </c>
      <c r="N1" s="256"/>
      <c r="O1" s="256"/>
      <c r="P1" s="257"/>
      <c r="Q1" s="252" t="s">
        <v>178</v>
      </c>
      <c r="R1" s="250" t="s">
        <v>179</v>
      </c>
      <c r="S1" s="251" t="s">
        <v>180</v>
      </c>
    </row>
    <row r="2" spans="1:20" ht="33" x14ac:dyDescent="0.3">
      <c r="A2" s="259"/>
      <c r="B2" s="259"/>
      <c r="C2" s="259"/>
      <c r="D2" s="149" t="s">
        <v>162</v>
      </c>
      <c r="E2" s="143" t="s">
        <v>161</v>
      </c>
      <c r="F2" s="98" t="s">
        <v>167</v>
      </c>
      <c r="G2" s="131" t="s">
        <v>168</v>
      </c>
      <c r="H2" s="142" t="s">
        <v>176</v>
      </c>
      <c r="I2" s="142" t="s">
        <v>177</v>
      </c>
      <c r="J2" s="142" t="s">
        <v>174</v>
      </c>
      <c r="K2" s="137" t="s">
        <v>85</v>
      </c>
      <c r="L2" s="115" t="s">
        <v>11</v>
      </c>
      <c r="M2" s="121" t="s">
        <v>171</v>
      </c>
      <c r="N2" s="117" t="s">
        <v>86</v>
      </c>
      <c r="O2" s="99" t="s">
        <v>11</v>
      </c>
      <c r="P2" s="209" t="s">
        <v>172</v>
      </c>
      <c r="Q2" s="252"/>
      <c r="R2" s="250"/>
      <c r="S2" s="251"/>
    </row>
    <row r="3" spans="1:20" s="17" customFormat="1" x14ac:dyDescent="0.3">
      <c r="A3" s="24" t="s">
        <v>12</v>
      </c>
      <c r="B3" s="24"/>
      <c r="C3" s="25"/>
      <c r="D3" s="80">
        <v>0</v>
      </c>
      <c r="E3" s="144"/>
      <c r="F3" s="100"/>
      <c r="G3" s="132"/>
      <c r="H3" s="100"/>
      <c r="I3" s="100"/>
      <c r="J3" s="100"/>
      <c r="K3" s="138">
        <v>800000</v>
      </c>
      <c r="L3" s="116"/>
      <c r="M3" s="38">
        <v>0</v>
      </c>
      <c r="N3" s="118">
        <v>0</v>
      </c>
      <c r="O3" s="25"/>
      <c r="P3" s="210">
        <v>0</v>
      </c>
      <c r="Q3" s="152"/>
      <c r="R3" s="18"/>
      <c r="S3" s="18"/>
    </row>
    <row r="4" spans="1:20" s="22" customFormat="1" hidden="1" x14ac:dyDescent="0.3">
      <c r="A4" s="22">
        <v>1</v>
      </c>
      <c r="B4" s="258">
        <v>2022</v>
      </c>
      <c r="C4" s="113">
        <v>1</v>
      </c>
      <c r="D4" s="150">
        <v>2500000</v>
      </c>
      <c r="E4" s="145">
        <v>0</v>
      </c>
      <c r="F4" s="102"/>
      <c r="G4" s="133">
        <v>400000</v>
      </c>
      <c r="H4" s="102"/>
      <c r="I4" s="102"/>
      <c r="J4" s="102"/>
      <c r="K4" s="138">
        <f t="shared" ref="K4:K15" si="0" xml:space="preserve"> (K3 + G4) + ((K3 + G4) * O4 )</f>
        <v>1212000</v>
      </c>
      <c r="L4" s="116"/>
      <c r="M4" s="38"/>
      <c r="N4" s="118">
        <v>0</v>
      </c>
      <c r="O4" s="25">
        <v>0.01</v>
      </c>
      <c r="P4" s="211"/>
      <c r="Q4" s="152"/>
      <c r="T4" s="84"/>
    </row>
    <row r="5" spans="1:20" s="22" customFormat="1" hidden="1" x14ac:dyDescent="0.3">
      <c r="B5" s="258"/>
      <c r="C5" s="113">
        <v>2</v>
      </c>
      <c r="D5" s="150">
        <v>2500000</v>
      </c>
      <c r="E5" s="145">
        <v>0</v>
      </c>
      <c r="F5" s="102"/>
      <c r="G5" s="133">
        <v>400000</v>
      </c>
      <c r="H5" s="102"/>
      <c r="I5" s="102"/>
      <c r="J5" s="102"/>
      <c r="K5" s="138">
        <f t="shared" si="0"/>
        <v>1628120</v>
      </c>
      <c r="L5" s="116"/>
      <c r="M5" s="38"/>
      <c r="N5" s="118">
        <v>0</v>
      </c>
      <c r="O5" s="25">
        <v>0.01</v>
      </c>
      <c r="P5" s="211"/>
      <c r="Q5" s="152"/>
      <c r="T5" s="84"/>
    </row>
    <row r="6" spans="1:20" s="22" customFormat="1" hidden="1" x14ac:dyDescent="0.3">
      <c r="B6" s="258"/>
      <c r="C6" s="113">
        <v>3</v>
      </c>
      <c r="D6" s="150">
        <v>2500000</v>
      </c>
      <c r="E6" s="145">
        <v>0</v>
      </c>
      <c r="F6" s="102"/>
      <c r="G6" s="133">
        <v>400000</v>
      </c>
      <c r="H6" s="102"/>
      <c r="I6" s="102"/>
      <c r="J6" s="102"/>
      <c r="K6" s="138">
        <f t="shared" si="0"/>
        <v>2048401.2</v>
      </c>
      <c r="L6" s="116"/>
      <c r="M6" s="38"/>
      <c r="N6" s="118">
        <v>0</v>
      </c>
      <c r="O6" s="25">
        <v>0.01</v>
      </c>
      <c r="P6" s="211"/>
      <c r="Q6" s="152"/>
      <c r="T6" s="84"/>
    </row>
    <row r="7" spans="1:20" s="22" customFormat="1" hidden="1" x14ac:dyDescent="0.3">
      <c r="B7" s="258"/>
      <c r="C7" s="113">
        <v>4</v>
      </c>
      <c r="D7" s="150">
        <v>2500000</v>
      </c>
      <c r="E7" s="145">
        <v>0</v>
      </c>
      <c r="F7" s="102"/>
      <c r="G7" s="133">
        <v>400000</v>
      </c>
      <c r="H7" s="102"/>
      <c r="I7" s="102"/>
      <c r="J7" s="102"/>
      <c r="K7" s="138">
        <f t="shared" si="0"/>
        <v>2472885.2120000003</v>
      </c>
      <c r="L7" s="116"/>
      <c r="M7" s="38"/>
      <c r="N7" s="118">
        <v>0</v>
      </c>
      <c r="O7" s="25">
        <v>0.01</v>
      </c>
      <c r="P7" s="211"/>
      <c r="Q7" s="152"/>
      <c r="T7" s="84"/>
    </row>
    <row r="8" spans="1:20" s="22" customFormat="1" hidden="1" x14ac:dyDescent="0.3">
      <c r="B8" s="258"/>
      <c r="C8" s="113">
        <v>5</v>
      </c>
      <c r="D8" s="150">
        <v>2500000</v>
      </c>
      <c r="E8" s="145">
        <v>1000000</v>
      </c>
      <c r="F8" s="102"/>
      <c r="G8" s="133">
        <v>400000</v>
      </c>
      <c r="H8" s="102"/>
      <c r="I8" s="102"/>
      <c r="J8" s="102"/>
      <c r="K8" s="138">
        <f t="shared" si="0"/>
        <v>2901614.0641200002</v>
      </c>
      <c r="L8" s="116"/>
      <c r="M8" s="38"/>
      <c r="N8" s="118">
        <v>0</v>
      </c>
      <c r="O8" s="25">
        <v>0.01</v>
      </c>
      <c r="P8" s="211"/>
      <c r="Q8" s="152"/>
      <c r="T8" s="84"/>
    </row>
    <row r="9" spans="1:20" s="22" customFormat="1" hidden="1" x14ac:dyDescent="0.3">
      <c r="B9" s="258"/>
      <c r="C9" s="113">
        <v>6</v>
      </c>
      <c r="D9" s="150">
        <v>2500000</v>
      </c>
      <c r="E9" s="145">
        <v>0</v>
      </c>
      <c r="F9" s="102"/>
      <c r="G9" s="133">
        <v>400000</v>
      </c>
      <c r="H9" s="102"/>
      <c r="I9" s="102"/>
      <c r="J9" s="102"/>
      <c r="K9" s="138">
        <f t="shared" si="0"/>
        <v>3334630.2047612001</v>
      </c>
      <c r="L9" s="116"/>
      <c r="M9" s="38"/>
      <c r="N9" s="118">
        <v>0</v>
      </c>
      <c r="O9" s="25">
        <v>0.01</v>
      </c>
      <c r="P9" s="211"/>
      <c r="Q9" s="152"/>
      <c r="T9" s="84"/>
    </row>
    <row r="10" spans="1:20" s="22" customFormat="1" hidden="1" x14ac:dyDescent="0.3">
      <c r="B10" s="258"/>
      <c r="C10" s="113">
        <v>7</v>
      </c>
      <c r="D10" s="150">
        <v>2500000</v>
      </c>
      <c r="E10" s="145">
        <v>600000</v>
      </c>
      <c r="F10" s="102"/>
      <c r="G10" s="133">
        <v>400000</v>
      </c>
      <c r="H10" s="102"/>
      <c r="I10" s="102"/>
      <c r="J10" s="102"/>
      <c r="K10" s="138">
        <f t="shared" si="0"/>
        <v>3771976.5068088123</v>
      </c>
      <c r="L10" s="116"/>
      <c r="M10" s="38"/>
      <c r="N10" s="118">
        <v>0</v>
      </c>
      <c r="O10" s="25">
        <v>0.01</v>
      </c>
      <c r="P10" s="211"/>
      <c r="Q10" s="152"/>
      <c r="T10" s="84"/>
    </row>
    <row r="11" spans="1:20" s="22" customFormat="1" hidden="1" x14ac:dyDescent="0.3">
      <c r="B11" s="258"/>
      <c r="C11" s="113">
        <v>8</v>
      </c>
      <c r="D11" s="150">
        <v>2500000</v>
      </c>
      <c r="E11" s="145">
        <v>5056544</v>
      </c>
      <c r="F11" s="102"/>
      <c r="G11" s="133">
        <v>400000</v>
      </c>
      <c r="H11" s="102"/>
      <c r="I11" s="102"/>
      <c r="J11" s="102"/>
      <c r="K11" s="138">
        <f t="shared" si="0"/>
        <v>4213696.2718769005</v>
      </c>
      <c r="L11" s="116"/>
      <c r="M11" s="38"/>
      <c r="N11" s="118">
        <v>0</v>
      </c>
      <c r="O11" s="25">
        <v>0.01</v>
      </c>
      <c r="P11" s="211"/>
      <c r="Q11" s="152"/>
      <c r="T11" s="84"/>
    </row>
    <row r="12" spans="1:20" s="22" customFormat="1" hidden="1" x14ac:dyDescent="0.3">
      <c r="B12" s="258"/>
      <c r="C12" s="113">
        <v>9</v>
      </c>
      <c r="D12" s="150">
        <v>1800000</v>
      </c>
      <c r="E12" s="145">
        <v>1600000</v>
      </c>
      <c r="F12" s="102"/>
      <c r="G12" s="133">
        <v>400000</v>
      </c>
      <c r="H12" s="102"/>
      <c r="I12" s="102"/>
      <c r="J12" s="102"/>
      <c r="K12" s="138">
        <f t="shared" si="0"/>
        <v>4696742.8047706848</v>
      </c>
      <c r="L12" s="116"/>
      <c r="M12" s="38"/>
      <c r="N12" s="118">
        <v>0</v>
      </c>
      <c r="O12" s="25">
        <v>1.7999999999999999E-2</v>
      </c>
      <c r="P12" s="211"/>
      <c r="Q12" s="152"/>
      <c r="T12" s="84"/>
    </row>
    <row r="13" spans="1:20" s="22" customFormat="1" hidden="1" x14ac:dyDescent="0.3">
      <c r="B13" s="258"/>
      <c r="C13" s="113">
        <v>10</v>
      </c>
      <c r="D13" s="150">
        <v>4500000</v>
      </c>
      <c r="E13" s="145">
        <v>3700000</v>
      </c>
      <c r="F13" s="102"/>
      <c r="G13" s="133">
        <v>400000</v>
      </c>
      <c r="H13" s="102"/>
      <c r="I13" s="102"/>
      <c r="J13" s="102"/>
      <c r="K13" s="138">
        <f t="shared" si="0"/>
        <v>4638035.9523413228</v>
      </c>
      <c r="L13" s="116"/>
      <c r="M13" s="38"/>
      <c r="N13" s="118">
        <v>0</v>
      </c>
      <c r="O13" s="25">
        <v>-0.09</v>
      </c>
      <c r="P13" s="211"/>
      <c r="Q13" s="152"/>
      <c r="T13" s="84"/>
    </row>
    <row r="14" spans="1:20" s="23" customFormat="1" ht="15.75" hidden="1" customHeight="1" thickBot="1" x14ac:dyDescent="0.3">
      <c r="A14" s="22"/>
      <c r="B14" s="258"/>
      <c r="C14" s="113">
        <v>11</v>
      </c>
      <c r="D14" s="150">
        <v>3500000</v>
      </c>
      <c r="E14" s="145">
        <v>0</v>
      </c>
      <c r="F14" s="102"/>
      <c r="G14" s="133">
        <v>400000</v>
      </c>
      <c r="H14" s="102"/>
      <c r="I14" s="102"/>
      <c r="J14" s="102"/>
      <c r="K14" s="138">
        <f t="shared" si="0"/>
        <v>5128720.5994834667</v>
      </c>
      <c r="L14" s="116"/>
      <c r="M14" s="38"/>
      <c r="N14" s="118">
        <v>0</v>
      </c>
      <c r="O14" s="25">
        <v>1.7999999999999999E-2</v>
      </c>
      <c r="P14" s="211"/>
      <c r="Q14" s="152"/>
      <c r="R14" s="22"/>
      <c r="S14" s="22"/>
      <c r="T14" s="85"/>
    </row>
    <row r="15" spans="1:20" s="21" customFormat="1" ht="17.25" hidden="1" thickBot="1" x14ac:dyDescent="0.35">
      <c r="A15" s="39"/>
      <c r="B15" s="258"/>
      <c r="C15" s="114">
        <v>12</v>
      </c>
      <c r="D15" s="150">
        <v>2500000</v>
      </c>
      <c r="E15" s="146">
        <v>1000000</v>
      </c>
      <c r="F15" s="103"/>
      <c r="G15" s="134">
        <v>400000</v>
      </c>
      <c r="H15" s="103"/>
      <c r="I15" s="103"/>
      <c r="J15" s="103"/>
      <c r="K15" s="118">
        <f t="shared" si="0"/>
        <v>5241227.1283103265</v>
      </c>
      <c r="L15" s="116"/>
      <c r="M15" s="38"/>
      <c r="N15" s="118">
        <v>0</v>
      </c>
      <c r="O15" s="122">
        <v>-5.1999999999999998E-2</v>
      </c>
      <c r="P15" s="211"/>
      <c r="Q15" s="152"/>
      <c r="R15" s="39"/>
      <c r="S15" s="39"/>
      <c r="T15" s="37"/>
    </row>
    <row r="16" spans="1:20" s="34" customFormat="1" x14ac:dyDescent="0.3">
      <c r="A16" s="22">
        <v>2</v>
      </c>
      <c r="B16" s="253">
        <v>2023</v>
      </c>
      <c r="C16" s="113">
        <v>1</v>
      </c>
      <c r="D16" s="151">
        <v>2500000</v>
      </c>
      <c r="E16" s="145">
        <v>0</v>
      </c>
      <c r="F16" s="101"/>
      <c r="G16" s="135">
        <v>400000</v>
      </c>
      <c r="H16" s="101"/>
      <c r="I16" s="101"/>
      <c r="J16" s="101"/>
      <c r="K16" s="126">
        <f xml:space="preserve"> (K15 + 400000) + ((K15 + 400000) * O16 )</f>
        <v>5906364.8033409119</v>
      </c>
      <c r="L16" s="128"/>
      <c r="M16" s="125">
        <v>0</v>
      </c>
      <c r="N16" s="126">
        <v>0</v>
      </c>
      <c r="O16" s="127">
        <v>4.7E-2</v>
      </c>
      <c r="P16" s="211"/>
      <c r="Q16" s="129"/>
      <c r="R16" s="22"/>
      <c r="S16" s="22"/>
      <c r="T16" s="86"/>
    </row>
    <row r="17" spans="1:20" s="22" customFormat="1" x14ac:dyDescent="0.3">
      <c r="B17" s="253"/>
      <c r="C17" s="113">
        <v>2</v>
      </c>
      <c r="D17" s="151">
        <v>2500000</v>
      </c>
      <c r="E17" s="145">
        <v>0</v>
      </c>
      <c r="F17" s="101"/>
      <c r="G17" s="135">
        <v>400000</v>
      </c>
      <c r="H17" s="101"/>
      <c r="I17" s="101"/>
      <c r="J17" s="101"/>
      <c r="K17" s="126">
        <f xml:space="preserve"> (K16 + 400000) + ((K16 + 400000) * O17 )</f>
        <v>6325283.8977509346</v>
      </c>
      <c r="L17" s="128"/>
      <c r="M17" s="125">
        <v>0</v>
      </c>
      <c r="N17" s="126">
        <v>0</v>
      </c>
      <c r="O17" s="127">
        <v>3.0000000000000001E-3</v>
      </c>
      <c r="P17" s="211"/>
      <c r="Q17" s="129"/>
      <c r="T17" s="84"/>
    </row>
    <row r="18" spans="1:20" s="22" customFormat="1" x14ac:dyDescent="0.3">
      <c r="B18" s="253"/>
      <c r="C18" s="113">
        <v>3</v>
      </c>
      <c r="D18" s="151">
        <v>2500000</v>
      </c>
      <c r="E18" s="145">
        <v>0</v>
      </c>
      <c r="F18" s="101"/>
      <c r="G18" s="135">
        <v>400000</v>
      </c>
      <c r="H18" s="101"/>
      <c r="I18" s="101"/>
      <c r="J18" s="101"/>
      <c r="K18" s="126">
        <f xml:space="preserve"> (K17 + 400000) + ((K17 + 400000) * O18 )</f>
        <v>6557151.8003071612</v>
      </c>
      <c r="L18" s="128"/>
      <c r="M18" s="125">
        <v>0</v>
      </c>
      <c r="N18" s="126">
        <v>7000000</v>
      </c>
      <c r="O18" s="127">
        <v>-2.5000000000000001E-2</v>
      </c>
      <c r="P18" s="211"/>
      <c r="Q18" s="129"/>
      <c r="T18" s="84"/>
    </row>
    <row r="19" spans="1:20" s="22" customFormat="1" x14ac:dyDescent="0.3">
      <c r="B19" s="253"/>
      <c r="C19" s="113">
        <v>4</v>
      </c>
      <c r="D19" s="151">
        <v>500000</v>
      </c>
      <c r="E19" s="145">
        <v>0</v>
      </c>
      <c r="F19" s="101"/>
      <c r="G19" s="135">
        <v>400000</v>
      </c>
      <c r="H19" s="101"/>
      <c r="I19" s="101"/>
      <c r="J19" s="101"/>
      <c r="K19" s="126">
        <f xml:space="preserve"> (K18 + 400000) + ((K18 + 400000) * O19 )</f>
        <v>6365793.8972810525</v>
      </c>
      <c r="L19" s="128"/>
      <c r="M19" s="125">
        <v>0</v>
      </c>
      <c r="N19" s="126">
        <f xml:space="preserve"> (N18 + D19 - E19 - M19) + ((N18 + D19 - E19 - M19) * O19)</f>
        <v>6862500</v>
      </c>
      <c r="O19" s="127">
        <v>-8.5000000000000006E-2</v>
      </c>
      <c r="P19" s="211"/>
      <c r="Q19" s="129"/>
      <c r="T19" s="84"/>
    </row>
    <row r="20" spans="1:20" s="22" customFormat="1" x14ac:dyDescent="0.3">
      <c r="B20" s="253"/>
      <c r="C20" s="113">
        <v>5</v>
      </c>
      <c r="D20" s="151">
        <v>100000</v>
      </c>
      <c r="E20" s="145">
        <v>0</v>
      </c>
      <c r="F20" s="101">
        <v>100000</v>
      </c>
      <c r="G20" s="135">
        <v>400000</v>
      </c>
      <c r="H20" s="101"/>
      <c r="I20" s="101"/>
      <c r="J20" s="101"/>
      <c r="K20" s="126">
        <f xml:space="preserve"> (K19 + G20 + F20) + ((K19 + G20 + F20) * L20 )</f>
        <v>7957455.1269487403</v>
      </c>
      <c r="L20" s="124">
        <v>0.159</v>
      </c>
      <c r="M20" s="125">
        <v>0</v>
      </c>
      <c r="N20" s="126">
        <f xml:space="preserve"> (N19 + D20 - E20 - M20) + ((N19 + D20 - E20 - M20) * O20)</f>
        <v>6266250</v>
      </c>
      <c r="O20" s="127">
        <v>-0.1</v>
      </c>
      <c r="P20" s="210">
        <f xml:space="preserve"> M20 + N20</f>
        <v>6266250</v>
      </c>
      <c r="Q20" s="123">
        <f xml:space="preserve"> K20 + P20</f>
        <v>14223705.12694874</v>
      </c>
      <c r="T20" s="84"/>
    </row>
    <row r="21" spans="1:20" s="22" customFormat="1" x14ac:dyDescent="0.3">
      <c r="B21" s="253"/>
      <c r="C21" s="113">
        <v>6</v>
      </c>
      <c r="D21" s="151">
        <v>15000000</v>
      </c>
      <c r="E21" s="145">
        <v>0</v>
      </c>
      <c r="F21" s="101">
        <v>750000</v>
      </c>
      <c r="G21" s="135">
        <v>500000</v>
      </c>
      <c r="H21" s="101"/>
      <c r="I21" s="101"/>
      <c r="J21" s="101"/>
      <c r="K21" s="126">
        <f xml:space="preserve"> (K20 + G21 + F21) + ((K20 + G21 + F21) * L21 )</f>
        <v>9373189.319233818</v>
      </c>
      <c r="L21" s="124">
        <v>1.7999999999999999E-2</v>
      </c>
      <c r="M21" s="125">
        <v>50000</v>
      </c>
      <c r="N21" s="126">
        <f xml:space="preserve"> (N20 + D21 - E21 - M21) + ((N20 + D21 - E21 - M21) * O21)</f>
        <v>24610850</v>
      </c>
      <c r="O21" s="127">
        <v>0.16</v>
      </c>
      <c r="P21" s="210">
        <f xml:space="preserve"> M21 + N21</f>
        <v>24660850</v>
      </c>
      <c r="Q21" s="123">
        <f xml:space="preserve"> K21 + P21</f>
        <v>34034039.31923382</v>
      </c>
      <c r="T21" s="84"/>
    </row>
    <row r="22" spans="1:20" s="22" customFormat="1" x14ac:dyDescent="0.3">
      <c r="B22" s="253"/>
      <c r="C22" s="113">
        <v>7</v>
      </c>
      <c r="D22" s="151">
        <v>700000</v>
      </c>
      <c r="E22" s="145">
        <v>0</v>
      </c>
      <c r="F22" s="101">
        <v>300000</v>
      </c>
      <c r="G22" s="135">
        <v>500000</v>
      </c>
      <c r="H22" s="101"/>
      <c r="I22" s="101"/>
      <c r="J22" s="101"/>
      <c r="K22" s="126">
        <f t="shared" ref="K22:K85" si="1" xml:space="preserve"> (K21 + G22 + F22) + ((K21 + G22 + F22) * L22 )</f>
        <v>10356306.726980027</v>
      </c>
      <c r="L22" s="124">
        <v>1.7999999999999999E-2</v>
      </c>
      <c r="M22" s="125">
        <v>100000</v>
      </c>
      <c r="N22" s="126">
        <f xml:space="preserve"> (N21 + D22 - E22 - M22) + ((N21 + D22 - E22 - M22) * O22)</f>
        <v>27227718</v>
      </c>
      <c r="O22" s="127">
        <v>0.08</v>
      </c>
      <c r="P22" s="210">
        <f t="shared" ref="P22:P85" si="2" xml:space="preserve"> M22 + N22</f>
        <v>27327718</v>
      </c>
      <c r="Q22" s="123">
        <f t="shared" ref="Q22:Q85" si="3" xml:space="preserve"> K22 + P22</f>
        <v>37684024.726980031</v>
      </c>
      <c r="T22" s="84"/>
    </row>
    <row r="23" spans="1:20" s="22" customFormat="1" x14ac:dyDescent="0.3">
      <c r="B23" s="253"/>
      <c r="C23" s="113">
        <v>8</v>
      </c>
      <c r="D23" s="151">
        <v>1100000</v>
      </c>
      <c r="E23" s="145">
        <v>17450000</v>
      </c>
      <c r="F23" s="101">
        <v>300000</v>
      </c>
      <c r="G23" s="135">
        <v>100000</v>
      </c>
      <c r="H23" s="101"/>
      <c r="I23" s="101"/>
      <c r="J23" s="101"/>
      <c r="K23" s="126">
        <f t="shared" si="1"/>
        <v>10853113.487522848</v>
      </c>
      <c r="L23" s="124">
        <v>8.9999999999999993E-3</v>
      </c>
      <c r="M23" s="125">
        <v>50000</v>
      </c>
      <c r="N23" s="126">
        <f xml:space="preserve"> (N22 + D23 - E23 - M23) + ((N22 + D23 - E23 - M23) * O23)</f>
        <v>9095283.1199999992</v>
      </c>
      <c r="O23" s="127">
        <v>-0.16</v>
      </c>
      <c r="P23" s="210">
        <f t="shared" si="2"/>
        <v>9145283.1199999992</v>
      </c>
      <c r="Q23" s="123">
        <f t="shared" si="3"/>
        <v>19998396.607522845</v>
      </c>
      <c r="T23" s="84"/>
    </row>
    <row r="24" spans="1:20" s="22" customFormat="1" x14ac:dyDescent="0.3">
      <c r="B24" s="253"/>
      <c r="C24" s="113">
        <v>9</v>
      </c>
      <c r="D24" s="151">
        <v>1100000</v>
      </c>
      <c r="E24" s="145">
        <v>0</v>
      </c>
      <c r="F24" s="101">
        <v>300000</v>
      </c>
      <c r="G24" s="135">
        <v>100000</v>
      </c>
      <c r="H24" s="101"/>
      <c r="I24" s="101"/>
      <c r="J24" s="101"/>
      <c r="K24" s="126">
        <f t="shared" si="1"/>
        <v>11050557.444747437</v>
      </c>
      <c r="L24" s="124">
        <v>-1.7999999999999999E-2</v>
      </c>
      <c r="M24" s="125">
        <v>50000</v>
      </c>
      <c r="N24" s="126">
        <f t="shared" ref="N24:N87" si="4" xml:space="preserve"> (N23 + D24 - E24 - M24) + ((N23 + D24 - E24 - M24) * O24)</f>
        <v>7507509.5088</v>
      </c>
      <c r="O24" s="127">
        <v>-0.26</v>
      </c>
      <c r="P24" s="210">
        <f t="shared" si="2"/>
        <v>7557509.5088</v>
      </c>
      <c r="Q24" s="123">
        <f t="shared" si="3"/>
        <v>18608066.953547437</v>
      </c>
      <c r="T24" s="84"/>
    </row>
    <row r="25" spans="1:20" s="22" customFormat="1" x14ac:dyDescent="0.3">
      <c r="B25" s="253"/>
      <c r="C25" s="113">
        <v>10</v>
      </c>
      <c r="D25" s="151">
        <v>7100000</v>
      </c>
      <c r="E25" s="145">
        <v>0</v>
      </c>
      <c r="F25" s="101">
        <v>300000</v>
      </c>
      <c r="G25" s="135">
        <v>100000</v>
      </c>
      <c r="H25" s="101">
        <v>16000000</v>
      </c>
      <c r="I25" s="101">
        <v>70000000</v>
      </c>
      <c r="J25" s="101">
        <v>54000000</v>
      </c>
      <c r="K25" s="126">
        <f t="shared" si="1"/>
        <v>11656667.478752891</v>
      </c>
      <c r="L25" s="124">
        <v>1.7999999999999999E-2</v>
      </c>
      <c r="M25" s="125">
        <v>50000</v>
      </c>
      <c r="N25" s="126">
        <f t="shared" si="4"/>
        <v>9316806.0856320001</v>
      </c>
      <c r="O25" s="127">
        <v>-0.36</v>
      </c>
      <c r="P25" s="210">
        <f t="shared" si="2"/>
        <v>9366806.0856320001</v>
      </c>
      <c r="Q25" s="123">
        <f t="shared" si="3"/>
        <v>21023473.564384893</v>
      </c>
      <c r="R25" s="101">
        <f xml:space="preserve"> H25 + I25</f>
        <v>86000000</v>
      </c>
      <c r="S25" s="101">
        <f xml:space="preserve"> J25 + Q25</f>
        <v>75023473.564384893</v>
      </c>
      <c r="T25" s="84"/>
    </row>
    <row r="26" spans="1:20" s="23" customFormat="1" ht="17.25" thickBot="1" x14ac:dyDescent="0.35">
      <c r="A26" s="22"/>
      <c r="B26" s="253"/>
      <c r="C26" s="113">
        <v>11</v>
      </c>
      <c r="D26" s="151">
        <v>4000000</v>
      </c>
      <c r="E26" s="145">
        <v>0</v>
      </c>
      <c r="F26" s="101">
        <v>300000</v>
      </c>
      <c r="G26" s="135">
        <v>100000</v>
      </c>
      <c r="H26" s="101">
        <v>10600000</v>
      </c>
      <c r="I26" s="101">
        <v>70000000</v>
      </c>
      <c r="J26" s="101">
        <v>54000000</v>
      </c>
      <c r="K26" s="126">
        <f t="shared" si="1"/>
        <v>11839647.464135339</v>
      </c>
      <c r="L26" s="124">
        <v>-1.7999999999999999E-2</v>
      </c>
      <c r="M26" s="125">
        <v>50000</v>
      </c>
      <c r="N26" s="126">
        <f t="shared" si="4"/>
        <v>8623423.9556608014</v>
      </c>
      <c r="O26" s="127">
        <v>-0.35</v>
      </c>
      <c r="P26" s="210">
        <f t="shared" si="2"/>
        <v>8673423.9556608014</v>
      </c>
      <c r="Q26" s="123">
        <f t="shared" si="3"/>
        <v>20513071.419796139</v>
      </c>
      <c r="R26" s="101">
        <f xml:space="preserve"> H26 + I26</f>
        <v>80600000</v>
      </c>
      <c r="S26" s="101">
        <f xml:space="preserve"> J26 + Q26</f>
        <v>74513071.419796139</v>
      </c>
      <c r="T26" s="85"/>
    </row>
    <row r="27" spans="1:20" s="180" customFormat="1" ht="17.25" thickBot="1" x14ac:dyDescent="0.35">
      <c r="A27" s="22"/>
      <c r="B27" s="253"/>
      <c r="C27" s="113">
        <v>12</v>
      </c>
      <c r="D27" s="151">
        <v>1400000</v>
      </c>
      <c r="E27" s="145">
        <v>0</v>
      </c>
      <c r="F27" s="101">
        <v>0</v>
      </c>
      <c r="G27" s="135">
        <v>100000</v>
      </c>
      <c r="H27" s="101">
        <v>10600000</v>
      </c>
      <c r="I27" s="101">
        <v>70000000</v>
      </c>
      <c r="J27" s="101">
        <v>54000000</v>
      </c>
      <c r="K27" s="126">
        <f t="shared" si="1"/>
        <v>12154561.118489776</v>
      </c>
      <c r="L27" s="124">
        <v>1.7999999999999999E-2</v>
      </c>
      <c r="M27" s="125">
        <v>50000</v>
      </c>
      <c r="N27" s="126">
        <f t="shared" si="4"/>
        <v>8377676.122755073</v>
      </c>
      <c r="O27" s="127">
        <v>-0.16</v>
      </c>
      <c r="P27" s="210">
        <f t="shared" si="2"/>
        <v>8427676.122755073</v>
      </c>
      <c r="Q27" s="123">
        <f t="shared" si="3"/>
        <v>20582237.241244849</v>
      </c>
      <c r="R27" s="101">
        <f t="shared" ref="R27:R90" si="5" xml:space="preserve"> H27 + I27</f>
        <v>80600000</v>
      </c>
      <c r="S27" s="101">
        <f t="shared" ref="S27:S90" si="6" xml:space="preserve"> J27 + Q27</f>
        <v>74582237.241244853</v>
      </c>
      <c r="T27" s="179"/>
    </row>
    <row r="28" spans="1:20" s="34" customFormat="1" x14ac:dyDescent="0.3">
      <c r="A28" s="34">
        <v>3</v>
      </c>
      <c r="B28" s="254">
        <v>2024</v>
      </c>
      <c r="C28" s="199">
        <v>1</v>
      </c>
      <c r="D28" s="145">
        <v>0</v>
      </c>
      <c r="E28" s="145">
        <v>8340000</v>
      </c>
      <c r="F28" s="145">
        <v>300000</v>
      </c>
      <c r="G28" s="135">
        <v>100000</v>
      </c>
      <c r="H28" s="101">
        <v>10600000</v>
      </c>
      <c r="I28" s="101">
        <v>70000000</v>
      </c>
      <c r="J28" s="101">
        <v>54000000</v>
      </c>
      <c r="K28" s="200">
        <f t="shared" si="1"/>
        <v>12680106.729674673</v>
      </c>
      <c r="L28" s="201">
        <v>0.01</v>
      </c>
      <c r="M28" s="125">
        <v>0</v>
      </c>
      <c r="N28" s="126">
        <f t="shared" si="4"/>
        <v>29387.375748956947</v>
      </c>
      <c r="O28" s="127">
        <v>-0.22</v>
      </c>
      <c r="P28" s="210">
        <f t="shared" si="2"/>
        <v>29387.375748956947</v>
      </c>
      <c r="Q28" s="123">
        <f t="shared" si="3"/>
        <v>12709494.105423629</v>
      </c>
      <c r="R28" s="101">
        <f t="shared" si="5"/>
        <v>80600000</v>
      </c>
      <c r="S28" s="101">
        <f t="shared" si="6"/>
        <v>66709494.105423629</v>
      </c>
      <c r="T28" s="86"/>
    </row>
    <row r="29" spans="1:20" s="22" customFormat="1" x14ac:dyDescent="0.3">
      <c r="B29" s="253"/>
      <c r="C29" s="113">
        <v>2</v>
      </c>
      <c r="D29" s="145">
        <v>0</v>
      </c>
      <c r="E29" s="145">
        <v>0</v>
      </c>
      <c r="F29" s="145">
        <v>0</v>
      </c>
      <c r="G29" s="135">
        <v>100000</v>
      </c>
      <c r="H29" s="101">
        <v>10600000</v>
      </c>
      <c r="I29" s="101">
        <v>70000000</v>
      </c>
      <c r="J29" s="101">
        <v>54000000</v>
      </c>
      <c r="K29" s="202">
        <f t="shared" si="1"/>
        <v>13010148.650808817</v>
      </c>
      <c r="L29" s="201">
        <v>1.7999999999999999E-2</v>
      </c>
      <c r="M29" s="125">
        <v>0</v>
      </c>
      <c r="N29" s="126">
        <f t="shared" si="4"/>
        <v>29916.348512438173</v>
      </c>
      <c r="O29" s="127">
        <v>1.7999999999999999E-2</v>
      </c>
      <c r="P29" s="210">
        <f t="shared" si="2"/>
        <v>29916.348512438173</v>
      </c>
      <c r="Q29" s="123">
        <f t="shared" si="3"/>
        <v>13040064.999321256</v>
      </c>
      <c r="R29" s="101">
        <f t="shared" si="5"/>
        <v>80600000</v>
      </c>
      <c r="S29" s="101">
        <f t="shared" si="6"/>
        <v>67040064.999321252</v>
      </c>
      <c r="T29" s="84"/>
    </row>
    <row r="30" spans="1:20" s="22" customFormat="1" x14ac:dyDescent="0.3">
      <c r="B30" s="253"/>
      <c r="C30" s="113">
        <v>3</v>
      </c>
      <c r="D30" s="145">
        <v>350000</v>
      </c>
      <c r="E30" s="145">
        <v>0</v>
      </c>
      <c r="F30" s="145">
        <v>0</v>
      </c>
      <c r="G30" s="135">
        <v>100000</v>
      </c>
      <c r="H30" s="101">
        <v>10600000</v>
      </c>
      <c r="I30" s="101">
        <v>70000000</v>
      </c>
      <c r="J30" s="101">
        <v>54000000</v>
      </c>
      <c r="K30" s="202">
        <f t="shared" si="1"/>
        <v>13346131.326523375</v>
      </c>
      <c r="L30" s="201">
        <v>1.7999999999999999E-2</v>
      </c>
      <c r="M30" s="125">
        <v>0</v>
      </c>
      <c r="N30" s="126">
        <f t="shared" si="4"/>
        <v>386754.8427856621</v>
      </c>
      <c r="O30" s="127">
        <v>1.7999999999999999E-2</v>
      </c>
      <c r="P30" s="125">
        <f t="shared" si="2"/>
        <v>386754.8427856621</v>
      </c>
      <c r="Q30" s="123">
        <f t="shared" si="3"/>
        <v>13732886.169309037</v>
      </c>
      <c r="R30" s="101">
        <f t="shared" si="5"/>
        <v>80600000</v>
      </c>
      <c r="S30" s="101">
        <f t="shared" si="6"/>
        <v>67732886.169309035</v>
      </c>
      <c r="T30" s="84"/>
    </row>
    <row r="31" spans="1:20" s="22" customFormat="1" x14ac:dyDescent="0.3">
      <c r="B31" s="253"/>
      <c r="C31" s="113">
        <v>4</v>
      </c>
      <c r="D31" s="145">
        <v>0</v>
      </c>
      <c r="E31" s="145">
        <v>0</v>
      </c>
      <c r="F31" s="145">
        <v>0</v>
      </c>
      <c r="G31" s="135">
        <v>100000</v>
      </c>
      <c r="H31" s="101">
        <v>5600000</v>
      </c>
      <c r="I31" s="101">
        <v>70000000</v>
      </c>
      <c r="J31" s="101">
        <v>54000000</v>
      </c>
      <c r="K31" s="202">
        <f t="shared" si="1"/>
        <v>13688161.690400796</v>
      </c>
      <c r="L31" s="201">
        <v>1.7999999999999999E-2</v>
      </c>
      <c r="M31" s="125">
        <v>0</v>
      </c>
      <c r="N31" s="126">
        <f t="shared" si="4"/>
        <v>421562.77863637172</v>
      </c>
      <c r="O31" s="127">
        <v>0.09</v>
      </c>
      <c r="P31" s="125">
        <f t="shared" si="2"/>
        <v>421562.77863637172</v>
      </c>
      <c r="Q31" s="123">
        <f t="shared" si="3"/>
        <v>14109724.469037168</v>
      </c>
      <c r="R31" s="101">
        <f t="shared" si="5"/>
        <v>75600000</v>
      </c>
      <c r="S31" s="101">
        <f t="shared" si="6"/>
        <v>68109724.469037175</v>
      </c>
      <c r="T31" s="84"/>
    </row>
    <row r="32" spans="1:20" s="22" customFormat="1" x14ac:dyDescent="0.3">
      <c r="B32" s="253"/>
      <c r="C32" s="113">
        <v>5</v>
      </c>
      <c r="D32" s="145">
        <v>14000000</v>
      </c>
      <c r="E32" s="145">
        <v>420000</v>
      </c>
      <c r="F32" s="145">
        <v>0</v>
      </c>
      <c r="G32" s="135">
        <v>100000</v>
      </c>
      <c r="H32" s="101">
        <v>18700000</v>
      </c>
      <c r="I32" s="101">
        <v>70000000</v>
      </c>
      <c r="J32" s="101">
        <v>54000000</v>
      </c>
      <c r="K32" s="202">
        <f t="shared" si="1"/>
        <v>14036348.600828011</v>
      </c>
      <c r="L32" s="201">
        <v>1.7999999999999999E-2</v>
      </c>
      <c r="M32" s="125">
        <v>0</v>
      </c>
      <c r="N32" s="126">
        <f t="shared" si="4"/>
        <v>14841656.545354554</v>
      </c>
      <c r="O32" s="127">
        <v>0.06</v>
      </c>
      <c r="P32" s="125">
        <f t="shared" si="2"/>
        <v>14841656.545354554</v>
      </c>
      <c r="Q32" s="123">
        <f t="shared" si="3"/>
        <v>28878005.146182567</v>
      </c>
      <c r="R32" s="101">
        <f t="shared" si="5"/>
        <v>88700000</v>
      </c>
      <c r="S32" s="101">
        <f t="shared" si="6"/>
        <v>82878005.146182567</v>
      </c>
      <c r="T32" s="84"/>
    </row>
    <row r="33" spans="1:20" s="18" customFormat="1" x14ac:dyDescent="0.3">
      <c r="B33" s="253"/>
      <c r="C33" s="28">
        <v>6</v>
      </c>
      <c r="D33" s="147">
        <v>0</v>
      </c>
      <c r="E33" s="147">
        <v>1000000</v>
      </c>
      <c r="F33" s="147">
        <v>300000</v>
      </c>
      <c r="G33" s="133">
        <v>300000</v>
      </c>
      <c r="H33" s="102">
        <f xml:space="preserve"> 18700000 - 1640000</f>
        <v>17060000</v>
      </c>
      <c r="I33" s="102">
        <v>70000000</v>
      </c>
      <c r="J33" s="102">
        <v>54000000</v>
      </c>
      <c r="K33" s="139">
        <f t="shared" si="1"/>
        <v>14899802.875642914</v>
      </c>
      <c r="L33" s="105">
        <v>1.7999999999999999E-2</v>
      </c>
      <c r="M33" s="38">
        <v>0</v>
      </c>
      <c r="N33" s="118">
        <f t="shared" si="4"/>
        <v>14090806.363170937</v>
      </c>
      <c r="O33" s="25">
        <v>1.7999999999999999E-2</v>
      </c>
      <c r="P33" s="210">
        <f t="shared" si="2"/>
        <v>14090806.363170937</v>
      </c>
      <c r="Q33" s="153">
        <f t="shared" si="3"/>
        <v>28990609.238813851</v>
      </c>
      <c r="R33" s="104">
        <f t="shared" si="5"/>
        <v>87060000</v>
      </c>
      <c r="S33" s="104">
        <f t="shared" si="6"/>
        <v>82990609.238813847</v>
      </c>
      <c r="T33" s="87"/>
    </row>
    <row r="34" spans="1:20" s="18" customFormat="1" x14ac:dyDescent="0.3">
      <c r="B34" s="253"/>
      <c r="C34" s="28">
        <v>7</v>
      </c>
      <c r="D34" s="147">
        <v>0</v>
      </c>
      <c r="E34" s="147">
        <v>0</v>
      </c>
      <c r="F34" s="147">
        <v>300000</v>
      </c>
      <c r="G34" s="133">
        <v>300000</v>
      </c>
      <c r="H34" s="102">
        <f t="shared" ref="H34:H43" si="7" xml:space="preserve"> H33 - 1640000</f>
        <v>15420000</v>
      </c>
      <c r="I34" s="102">
        <v>70000000</v>
      </c>
      <c r="J34" s="102">
        <v>54000000</v>
      </c>
      <c r="K34" s="139">
        <f t="shared" si="1"/>
        <v>15778799.327404486</v>
      </c>
      <c r="L34" s="105">
        <v>1.7999999999999999E-2</v>
      </c>
      <c r="M34" s="38">
        <v>0</v>
      </c>
      <c r="N34" s="118">
        <f t="shared" si="4"/>
        <v>14344440.877708014</v>
      </c>
      <c r="O34" s="25">
        <v>1.7999999999999999E-2</v>
      </c>
      <c r="P34" s="210">
        <f t="shared" si="2"/>
        <v>14344440.877708014</v>
      </c>
      <c r="Q34" s="153">
        <f t="shared" si="3"/>
        <v>30123240.205112502</v>
      </c>
      <c r="R34" s="104">
        <f t="shared" si="5"/>
        <v>85420000</v>
      </c>
      <c r="S34" s="104">
        <f t="shared" si="6"/>
        <v>84123240.205112502</v>
      </c>
      <c r="T34" s="87"/>
    </row>
    <row r="35" spans="1:20" s="18" customFormat="1" x14ac:dyDescent="0.3">
      <c r="B35" s="253"/>
      <c r="C35" s="28">
        <v>8</v>
      </c>
      <c r="D35" s="147">
        <v>0</v>
      </c>
      <c r="E35" s="147">
        <v>0</v>
      </c>
      <c r="F35" s="147">
        <v>300000</v>
      </c>
      <c r="G35" s="133">
        <v>300000</v>
      </c>
      <c r="H35" s="102">
        <f t="shared" si="7"/>
        <v>13780000</v>
      </c>
      <c r="I35" s="102">
        <v>70000000</v>
      </c>
      <c r="J35" s="102">
        <v>54000000</v>
      </c>
      <c r="K35" s="139">
        <f t="shared" si="1"/>
        <v>16673617.715297766</v>
      </c>
      <c r="L35" s="105">
        <v>1.7999999999999999E-2</v>
      </c>
      <c r="M35" s="38">
        <v>0</v>
      </c>
      <c r="N35" s="118">
        <f t="shared" si="4"/>
        <v>14602640.813506758</v>
      </c>
      <c r="O35" s="25">
        <v>1.7999999999999999E-2</v>
      </c>
      <c r="P35" s="210">
        <f t="shared" si="2"/>
        <v>14602640.813506758</v>
      </c>
      <c r="Q35" s="153">
        <f t="shared" si="3"/>
        <v>31276258.528804526</v>
      </c>
      <c r="R35" s="104">
        <f t="shared" si="5"/>
        <v>83780000</v>
      </c>
      <c r="S35" s="104">
        <f t="shared" si="6"/>
        <v>85276258.528804526</v>
      </c>
      <c r="T35" s="87"/>
    </row>
    <row r="36" spans="1:20" s="18" customFormat="1" x14ac:dyDescent="0.3">
      <c r="B36" s="253"/>
      <c r="C36" s="28">
        <v>9</v>
      </c>
      <c r="D36" s="147">
        <v>0</v>
      </c>
      <c r="E36" s="147">
        <v>0</v>
      </c>
      <c r="F36" s="147">
        <v>300000</v>
      </c>
      <c r="G36" s="133">
        <v>300000</v>
      </c>
      <c r="H36" s="102">
        <f t="shared" si="7"/>
        <v>12140000</v>
      </c>
      <c r="I36" s="102">
        <v>70000000</v>
      </c>
      <c r="J36" s="102">
        <v>54000000</v>
      </c>
      <c r="K36" s="139">
        <f t="shared" si="1"/>
        <v>17584542.834173124</v>
      </c>
      <c r="L36" s="105">
        <v>1.7999999999999999E-2</v>
      </c>
      <c r="M36" s="38">
        <v>0</v>
      </c>
      <c r="N36" s="118">
        <f t="shared" si="4"/>
        <v>14865488.348149879</v>
      </c>
      <c r="O36" s="25">
        <v>1.7999999999999999E-2</v>
      </c>
      <c r="P36" s="210">
        <f t="shared" si="2"/>
        <v>14865488.348149879</v>
      </c>
      <c r="Q36" s="153">
        <f t="shared" si="3"/>
        <v>32450031.182323001</v>
      </c>
      <c r="R36" s="104">
        <f t="shared" si="5"/>
        <v>82140000</v>
      </c>
      <c r="S36" s="104">
        <f t="shared" si="6"/>
        <v>86450031.182323009</v>
      </c>
      <c r="T36" s="87"/>
    </row>
    <row r="37" spans="1:20" s="166" customFormat="1" x14ac:dyDescent="0.3">
      <c r="B37" s="253"/>
      <c r="C37" s="237">
        <v>10</v>
      </c>
      <c r="D37" s="238">
        <v>0</v>
      </c>
      <c r="E37" s="238">
        <v>0</v>
      </c>
      <c r="F37" s="238">
        <v>300000</v>
      </c>
      <c r="G37" s="239">
        <v>300000</v>
      </c>
      <c r="H37" s="102">
        <f t="shared" si="7"/>
        <v>10500000</v>
      </c>
      <c r="I37" s="240">
        <v>70000000</v>
      </c>
      <c r="J37" s="240">
        <v>54000000</v>
      </c>
      <c r="K37" s="241">
        <f t="shared" si="1"/>
        <v>18511864.605188239</v>
      </c>
      <c r="L37" s="242">
        <v>1.7999999999999999E-2</v>
      </c>
      <c r="M37" s="243">
        <v>0</v>
      </c>
      <c r="N37" s="244">
        <f t="shared" si="4"/>
        <v>15133067.138416577</v>
      </c>
      <c r="O37" s="245">
        <v>1.7999999999999999E-2</v>
      </c>
      <c r="P37" s="243">
        <f t="shared" si="2"/>
        <v>15133067.138416577</v>
      </c>
      <c r="Q37" s="246">
        <f t="shared" si="3"/>
        <v>33644931.743604816</v>
      </c>
      <c r="R37" s="240">
        <f t="shared" si="5"/>
        <v>80500000</v>
      </c>
      <c r="S37" s="240">
        <f t="shared" si="6"/>
        <v>87644931.743604809</v>
      </c>
      <c r="T37" s="247"/>
    </row>
    <row r="38" spans="1:20" s="29" customFormat="1" ht="17.25" thickBot="1" x14ac:dyDescent="0.35">
      <c r="B38" s="253"/>
      <c r="C38" s="30">
        <v>11</v>
      </c>
      <c r="D38" s="147">
        <v>0</v>
      </c>
      <c r="E38" s="147">
        <v>0</v>
      </c>
      <c r="F38" s="147">
        <v>300000</v>
      </c>
      <c r="G38" s="133">
        <v>300000</v>
      </c>
      <c r="H38" s="102">
        <f t="shared" si="7"/>
        <v>8860000</v>
      </c>
      <c r="I38" s="102">
        <v>70000000</v>
      </c>
      <c r="J38" s="102">
        <v>54000000</v>
      </c>
      <c r="K38" s="139">
        <f t="shared" si="1"/>
        <v>19455878.168081626</v>
      </c>
      <c r="L38" s="105">
        <v>1.7999999999999999E-2</v>
      </c>
      <c r="M38" s="38">
        <v>0</v>
      </c>
      <c r="N38" s="118">
        <f t="shared" si="4"/>
        <v>15405462.346908076</v>
      </c>
      <c r="O38" s="83">
        <v>1.7999999999999999E-2</v>
      </c>
      <c r="P38" s="210">
        <f t="shared" si="2"/>
        <v>15405462.346908076</v>
      </c>
      <c r="Q38" s="153">
        <f t="shared" si="3"/>
        <v>34861340.514989704</v>
      </c>
      <c r="R38" s="104">
        <f t="shared" si="5"/>
        <v>78860000</v>
      </c>
      <c r="S38" s="104">
        <f t="shared" si="6"/>
        <v>88861340.514989704</v>
      </c>
      <c r="T38" s="88"/>
    </row>
    <row r="39" spans="1:20" s="159" customFormat="1" ht="17.25" thickBot="1" x14ac:dyDescent="0.35">
      <c r="A39" s="160"/>
      <c r="B39" s="253"/>
      <c r="C39" s="161">
        <v>12</v>
      </c>
      <c r="D39" s="154">
        <v>0</v>
      </c>
      <c r="E39" s="154"/>
      <c r="F39" s="147">
        <v>300000</v>
      </c>
      <c r="G39" s="133">
        <v>300000</v>
      </c>
      <c r="H39" s="102">
        <f t="shared" si="7"/>
        <v>7220000</v>
      </c>
      <c r="I39" s="155">
        <v>70000000</v>
      </c>
      <c r="J39" s="155">
        <v>54000000</v>
      </c>
      <c r="K39" s="162">
        <f t="shared" si="1"/>
        <v>20416883.975107096</v>
      </c>
      <c r="L39" s="163">
        <v>1.7999999999999999E-2</v>
      </c>
      <c r="M39" s="38">
        <v>0</v>
      </c>
      <c r="N39" s="156">
        <f t="shared" si="4"/>
        <v>15682760.669152422</v>
      </c>
      <c r="O39" s="164">
        <v>1.7999999999999999E-2</v>
      </c>
      <c r="P39" s="210">
        <f t="shared" si="2"/>
        <v>15682760.669152422</v>
      </c>
      <c r="Q39" s="157">
        <f t="shared" si="3"/>
        <v>36099644.64425952</v>
      </c>
      <c r="R39" s="155">
        <f t="shared" si="5"/>
        <v>77220000</v>
      </c>
      <c r="S39" s="155">
        <f t="shared" si="6"/>
        <v>90099644.644259512</v>
      </c>
      <c r="T39" s="158"/>
    </row>
    <row r="40" spans="1:20" s="26" customFormat="1" x14ac:dyDescent="0.3">
      <c r="A40" s="26">
        <v>4</v>
      </c>
      <c r="B40" s="253">
        <v>2025</v>
      </c>
      <c r="C40" s="27">
        <v>1</v>
      </c>
      <c r="D40" s="147">
        <v>0</v>
      </c>
      <c r="E40" s="147">
        <v>0</v>
      </c>
      <c r="F40" s="102">
        <v>300000</v>
      </c>
      <c r="G40" s="133">
        <v>300000</v>
      </c>
      <c r="H40" s="102">
        <f t="shared" si="7"/>
        <v>5580000</v>
      </c>
      <c r="I40" s="102">
        <v>70000000</v>
      </c>
      <c r="J40" s="102">
        <v>54000000</v>
      </c>
      <c r="K40" s="139">
        <f t="shared" si="1"/>
        <v>21395187.886659022</v>
      </c>
      <c r="L40" s="105">
        <v>1.7999999999999999E-2</v>
      </c>
      <c r="M40" s="38">
        <v>0</v>
      </c>
      <c r="N40" s="118">
        <f t="shared" si="4"/>
        <v>15745491.711829031</v>
      </c>
      <c r="O40" s="82">
        <v>4.0000000000000001E-3</v>
      </c>
      <c r="P40" s="210">
        <f t="shared" si="2"/>
        <v>15745491.711829031</v>
      </c>
      <c r="Q40" s="153">
        <f t="shared" si="3"/>
        <v>37140679.598488055</v>
      </c>
      <c r="R40" s="104">
        <f t="shared" si="5"/>
        <v>75580000</v>
      </c>
      <c r="S40" s="104">
        <f t="shared" si="6"/>
        <v>91140679.598488063</v>
      </c>
      <c r="T40" s="89"/>
    </row>
    <row r="41" spans="1:20" s="18" customFormat="1" x14ac:dyDescent="0.3">
      <c r="B41" s="253"/>
      <c r="C41" s="28">
        <v>2</v>
      </c>
      <c r="D41" s="147">
        <v>0</v>
      </c>
      <c r="E41" s="147">
        <v>0</v>
      </c>
      <c r="F41" s="102">
        <v>300000</v>
      </c>
      <c r="G41" s="133">
        <v>300000</v>
      </c>
      <c r="H41" s="102">
        <f t="shared" si="7"/>
        <v>3940000</v>
      </c>
      <c r="I41" s="102">
        <v>70000000</v>
      </c>
      <c r="J41" s="102">
        <v>54000000</v>
      </c>
      <c r="K41" s="139">
        <f t="shared" si="1"/>
        <v>22391101.268618885</v>
      </c>
      <c r="L41" s="105">
        <v>1.7999999999999999E-2</v>
      </c>
      <c r="M41" s="38">
        <v>0</v>
      </c>
      <c r="N41" s="118">
        <f t="shared" si="4"/>
        <v>16028910.562641954</v>
      </c>
      <c r="O41" s="25">
        <v>1.7999999999999999E-2</v>
      </c>
      <c r="P41" s="210">
        <f t="shared" si="2"/>
        <v>16028910.562641954</v>
      </c>
      <c r="Q41" s="153">
        <f t="shared" si="3"/>
        <v>38420011.831260838</v>
      </c>
      <c r="R41" s="104">
        <f t="shared" si="5"/>
        <v>73940000</v>
      </c>
      <c r="S41" s="104">
        <f t="shared" si="6"/>
        <v>92420011.83126083</v>
      </c>
      <c r="T41" s="87"/>
    </row>
    <row r="42" spans="1:20" s="18" customFormat="1" x14ac:dyDescent="0.3">
      <c r="B42" s="253"/>
      <c r="C42" s="28">
        <v>3</v>
      </c>
      <c r="D42" s="147">
        <v>0</v>
      </c>
      <c r="E42" s="147">
        <v>0</v>
      </c>
      <c r="F42" s="102">
        <v>300000</v>
      </c>
      <c r="G42" s="133">
        <v>300000</v>
      </c>
      <c r="H42" s="102">
        <f t="shared" si="7"/>
        <v>2300000</v>
      </c>
      <c r="I42" s="102">
        <v>70000000</v>
      </c>
      <c r="J42" s="102">
        <v>54000000</v>
      </c>
      <c r="K42" s="139">
        <f t="shared" si="1"/>
        <v>23404941.091454025</v>
      </c>
      <c r="L42" s="105">
        <v>1.7999999999999999E-2</v>
      </c>
      <c r="M42" s="38">
        <v>0</v>
      </c>
      <c r="N42" s="118">
        <f t="shared" si="4"/>
        <v>16317430.952769509</v>
      </c>
      <c r="O42" s="25">
        <v>1.7999999999999999E-2</v>
      </c>
      <c r="P42" s="210">
        <f t="shared" si="2"/>
        <v>16317430.952769509</v>
      </c>
      <c r="Q42" s="153">
        <f t="shared" si="3"/>
        <v>39722372.044223532</v>
      </c>
      <c r="R42" s="104">
        <f t="shared" si="5"/>
        <v>72300000</v>
      </c>
      <c r="S42" s="104">
        <f t="shared" si="6"/>
        <v>93722372.044223532</v>
      </c>
      <c r="T42" s="87"/>
    </row>
    <row r="43" spans="1:20" s="18" customFormat="1" x14ac:dyDescent="0.3">
      <c r="B43" s="253"/>
      <c r="C43" s="28">
        <v>4</v>
      </c>
      <c r="D43" s="147">
        <v>0</v>
      </c>
      <c r="E43" s="147">
        <v>0</v>
      </c>
      <c r="F43" s="102">
        <v>300000</v>
      </c>
      <c r="G43" s="133">
        <v>300000</v>
      </c>
      <c r="H43" s="102">
        <f t="shared" si="7"/>
        <v>660000</v>
      </c>
      <c r="I43" s="102">
        <v>70000000</v>
      </c>
      <c r="J43" s="102">
        <v>54000000</v>
      </c>
      <c r="K43" s="139">
        <f t="shared" si="1"/>
        <v>24437030.031100199</v>
      </c>
      <c r="L43" s="105">
        <v>1.7999999999999999E-2</v>
      </c>
      <c r="M43" s="38">
        <v>0</v>
      </c>
      <c r="N43" s="118">
        <f t="shared" si="4"/>
        <v>16611144.70991936</v>
      </c>
      <c r="O43" s="25">
        <v>1.7999999999999999E-2</v>
      </c>
      <c r="P43" s="210">
        <f t="shared" si="2"/>
        <v>16611144.70991936</v>
      </c>
      <c r="Q43" s="153">
        <f t="shared" si="3"/>
        <v>41048174.741019562</v>
      </c>
      <c r="R43" s="104">
        <f t="shared" si="5"/>
        <v>70660000</v>
      </c>
      <c r="S43" s="104">
        <f t="shared" si="6"/>
        <v>95048174.741019562</v>
      </c>
      <c r="T43" s="87"/>
    </row>
    <row r="44" spans="1:20" s="18" customFormat="1" x14ac:dyDescent="0.3">
      <c r="B44" s="253"/>
      <c r="C44" s="28">
        <v>5</v>
      </c>
      <c r="D44" s="147">
        <v>0</v>
      </c>
      <c r="E44" s="147">
        <v>0</v>
      </c>
      <c r="F44" s="102">
        <v>300000</v>
      </c>
      <c r="G44" s="133">
        <v>300000</v>
      </c>
      <c r="H44" s="102">
        <v>0</v>
      </c>
      <c r="I44" s="102">
        <v>70000000</v>
      </c>
      <c r="J44" s="102">
        <v>54000000</v>
      </c>
      <c r="K44" s="139">
        <f t="shared" si="1"/>
        <v>25487696.571660001</v>
      </c>
      <c r="L44" s="105">
        <v>1.7999999999999999E-2</v>
      </c>
      <c r="M44" s="38">
        <v>0</v>
      </c>
      <c r="N44" s="118">
        <f t="shared" si="4"/>
        <v>16910145.314697906</v>
      </c>
      <c r="O44" s="25">
        <v>1.7999999999999999E-2</v>
      </c>
      <c r="P44" s="210">
        <f t="shared" si="2"/>
        <v>16910145.314697906</v>
      </c>
      <c r="Q44" s="153">
        <f t="shared" si="3"/>
        <v>42397841.886357903</v>
      </c>
      <c r="R44" s="104">
        <f t="shared" si="5"/>
        <v>70000000</v>
      </c>
      <c r="S44" s="104">
        <f t="shared" si="6"/>
        <v>96397841.886357903</v>
      </c>
      <c r="T44" s="87"/>
    </row>
    <row r="45" spans="1:20" s="18" customFormat="1" x14ac:dyDescent="0.3">
      <c r="B45" s="253"/>
      <c r="C45" s="28">
        <v>6</v>
      </c>
      <c r="D45" s="147">
        <v>0</v>
      </c>
      <c r="E45" s="147">
        <v>0</v>
      </c>
      <c r="F45" s="102">
        <v>300000</v>
      </c>
      <c r="G45" s="133">
        <v>300000</v>
      </c>
      <c r="H45" s="102">
        <v>0</v>
      </c>
      <c r="I45" s="102">
        <v>70000000</v>
      </c>
      <c r="J45" s="102">
        <v>54000000</v>
      </c>
      <c r="K45" s="139">
        <f t="shared" si="1"/>
        <v>26557275.109949879</v>
      </c>
      <c r="L45" s="105">
        <v>1.7999999999999999E-2</v>
      </c>
      <c r="M45" s="38">
        <v>0</v>
      </c>
      <c r="N45" s="118">
        <f t="shared" si="4"/>
        <v>17214527.93036247</v>
      </c>
      <c r="O45" s="25">
        <v>1.7999999999999999E-2</v>
      </c>
      <c r="P45" s="210">
        <f t="shared" si="2"/>
        <v>17214527.93036247</v>
      </c>
      <c r="Q45" s="153">
        <f t="shared" si="3"/>
        <v>43771803.04031235</v>
      </c>
      <c r="R45" s="104">
        <f t="shared" si="5"/>
        <v>70000000</v>
      </c>
      <c r="S45" s="104">
        <f t="shared" si="6"/>
        <v>97771803.04031235</v>
      </c>
      <c r="T45" s="87"/>
    </row>
    <row r="46" spans="1:20" s="18" customFormat="1" x14ac:dyDescent="0.3">
      <c r="B46" s="253"/>
      <c r="C46" s="28">
        <v>7</v>
      </c>
      <c r="D46" s="147">
        <v>0</v>
      </c>
      <c r="E46" s="147">
        <v>0</v>
      </c>
      <c r="F46" s="102">
        <v>300000</v>
      </c>
      <c r="G46" s="133">
        <v>300000</v>
      </c>
      <c r="H46" s="102">
        <v>0</v>
      </c>
      <c r="I46" s="102">
        <v>70000000</v>
      </c>
      <c r="J46" s="102">
        <v>54000000</v>
      </c>
      <c r="K46" s="139">
        <f t="shared" si="1"/>
        <v>27646106.061928976</v>
      </c>
      <c r="L46" s="105">
        <v>1.7999999999999999E-2</v>
      </c>
      <c r="M46" s="38">
        <v>0</v>
      </c>
      <c r="N46" s="118">
        <f t="shared" si="4"/>
        <v>17524389.433108997</v>
      </c>
      <c r="O46" s="25">
        <v>1.7999999999999999E-2</v>
      </c>
      <c r="P46" s="210">
        <f t="shared" si="2"/>
        <v>17524389.433108997</v>
      </c>
      <c r="Q46" s="153">
        <f t="shared" si="3"/>
        <v>45170495.495037973</v>
      </c>
      <c r="R46" s="104">
        <f t="shared" si="5"/>
        <v>70000000</v>
      </c>
      <c r="S46" s="104">
        <f t="shared" si="6"/>
        <v>99170495.495037973</v>
      </c>
      <c r="T46" s="87"/>
    </row>
    <row r="47" spans="1:20" s="18" customFormat="1" x14ac:dyDescent="0.3">
      <c r="B47" s="253"/>
      <c r="C47" s="28">
        <v>8</v>
      </c>
      <c r="D47" s="147">
        <v>0</v>
      </c>
      <c r="E47" s="147">
        <v>0</v>
      </c>
      <c r="F47" s="102">
        <v>300000</v>
      </c>
      <c r="G47" s="133">
        <v>300000</v>
      </c>
      <c r="H47" s="102">
        <v>0</v>
      </c>
      <c r="I47" s="102">
        <v>70000000</v>
      </c>
      <c r="J47" s="102">
        <v>54000000</v>
      </c>
      <c r="K47" s="139">
        <f t="shared" si="1"/>
        <v>28754535.971043698</v>
      </c>
      <c r="L47" s="105">
        <v>1.7999999999999999E-2</v>
      </c>
      <c r="M47" s="38">
        <v>0</v>
      </c>
      <c r="N47" s="118">
        <f t="shared" si="4"/>
        <v>17839828.442904957</v>
      </c>
      <c r="O47" s="25">
        <v>1.7999999999999999E-2</v>
      </c>
      <c r="P47" s="210">
        <f t="shared" si="2"/>
        <v>17839828.442904957</v>
      </c>
      <c r="Q47" s="153">
        <f t="shared" si="3"/>
        <v>46594364.413948655</v>
      </c>
      <c r="R47" s="104">
        <f t="shared" si="5"/>
        <v>70000000</v>
      </c>
      <c r="S47" s="104">
        <f t="shared" si="6"/>
        <v>100594364.41394866</v>
      </c>
      <c r="T47" s="87"/>
    </row>
    <row r="48" spans="1:20" s="78" customFormat="1" x14ac:dyDescent="0.3">
      <c r="B48" s="253"/>
      <c r="C48" s="107">
        <v>9</v>
      </c>
      <c r="D48" s="147">
        <v>0</v>
      </c>
      <c r="E48" s="147">
        <v>0</v>
      </c>
      <c r="F48" s="102">
        <v>300000</v>
      </c>
      <c r="G48" s="133">
        <v>300000</v>
      </c>
      <c r="H48" s="102">
        <v>0</v>
      </c>
      <c r="I48" s="102">
        <v>70000000</v>
      </c>
      <c r="J48" s="102">
        <v>54000000</v>
      </c>
      <c r="K48" s="139">
        <f t="shared" si="1"/>
        <v>29882917.618522484</v>
      </c>
      <c r="L48" s="77">
        <v>1.7999999999999999E-2</v>
      </c>
      <c r="M48" s="38">
        <v>0</v>
      </c>
      <c r="N48" s="118">
        <f t="shared" si="4"/>
        <v>18160945.354877245</v>
      </c>
      <c r="O48" s="108">
        <v>1.7999999999999999E-2</v>
      </c>
      <c r="P48" s="210">
        <f t="shared" si="2"/>
        <v>18160945.354877245</v>
      </c>
      <c r="Q48" s="153">
        <f t="shared" si="3"/>
        <v>48043862.973399729</v>
      </c>
      <c r="R48" s="104">
        <f t="shared" si="5"/>
        <v>70000000</v>
      </c>
      <c r="S48" s="104">
        <f t="shared" si="6"/>
        <v>102043862.97339973</v>
      </c>
      <c r="T48" s="109"/>
    </row>
    <row r="49" spans="1:20" s="166" customFormat="1" x14ac:dyDescent="0.3">
      <c r="B49" s="253"/>
      <c r="C49" s="237">
        <v>10</v>
      </c>
      <c r="D49" s="238">
        <v>0</v>
      </c>
      <c r="E49" s="238">
        <v>15000000</v>
      </c>
      <c r="F49" s="240">
        <v>300000</v>
      </c>
      <c r="G49" s="239">
        <v>300000</v>
      </c>
      <c r="H49" s="240">
        <v>0</v>
      </c>
      <c r="I49" s="240">
        <v>230000000</v>
      </c>
      <c r="J49" s="240">
        <v>70000000</v>
      </c>
      <c r="K49" s="241">
        <f t="shared" si="1"/>
        <v>31031610.135655887</v>
      </c>
      <c r="L49" s="242">
        <v>1.7999999999999999E-2</v>
      </c>
      <c r="M49" s="243">
        <v>0</v>
      </c>
      <c r="N49" s="244">
        <f t="shared" si="4"/>
        <v>3217842.3712650351</v>
      </c>
      <c r="O49" s="245">
        <v>1.7999999999999999E-2</v>
      </c>
      <c r="P49" s="243">
        <f t="shared" si="2"/>
        <v>3217842.3712650351</v>
      </c>
      <c r="Q49" s="246">
        <f t="shared" si="3"/>
        <v>34249452.506920919</v>
      </c>
      <c r="R49" s="240">
        <f t="shared" si="5"/>
        <v>230000000</v>
      </c>
      <c r="S49" s="240">
        <f t="shared" si="6"/>
        <v>104249452.50692092</v>
      </c>
      <c r="T49" s="247"/>
    </row>
    <row r="50" spans="1:20" s="29" customFormat="1" ht="17.25" thickBot="1" x14ac:dyDescent="0.35">
      <c r="B50" s="253"/>
      <c r="C50" s="30">
        <v>11</v>
      </c>
      <c r="D50" s="147">
        <v>0</v>
      </c>
      <c r="E50" s="147">
        <v>0</v>
      </c>
      <c r="F50" s="102">
        <v>300000</v>
      </c>
      <c r="G50" s="133">
        <v>300000</v>
      </c>
      <c r="H50" s="102">
        <v>0</v>
      </c>
      <c r="I50" s="102">
        <v>230000000</v>
      </c>
      <c r="J50" s="102">
        <v>70000000</v>
      </c>
      <c r="K50" s="139">
        <f t="shared" si="1"/>
        <v>32200979.118097693</v>
      </c>
      <c r="L50" s="105">
        <v>1.7999999999999999E-2</v>
      </c>
      <c r="M50" s="38">
        <v>0</v>
      </c>
      <c r="N50" s="118">
        <f t="shared" si="4"/>
        <v>3275763.5339478059</v>
      </c>
      <c r="O50" s="83">
        <v>1.7999999999999999E-2</v>
      </c>
      <c r="P50" s="210">
        <f t="shared" si="2"/>
        <v>3275763.5339478059</v>
      </c>
      <c r="Q50" s="153">
        <f t="shared" si="3"/>
        <v>35476742.652045496</v>
      </c>
      <c r="R50" s="104">
        <f t="shared" si="5"/>
        <v>230000000</v>
      </c>
      <c r="S50" s="104">
        <f t="shared" si="6"/>
        <v>105476742.65204549</v>
      </c>
      <c r="T50" s="88"/>
    </row>
    <row r="51" spans="1:20" s="96" customFormat="1" ht="17.25" thickBot="1" x14ac:dyDescent="0.35">
      <c r="A51" s="91"/>
      <c r="B51" s="253"/>
      <c r="C51" s="92">
        <v>12</v>
      </c>
      <c r="D51" s="147">
        <v>0</v>
      </c>
      <c r="E51" s="238">
        <v>0</v>
      </c>
      <c r="F51" s="102">
        <v>300000</v>
      </c>
      <c r="G51" s="133">
        <v>300000</v>
      </c>
      <c r="H51" s="102">
        <v>0</v>
      </c>
      <c r="I51" s="102">
        <v>230000000</v>
      </c>
      <c r="J51" s="102">
        <v>70000000</v>
      </c>
      <c r="K51" s="140">
        <f t="shared" si="1"/>
        <v>33391396.742223453</v>
      </c>
      <c r="L51" s="93">
        <v>1.7999999999999999E-2</v>
      </c>
      <c r="M51" s="38">
        <v>0</v>
      </c>
      <c r="N51" s="118">
        <f t="shared" si="4"/>
        <v>3334727.2775588664</v>
      </c>
      <c r="O51" s="94">
        <v>1.7999999999999999E-2</v>
      </c>
      <c r="P51" s="210">
        <f t="shared" si="2"/>
        <v>3334727.2775588664</v>
      </c>
      <c r="Q51" s="153">
        <f t="shared" si="3"/>
        <v>36726124.01978232</v>
      </c>
      <c r="R51" s="104">
        <f t="shared" si="5"/>
        <v>230000000</v>
      </c>
      <c r="S51" s="104">
        <f t="shared" si="6"/>
        <v>106726124.01978232</v>
      </c>
      <c r="T51" s="95"/>
    </row>
    <row r="52" spans="1:20" s="26" customFormat="1" x14ac:dyDescent="0.3">
      <c r="A52" s="26">
        <v>4</v>
      </c>
      <c r="B52" s="253">
        <v>2026</v>
      </c>
      <c r="C52" s="27">
        <v>1</v>
      </c>
      <c r="D52" s="147">
        <v>0</v>
      </c>
      <c r="E52" s="147">
        <v>0</v>
      </c>
      <c r="F52" s="102">
        <v>300000</v>
      </c>
      <c r="G52" s="133">
        <v>300000</v>
      </c>
      <c r="H52" s="102">
        <v>0</v>
      </c>
      <c r="I52" s="102">
        <v>230000000</v>
      </c>
      <c r="J52" s="102">
        <v>70000000</v>
      </c>
      <c r="K52" s="139">
        <f t="shared" si="1"/>
        <v>34603241.883583479</v>
      </c>
      <c r="L52" s="105">
        <v>1.7999999999999999E-2</v>
      </c>
      <c r="M52" s="38">
        <v>0</v>
      </c>
      <c r="N52" s="118">
        <f t="shared" si="4"/>
        <v>3348066.1866691019</v>
      </c>
      <c r="O52" s="82">
        <v>4.0000000000000001E-3</v>
      </c>
      <c r="P52" s="210">
        <f t="shared" si="2"/>
        <v>3348066.1866691019</v>
      </c>
      <c r="Q52" s="153">
        <f t="shared" si="3"/>
        <v>37951308.070252582</v>
      </c>
      <c r="R52" s="104">
        <f t="shared" si="5"/>
        <v>230000000</v>
      </c>
      <c r="S52" s="104">
        <f t="shared" si="6"/>
        <v>107951308.07025258</v>
      </c>
      <c r="T52" s="89"/>
    </row>
    <row r="53" spans="1:20" s="31" customFormat="1" x14ac:dyDescent="0.3">
      <c r="B53" s="253"/>
      <c r="C53" s="32">
        <v>2</v>
      </c>
      <c r="D53" s="147">
        <v>0</v>
      </c>
      <c r="E53" s="147">
        <v>3300000</v>
      </c>
      <c r="F53" s="102">
        <v>300000</v>
      </c>
      <c r="G53" s="133">
        <v>300000</v>
      </c>
      <c r="H53" s="102">
        <v>0</v>
      </c>
      <c r="I53" s="102">
        <v>230000000</v>
      </c>
      <c r="J53" s="102">
        <v>70000000</v>
      </c>
      <c r="K53" s="139">
        <f t="shared" si="1"/>
        <v>35836900.237487979</v>
      </c>
      <c r="L53" s="105">
        <v>1.7999999999999999E-2</v>
      </c>
      <c r="M53" s="38">
        <v>0</v>
      </c>
      <c r="N53" s="118">
        <f t="shared" si="4"/>
        <v>48931.378029145773</v>
      </c>
      <c r="O53" s="25">
        <v>1.7999999999999999E-2</v>
      </c>
      <c r="P53" s="210">
        <f t="shared" si="2"/>
        <v>48931.378029145773</v>
      </c>
      <c r="Q53" s="153">
        <f t="shared" si="3"/>
        <v>35885831.615517125</v>
      </c>
      <c r="R53" s="104">
        <f t="shared" si="5"/>
        <v>230000000</v>
      </c>
      <c r="S53" s="104">
        <f t="shared" si="6"/>
        <v>105885831.61551712</v>
      </c>
      <c r="T53" s="90"/>
    </row>
    <row r="54" spans="1:20" s="18" customFormat="1" x14ac:dyDescent="0.3">
      <c r="B54" s="253"/>
      <c r="C54" s="28">
        <v>3</v>
      </c>
      <c r="D54" s="147">
        <v>0</v>
      </c>
      <c r="E54" s="147">
        <v>0</v>
      </c>
      <c r="F54" s="102">
        <v>300000</v>
      </c>
      <c r="G54" s="133">
        <v>300000</v>
      </c>
      <c r="H54" s="102">
        <v>0</v>
      </c>
      <c r="I54" s="102">
        <v>230000000</v>
      </c>
      <c r="J54" s="102">
        <v>70000000</v>
      </c>
      <c r="K54" s="139">
        <f t="shared" si="1"/>
        <v>37092764.44176276</v>
      </c>
      <c r="L54" s="105">
        <v>1.7999999999999999E-2</v>
      </c>
      <c r="M54" s="38">
        <v>0</v>
      </c>
      <c r="N54" s="118">
        <f t="shared" si="4"/>
        <v>49812.142833670398</v>
      </c>
      <c r="O54" s="25">
        <v>1.7999999999999999E-2</v>
      </c>
      <c r="P54" s="210">
        <f t="shared" si="2"/>
        <v>49812.142833670398</v>
      </c>
      <c r="Q54" s="153">
        <f t="shared" si="3"/>
        <v>37142576.584596433</v>
      </c>
      <c r="R54" s="104">
        <f t="shared" si="5"/>
        <v>230000000</v>
      </c>
      <c r="S54" s="104">
        <f t="shared" si="6"/>
        <v>107142576.58459643</v>
      </c>
      <c r="T54" s="87"/>
    </row>
    <row r="55" spans="1:20" s="18" customFormat="1" x14ac:dyDescent="0.3">
      <c r="B55" s="253"/>
      <c r="C55" s="28">
        <v>4</v>
      </c>
      <c r="D55" s="147">
        <v>0</v>
      </c>
      <c r="E55" s="147">
        <v>0</v>
      </c>
      <c r="F55" s="102">
        <v>300000</v>
      </c>
      <c r="G55" s="133">
        <v>300000</v>
      </c>
      <c r="H55" s="102">
        <v>0</v>
      </c>
      <c r="I55" s="102">
        <v>230000000</v>
      </c>
      <c r="J55" s="102">
        <v>70000000</v>
      </c>
      <c r="K55" s="139">
        <f t="shared" si="1"/>
        <v>38371234.201714493</v>
      </c>
      <c r="L55" s="105">
        <v>1.7999999999999999E-2</v>
      </c>
      <c r="M55" s="38">
        <v>0</v>
      </c>
      <c r="N55" s="118">
        <f t="shared" si="4"/>
        <v>50708.761404676465</v>
      </c>
      <c r="O55" s="25">
        <v>1.7999999999999999E-2</v>
      </c>
      <c r="P55" s="210">
        <f t="shared" si="2"/>
        <v>50708.761404676465</v>
      </c>
      <c r="Q55" s="153">
        <f t="shared" si="3"/>
        <v>38421942.963119172</v>
      </c>
      <c r="R55" s="104">
        <f t="shared" si="5"/>
        <v>230000000</v>
      </c>
      <c r="S55" s="104">
        <f t="shared" si="6"/>
        <v>108421942.96311918</v>
      </c>
      <c r="T55" s="87"/>
    </row>
    <row r="56" spans="1:20" s="18" customFormat="1" x14ac:dyDescent="0.3">
      <c r="B56" s="253"/>
      <c r="C56" s="28">
        <v>5</v>
      </c>
      <c r="D56" s="147">
        <v>0</v>
      </c>
      <c r="E56" s="147">
        <v>0</v>
      </c>
      <c r="F56" s="102">
        <v>300000</v>
      </c>
      <c r="G56" s="133">
        <v>300000</v>
      </c>
      <c r="H56" s="102">
        <v>0</v>
      </c>
      <c r="I56" s="102">
        <v>230000000</v>
      </c>
      <c r="J56" s="102">
        <v>70000000</v>
      </c>
      <c r="K56" s="139">
        <f t="shared" si="1"/>
        <v>39672716.417345352</v>
      </c>
      <c r="L56" s="105">
        <v>1.7999999999999999E-2</v>
      </c>
      <c r="M56" s="38">
        <v>0</v>
      </c>
      <c r="N56" s="118">
        <f t="shared" si="4"/>
        <v>51621.519109960638</v>
      </c>
      <c r="O56" s="25">
        <v>1.7999999999999999E-2</v>
      </c>
      <c r="P56" s="210">
        <f t="shared" si="2"/>
        <v>51621.519109960638</v>
      </c>
      <c r="Q56" s="153">
        <f t="shared" si="3"/>
        <v>39724337.936455309</v>
      </c>
      <c r="R56" s="104">
        <f t="shared" si="5"/>
        <v>230000000</v>
      </c>
      <c r="S56" s="104">
        <f t="shared" si="6"/>
        <v>109724337.93645531</v>
      </c>
      <c r="T56" s="87"/>
    </row>
    <row r="57" spans="1:20" s="18" customFormat="1" x14ac:dyDescent="0.3">
      <c r="B57" s="253"/>
      <c r="C57" s="28">
        <v>6</v>
      </c>
      <c r="D57" s="147">
        <v>0</v>
      </c>
      <c r="E57" s="147">
        <v>0</v>
      </c>
      <c r="F57" s="102">
        <v>300000</v>
      </c>
      <c r="G57" s="133">
        <v>300000</v>
      </c>
      <c r="H57" s="102">
        <v>0</v>
      </c>
      <c r="I57" s="102">
        <v>230000000</v>
      </c>
      <c r="J57" s="102">
        <v>70000000</v>
      </c>
      <c r="K57" s="139">
        <f t="shared" si="1"/>
        <v>40997625.312857568</v>
      </c>
      <c r="L57" s="105">
        <v>1.7999999999999999E-2</v>
      </c>
      <c r="M57" s="38">
        <v>0</v>
      </c>
      <c r="N57" s="118">
        <f t="shared" si="4"/>
        <v>52550.706453939929</v>
      </c>
      <c r="O57" s="25">
        <v>1.7999999999999999E-2</v>
      </c>
      <c r="P57" s="210">
        <f t="shared" si="2"/>
        <v>52550.706453939929</v>
      </c>
      <c r="Q57" s="153">
        <f t="shared" si="3"/>
        <v>41050176.01931151</v>
      </c>
      <c r="R57" s="104">
        <f t="shared" si="5"/>
        <v>230000000</v>
      </c>
      <c r="S57" s="104">
        <f t="shared" si="6"/>
        <v>111050176.01931152</v>
      </c>
      <c r="T57" s="87"/>
    </row>
    <row r="58" spans="1:20" s="18" customFormat="1" x14ac:dyDescent="0.3">
      <c r="B58" s="253"/>
      <c r="C58" s="28">
        <v>7</v>
      </c>
      <c r="D58" s="147">
        <v>0</v>
      </c>
      <c r="E58" s="147">
        <v>0</v>
      </c>
      <c r="F58" s="102">
        <v>300000</v>
      </c>
      <c r="G58" s="133">
        <v>300000</v>
      </c>
      <c r="H58" s="102">
        <v>0</v>
      </c>
      <c r="I58" s="102">
        <v>230000000</v>
      </c>
      <c r="J58" s="102">
        <v>70000000</v>
      </c>
      <c r="K58" s="139">
        <f t="shared" si="1"/>
        <v>42346382.568489008</v>
      </c>
      <c r="L58" s="105">
        <v>1.7999999999999999E-2</v>
      </c>
      <c r="M58" s="38">
        <v>0</v>
      </c>
      <c r="N58" s="118">
        <f t="shared" si="4"/>
        <v>53496.619170110847</v>
      </c>
      <c r="O58" s="25">
        <v>1.7999999999999999E-2</v>
      </c>
      <c r="P58" s="210">
        <f t="shared" si="2"/>
        <v>53496.619170110847</v>
      </c>
      <c r="Q58" s="153">
        <f t="shared" si="3"/>
        <v>42399879.187659122</v>
      </c>
      <c r="R58" s="104">
        <f t="shared" si="5"/>
        <v>230000000</v>
      </c>
      <c r="S58" s="104">
        <f t="shared" si="6"/>
        <v>112399879.18765911</v>
      </c>
      <c r="T58" s="87"/>
    </row>
    <row r="59" spans="1:20" s="18" customFormat="1" x14ac:dyDescent="0.3">
      <c r="B59" s="253"/>
      <c r="C59" s="28">
        <v>8</v>
      </c>
      <c r="D59" s="147">
        <v>0</v>
      </c>
      <c r="E59" s="147">
        <v>0</v>
      </c>
      <c r="F59" s="102">
        <v>300000</v>
      </c>
      <c r="G59" s="133">
        <v>300000</v>
      </c>
      <c r="H59" s="102">
        <v>0</v>
      </c>
      <c r="I59" s="102">
        <v>230000000</v>
      </c>
      <c r="J59" s="102">
        <v>70000000</v>
      </c>
      <c r="K59" s="139">
        <f t="shared" si="1"/>
        <v>43719417.454721808</v>
      </c>
      <c r="L59" s="105">
        <v>1.7999999999999999E-2</v>
      </c>
      <c r="M59" s="38">
        <v>0</v>
      </c>
      <c r="N59" s="118">
        <f t="shared" si="4"/>
        <v>54459.558315172842</v>
      </c>
      <c r="O59" s="25">
        <v>1.7999999999999999E-2</v>
      </c>
      <c r="P59" s="210">
        <f t="shared" si="2"/>
        <v>54459.558315172842</v>
      </c>
      <c r="Q59" s="153">
        <f t="shared" si="3"/>
        <v>43773877.013036981</v>
      </c>
      <c r="R59" s="104">
        <f t="shared" si="5"/>
        <v>230000000</v>
      </c>
      <c r="S59" s="104">
        <f t="shared" si="6"/>
        <v>113773877.01303698</v>
      </c>
      <c r="T59" s="87"/>
    </row>
    <row r="60" spans="1:20" s="18" customFormat="1" x14ac:dyDescent="0.3">
      <c r="B60" s="253"/>
      <c r="C60" s="28">
        <v>9</v>
      </c>
      <c r="D60" s="147">
        <v>0</v>
      </c>
      <c r="E60" s="147">
        <v>0</v>
      </c>
      <c r="F60" s="102">
        <v>300000</v>
      </c>
      <c r="G60" s="133">
        <v>300000</v>
      </c>
      <c r="H60" s="102">
        <v>0</v>
      </c>
      <c r="I60" s="102">
        <v>230000000</v>
      </c>
      <c r="J60" s="102">
        <v>70000000</v>
      </c>
      <c r="K60" s="139">
        <f t="shared" si="1"/>
        <v>45117166.968906797</v>
      </c>
      <c r="L60" s="105">
        <v>1.7999999999999999E-2</v>
      </c>
      <c r="M60" s="38">
        <v>0</v>
      </c>
      <c r="N60" s="118">
        <f t="shared" si="4"/>
        <v>55439.830364845955</v>
      </c>
      <c r="O60" s="25">
        <v>1.7999999999999999E-2</v>
      </c>
      <c r="P60" s="210">
        <f t="shared" si="2"/>
        <v>55439.830364845955</v>
      </c>
      <c r="Q60" s="153">
        <f t="shared" si="3"/>
        <v>45172606.799271643</v>
      </c>
      <c r="R60" s="104">
        <f t="shared" si="5"/>
        <v>230000000</v>
      </c>
      <c r="S60" s="104">
        <f t="shared" si="6"/>
        <v>115172606.79927164</v>
      </c>
      <c r="T60" s="87"/>
    </row>
    <row r="61" spans="1:20" s="18" customFormat="1" x14ac:dyDescent="0.3">
      <c r="B61" s="253"/>
      <c r="C61" s="28">
        <v>10</v>
      </c>
      <c r="D61" s="147">
        <v>0</v>
      </c>
      <c r="E61" s="147">
        <v>0</v>
      </c>
      <c r="F61" s="102">
        <v>300000</v>
      </c>
      <c r="G61" s="133">
        <v>300000</v>
      </c>
      <c r="H61" s="102">
        <v>0</v>
      </c>
      <c r="I61" s="102">
        <v>230000000</v>
      </c>
      <c r="J61" s="102">
        <v>70000000</v>
      </c>
      <c r="K61" s="139">
        <f t="shared" si="1"/>
        <v>46540075.974347122</v>
      </c>
      <c r="L61" s="105">
        <v>1.7999999999999999E-2</v>
      </c>
      <c r="M61" s="38">
        <v>0</v>
      </c>
      <c r="N61" s="118">
        <f t="shared" si="4"/>
        <v>56437.747311413179</v>
      </c>
      <c r="O61" s="25">
        <v>1.7999999999999999E-2</v>
      </c>
      <c r="P61" s="210">
        <f t="shared" si="2"/>
        <v>56437.747311413179</v>
      </c>
      <c r="Q61" s="153">
        <f t="shared" si="3"/>
        <v>46596513.721658535</v>
      </c>
      <c r="R61" s="104">
        <f t="shared" si="5"/>
        <v>230000000</v>
      </c>
      <c r="S61" s="104">
        <f t="shared" si="6"/>
        <v>116596513.72165853</v>
      </c>
      <c r="T61" s="87"/>
    </row>
    <row r="62" spans="1:20" s="29" customFormat="1" ht="17.25" thickBot="1" x14ac:dyDescent="0.35">
      <c r="B62" s="253"/>
      <c r="C62" s="30">
        <v>11</v>
      </c>
      <c r="D62" s="147">
        <v>0</v>
      </c>
      <c r="E62" s="147">
        <v>0</v>
      </c>
      <c r="F62" s="102">
        <v>300000</v>
      </c>
      <c r="G62" s="133">
        <v>300000</v>
      </c>
      <c r="H62" s="102">
        <v>0</v>
      </c>
      <c r="I62" s="102">
        <v>230000000</v>
      </c>
      <c r="J62" s="102">
        <v>70000000</v>
      </c>
      <c r="K62" s="139">
        <f t="shared" si="1"/>
        <v>47988597.341885373</v>
      </c>
      <c r="L62" s="105">
        <v>1.7999999999999999E-2</v>
      </c>
      <c r="M62" s="38">
        <v>0</v>
      </c>
      <c r="N62" s="118">
        <f t="shared" si="4"/>
        <v>57453.626763018619</v>
      </c>
      <c r="O62" s="83">
        <v>1.7999999999999999E-2</v>
      </c>
      <c r="P62" s="210">
        <f t="shared" si="2"/>
        <v>57453.626763018619</v>
      </c>
      <c r="Q62" s="153">
        <f t="shared" si="3"/>
        <v>48046050.968648389</v>
      </c>
      <c r="R62" s="104">
        <f t="shared" si="5"/>
        <v>230000000</v>
      </c>
      <c r="S62" s="104">
        <f t="shared" si="6"/>
        <v>118046050.96864839</v>
      </c>
      <c r="T62" s="88"/>
    </row>
    <row r="63" spans="1:20" s="96" customFormat="1" ht="17.25" thickBot="1" x14ac:dyDescent="0.35">
      <c r="A63" s="91"/>
      <c r="B63" s="253"/>
      <c r="C63" s="92">
        <v>12</v>
      </c>
      <c r="D63" s="147">
        <v>0</v>
      </c>
      <c r="E63" s="148">
        <v>0</v>
      </c>
      <c r="F63" s="102">
        <v>300000</v>
      </c>
      <c r="G63" s="133">
        <v>300000</v>
      </c>
      <c r="H63" s="102">
        <v>0</v>
      </c>
      <c r="I63" s="102">
        <v>230000000</v>
      </c>
      <c r="J63" s="102">
        <v>70000000</v>
      </c>
      <c r="K63" s="140">
        <f t="shared" si="1"/>
        <v>49463192.094039306</v>
      </c>
      <c r="L63" s="93">
        <v>1.7999999999999999E-2</v>
      </c>
      <c r="M63" s="38">
        <v>0</v>
      </c>
      <c r="N63" s="118">
        <f t="shared" si="4"/>
        <v>58487.792044752954</v>
      </c>
      <c r="O63" s="94">
        <v>1.7999999999999999E-2</v>
      </c>
      <c r="P63" s="210">
        <f t="shared" si="2"/>
        <v>58487.792044752954</v>
      </c>
      <c r="Q63" s="153">
        <f t="shared" si="3"/>
        <v>49521679.886084057</v>
      </c>
      <c r="R63" s="104">
        <f t="shared" si="5"/>
        <v>230000000</v>
      </c>
      <c r="S63" s="104">
        <f t="shared" si="6"/>
        <v>119521679.88608405</v>
      </c>
      <c r="T63" s="95"/>
    </row>
    <row r="64" spans="1:20" s="26" customFormat="1" x14ac:dyDescent="0.3">
      <c r="A64" s="26">
        <v>6</v>
      </c>
      <c r="B64" s="253">
        <v>2027</v>
      </c>
      <c r="C64" s="27">
        <v>1</v>
      </c>
      <c r="D64" s="147">
        <v>0</v>
      </c>
      <c r="E64" s="147">
        <v>0</v>
      </c>
      <c r="F64" s="102">
        <v>300000</v>
      </c>
      <c r="G64" s="133">
        <v>300000</v>
      </c>
      <c r="H64" s="102">
        <v>0</v>
      </c>
      <c r="I64" s="102">
        <v>230000000</v>
      </c>
      <c r="J64" s="102">
        <v>70000000</v>
      </c>
      <c r="K64" s="139">
        <f t="shared" si="1"/>
        <v>50964329.551732011</v>
      </c>
      <c r="L64" s="105">
        <v>1.7999999999999999E-2</v>
      </c>
      <c r="M64" s="38">
        <v>0</v>
      </c>
      <c r="N64" s="118">
        <f t="shared" si="4"/>
        <v>58721.743212931964</v>
      </c>
      <c r="O64" s="82">
        <v>4.0000000000000001E-3</v>
      </c>
      <c r="P64" s="210">
        <f t="shared" si="2"/>
        <v>58721.743212931964</v>
      </c>
      <c r="Q64" s="153">
        <f t="shared" si="3"/>
        <v>51023051.294944942</v>
      </c>
      <c r="R64" s="104">
        <f t="shared" si="5"/>
        <v>230000000</v>
      </c>
      <c r="S64" s="104">
        <f t="shared" si="6"/>
        <v>121023051.29494494</v>
      </c>
      <c r="T64" s="89"/>
    </row>
    <row r="65" spans="1:20" s="18" customFormat="1" x14ac:dyDescent="0.3">
      <c r="B65" s="253"/>
      <c r="C65" s="28">
        <v>2</v>
      </c>
      <c r="D65" s="147">
        <v>0</v>
      </c>
      <c r="E65" s="147">
        <v>0</v>
      </c>
      <c r="F65" s="102">
        <v>300000</v>
      </c>
      <c r="G65" s="133">
        <v>300000</v>
      </c>
      <c r="H65" s="102">
        <v>0</v>
      </c>
      <c r="I65" s="102">
        <v>230000000</v>
      </c>
      <c r="J65" s="102">
        <v>70000000</v>
      </c>
      <c r="K65" s="139">
        <f t="shared" si="1"/>
        <v>52492487.483663186</v>
      </c>
      <c r="L65" s="105">
        <v>1.7999999999999999E-2</v>
      </c>
      <c r="M65" s="38">
        <v>0</v>
      </c>
      <c r="N65" s="118">
        <f t="shared" si="4"/>
        <v>59778.73459076474</v>
      </c>
      <c r="O65" s="25">
        <v>1.7999999999999999E-2</v>
      </c>
      <c r="P65" s="210">
        <f t="shared" si="2"/>
        <v>59778.73459076474</v>
      </c>
      <c r="Q65" s="153">
        <f t="shared" si="3"/>
        <v>52552266.218253948</v>
      </c>
      <c r="R65" s="104">
        <f t="shared" si="5"/>
        <v>230000000</v>
      </c>
      <c r="S65" s="104">
        <f t="shared" si="6"/>
        <v>122552266.21825394</v>
      </c>
      <c r="T65" s="87"/>
    </row>
    <row r="66" spans="1:20" s="18" customFormat="1" x14ac:dyDescent="0.3">
      <c r="B66" s="253"/>
      <c r="C66" s="28">
        <v>3</v>
      </c>
      <c r="D66" s="147">
        <v>0</v>
      </c>
      <c r="E66" s="147">
        <v>0</v>
      </c>
      <c r="F66" s="102">
        <v>300000</v>
      </c>
      <c r="G66" s="133">
        <v>300000</v>
      </c>
      <c r="H66" s="102">
        <v>0</v>
      </c>
      <c r="I66" s="102">
        <v>230000000</v>
      </c>
      <c r="J66" s="102">
        <v>70000000</v>
      </c>
      <c r="K66" s="139">
        <f t="shared" si="1"/>
        <v>54048152.258369125</v>
      </c>
      <c r="L66" s="105">
        <v>1.7999999999999999E-2</v>
      </c>
      <c r="M66" s="38">
        <v>0</v>
      </c>
      <c r="N66" s="118">
        <f t="shared" si="4"/>
        <v>60854.751813398507</v>
      </c>
      <c r="O66" s="25">
        <v>1.7999999999999999E-2</v>
      </c>
      <c r="P66" s="210">
        <f t="shared" si="2"/>
        <v>60854.751813398507</v>
      </c>
      <c r="Q66" s="153">
        <f t="shared" si="3"/>
        <v>54109007.010182522</v>
      </c>
      <c r="R66" s="104">
        <f t="shared" si="5"/>
        <v>230000000</v>
      </c>
      <c r="S66" s="104">
        <f t="shared" si="6"/>
        <v>124109007.01018253</v>
      </c>
      <c r="T66" s="87"/>
    </row>
    <row r="67" spans="1:20" s="18" customFormat="1" x14ac:dyDescent="0.3">
      <c r="B67" s="253"/>
      <c r="C67" s="28">
        <v>4</v>
      </c>
      <c r="D67" s="147">
        <v>0</v>
      </c>
      <c r="E67" s="147">
        <v>0</v>
      </c>
      <c r="F67" s="102">
        <v>300000</v>
      </c>
      <c r="G67" s="133">
        <v>300000</v>
      </c>
      <c r="H67" s="102">
        <v>0</v>
      </c>
      <c r="I67" s="102">
        <v>230000000</v>
      </c>
      <c r="J67" s="102">
        <v>70000000</v>
      </c>
      <c r="K67" s="139">
        <f t="shared" si="1"/>
        <v>55631818.999019772</v>
      </c>
      <c r="L67" s="105">
        <v>1.7999999999999999E-2</v>
      </c>
      <c r="M67" s="38">
        <v>0</v>
      </c>
      <c r="N67" s="118">
        <f t="shared" si="4"/>
        <v>61950.137346039679</v>
      </c>
      <c r="O67" s="25">
        <v>1.7999999999999999E-2</v>
      </c>
      <c r="P67" s="210">
        <f t="shared" si="2"/>
        <v>61950.137346039679</v>
      </c>
      <c r="Q67" s="153">
        <f t="shared" si="3"/>
        <v>55693769.136365809</v>
      </c>
      <c r="R67" s="104">
        <f t="shared" si="5"/>
        <v>230000000</v>
      </c>
      <c r="S67" s="104">
        <f t="shared" si="6"/>
        <v>125693769.1363658</v>
      </c>
      <c r="T67" s="87"/>
    </row>
    <row r="68" spans="1:20" s="18" customFormat="1" x14ac:dyDescent="0.3">
      <c r="B68" s="253"/>
      <c r="C68" s="28">
        <v>5</v>
      </c>
      <c r="D68" s="147">
        <v>0</v>
      </c>
      <c r="E68" s="147">
        <v>0</v>
      </c>
      <c r="F68" s="102">
        <v>300000</v>
      </c>
      <c r="G68" s="133">
        <v>300000</v>
      </c>
      <c r="H68" s="102">
        <v>0</v>
      </c>
      <c r="I68" s="102">
        <v>230000000</v>
      </c>
      <c r="J68" s="102">
        <v>70000000</v>
      </c>
      <c r="K68" s="139">
        <f t="shared" si="1"/>
        <v>57243991.741002128</v>
      </c>
      <c r="L68" s="105">
        <v>1.7999999999999999E-2</v>
      </c>
      <c r="M68" s="38">
        <v>0</v>
      </c>
      <c r="N68" s="118">
        <f t="shared" si="4"/>
        <v>63065.23981826839</v>
      </c>
      <c r="O68" s="25">
        <v>1.7999999999999999E-2</v>
      </c>
      <c r="P68" s="210">
        <f t="shared" si="2"/>
        <v>63065.23981826839</v>
      </c>
      <c r="Q68" s="153">
        <f t="shared" si="3"/>
        <v>57307056.980820395</v>
      </c>
      <c r="R68" s="104">
        <f t="shared" si="5"/>
        <v>230000000</v>
      </c>
      <c r="S68" s="104">
        <f t="shared" si="6"/>
        <v>127307056.98082039</v>
      </c>
      <c r="T68" s="87"/>
    </row>
    <row r="69" spans="1:20" s="18" customFormat="1" x14ac:dyDescent="0.3">
      <c r="B69" s="253"/>
      <c r="C69" s="28">
        <v>6</v>
      </c>
      <c r="D69" s="147">
        <v>0</v>
      </c>
      <c r="E69" s="147">
        <v>0</v>
      </c>
      <c r="F69" s="102">
        <v>300000</v>
      </c>
      <c r="G69" s="133">
        <v>300000</v>
      </c>
      <c r="H69" s="102">
        <v>0</v>
      </c>
      <c r="I69" s="102">
        <v>230000000</v>
      </c>
      <c r="J69" s="102">
        <v>70000000</v>
      </c>
      <c r="K69" s="139">
        <f t="shared" si="1"/>
        <v>58885183.592340164</v>
      </c>
      <c r="L69" s="105">
        <v>1.7999999999999999E-2</v>
      </c>
      <c r="M69" s="38">
        <v>0</v>
      </c>
      <c r="N69" s="118">
        <f t="shared" si="4"/>
        <v>64200.41413499722</v>
      </c>
      <c r="O69" s="25">
        <v>1.7999999999999999E-2</v>
      </c>
      <c r="P69" s="210">
        <f t="shared" si="2"/>
        <v>64200.41413499722</v>
      </c>
      <c r="Q69" s="153">
        <f t="shared" si="3"/>
        <v>58949384.006475158</v>
      </c>
      <c r="R69" s="104">
        <f t="shared" si="5"/>
        <v>230000000</v>
      </c>
      <c r="S69" s="104">
        <f t="shared" si="6"/>
        <v>128949384.00647515</v>
      </c>
      <c r="T69" s="87"/>
    </row>
    <row r="70" spans="1:20" s="18" customFormat="1" x14ac:dyDescent="0.3">
      <c r="B70" s="253"/>
      <c r="C70" s="28">
        <v>7</v>
      </c>
      <c r="D70" s="147">
        <v>0</v>
      </c>
      <c r="E70" s="147">
        <v>0</v>
      </c>
      <c r="F70" s="102">
        <v>300000</v>
      </c>
      <c r="G70" s="133">
        <v>300000</v>
      </c>
      <c r="H70" s="102">
        <v>0</v>
      </c>
      <c r="I70" s="102">
        <v>230000000</v>
      </c>
      <c r="J70" s="102">
        <v>70000000</v>
      </c>
      <c r="K70" s="139">
        <f t="shared" si="1"/>
        <v>60555916.897002287</v>
      </c>
      <c r="L70" s="105">
        <v>1.7999999999999999E-2</v>
      </c>
      <c r="M70" s="38">
        <v>0</v>
      </c>
      <c r="N70" s="118">
        <f t="shared" si="4"/>
        <v>65356.021589427168</v>
      </c>
      <c r="O70" s="25">
        <v>1.7999999999999999E-2</v>
      </c>
      <c r="P70" s="210">
        <f t="shared" si="2"/>
        <v>65356.021589427168</v>
      </c>
      <c r="Q70" s="153">
        <f t="shared" si="3"/>
        <v>60621272.918591715</v>
      </c>
      <c r="R70" s="104">
        <f t="shared" si="5"/>
        <v>230000000</v>
      </c>
      <c r="S70" s="104">
        <f t="shared" si="6"/>
        <v>130621272.91859171</v>
      </c>
      <c r="T70" s="87"/>
    </row>
    <row r="71" spans="1:20" s="18" customFormat="1" x14ac:dyDescent="0.3">
      <c r="B71" s="253"/>
      <c r="C71" s="28">
        <v>8</v>
      </c>
      <c r="D71" s="147">
        <v>0</v>
      </c>
      <c r="E71" s="147">
        <v>0</v>
      </c>
      <c r="F71" s="102">
        <v>300000</v>
      </c>
      <c r="G71" s="133">
        <v>300000</v>
      </c>
      <c r="H71" s="102">
        <v>0</v>
      </c>
      <c r="I71" s="102">
        <v>230000000</v>
      </c>
      <c r="J71" s="102">
        <v>70000000</v>
      </c>
      <c r="K71" s="139">
        <f t="shared" si="1"/>
        <v>62256723.401148327</v>
      </c>
      <c r="L71" s="105">
        <v>1.7999999999999999E-2</v>
      </c>
      <c r="M71" s="38">
        <v>0</v>
      </c>
      <c r="N71" s="118">
        <f t="shared" si="4"/>
        <v>66532.42997803686</v>
      </c>
      <c r="O71" s="25">
        <v>1.7999999999999999E-2</v>
      </c>
      <c r="P71" s="210">
        <f t="shared" si="2"/>
        <v>66532.42997803686</v>
      </c>
      <c r="Q71" s="153">
        <f t="shared" si="3"/>
        <v>62323255.831126362</v>
      </c>
      <c r="R71" s="104">
        <f t="shared" si="5"/>
        <v>230000000</v>
      </c>
      <c r="S71" s="104">
        <f t="shared" si="6"/>
        <v>132323255.83112636</v>
      </c>
      <c r="T71" s="87"/>
    </row>
    <row r="72" spans="1:20" s="18" customFormat="1" x14ac:dyDescent="0.3">
      <c r="B72" s="253"/>
      <c r="C72" s="28">
        <v>9</v>
      </c>
      <c r="D72" s="147">
        <v>0</v>
      </c>
      <c r="E72" s="147">
        <v>0</v>
      </c>
      <c r="F72" s="102">
        <v>300000</v>
      </c>
      <c r="G72" s="133">
        <v>300000</v>
      </c>
      <c r="H72" s="102">
        <v>0</v>
      </c>
      <c r="I72" s="102">
        <v>230000000</v>
      </c>
      <c r="J72" s="102">
        <v>70000000</v>
      </c>
      <c r="K72" s="139">
        <f t="shared" si="1"/>
        <v>63988144.422368996</v>
      </c>
      <c r="L72" s="105">
        <v>1.7999999999999999E-2</v>
      </c>
      <c r="M72" s="38">
        <v>0</v>
      </c>
      <c r="N72" s="118">
        <f t="shared" si="4"/>
        <v>67730.01371764153</v>
      </c>
      <c r="O72" s="25">
        <v>1.7999999999999999E-2</v>
      </c>
      <c r="P72" s="210">
        <f t="shared" si="2"/>
        <v>67730.01371764153</v>
      </c>
      <c r="Q72" s="153">
        <f t="shared" si="3"/>
        <v>64055874.43608664</v>
      </c>
      <c r="R72" s="104">
        <f t="shared" si="5"/>
        <v>230000000</v>
      </c>
      <c r="S72" s="104">
        <f t="shared" si="6"/>
        <v>134055874.43608664</v>
      </c>
      <c r="T72" s="87"/>
    </row>
    <row r="73" spans="1:20" s="181" customFormat="1" x14ac:dyDescent="0.3">
      <c r="B73" s="253"/>
      <c r="C73" s="182">
        <v>10</v>
      </c>
      <c r="D73" s="147">
        <v>0</v>
      </c>
      <c r="E73" s="183">
        <v>0</v>
      </c>
      <c r="F73" s="184">
        <v>300000</v>
      </c>
      <c r="G73" s="133">
        <v>300000</v>
      </c>
      <c r="H73" s="102">
        <v>0</v>
      </c>
      <c r="I73" s="102">
        <v>230000000</v>
      </c>
      <c r="J73" s="102">
        <v>70000000</v>
      </c>
      <c r="K73" s="185">
        <f t="shared" si="1"/>
        <v>65750731.021971636</v>
      </c>
      <c r="L73" s="186">
        <v>1.7999999999999999E-2</v>
      </c>
      <c r="M73" s="187">
        <v>0</v>
      </c>
      <c r="N73" s="188">
        <f t="shared" si="4"/>
        <v>68949.153964559082</v>
      </c>
      <c r="O73" s="189">
        <v>1.7999999999999999E-2</v>
      </c>
      <c r="P73" s="210">
        <f t="shared" si="2"/>
        <v>68949.153964559082</v>
      </c>
      <c r="Q73" s="190">
        <f t="shared" si="3"/>
        <v>65819680.175936192</v>
      </c>
      <c r="R73" s="184">
        <f t="shared" si="5"/>
        <v>230000000</v>
      </c>
      <c r="S73" s="184">
        <f t="shared" si="6"/>
        <v>135819680.17593619</v>
      </c>
      <c r="T73" s="191"/>
    </row>
    <row r="74" spans="1:20" s="29" customFormat="1" ht="17.25" thickBot="1" x14ac:dyDescent="0.35">
      <c r="B74" s="253"/>
      <c r="C74" s="30">
        <v>11</v>
      </c>
      <c r="D74" s="147">
        <v>0</v>
      </c>
      <c r="E74" s="147">
        <v>0</v>
      </c>
      <c r="F74" s="102">
        <v>300000</v>
      </c>
      <c r="G74" s="133">
        <v>300000</v>
      </c>
      <c r="H74" s="102">
        <v>0</v>
      </c>
      <c r="I74" s="102">
        <v>230000000</v>
      </c>
      <c r="J74" s="102">
        <v>70000000</v>
      </c>
      <c r="K74" s="139">
        <f t="shared" si="1"/>
        <v>67545044.180367127</v>
      </c>
      <c r="L74" s="105">
        <v>1.7999999999999999E-2</v>
      </c>
      <c r="M74" s="38">
        <v>0</v>
      </c>
      <c r="N74" s="118">
        <f t="shared" si="4"/>
        <v>70190.238735921143</v>
      </c>
      <c r="O74" s="83">
        <v>1.7999999999999999E-2</v>
      </c>
      <c r="P74" s="210">
        <f t="shared" si="2"/>
        <v>70190.238735921143</v>
      </c>
      <c r="Q74" s="153">
        <f t="shared" si="3"/>
        <v>67615234.419103041</v>
      </c>
      <c r="R74" s="104">
        <f t="shared" si="5"/>
        <v>230000000</v>
      </c>
      <c r="S74" s="104">
        <f t="shared" si="6"/>
        <v>137615234.41910303</v>
      </c>
      <c r="T74" s="88"/>
    </row>
    <row r="75" spans="1:20" s="96" customFormat="1" ht="17.25" thickBot="1" x14ac:dyDescent="0.35">
      <c r="A75" s="91"/>
      <c r="B75" s="253"/>
      <c r="C75" s="92">
        <v>12</v>
      </c>
      <c r="D75" s="147">
        <v>0</v>
      </c>
      <c r="E75" s="148">
        <v>0</v>
      </c>
      <c r="F75" s="102">
        <v>300000</v>
      </c>
      <c r="G75" s="133">
        <v>300000</v>
      </c>
      <c r="H75" s="102">
        <v>0</v>
      </c>
      <c r="I75" s="102">
        <v>230000000</v>
      </c>
      <c r="J75" s="102">
        <v>70000000</v>
      </c>
      <c r="K75" s="140">
        <f t="shared" si="1"/>
        <v>69371654.975613728</v>
      </c>
      <c r="L75" s="93">
        <v>1.7999999999999999E-2</v>
      </c>
      <c r="M75" s="38">
        <v>0</v>
      </c>
      <c r="N75" s="118">
        <f t="shared" si="4"/>
        <v>71453.66303316773</v>
      </c>
      <c r="O75" s="94">
        <v>1.7999999999999999E-2</v>
      </c>
      <c r="P75" s="210">
        <f t="shared" si="2"/>
        <v>71453.66303316773</v>
      </c>
      <c r="Q75" s="153">
        <f t="shared" si="3"/>
        <v>69443108.638646901</v>
      </c>
      <c r="R75" s="104">
        <f t="shared" si="5"/>
        <v>230000000</v>
      </c>
      <c r="S75" s="104">
        <f t="shared" si="6"/>
        <v>139443108.6386469</v>
      </c>
      <c r="T75" s="95"/>
    </row>
    <row r="76" spans="1:20" s="26" customFormat="1" x14ac:dyDescent="0.3">
      <c r="A76" s="26">
        <v>7</v>
      </c>
      <c r="B76" s="253">
        <v>2028</v>
      </c>
      <c r="C76" s="27">
        <v>1</v>
      </c>
      <c r="D76" s="147">
        <v>0</v>
      </c>
      <c r="E76" s="147">
        <v>0</v>
      </c>
      <c r="F76" s="102">
        <v>300000</v>
      </c>
      <c r="G76" s="133">
        <v>300000</v>
      </c>
      <c r="H76" s="102">
        <v>0</v>
      </c>
      <c r="I76" s="102">
        <v>230000000</v>
      </c>
      <c r="J76" s="102">
        <v>70000000</v>
      </c>
      <c r="K76" s="139">
        <f t="shared" si="1"/>
        <v>71231144.765174776</v>
      </c>
      <c r="L76" s="105">
        <v>1.7999999999999999E-2</v>
      </c>
      <c r="M76" s="38">
        <v>0</v>
      </c>
      <c r="N76" s="118">
        <f t="shared" si="4"/>
        <v>71739.4776853004</v>
      </c>
      <c r="O76" s="82">
        <v>4.0000000000000001E-3</v>
      </c>
      <c r="P76" s="210">
        <f t="shared" si="2"/>
        <v>71739.4776853004</v>
      </c>
      <c r="Q76" s="153">
        <f t="shared" si="3"/>
        <v>71302884.242860079</v>
      </c>
      <c r="R76" s="104">
        <f t="shared" si="5"/>
        <v>230000000</v>
      </c>
      <c r="S76" s="104">
        <f t="shared" si="6"/>
        <v>141302884.24286008</v>
      </c>
      <c r="T76" s="89"/>
    </row>
    <row r="77" spans="1:20" s="18" customFormat="1" x14ac:dyDescent="0.3">
      <c r="B77" s="253"/>
      <c r="C77" s="28">
        <v>2</v>
      </c>
      <c r="D77" s="147">
        <v>0</v>
      </c>
      <c r="E77" s="147">
        <v>0</v>
      </c>
      <c r="F77" s="102">
        <v>300000</v>
      </c>
      <c r="G77" s="133">
        <v>300000</v>
      </c>
      <c r="H77" s="102">
        <v>0</v>
      </c>
      <c r="I77" s="102">
        <v>230000000</v>
      </c>
      <c r="J77" s="102">
        <v>70000000</v>
      </c>
      <c r="K77" s="139">
        <f t="shared" si="1"/>
        <v>73124105.370947927</v>
      </c>
      <c r="L77" s="105">
        <v>1.7999999999999999E-2</v>
      </c>
      <c r="M77" s="38">
        <v>0</v>
      </c>
      <c r="N77" s="118">
        <f t="shared" si="4"/>
        <v>73030.788283635804</v>
      </c>
      <c r="O77" s="25">
        <v>1.7999999999999999E-2</v>
      </c>
      <c r="P77" s="210">
        <f t="shared" si="2"/>
        <v>73030.788283635804</v>
      </c>
      <c r="Q77" s="153">
        <f t="shared" si="3"/>
        <v>73197136.159231558</v>
      </c>
      <c r="R77" s="104">
        <f t="shared" si="5"/>
        <v>230000000</v>
      </c>
      <c r="S77" s="104">
        <f t="shared" si="6"/>
        <v>143197136.15923154</v>
      </c>
      <c r="T77" s="87"/>
    </row>
    <row r="78" spans="1:20" s="18" customFormat="1" x14ac:dyDescent="0.3">
      <c r="B78" s="253"/>
      <c r="C78" s="28">
        <v>3</v>
      </c>
      <c r="D78" s="147">
        <v>0</v>
      </c>
      <c r="E78" s="147">
        <v>0</v>
      </c>
      <c r="F78" s="102">
        <v>300000</v>
      </c>
      <c r="G78" s="133">
        <v>300000</v>
      </c>
      <c r="H78" s="102">
        <v>0</v>
      </c>
      <c r="I78" s="102">
        <v>230000000</v>
      </c>
      <c r="J78" s="102">
        <v>70000000</v>
      </c>
      <c r="K78" s="139">
        <f t="shared" si="1"/>
        <v>75051139.267624989</v>
      </c>
      <c r="L78" s="105">
        <v>1.7999999999999999E-2</v>
      </c>
      <c r="M78" s="38">
        <v>0</v>
      </c>
      <c r="N78" s="118">
        <f t="shared" si="4"/>
        <v>74345.342472741249</v>
      </c>
      <c r="O78" s="25">
        <v>1.7999999999999999E-2</v>
      </c>
      <c r="P78" s="210">
        <f t="shared" si="2"/>
        <v>74345.342472741249</v>
      </c>
      <c r="Q78" s="153">
        <f t="shared" si="3"/>
        <v>75125484.610097736</v>
      </c>
      <c r="R78" s="104">
        <f t="shared" si="5"/>
        <v>230000000</v>
      </c>
      <c r="S78" s="104">
        <f t="shared" si="6"/>
        <v>145125484.61009774</v>
      </c>
      <c r="T78" s="87"/>
    </row>
    <row r="79" spans="1:20" s="18" customFormat="1" x14ac:dyDescent="0.3">
      <c r="B79" s="253"/>
      <c r="C79" s="28">
        <v>4</v>
      </c>
      <c r="D79" s="147">
        <v>0</v>
      </c>
      <c r="E79" s="147">
        <v>0</v>
      </c>
      <c r="F79" s="102">
        <v>300000</v>
      </c>
      <c r="G79" s="133">
        <v>300000</v>
      </c>
      <c r="H79" s="102">
        <v>0</v>
      </c>
      <c r="I79" s="102">
        <v>230000000</v>
      </c>
      <c r="J79" s="102">
        <v>70000000</v>
      </c>
      <c r="K79" s="139">
        <f t="shared" si="1"/>
        <v>77012859.774442241</v>
      </c>
      <c r="L79" s="105">
        <v>1.7999999999999999E-2</v>
      </c>
      <c r="M79" s="38">
        <v>0</v>
      </c>
      <c r="N79" s="118">
        <f t="shared" si="4"/>
        <v>75683.558637250593</v>
      </c>
      <c r="O79" s="25">
        <v>1.7999999999999999E-2</v>
      </c>
      <c r="P79" s="210">
        <f t="shared" si="2"/>
        <v>75683.558637250593</v>
      </c>
      <c r="Q79" s="153">
        <f t="shared" si="3"/>
        <v>77088543.333079487</v>
      </c>
      <c r="R79" s="104">
        <f t="shared" si="5"/>
        <v>230000000</v>
      </c>
      <c r="S79" s="104">
        <f t="shared" si="6"/>
        <v>147088543.33307949</v>
      </c>
      <c r="T79" s="87"/>
    </row>
    <row r="80" spans="1:20" s="18" customFormat="1" x14ac:dyDescent="0.3">
      <c r="B80" s="253"/>
      <c r="C80" s="28">
        <v>5</v>
      </c>
      <c r="D80" s="147">
        <v>0</v>
      </c>
      <c r="E80" s="147">
        <v>0</v>
      </c>
      <c r="F80" s="102">
        <v>300000</v>
      </c>
      <c r="G80" s="133">
        <v>300000</v>
      </c>
      <c r="H80" s="102">
        <v>0</v>
      </c>
      <c r="I80" s="102">
        <v>230000000</v>
      </c>
      <c r="J80" s="102">
        <v>70000000</v>
      </c>
      <c r="K80" s="139">
        <f t="shared" si="1"/>
        <v>79009891.2503822</v>
      </c>
      <c r="L80" s="105">
        <v>1.7999999999999999E-2</v>
      </c>
      <c r="M80" s="38">
        <v>0</v>
      </c>
      <c r="N80" s="118">
        <f t="shared" si="4"/>
        <v>77045.862692721101</v>
      </c>
      <c r="O80" s="25">
        <v>1.7999999999999999E-2</v>
      </c>
      <c r="P80" s="210">
        <f t="shared" si="2"/>
        <v>77045.862692721101</v>
      </c>
      <c r="Q80" s="153">
        <f t="shared" si="3"/>
        <v>79086937.113074914</v>
      </c>
      <c r="R80" s="104">
        <f t="shared" si="5"/>
        <v>230000000</v>
      </c>
      <c r="S80" s="104">
        <f t="shared" si="6"/>
        <v>149086937.1130749</v>
      </c>
      <c r="T80" s="87"/>
    </row>
    <row r="81" spans="1:20" s="18" customFormat="1" x14ac:dyDescent="0.3">
      <c r="B81" s="253"/>
      <c r="C81" s="28">
        <v>6</v>
      </c>
      <c r="D81" s="147">
        <v>0</v>
      </c>
      <c r="E81" s="147">
        <v>0</v>
      </c>
      <c r="F81" s="102">
        <v>300000</v>
      </c>
      <c r="G81" s="133">
        <v>300000</v>
      </c>
      <c r="H81" s="102">
        <v>0</v>
      </c>
      <c r="I81" s="102">
        <v>230000000</v>
      </c>
      <c r="J81" s="102">
        <v>70000000</v>
      </c>
      <c r="K81" s="139">
        <f t="shared" si="1"/>
        <v>81042869.292889073</v>
      </c>
      <c r="L81" s="105">
        <v>1.7999999999999999E-2</v>
      </c>
      <c r="M81" s="38">
        <v>0</v>
      </c>
      <c r="N81" s="118">
        <f t="shared" si="4"/>
        <v>78432.688221190081</v>
      </c>
      <c r="O81" s="25">
        <v>1.7999999999999999E-2</v>
      </c>
      <c r="P81" s="210">
        <f t="shared" si="2"/>
        <v>78432.688221190081</v>
      </c>
      <c r="Q81" s="153">
        <f t="shared" si="3"/>
        <v>81121301.98111026</v>
      </c>
      <c r="R81" s="104">
        <f t="shared" si="5"/>
        <v>230000000</v>
      </c>
      <c r="S81" s="104">
        <f t="shared" si="6"/>
        <v>151121301.98111027</v>
      </c>
      <c r="T81" s="87"/>
    </row>
    <row r="82" spans="1:20" s="18" customFormat="1" x14ac:dyDescent="0.3">
      <c r="B82" s="253"/>
      <c r="C82" s="28">
        <v>7</v>
      </c>
      <c r="D82" s="147">
        <v>0</v>
      </c>
      <c r="E82" s="147">
        <v>0</v>
      </c>
      <c r="F82" s="102">
        <v>300000</v>
      </c>
      <c r="G82" s="133">
        <v>300000</v>
      </c>
      <c r="H82" s="102">
        <v>0</v>
      </c>
      <c r="I82" s="102">
        <v>230000000</v>
      </c>
      <c r="J82" s="102">
        <v>70000000</v>
      </c>
      <c r="K82" s="139">
        <f t="shared" si="1"/>
        <v>83112440.940161079</v>
      </c>
      <c r="L82" s="105">
        <v>1.7999999999999999E-2</v>
      </c>
      <c r="M82" s="38">
        <v>0</v>
      </c>
      <c r="N82" s="118">
        <f t="shared" si="4"/>
        <v>79844.476609171499</v>
      </c>
      <c r="O82" s="25">
        <v>1.7999999999999999E-2</v>
      </c>
      <c r="P82" s="210">
        <f t="shared" si="2"/>
        <v>79844.476609171499</v>
      </c>
      <c r="Q82" s="153">
        <f t="shared" si="3"/>
        <v>83192285.41677025</v>
      </c>
      <c r="R82" s="104">
        <f t="shared" si="5"/>
        <v>230000000</v>
      </c>
      <c r="S82" s="104">
        <f t="shared" si="6"/>
        <v>153192285.41677025</v>
      </c>
      <c r="T82" s="87"/>
    </row>
    <row r="83" spans="1:20" s="18" customFormat="1" x14ac:dyDescent="0.3">
      <c r="B83" s="253"/>
      <c r="C83" s="28">
        <v>8</v>
      </c>
      <c r="D83" s="147">
        <v>0</v>
      </c>
      <c r="E83" s="147">
        <v>0</v>
      </c>
      <c r="F83" s="102">
        <v>300000</v>
      </c>
      <c r="G83" s="133">
        <v>300000</v>
      </c>
      <c r="H83" s="102">
        <v>0</v>
      </c>
      <c r="I83" s="102">
        <v>230000000</v>
      </c>
      <c r="J83" s="102">
        <v>70000000</v>
      </c>
      <c r="K83" s="139">
        <f t="shared" si="1"/>
        <v>85219264.877083972</v>
      </c>
      <c r="L83" s="105">
        <v>1.7999999999999999E-2</v>
      </c>
      <c r="M83" s="38">
        <v>0</v>
      </c>
      <c r="N83" s="118">
        <f t="shared" si="4"/>
        <v>81281.677188136586</v>
      </c>
      <c r="O83" s="25">
        <v>1.7999999999999999E-2</v>
      </c>
      <c r="P83" s="210">
        <f t="shared" si="2"/>
        <v>81281.677188136586</v>
      </c>
      <c r="Q83" s="153">
        <f t="shared" si="3"/>
        <v>85300546.554272115</v>
      </c>
      <c r="R83" s="104">
        <f t="shared" si="5"/>
        <v>230000000</v>
      </c>
      <c r="S83" s="104">
        <f t="shared" si="6"/>
        <v>155300546.55427212</v>
      </c>
      <c r="T83" s="87"/>
    </row>
    <row r="84" spans="1:20" s="18" customFormat="1" x14ac:dyDescent="0.3">
      <c r="B84" s="253"/>
      <c r="C84" s="28">
        <v>9</v>
      </c>
      <c r="D84" s="147">
        <v>0</v>
      </c>
      <c r="E84" s="147">
        <v>0</v>
      </c>
      <c r="F84" s="102">
        <v>300000</v>
      </c>
      <c r="G84" s="133">
        <v>300000</v>
      </c>
      <c r="H84" s="102">
        <v>0</v>
      </c>
      <c r="I84" s="102">
        <v>230000000</v>
      </c>
      <c r="J84" s="102">
        <v>70000000</v>
      </c>
      <c r="K84" s="139">
        <f t="shared" si="1"/>
        <v>87364011.644871488</v>
      </c>
      <c r="L84" s="105">
        <v>1.7999999999999999E-2</v>
      </c>
      <c r="M84" s="38">
        <v>0</v>
      </c>
      <c r="N84" s="118">
        <f t="shared" si="4"/>
        <v>82744.747377523046</v>
      </c>
      <c r="O84" s="25">
        <v>1.7999999999999999E-2</v>
      </c>
      <c r="P84" s="210">
        <f t="shared" si="2"/>
        <v>82744.747377523046</v>
      </c>
      <c r="Q84" s="153">
        <f t="shared" si="3"/>
        <v>87446756.392249018</v>
      </c>
      <c r="R84" s="104">
        <f t="shared" si="5"/>
        <v>230000000</v>
      </c>
      <c r="S84" s="104">
        <f t="shared" si="6"/>
        <v>157446756.39224902</v>
      </c>
      <c r="T84" s="87"/>
    </row>
    <row r="85" spans="1:20" s="18" customFormat="1" x14ac:dyDescent="0.3">
      <c r="B85" s="253"/>
      <c r="C85" s="28">
        <v>10</v>
      </c>
      <c r="D85" s="147">
        <v>0</v>
      </c>
      <c r="E85" s="147">
        <v>0</v>
      </c>
      <c r="F85" s="102">
        <v>300000</v>
      </c>
      <c r="G85" s="133">
        <v>300000</v>
      </c>
      <c r="H85" s="102">
        <v>0</v>
      </c>
      <c r="I85" s="102">
        <v>230000000</v>
      </c>
      <c r="J85" s="102">
        <v>70000000</v>
      </c>
      <c r="K85" s="139">
        <f t="shared" si="1"/>
        <v>89547363.854479179</v>
      </c>
      <c r="L85" s="105">
        <v>1.7999999999999999E-2</v>
      </c>
      <c r="M85" s="38">
        <v>0</v>
      </c>
      <c r="N85" s="118">
        <f t="shared" si="4"/>
        <v>84234.15283031846</v>
      </c>
      <c r="O85" s="25">
        <v>1.7999999999999999E-2</v>
      </c>
      <c r="P85" s="210">
        <f t="shared" si="2"/>
        <v>84234.15283031846</v>
      </c>
      <c r="Q85" s="153">
        <f t="shared" si="3"/>
        <v>89631598.007309496</v>
      </c>
      <c r="R85" s="104">
        <f t="shared" si="5"/>
        <v>230000000</v>
      </c>
      <c r="S85" s="104">
        <f t="shared" si="6"/>
        <v>159631598.0073095</v>
      </c>
      <c r="T85" s="87"/>
    </row>
    <row r="86" spans="1:20" s="18" customFormat="1" ht="17.25" thickBot="1" x14ac:dyDescent="0.35">
      <c r="B86" s="253"/>
      <c r="C86" s="30">
        <v>11</v>
      </c>
      <c r="D86" s="147">
        <v>0</v>
      </c>
      <c r="E86" s="147">
        <v>0</v>
      </c>
      <c r="F86" s="102">
        <v>300000</v>
      </c>
      <c r="G86" s="133">
        <v>300000</v>
      </c>
      <c r="H86" s="102">
        <v>0</v>
      </c>
      <c r="I86" s="102">
        <v>230000000</v>
      </c>
      <c r="J86" s="102">
        <v>70000000</v>
      </c>
      <c r="K86" s="139">
        <f t="shared" ref="K86:K147" si="8" xml:space="preserve"> (K85 + G86 + F86) + ((K85 + G86 + F86) * L86 )</f>
        <v>91770016.403859809</v>
      </c>
      <c r="L86" s="105">
        <v>1.7999999999999999E-2</v>
      </c>
      <c r="M86" s="38">
        <v>0</v>
      </c>
      <c r="N86" s="118">
        <f t="shared" si="4"/>
        <v>85750.367581264189</v>
      </c>
      <c r="O86" s="83">
        <v>1.7999999999999999E-2</v>
      </c>
      <c r="P86" s="210">
        <f t="shared" ref="P86:P147" si="9" xml:space="preserve"> M86 + N86</f>
        <v>85750.367581264189</v>
      </c>
      <c r="Q86" s="153">
        <f t="shared" ref="Q86:Q147" si="10" xml:space="preserve"> K86 + P86</f>
        <v>91855766.771441072</v>
      </c>
      <c r="R86" s="104">
        <f t="shared" si="5"/>
        <v>230000000</v>
      </c>
      <c r="S86" s="104">
        <f t="shared" si="6"/>
        <v>161855766.77144107</v>
      </c>
      <c r="T86" s="87"/>
    </row>
    <row r="87" spans="1:20" s="97" customFormat="1" ht="17.25" thickBot="1" x14ac:dyDescent="0.35">
      <c r="B87" s="253"/>
      <c r="C87" s="92">
        <v>12</v>
      </c>
      <c r="D87" s="147">
        <v>0</v>
      </c>
      <c r="E87" s="148">
        <v>0</v>
      </c>
      <c r="F87" s="102">
        <v>300000</v>
      </c>
      <c r="G87" s="133">
        <v>300000</v>
      </c>
      <c r="H87" s="102">
        <v>0</v>
      </c>
      <c r="I87" s="102">
        <v>230000000</v>
      </c>
      <c r="J87" s="102">
        <v>70000000</v>
      </c>
      <c r="K87" s="140">
        <f t="shared" si="8"/>
        <v>94032676.699129283</v>
      </c>
      <c r="L87" s="93">
        <v>1.7999999999999999E-2</v>
      </c>
      <c r="M87" s="38">
        <v>0</v>
      </c>
      <c r="N87" s="118">
        <f t="shared" si="4"/>
        <v>87293.874197726938</v>
      </c>
      <c r="O87" s="94">
        <v>1.7999999999999999E-2</v>
      </c>
      <c r="P87" s="210">
        <f t="shared" si="9"/>
        <v>87293.874197726938</v>
      </c>
      <c r="Q87" s="153">
        <f t="shared" si="10"/>
        <v>94119970.573327005</v>
      </c>
      <c r="R87" s="104">
        <f t="shared" si="5"/>
        <v>230000000</v>
      </c>
      <c r="S87" s="104">
        <f t="shared" si="6"/>
        <v>164119970.573327</v>
      </c>
      <c r="T87" s="110"/>
    </row>
    <row r="88" spans="1:20" s="18" customFormat="1" x14ac:dyDescent="0.3">
      <c r="A88" s="18">
        <v>8</v>
      </c>
      <c r="B88" s="253">
        <v>2029</v>
      </c>
      <c r="C88" s="27">
        <v>1</v>
      </c>
      <c r="D88" s="147">
        <v>0</v>
      </c>
      <c r="E88" s="147">
        <v>0</v>
      </c>
      <c r="F88" s="102">
        <v>300000</v>
      </c>
      <c r="G88" s="133">
        <v>300000</v>
      </c>
      <c r="H88" s="102">
        <v>0</v>
      </c>
      <c r="I88" s="102">
        <v>230000000</v>
      </c>
      <c r="J88" s="102">
        <v>70000000</v>
      </c>
      <c r="K88" s="139">
        <f t="shared" si="8"/>
        <v>96336064.87971361</v>
      </c>
      <c r="L88" s="105">
        <v>1.7999999999999999E-2</v>
      </c>
      <c r="M88" s="38">
        <v>0</v>
      </c>
      <c r="N88" s="118">
        <f t="shared" ref="N88:N147" si="11" xml:space="preserve"> (N87 + D88 - E88 - M88) + ((N87 + D88 - E88 - M88) * O88)</f>
        <v>87643.049694517846</v>
      </c>
      <c r="O88" s="82">
        <v>4.0000000000000001E-3</v>
      </c>
      <c r="P88" s="210">
        <f t="shared" si="9"/>
        <v>87643.049694517846</v>
      </c>
      <c r="Q88" s="153">
        <f t="shared" si="10"/>
        <v>96423707.929408133</v>
      </c>
      <c r="R88" s="104">
        <f t="shared" si="5"/>
        <v>230000000</v>
      </c>
      <c r="S88" s="104">
        <f t="shared" si="6"/>
        <v>166423707.92940813</v>
      </c>
      <c r="T88" s="87"/>
    </row>
    <row r="89" spans="1:20" s="18" customFormat="1" x14ac:dyDescent="0.3">
      <c r="B89" s="253"/>
      <c r="C89" s="28">
        <v>2</v>
      </c>
      <c r="D89" s="147">
        <v>0</v>
      </c>
      <c r="E89" s="147">
        <v>0</v>
      </c>
      <c r="F89" s="102">
        <v>300000</v>
      </c>
      <c r="G89" s="133">
        <v>300000</v>
      </c>
      <c r="H89" s="102">
        <v>0</v>
      </c>
      <c r="I89" s="102">
        <v>230000000</v>
      </c>
      <c r="J89" s="102">
        <v>70000000</v>
      </c>
      <c r="K89" s="139">
        <f t="shared" si="8"/>
        <v>98680914.047548458</v>
      </c>
      <c r="L89" s="105">
        <v>1.7999999999999999E-2</v>
      </c>
      <c r="M89" s="38">
        <v>0</v>
      </c>
      <c r="N89" s="118">
        <f t="shared" si="11"/>
        <v>89220.624589019164</v>
      </c>
      <c r="O89" s="25">
        <v>1.7999999999999999E-2</v>
      </c>
      <c r="P89" s="210">
        <f t="shared" si="9"/>
        <v>89220.624589019164</v>
      </c>
      <c r="Q89" s="153">
        <f t="shared" si="10"/>
        <v>98770134.672137484</v>
      </c>
      <c r="R89" s="104">
        <f t="shared" si="5"/>
        <v>230000000</v>
      </c>
      <c r="S89" s="104">
        <f t="shared" si="6"/>
        <v>168770134.6721375</v>
      </c>
      <c r="T89" s="87"/>
    </row>
    <row r="90" spans="1:20" s="18" customFormat="1" x14ac:dyDescent="0.3">
      <c r="B90" s="253"/>
      <c r="C90" s="28">
        <v>3</v>
      </c>
      <c r="D90" s="147">
        <v>0</v>
      </c>
      <c r="E90" s="147">
        <v>0</v>
      </c>
      <c r="F90" s="102">
        <v>300000</v>
      </c>
      <c r="G90" s="133">
        <v>300000</v>
      </c>
      <c r="H90" s="102">
        <v>0</v>
      </c>
      <c r="I90" s="102">
        <v>230000000</v>
      </c>
      <c r="J90" s="102">
        <v>70000000</v>
      </c>
      <c r="K90" s="139">
        <f t="shared" si="8"/>
        <v>101067970.50040433</v>
      </c>
      <c r="L90" s="105">
        <v>1.7999999999999999E-2</v>
      </c>
      <c r="M90" s="38">
        <v>0</v>
      </c>
      <c r="N90" s="118">
        <f t="shared" si="11"/>
        <v>90826.595831621511</v>
      </c>
      <c r="O90" s="25">
        <v>1.7999999999999999E-2</v>
      </c>
      <c r="P90" s="210">
        <f t="shared" si="9"/>
        <v>90826.595831621511</v>
      </c>
      <c r="Q90" s="153">
        <f t="shared" si="10"/>
        <v>101158797.09623595</v>
      </c>
      <c r="R90" s="104">
        <f t="shared" si="5"/>
        <v>230000000</v>
      </c>
      <c r="S90" s="104">
        <f t="shared" si="6"/>
        <v>171158797.09623593</v>
      </c>
      <c r="T90" s="87"/>
    </row>
    <row r="91" spans="1:20" s="18" customFormat="1" x14ac:dyDescent="0.3">
      <c r="B91" s="253"/>
      <c r="C91" s="28">
        <v>4</v>
      </c>
      <c r="D91" s="147">
        <v>0</v>
      </c>
      <c r="E91" s="147">
        <v>0</v>
      </c>
      <c r="F91" s="102">
        <v>300000</v>
      </c>
      <c r="G91" s="133">
        <v>300000</v>
      </c>
      <c r="H91" s="102">
        <v>0</v>
      </c>
      <c r="I91" s="102">
        <v>230000000</v>
      </c>
      <c r="J91" s="102">
        <v>70000000</v>
      </c>
      <c r="K91" s="139">
        <f t="shared" si="8"/>
        <v>103497993.96941161</v>
      </c>
      <c r="L91" s="105">
        <v>1.7999999999999999E-2</v>
      </c>
      <c r="M91" s="38">
        <v>0</v>
      </c>
      <c r="N91" s="118">
        <f t="shared" si="11"/>
        <v>92461.474556590692</v>
      </c>
      <c r="O91" s="25">
        <v>1.7999999999999999E-2</v>
      </c>
      <c r="P91" s="210">
        <f t="shared" si="9"/>
        <v>92461.474556590692</v>
      </c>
      <c r="Q91" s="153">
        <f t="shared" si="10"/>
        <v>103590455.44396821</v>
      </c>
      <c r="R91" s="104">
        <f t="shared" ref="R91:R147" si="12" xml:space="preserve"> H91 + I91</f>
        <v>230000000</v>
      </c>
      <c r="S91" s="104">
        <f t="shared" ref="S91:S147" si="13" xml:space="preserve"> J91 + Q91</f>
        <v>173590455.44396821</v>
      </c>
      <c r="T91" s="87"/>
    </row>
    <row r="92" spans="1:20" s="18" customFormat="1" x14ac:dyDescent="0.3">
      <c r="B92" s="253"/>
      <c r="C92" s="28">
        <v>5</v>
      </c>
      <c r="D92" s="147">
        <v>0</v>
      </c>
      <c r="E92" s="147">
        <v>0</v>
      </c>
      <c r="F92" s="102">
        <v>300000</v>
      </c>
      <c r="G92" s="133">
        <v>300000</v>
      </c>
      <c r="H92" s="102">
        <v>0</v>
      </c>
      <c r="I92" s="102">
        <v>230000000</v>
      </c>
      <c r="J92" s="102">
        <v>70000000</v>
      </c>
      <c r="K92" s="139">
        <f t="shared" si="8"/>
        <v>105971757.86086102</v>
      </c>
      <c r="L92" s="105">
        <v>1.7999999999999999E-2</v>
      </c>
      <c r="M92" s="38">
        <v>0</v>
      </c>
      <c r="N92" s="118">
        <f t="shared" si="11"/>
        <v>94125.781098609325</v>
      </c>
      <c r="O92" s="25">
        <v>1.7999999999999999E-2</v>
      </c>
      <c r="P92" s="210">
        <f t="shared" si="9"/>
        <v>94125.781098609325</v>
      </c>
      <c r="Q92" s="153">
        <f t="shared" si="10"/>
        <v>106065883.64195962</v>
      </c>
      <c r="R92" s="104">
        <f t="shared" si="12"/>
        <v>230000000</v>
      </c>
      <c r="S92" s="104">
        <f t="shared" si="13"/>
        <v>176065883.64195961</v>
      </c>
      <c r="T92" s="87"/>
    </row>
    <row r="93" spans="1:20" s="18" customFormat="1" x14ac:dyDescent="0.3">
      <c r="B93" s="253"/>
      <c r="C93" s="28">
        <v>6</v>
      </c>
      <c r="D93" s="147">
        <v>0</v>
      </c>
      <c r="E93" s="147">
        <v>0</v>
      </c>
      <c r="F93" s="102">
        <v>300000</v>
      </c>
      <c r="G93" s="133">
        <v>300000</v>
      </c>
      <c r="H93" s="102">
        <v>0</v>
      </c>
      <c r="I93" s="102">
        <v>230000000</v>
      </c>
      <c r="J93" s="102">
        <v>70000000</v>
      </c>
      <c r="K93" s="139">
        <f t="shared" si="8"/>
        <v>108490049.50235651</v>
      </c>
      <c r="L93" s="105">
        <v>1.7999999999999999E-2</v>
      </c>
      <c r="M93" s="38">
        <v>0</v>
      </c>
      <c r="N93" s="118">
        <f t="shared" si="11"/>
        <v>95820.045158384295</v>
      </c>
      <c r="O93" s="25">
        <v>1.7999999999999999E-2</v>
      </c>
      <c r="P93" s="210">
        <f t="shared" si="9"/>
        <v>95820.045158384295</v>
      </c>
      <c r="Q93" s="153">
        <f t="shared" si="10"/>
        <v>108585869.5475149</v>
      </c>
      <c r="R93" s="104">
        <f t="shared" si="12"/>
        <v>230000000</v>
      </c>
      <c r="S93" s="104">
        <f t="shared" si="13"/>
        <v>178585869.54751492</v>
      </c>
      <c r="T93" s="87"/>
    </row>
    <row r="94" spans="1:20" s="18" customFormat="1" x14ac:dyDescent="0.3">
      <c r="B94" s="253"/>
      <c r="C94" s="28">
        <v>7</v>
      </c>
      <c r="D94" s="147">
        <v>0</v>
      </c>
      <c r="E94" s="147">
        <v>0</v>
      </c>
      <c r="F94" s="102">
        <v>300000</v>
      </c>
      <c r="G94" s="133">
        <v>300000</v>
      </c>
      <c r="H94" s="102">
        <v>0</v>
      </c>
      <c r="I94" s="102">
        <v>230000000</v>
      </c>
      <c r="J94" s="102">
        <v>70000000</v>
      </c>
      <c r="K94" s="139">
        <f t="shared" si="8"/>
        <v>111053670.39339893</v>
      </c>
      <c r="L94" s="105">
        <v>1.7999999999999999E-2</v>
      </c>
      <c r="M94" s="38">
        <v>0</v>
      </c>
      <c r="N94" s="118">
        <f t="shared" si="11"/>
        <v>97544.805971235211</v>
      </c>
      <c r="O94" s="25">
        <v>1.7999999999999999E-2</v>
      </c>
      <c r="P94" s="210">
        <f t="shared" si="9"/>
        <v>97544.805971235211</v>
      </c>
      <c r="Q94" s="153">
        <f t="shared" si="10"/>
        <v>111151215.19937016</v>
      </c>
      <c r="R94" s="104">
        <f t="shared" si="12"/>
        <v>230000000</v>
      </c>
      <c r="S94" s="104">
        <f t="shared" si="13"/>
        <v>181151215.19937015</v>
      </c>
      <c r="T94" s="87"/>
    </row>
    <row r="95" spans="1:20" s="18" customFormat="1" x14ac:dyDescent="0.3">
      <c r="B95" s="253"/>
      <c r="C95" s="28">
        <v>8</v>
      </c>
      <c r="D95" s="147">
        <v>0</v>
      </c>
      <c r="E95" s="147">
        <v>0</v>
      </c>
      <c r="F95" s="102">
        <v>300000</v>
      </c>
      <c r="G95" s="133">
        <v>300000</v>
      </c>
      <c r="H95" s="102">
        <v>0</v>
      </c>
      <c r="I95" s="102">
        <v>230000000</v>
      </c>
      <c r="J95" s="102">
        <v>70000000</v>
      </c>
      <c r="K95" s="139">
        <f t="shared" si="8"/>
        <v>113663436.46048011</v>
      </c>
      <c r="L95" s="105">
        <v>1.7999999999999999E-2</v>
      </c>
      <c r="M95" s="38">
        <v>0</v>
      </c>
      <c r="N95" s="118">
        <f t="shared" si="11"/>
        <v>99300.612478717449</v>
      </c>
      <c r="O95" s="25">
        <v>1.7999999999999999E-2</v>
      </c>
      <c r="P95" s="210">
        <f t="shared" si="9"/>
        <v>99300.612478717449</v>
      </c>
      <c r="Q95" s="153">
        <f t="shared" si="10"/>
        <v>113762737.07295883</v>
      </c>
      <c r="R95" s="104">
        <f t="shared" si="12"/>
        <v>230000000</v>
      </c>
      <c r="S95" s="104">
        <f t="shared" si="13"/>
        <v>183762737.07295883</v>
      </c>
      <c r="T95" s="87"/>
    </row>
    <row r="96" spans="1:20" s="18" customFormat="1" x14ac:dyDescent="0.3">
      <c r="B96" s="253"/>
      <c r="C96" s="28">
        <v>9</v>
      </c>
      <c r="D96" s="147">
        <v>0</v>
      </c>
      <c r="E96" s="147">
        <v>0</v>
      </c>
      <c r="F96" s="102">
        <v>300000</v>
      </c>
      <c r="G96" s="133">
        <v>300000</v>
      </c>
      <c r="H96" s="102">
        <v>0</v>
      </c>
      <c r="I96" s="102">
        <v>230000000</v>
      </c>
      <c r="J96" s="102">
        <v>70000000</v>
      </c>
      <c r="K96" s="139">
        <f t="shared" si="8"/>
        <v>116320178.31676875</v>
      </c>
      <c r="L96" s="105">
        <v>1.7999999999999999E-2</v>
      </c>
      <c r="M96" s="38">
        <v>0</v>
      </c>
      <c r="N96" s="118">
        <f t="shared" si="11"/>
        <v>101088.02350333436</v>
      </c>
      <c r="O96" s="25">
        <v>1.7999999999999999E-2</v>
      </c>
      <c r="P96" s="210">
        <f t="shared" si="9"/>
        <v>101088.02350333436</v>
      </c>
      <c r="Q96" s="153">
        <f t="shared" si="10"/>
        <v>116421266.34027208</v>
      </c>
      <c r="R96" s="104">
        <f t="shared" si="12"/>
        <v>230000000</v>
      </c>
      <c r="S96" s="104">
        <f t="shared" si="13"/>
        <v>186421266.34027207</v>
      </c>
      <c r="T96" s="87"/>
    </row>
    <row r="97" spans="1:20" s="18" customFormat="1" x14ac:dyDescent="0.3">
      <c r="B97" s="253"/>
      <c r="C97" s="28">
        <v>10</v>
      </c>
      <c r="D97" s="147">
        <v>0</v>
      </c>
      <c r="E97" s="147">
        <v>0</v>
      </c>
      <c r="F97" s="102">
        <v>300000</v>
      </c>
      <c r="G97" s="133">
        <v>300000</v>
      </c>
      <c r="H97" s="102">
        <v>0</v>
      </c>
      <c r="I97" s="102">
        <v>230000000</v>
      </c>
      <c r="J97" s="102">
        <v>70000000</v>
      </c>
      <c r="K97" s="139">
        <f t="shared" si="8"/>
        <v>119024741.52647059</v>
      </c>
      <c r="L97" s="105">
        <v>1.7999999999999999E-2</v>
      </c>
      <c r="M97" s="38">
        <v>0</v>
      </c>
      <c r="N97" s="118">
        <f t="shared" si="11"/>
        <v>102907.60792639438</v>
      </c>
      <c r="O97" s="25">
        <v>1.7999999999999999E-2</v>
      </c>
      <c r="P97" s="210">
        <f t="shared" si="9"/>
        <v>102907.60792639438</v>
      </c>
      <c r="Q97" s="153">
        <f t="shared" si="10"/>
        <v>119127649.13439699</v>
      </c>
      <c r="R97" s="104">
        <f t="shared" si="12"/>
        <v>230000000</v>
      </c>
      <c r="S97" s="104">
        <f t="shared" si="13"/>
        <v>189127649.13439697</v>
      </c>
      <c r="T97" s="87"/>
    </row>
    <row r="98" spans="1:20" s="18" customFormat="1" ht="17.25" thickBot="1" x14ac:dyDescent="0.35">
      <c r="B98" s="253"/>
      <c r="C98" s="30">
        <v>11</v>
      </c>
      <c r="D98" s="147">
        <v>0</v>
      </c>
      <c r="E98" s="147">
        <v>0</v>
      </c>
      <c r="F98" s="102">
        <v>300000</v>
      </c>
      <c r="G98" s="133">
        <v>300000</v>
      </c>
      <c r="H98" s="102">
        <v>0</v>
      </c>
      <c r="I98" s="102">
        <v>230000000</v>
      </c>
      <c r="J98" s="102">
        <v>70000000</v>
      </c>
      <c r="K98" s="139">
        <f t="shared" si="8"/>
        <v>121777986.87394705</v>
      </c>
      <c r="L98" s="105">
        <v>1.7999999999999999E-2</v>
      </c>
      <c r="M98" s="38">
        <v>0</v>
      </c>
      <c r="N98" s="118">
        <f t="shared" si="11"/>
        <v>104759.94486906948</v>
      </c>
      <c r="O98" s="83">
        <v>1.7999999999999999E-2</v>
      </c>
      <c r="P98" s="210">
        <f t="shared" si="9"/>
        <v>104759.94486906948</v>
      </c>
      <c r="Q98" s="153">
        <f t="shared" si="10"/>
        <v>121882746.81881613</v>
      </c>
      <c r="R98" s="104">
        <f t="shared" si="12"/>
        <v>230000000</v>
      </c>
      <c r="S98" s="104">
        <f t="shared" si="13"/>
        <v>191882746.81881613</v>
      </c>
      <c r="T98" s="87"/>
    </row>
    <row r="99" spans="1:20" s="97" customFormat="1" ht="17.25" thickBot="1" x14ac:dyDescent="0.35">
      <c r="B99" s="253"/>
      <c r="C99" s="92">
        <v>12</v>
      </c>
      <c r="D99" s="147">
        <v>0</v>
      </c>
      <c r="E99" s="148">
        <v>0</v>
      </c>
      <c r="F99" s="102">
        <v>300000</v>
      </c>
      <c r="G99" s="133">
        <v>300000</v>
      </c>
      <c r="H99" s="102">
        <v>0</v>
      </c>
      <c r="I99" s="102">
        <v>230000000</v>
      </c>
      <c r="J99" s="102">
        <v>70000000</v>
      </c>
      <c r="K99" s="140">
        <f t="shared" si="8"/>
        <v>124580790.6376781</v>
      </c>
      <c r="L99" s="93">
        <v>1.7999999999999999E-2</v>
      </c>
      <c r="M99" s="38">
        <v>0</v>
      </c>
      <c r="N99" s="118">
        <f t="shared" si="11"/>
        <v>106645.62387671274</v>
      </c>
      <c r="O99" s="94">
        <v>1.7999999999999999E-2</v>
      </c>
      <c r="P99" s="210">
        <f t="shared" si="9"/>
        <v>106645.62387671274</v>
      </c>
      <c r="Q99" s="153">
        <f t="shared" si="10"/>
        <v>124687436.26155481</v>
      </c>
      <c r="R99" s="104">
        <f t="shared" si="12"/>
        <v>230000000</v>
      </c>
      <c r="S99" s="104">
        <f t="shared" si="13"/>
        <v>194687436.26155481</v>
      </c>
      <c r="T99" s="110"/>
    </row>
    <row r="100" spans="1:20" s="18" customFormat="1" x14ac:dyDescent="0.3">
      <c r="A100" s="18">
        <v>9</v>
      </c>
      <c r="B100" s="253">
        <v>2030</v>
      </c>
      <c r="C100" s="27">
        <v>1</v>
      </c>
      <c r="D100" s="147">
        <v>0</v>
      </c>
      <c r="E100" s="147">
        <v>0</v>
      </c>
      <c r="F100" s="102">
        <v>300000</v>
      </c>
      <c r="G100" s="133">
        <v>300000</v>
      </c>
      <c r="H100" s="102">
        <v>0</v>
      </c>
      <c r="I100" s="102">
        <v>230000000</v>
      </c>
      <c r="J100" s="102">
        <v>70000000</v>
      </c>
      <c r="K100" s="139">
        <f t="shared" si="8"/>
        <v>127434044.8691563</v>
      </c>
      <c r="L100" s="105">
        <v>1.7999999999999999E-2</v>
      </c>
      <c r="M100" s="38">
        <v>0</v>
      </c>
      <c r="N100" s="118">
        <f t="shared" si="11"/>
        <v>107072.20637221959</v>
      </c>
      <c r="O100" s="82">
        <v>4.0000000000000001E-3</v>
      </c>
      <c r="P100" s="210">
        <f t="shared" si="9"/>
        <v>107072.20637221959</v>
      </c>
      <c r="Q100" s="153">
        <f t="shared" si="10"/>
        <v>127541117.07552852</v>
      </c>
      <c r="R100" s="104">
        <f t="shared" si="12"/>
        <v>230000000</v>
      </c>
      <c r="S100" s="104">
        <f t="shared" si="13"/>
        <v>197541117.0755285</v>
      </c>
      <c r="T100" s="87"/>
    </row>
    <row r="101" spans="1:20" s="18" customFormat="1" x14ac:dyDescent="0.3">
      <c r="B101" s="253"/>
      <c r="C101" s="28">
        <v>2</v>
      </c>
      <c r="D101" s="147">
        <v>0</v>
      </c>
      <c r="E101" s="147">
        <v>0</v>
      </c>
      <c r="F101" s="102">
        <v>300000</v>
      </c>
      <c r="G101" s="133">
        <v>300000</v>
      </c>
      <c r="H101" s="102">
        <v>0</v>
      </c>
      <c r="I101" s="102">
        <v>230000000</v>
      </c>
      <c r="J101" s="102">
        <v>70000000</v>
      </c>
      <c r="K101" s="139">
        <f t="shared" si="8"/>
        <v>130338657.67680112</v>
      </c>
      <c r="L101" s="105">
        <v>1.7999999999999999E-2</v>
      </c>
      <c r="M101" s="38">
        <v>0</v>
      </c>
      <c r="N101" s="118">
        <f t="shared" si="11"/>
        <v>108999.50608691954</v>
      </c>
      <c r="O101" s="25">
        <v>1.7999999999999999E-2</v>
      </c>
      <c r="P101" s="210">
        <f t="shared" si="9"/>
        <v>108999.50608691954</v>
      </c>
      <c r="Q101" s="153">
        <f t="shared" si="10"/>
        <v>130447657.18288803</v>
      </c>
      <c r="R101" s="104">
        <f t="shared" si="12"/>
        <v>230000000</v>
      </c>
      <c r="S101" s="104">
        <f t="shared" si="13"/>
        <v>200447657.18288803</v>
      </c>
      <c r="T101" s="87"/>
    </row>
    <row r="102" spans="1:20" s="18" customFormat="1" x14ac:dyDescent="0.3">
      <c r="B102" s="253"/>
      <c r="C102" s="28">
        <v>3</v>
      </c>
      <c r="D102" s="147">
        <v>0</v>
      </c>
      <c r="E102" s="147">
        <v>0</v>
      </c>
      <c r="F102" s="102">
        <v>300000</v>
      </c>
      <c r="G102" s="133">
        <v>300000</v>
      </c>
      <c r="H102" s="102">
        <v>0</v>
      </c>
      <c r="I102" s="102">
        <v>230000000</v>
      </c>
      <c r="J102" s="102">
        <v>70000000</v>
      </c>
      <c r="K102" s="139">
        <f t="shared" si="8"/>
        <v>133295553.51498353</v>
      </c>
      <c r="L102" s="105">
        <v>1.7999999999999999E-2</v>
      </c>
      <c r="M102" s="38">
        <v>0</v>
      </c>
      <c r="N102" s="118">
        <f t="shared" si="11"/>
        <v>110961.4971964841</v>
      </c>
      <c r="O102" s="25">
        <v>1.7999999999999999E-2</v>
      </c>
      <c r="P102" s="210">
        <f t="shared" si="9"/>
        <v>110961.4971964841</v>
      </c>
      <c r="Q102" s="153">
        <f t="shared" si="10"/>
        <v>133406515.01218002</v>
      </c>
      <c r="R102" s="104">
        <f t="shared" si="12"/>
        <v>230000000</v>
      </c>
      <c r="S102" s="104">
        <f t="shared" si="13"/>
        <v>203406515.01218003</v>
      </c>
      <c r="T102" s="87"/>
    </row>
    <row r="103" spans="1:20" s="18" customFormat="1" x14ac:dyDescent="0.3">
      <c r="B103" s="253"/>
      <c r="C103" s="28">
        <v>4</v>
      </c>
      <c r="D103" s="147">
        <v>0</v>
      </c>
      <c r="E103" s="147">
        <v>0</v>
      </c>
      <c r="F103" s="102">
        <v>300000</v>
      </c>
      <c r="G103" s="133">
        <v>300000</v>
      </c>
      <c r="H103" s="102">
        <v>0</v>
      </c>
      <c r="I103" s="102">
        <v>230000000</v>
      </c>
      <c r="J103" s="102">
        <v>70000000</v>
      </c>
      <c r="K103" s="139">
        <f t="shared" si="8"/>
        <v>136305673.47825325</v>
      </c>
      <c r="L103" s="105">
        <v>1.7999999999999999E-2</v>
      </c>
      <c r="M103" s="38">
        <v>0</v>
      </c>
      <c r="N103" s="118">
        <f t="shared" si="11"/>
        <v>112958.8041460208</v>
      </c>
      <c r="O103" s="25">
        <v>1.7999999999999999E-2</v>
      </c>
      <c r="P103" s="210">
        <f t="shared" si="9"/>
        <v>112958.8041460208</v>
      </c>
      <c r="Q103" s="153">
        <f t="shared" si="10"/>
        <v>136418632.28239927</v>
      </c>
      <c r="R103" s="104">
        <f t="shared" si="12"/>
        <v>230000000</v>
      </c>
      <c r="S103" s="104">
        <f t="shared" si="13"/>
        <v>206418632.28239927</v>
      </c>
      <c r="T103" s="87"/>
    </row>
    <row r="104" spans="1:20" s="18" customFormat="1" x14ac:dyDescent="0.3">
      <c r="B104" s="253"/>
      <c r="C104" s="28">
        <v>5</v>
      </c>
      <c r="D104" s="147">
        <v>0</v>
      </c>
      <c r="E104" s="147">
        <v>0</v>
      </c>
      <c r="F104" s="102">
        <v>300000</v>
      </c>
      <c r="G104" s="133">
        <v>300000</v>
      </c>
      <c r="H104" s="102">
        <v>0</v>
      </c>
      <c r="I104" s="102">
        <v>230000000</v>
      </c>
      <c r="J104" s="102">
        <v>70000000</v>
      </c>
      <c r="K104" s="139">
        <f t="shared" si="8"/>
        <v>139369975.60086182</v>
      </c>
      <c r="L104" s="105">
        <v>1.7999999999999999E-2</v>
      </c>
      <c r="M104" s="38">
        <v>0</v>
      </c>
      <c r="N104" s="118">
        <f t="shared" si="11"/>
        <v>114992.06262064917</v>
      </c>
      <c r="O104" s="25">
        <v>1.7999999999999999E-2</v>
      </c>
      <c r="P104" s="210">
        <f t="shared" si="9"/>
        <v>114992.06262064917</v>
      </c>
      <c r="Q104" s="153">
        <f t="shared" si="10"/>
        <v>139484967.66348246</v>
      </c>
      <c r="R104" s="104">
        <f t="shared" si="12"/>
        <v>230000000</v>
      </c>
      <c r="S104" s="104">
        <f t="shared" si="13"/>
        <v>209484967.66348246</v>
      </c>
      <c r="T104" s="87"/>
    </row>
    <row r="105" spans="1:20" s="18" customFormat="1" x14ac:dyDescent="0.3">
      <c r="B105" s="253"/>
      <c r="C105" s="28">
        <v>6</v>
      </c>
      <c r="D105" s="147">
        <v>0</v>
      </c>
      <c r="E105" s="147">
        <v>0</v>
      </c>
      <c r="F105" s="102">
        <v>300000</v>
      </c>
      <c r="G105" s="133">
        <v>300000</v>
      </c>
      <c r="H105" s="102">
        <v>0</v>
      </c>
      <c r="I105" s="102">
        <v>230000000</v>
      </c>
      <c r="J105" s="102">
        <v>70000000</v>
      </c>
      <c r="K105" s="139">
        <f t="shared" si="8"/>
        <v>142489435.16167733</v>
      </c>
      <c r="L105" s="105">
        <v>1.7999999999999999E-2</v>
      </c>
      <c r="M105" s="38">
        <v>0</v>
      </c>
      <c r="N105" s="118">
        <f t="shared" si="11"/>
        <v>117061.91974782085</v>
      </c>
      <c r="O105" s="25">
        <v>1.7999999999999999E-2</v>
      </c>
      <c r="P105" s="210">
        <f t="shared" si="9"/>
        <v>117061.91974782085</v>
      </c>
      <c r="Q105" s="153">
        <f t="shared" si="10"/>
        <v>142606497.08142516</v>
      </c>
      <c r="R105" s="104">
        <f t="shared" si="12"/>
        <v>230000000</v>
      </c>
      <c r="S105" s="104">
        <f t="shared" si="13"/>
        <v>212606497.08142516</v>
      </c>
      <c r="T105" s="87"/>
    </row>
    <row r="106" spans="1:20" s="18" customFormat="1" x14ac:dyDescent="0.3">
      <c r="B106" s="253"/>
      <c r="C106" s="28">
        <v>7</v>
      </c>
      <c r="D106" s="147">
        <v>0</v>
      </c>
      <c r="E106" s="147">
        <v>0</v>
      </c>
      <c r="F106" s="102">
        <v>300000</v>
      </c>
      <c r="G106" s="133">
        <v>300000</v>
      </c>
      <c r="H106" s="102">
        <v>0</v>
      </c>
      <c r="I106" s="102">
        <v>230000000</v>
      </c>
      <c r="J106" s="102">
        <v>70000000</v>
      </c>
      <c r="K106" s="139">
        <f t="shared" si="8"/>
        <v>145665044.99458751</v>
      </c>
      <c r="L106" s="105">
        <v>1.7999999999999999E-2</v>
      </c>
      <c r="M106" s="38">
        <v>0</v>
      </c>
      <c r="N106" s="118">
        <f t="shared" si="11"/>
        <v>119169.03430328163</v>
      </c>
      <c r="O106" s="25">
        <v>1.7999999999999999E-2</v>
      </c>
      <c r="P106" s="210">
        <f t="shared" si="9"/>
        <v>119169.03430328163</v>
      </c>
      <c r="Q106" s="153">
        <f t="shared" si="10"/>
        <v>145784214.02889079</v>
      </c>
      <c r="R106" s="104">
        <f t="shared" si="12"/>
        <v>230000000</v>
      </c>
      <c r="S106" s="104">
        <f t="shared" si="13"/>
        <v>215784214.02889079</v>
      </c>
      <c r="T106" s="87"/>
    </row>
    <row r="107" spans="1:20" s="18" customFormat="1" x14ac:dyDescent="0.3">
      <c r="B107" s="253"/>
      <c r="C107" s="28">
        <v>8</v>
      </c>
      <c r="D107" s="147">
        <v>0</v>
      </c>
      <c r="E107" s="147">
        <v>0</v>
      </c>
      <c r="F107" s="102">
        <v>300000</v>
      </c>
      <c r="G107" s="133">
        <v>300000</v>
      </c>
      <c r="H107" s="102">
        <v>0</v>
      </c>
      <c r="I107" s="102">
        <v>230000000</v>
      </c>
      <c r="J107" s="102">
        <v>70000000</v>
      </c>
      <c r="K107" s="139">
        <f t="shared" si="8"/>
        <v>148897815.80449009</v>
      </c>
      <c r="L107" s="105">
        <v>1.7999999999999999E-2</v>
      </c>
      <c r="M107" s="38">
        <v>0</v>
      </c>
      <c r="N107" s="118">
        <f t="shared" si="11"/>
        <v>121314.0769207407</v>
      </c>
      <c r="O107" s="25">
        <v>1.7999999999999999E-2</v>
      </c>
      <c r="P107" s="210">
        <f t="shared" si="9"/>
        <v>121314.0769207407</v>
      </c>
      <c r="Q107" s="153">
        <f t="shared" si="10"/>
        <v>149019129.88141084</v>
      </c>
      <c r="R107" s="104">
        <f t="shared" si="12"/>
        <v>230000000</v>
      </c>
      <c r="S107" s="104">
        <f t="shared" si="13"/>
        <v>219019129.88141084</v>
      </c>
      <c r="T107" s="87"/>
    </row>
    <row r="108" spans="1:20" s="18" customFormat="1" x14ac:dyDescent="0.3">
      <c r="B108" s="253"/>
      <c r="C108" s="28">
        <v>9</v>
      </c>
      <c r="D108" s="147">
        <v>0</v>
      </c>
      <c r="E108" s="147">
        <v>0</v>
      </c>
      <c r="F108" s="102">
        <v>300000</v>
      </c>
      <c r="G108" s="133">
        <v>300000</v>
      </c>
      <c r="H108" s="102">
        <v>0</v>
      </c>
      <c r="I108" s="102">
        <v>230000000</v>
      </c>
      <c r="J108" s="102">
        <v>70000000</v>
      </c>
      <c r="K108" s="139">
        <f t="shared" si="8"/>
        <v>152188776.48897091</v>
      </c>
      <c r="L108" s="105">
        <v>1.7999999999999999E-2</v>
      </c>
      <c r="M108" s="38">
        <v>0</v>
      </c>
      <c r="N108" s="118">
        <f t="shared" si="11"/>
        <v>123497.73030531403</v>
      </c>
      <c r="O108" s="25">
        <v>1.7999999999999999E-2</v>
      </c>
      <c r="P108" s="210">
        <f t="shared" si="9"/>
        <v>123497.73030531403</v>
      </c>
      <c r="Q108" s="153">
        <f t="shared" si="10"/>
        <v>152312274.21927622</v>
      </c>
      <c r="R108" s="104">
        <f t="shared" si="12"/>
        <v>230000000</v>
      </c>
      <c r="S108" s="104">
        <f t="shared" si="13"/>
        <v>222312274.21927622</v>
      </c>
      <c r="T108" s="87"/>
    </row>
    <row r="109" spans="1:20" s="18" customFormat="1" x14ac:dyDescent="0.3">
      <c r="B109" s="253"/>
      <c r="C109" s="28">
        <v>10</v>
      </c>
      <c r="D109" s="147">
        <v>0</v>
      </c>
      <c r="E109" s="147">
        <v>0</v>
      </c>
      <c r="F109" s="102">
        <v>300000</v>
      </c>
      <c r="G109" s="133">
        <v>300000</v>
      </c>
      <c r="H109" s="102">
        <v>0</v>
      </c>
      <c r="I109" s="102">
        <v>230000000</v>
      </c>
      <c r="J109" s="102">
        <v>70000000</v>
      </c>
      <c r="K109" s="139">
        <f t="shared" si="8"/>
        <v>155538974.46577239</v>
      </c>
      <c r="L109" s="105">
        <v>1.7999999999999999E-2</v>
      </c>
      <c r="M109" s="38">
        <v>0</v>
      </c>
      <c r="N109" s="118">
        <f t="shared" si="11"/>
        <v>125720.68945080969</v>
      </c>
      <c r="O109" s="25">
        <v>1.7999999999999999E-2</v>
      </c>
      <c r="P109" s="210">
        <f t="shared" si="9"/>
        <v>125720.68945080969</v>
      </c>
      <c r="Q109" s="153">
        <f t="shared" si="10"/>
        <v>155664695.15522319</v>
      </c>
      <c r="R109" s="104">
        <f t="shared" si="12"/>
        <v>230000000</v>
      </c>
      <c r="S109" s="104">
        <f t="shared" si="13"/>
        <v>225664695.15522319</v>
      </c>
      <c r="T109" s="87"/>
    </row>
    <row r="110" spans="1:20" s="18" customFormat="1" ht="17.25" thickBot="1" x14ac:dyDescent="0.35">
      <c r="B110" s="253"/>
      <c r="C110" s="30">
        <v>11</v>
      </c>
      <c r="D110" s="147">
        <v>0</v>
      </c>
      <c r="E110" s="147">
        <v>0</v>
      </c>
      <c r="F110" s="102">
        <v>300000</v>
      </c>
      <c r="G110" s="133">
        <v>300000</v>
      </c>
      <c r="H110" s="102">
        <v>0</v>
      </c>
      <c r="I110" s="102">
        <v>230000000</v>
      </c>
      <c r="J110" s="102">
        <v>70000000</v>
      </c>
      <c r="K110" s="139">
        <f t="shared" si="8"/>
        <v>158949476.0061563</v>
      </c>
      <c r="L110" s="105">
        <v>1.7999999999999999E-2</v>
      </c>
      <c r="M110" s="38">
        <v>0</v>
      </c>
      <c r="N110" s="118">
        <f t="shared" si="11"/>
        <v>127983.66186092426</v>
      </c>
      <c r="O110" s="83">
        <v>1.7999999999999999E-2</v>
      </c>
      <c r="P110" s="210">
        <f t="shared" si="9"/>
        <v>127983.66186092426</v>
      </c>
      <c r="Q110" s="153">
        <f t="shared" si="10"/>
        <v>159077459.66801721</v>
      </c>
      <c r="R110" s="104">
        <f t="shared" si="12"/>
        <v>230000000</v>
      </c>
      <c r="S110" s="104">
        <f t="shared" si="13"/>
        <v>229077459.66801721</v>
      </c>
      <c r="T110" s="87"/>
    </row>
    <row r="111" spans="1:20" s="97" customFormat="1" ht="17.25" thickBot="1" x14ac:dyDescent="0.35">
      <c r="B111" s="253"/>
      <c r="C111" s="92">
        <v>12</v>
      </c>
      <c r="D111" s="147">
        <v>0</v>
      </c>
      <c r="E111" s="148">
        <v>0</v>
      </c>
      <c r="F111" s="102">
        <v>300000</v>
      </c>
      <c r="G111" s="133">
        <v>300000</v>
      </c>
      <c r="H111" s="102">
        <v>0</v>
      </c>
      <c r="I111" s="102">
        <v>230000000</v>
      </c>
      <c r="J111" s="102">
        <v>70000000</v>
      </c>
      <c r="K111" s="140">
        <f t="shared" si="8"/>
        <v>162421366.57426712</v>
      </c>
      <c r="L111" s="93">
        <v>1.7999999999999999E-2</v>
      </c>
      <c r="M111" s="38">
        <v>0</v>
      </c>
      <c r="N111" s="118">
        <f t="shared" si="11"/>
        <v>130287.3677744209</v>
      </c>
      <c r="O111" s="94">
        <v>1.7999999999999999E-2</v>
      </c>
      <c r="P111" s="210">
        <f t="shared" si="9"/>
        <v>130287.3677744209</v>
      </c>
      <c r="Q111" s="153">
        <f t="shared" si="10"/>
        <v>162551653.94204155</v>
      </c>
      <c r="R111" s="104">
        <f t="shared" si="12"/>
        <v>230000000</v>
      </c>
      <c r="S111" s="104">
        <f t="shared" si="13"/>
        <v>232551653.94204155</v>
      </c>
      <c r="T111" s="110"/>
    </row>
    <row r="112" spans="1:20" s="18" customFormat="1" x14ac:dyDescent="0.3">
      <c r="A112" s="18">
        <v>10</v>
      </c>
      <c r="B112" s="253">
        <v>2031</v>
      </c>
      <c r="C112" s="27">
        <v>1</v>
      </c>
      <c r="D112" s="147">
        <v>0</v>
      </c>
      <c r="E112" s="147">
        <v>0</v>
      </c>
      <c r="F112" s="102">
        <v>300000</v>
      </c>
      <c r="G112" s="133">
        <v>300000</v>
      </c>
      <c r="H112" s="102">
        <v>0</v>
      </c>
      <c r="I112" s="102">
        <v>230000000</v>
      </c>
      <c r="J112" s="102">
        <v>70000000</v>
      </c>
      <c r="K112" s="139">
        <f t="shared" si="8"/>
        <v>165955751.17260394</v>
      </c>
      <c r="L112" s="105">
        <v>1.7999999999999999E-2</v>
      </c>
      <c r="M112" s="38">
        <v>0</v>
      </c>
      <c r="N112" s="118">
        <f t="shared" si="11"/>
        <v>130808.51724551858</v>
      </c>
      <c r="O112" s="82">
        <v>4.0000000000000001E-3</v>
      </c>
      <c r="P112" s="210">
        <f t="shared" si="9"/>
        <v>130808.51724551858</v>
      </c>
      <c r="Q112" s="153">
        <f t="shared" si="10"/>
        <v>166086559.68984947</v>
      </c>
      <c r="R112" s="104">
        <f t="shared" si="12"/>
        <v>230000000</v>
      </c>
      <c r="S112" s="104">
        <f t="shared" si="13"/>
        <v>236086559.68984947</v>
      </c>
      <c r="T112" s="87"/>
    </row>
    <row r="113" spans="1:20" s="18" customFormat="1" x14ac:dyDescent="0.3">
      <c r="B113" s="253"/>
      <c r="C113" s="28">
        <v>2</v>
      </c>
      <c r="D113" s="147">
        <v>0</v>
      </c>
      <c r="E113" s="147">
        <v>0</v>
      </c>
      <c r="F113" s="102">
        <v>300000</v>
      </c>
      <c r="G113" s="133">
        <v>300000</v>
      </c>
      <c r="H113" s="102">
        <v>0</v>
      </c>
      <c r="I113" s="102">
        <v>230000000</v>
      </c>
      <c r="J113" s="102">
        <v>70000000</v>
      </c>
      <c r="K113" s="139">
        <f t="shared" si="8"/>
        <v>169553754.6937108</v>
      </c>
      <c r="L113" s="105">
        <v>1.7999999999999999E-2</v>
      </c>
      <c r="M113" s="38">
        <v>0</v>
      </c>
      <c r="N113" s="118">
        <f t="shared" si="11"/>
        <v>133163.07055593791</v>
      </c>
      <c r="O113" s="25">
        <v>1.7999999999999999E-2</v>
      </c>
      <c r="P113" s="210">
        <f t="shared" si="9"/>
        <v>133163.07055593791</v>
      </c>
      <c r="Q113" s="153">
        <f t="shared" si="10"/>
        <v>169686917.76426673</v>
      </c>
      <c r="R113" s="104">
        <f t="shared" si="12"/>
        <v>230000000</v>
      </c>
      <c r="S113" s="104">
        <f t="shared" si="13"/>
        <v>239686917.76426673</v>
      </c>
      <c r="T113" s="87"/>
    </row>
    <row r="114" spans="1:20" s="18" customFormat="1" x14ac:dyDescent="0.3">
      <c r="B114" s="253"/>
      <c r="C114" s="28">
        <v>3</v>
      </c>
      <c r="D114" s="147">
        <v>0</v>
      </c>
      <c r="E114" s="147">
        <v>0</v>
      </c>
      <c r="F114" s="102">
        <v>300000</v>
      </c>
      <c r="G114" s="133">
        <v>300000</v>
      </c>
      <c r="H114" s="102">
        <v>0</v>
      </c>
      <c r="I114" s="102">
        <v>230000000</v>
      </c>
      <c r="J114" s="102">
        <v>70000000</v>
      </c>
      <c r="K114" s="139">
        <f t="shared" si="8"/>
        <v>173216522.27819759</v>
      </c>
      <c r="L114" s="105">
        <v>1.7999999999999999E-2</v>
      </c>
      <c r="M114" s="38">
        <v>0</v>
      </c>
      <c r="N114" s="118">
        <f t="shared" si="11"/>
        <v>135560.0058259448</v>
      </c>
      <c r="O114" s="25">
        <v>1.7999999999999999E-2</v>
      </c>
      <c r="P114" s="210">
        <f t="shared" si="9"/>
        <v>135560.0058259448</v>
      </c>
      <c r="Q114" s="153">
        <f t="shared" si="10"/>
        <v>173352082.28402352</v>
      </c>
      <c r="R114" s="104">
        <f t="shared" si="12"/>
        <v>230000000</v>
      </c>
      <c r="S114" s="104">
        <f t="shared" si="13"/>
        <v>243352082.28402352</v>
      </c>
      <c r="T114" s="87"/>
    </row>
    <row r="115" spans="1:20" s="18" customFormat="1" x14ac:dyDescent="0.3">
      <c r="B115" s="253"/>
      <c r="C115" s="28">
        <v>4</v>
      </c>
      <c r="D115" s="147">
        <v>0</v>
      </c>
      <c r="E115" s="147">
        <v>0</v>
      </c>
      <c r="F115" s="102">
        <v>300000</v>
      </c>
      <c r="G115" s="133">
        <v>300000</v>
      </c>
      <c r="H115" s="102">
        <v>0</v>
      </c>
      <c r="I115" s="102">
        <v>230000000</v>
      </c>
      <c r="J115" s="102">
        <v>70000000</v>
      </c>
      <c r="K115" s="139">
        <f t="shared" si="8"/>
        <v>176945219.67920515</v>
      </c>
      <c r="L115" s="105">
        <v>1.7999999999999999E-2</v>
      </c>
      <c r="M115" s="38">
        <v>0</v>
      </c>
      <c r="N115" s="118">
        <f t="shared" si="11"/>
        <v>138000.08593081179</v>
      </c>
      <c r="O115" s="25">
        <v>1.7999999999999999E-2</v>
      </c>
      <c r="P115" s="210">
        <f t="shared" si="9"/>
        <v>138000.08593081179</v>
      </c>
      <c r="Q115" s="153">
        <f t="shared" si="10"/>
        <v>177083219.76513597</v>
      </c>
      <c r="R115" s="104">
        <f t="shared" si="12"/>
        <v>230000000</v>
      </c>
      <c r="S115" s="104">
        <f t="shared" si="13"/>
        <v>247083219.76513597</v>
      </c>
      <c r="T115" s="87"/>
    </row>
    <row r="116" spans="1:20" s="18" customFormat="1" x14ac:dyDescent="0.3">
      <c r="B116" s="253"/>
      <c r="C116" s="28">
        <v>5</v>
      </c>
      <c r="D116" s="147">
        <v>0</v>
      </c>
      <c r="E116" s="147">
        <v>0</v>
      </c>
      <c r="F116" s="102">
        <v>300000</v>
      </c>
      <c r="G116" s="133">
        <v>300000</v>
      </c>
      <c r="H116" s="102">
        <v>0</v>
      </c>
      <c r="I116" s="102">
        <v>230000000</v>
      </c>
      <c r="J116" s="102">
        <v>70000000</v>
      </c>
      <c r="K116" s="139">
        <f t="shared" si="8"/>
        <v>180741033.63343084</v>
      </c>
      <c r="L116" s="105">
        <v>1.7999999999999999E-2</v>
      </c>
      <c r="M116" s="38">
        <v>0</v>
      </c>
      <c r="N116" s="118">
        <f t="shared" si="11"/>
        <v>140484.08747756641</v>
      </c>
      <c r="O116" s="25">
        <v>1.7999999999999999E-2</v>
      </c>
      <c r="P116" s="210">
        <f t="shared" si="9"/>
        <v>140484.08747756641</v>
      </c>
      <c r="Q116" s="153">
        <f t="shared" si="10"/>
        <v>180881517.7209084</v>
      </c>
      <c r="R116" s="104">
        <f t="shared" si="12"/>
        <v>230000000</v>
      </c>
      <c r="S116" s="104">
        <f t="shared" si="13"/>
        <v>250881517.7209084</v>
      </c>
      <c r="T116" s="87"/>
    </row>
    <row r="117" spans="1:20" s="18" customFormat="1" x14ac:dyDescent="0.3">
      <c r="B117" s="253"/>
      <c r="C117" s="28">
        <v>6</v>
      </c>
      <c r="D117" s="147">
        <v>0</v>
      </c>
      <c r="E117" s="147">
        <v>0</v>
      </c>
      <c r="F117" s="102">
        <v>300000</v>
      </c>
      <c r="G117" s="133">
        <v>300000</v>
      </c>
      <c r="H117" s="102">
        <v>0</v>
      </c>
      <c r="I117" s="102">
        <v>230000000</v>
      </c>
      <c r="J117" s="102">
        <v>70000000</v>
      </c>
      <c r="K117" s="139">
        <f t="shared" si="8"/>
        <v>184605172.23883259</v>
      </c>
      <c r="L117" s="105">
        <v>1.7999999999999999E-2</v>
      </c>
      <c r="M117" s="38">
        <v>0</v>
      </c>
      <c r="N117" s="118">
        <f t="shared" si="11"/>
        <v>143012.8010521626</v>
      </c>
      <c r="O117" s="25">
        <v>1.7999999999999999E-2</v>
      </c>
      <c r="P117" s="210">
        <f t="shared" si="9"/>
        <v>143012.8010521626</v>
      </c>
      <c r="Q117" s="153">
        <f t="shared" si="10"/>
        <v>184748185.03988475</v>
      </c>
      <c r="R117" s="104">
        <f t="shared" si="12"/>
        <v>230000000</v>
      </c>
      <c r="S117" s="104">
        <f t="shared" si="13"/>
        <v>254748185.03988475</v>
      </c>
      <c r="T117" s="87"/>
    </row>
    <row r="118" spans="1:20" s="18" customFormat="1" x14ac:dyDescent="0.3">
      <c r="B118" s="253"/>
      <c r="C118" s="28">
        <v>7</v>
      </c>
      <c r="D118" s="147">
        <v>0</v>
      </c>
      <c r="E118" s="147">
        <v>0</v>
      </c>
      <c r="F118" s="102">
        <v>300000</v>
      </c>
      <c r="G118" s="133">
        <v>300000</v>
      </c>
      <c r="H118" s="102">
        <v>0</v>
      </c>
      <c r="I118" s="102">
        <v>230000000</v>
      </c>
      <c r="J118" s="102">
        <v>70000000</v>
      </c>
      <c r="K118" s="139">
        <f t="shared" si="8"/>
        <v>188538865.33913159</v>
      </c>
      <c r="L118" s="105">
        <v>1.7999999999999999E-2</v>
      </c>
      <c r="M118" s="38">
        <v>0</v>
      </c>
      <c r="N118" s="118">
        <f t="shared" si="11"/>
        <v>145587.03147110154</v>
      </c>
      <c r="O118" s="25">
        <v>1.7999999999999999E-2</v>
      </c>
      <c r="P118" s="210">
        <f t="shared" si="9"/>
        <v>145587.03147110154</v>
      </c>
      <c r="Q118" s="153">
        <f t="shared" si="10"/>
        <v>188684452.3706027</v>
      </c>
      <c r="R118" s="104">
        <f t="shared" si="12"/>
        <v>230000000</v>
      </c>
      <c r="S118" s="104">
        <f t="shared" si="13"/>
        <v>258684452.3706027</v>
      </c>
      <c r="T118" s="87"/>
    </row>
    <row r="119" spans="1:20" s="18" customFormat="1" x14ac:dyDescent="0.3">
      <c r="B119" s="253"/>
      <c r="C119" s="28">
        <v>8</v>
      </c>
      <c r="D119" s="147">
        <v>0</v>
      </c>
      <c r="E119" s="147">
        <v>0</v>
      </c>
      <c r="F119" s="102">
        <v>300000</v>
      </c>
      <c r="G119" s="133">
        <v>300000</v>
      </c>
      <c r="H119" s="102">
        <v>0</v>
      </c>
      <c r="I119" s="102">
        <v>230000000</v>
      </c>
      <c r="J119" s="102">
        <v>70000000</v>
      </c>
      <c r="K119" s="139">
        <f t="shared" si="8"/>
        <v>192543364.91523597</v>
      </c>
      <c r="L119" s="105">
        <v>1.7999999999999999E-2</v>
      </c>
      <c r="M119" s="38">
        <v>0</v>
      </c>
      <c r="N119" s="118">
        <f t="shared" si="11"/>
        <v>148207.59803758137</v>
      </c>
      <c r="O119" s="25">
        <v>1.7999999999999999E-2</v>
      </c>
      <c r="P119" s="210">
        <f t="shared" si="9"/>
        <v>148207.59803758137</v>
      </c>
      <c r="Q119" s="153">
        <f t="shared" si="10"/>
        <v>192691572.51327354</v>
      </c>
      <c r="R119" s="104">
        <f t="shared" si="12"/>
        <v>230000000</v>
      </c>
      <c r="S119" s="104">
        <f t="shared" si="13"/>
        <v>262691572.51327354</v>
      </c>
      <c r="T119" s="87"/>
    </row>
    <row r="120" spans="1:20" s="18" customFormat="1" x14ac:dyDescent="0.3">
      <c r="B120" s="253"/>
      <c r="C120" s="28">
        <v>9</v>
      </c>
      <c r="D120" s="147">
        <v>0</v>
      </c>
      <c r="E120" s="147">
        <v>0</v>
      </c>
      <c r="F120" s="102">
        <v>300000</v>
      </c>
      <c r="G120" s="133">
        <v>300000</v>
      </c>
      <c r="H120" s="102">
        <v>0</v>
      </c>
      <c r="I120" s="102">
        <v>230000000</v>
      </c>
      <c r="J120" s="102">
        <v>70000000</v>
      </c>
      <c r="K120" s="139">
        <f t="shared" si="8"/>
        <v>196619945.4837102</v>
      </c>
      <c r="L120" s="105">
        <v>1.7999999999999999E-2</v>
      </c>
      <c r="M120" s="38">
        <v>0</v>
      </c>
      <c r="N120" s="118">
        <f t="shared" si="11"/>
        <v>150875.33480225783</v>
      </c>
      <c r="O120" s="25">
        <v>1.7999999999999999E-2</v>
      </c>
      <c r="P120" s="210">
        <f t="shared" si="9"/>
        <v>150875.33480225783</v>
      </c>
      <c r="Q120" s="153">
        <f t="shared" si="10"/>
        <v>196770820.81851247</v>
      </c>
      <c r="R120" s="104">
        <f t="shared" si="12"/>
        <v>230000000</v>
      </c>
      <c r="S120" s="104">
        <f t="shared" si="13"/>
        <v>266770820.81851247</v>
      </c>
      <c r="T120" s="87"/>
    </row>
    <row r="121" spans="1:20" s="18" customFormat="1" x14ac:dyDescent="0.3">
      <c r="B121" s="253"/>
      <c r="C121" s="28">
        <v>10</v>
      </c>
      <c r="D121" s="147">
        <v>0</v>
      </c>
      <c r="E121" s="147">
        <v>0</v>
      </c>
      <c r="F121" s="102">
        <v>300000</v>
      </c>
      <c r="G121" s="133">
        <v>300000</v>
      </c>
      <c r="H121" s="102">
        <v>0</v>
      </c>
      <c r="I121" s="102">
        <v>230000000</v>
      </c>
      <c r="J121" s="102">
        <v>70000000</v>
      </c>
      <c r="K121" s="139">
        <f t="shared" si="8"/>
        <v>200769904.50241697</v>
      </c>
      <c r="L121" s="105">
        <v>1.7999999999999999E-2</v>
      </c>
      <c r="M121" s="38">
        <v>0</v>
      </c>
      <c r="N121" s="118">
        <f t="shared" si="11"/>
        <v>153591.09082869848</v>
      </c>
      <c r="O121" s="25">
        <v>1.7999999999999999E-2</v>
      </c>
      <c r="P121" s="210">
        <f t="shared" si="9"/>
        <v>153591.09082869848</v>
      </c>
      <c r="Q121" s="153">
        <f t="shared" si="10"/>
        <v>200923495.59324566</v>
      </c>
      <c r="R121" s="104">
        <f t="shared" si="12"/>
        <v>230000000</v>
      </c>
      <c r="S121" s="104">
        <f t="shared" si="13"/>
        <v>270923495.59324563</v>
      </c>
      <c r="T121" s="87"/>
    </row>
    <row r="122" spans="1:20" s="18" customFormat="1" ht="17.25" thickBot="1" x14ac:dyDescent="0.35">
      <c r="B122" s="253"/>
      <c r="C122" s="30">
        <v>11</v>
      </c>
      <c r="D122" s="147">
        <v>0</v>
      </c>
      <c r="E122" s="147">
        <v>0</v>
      </c>
      <c r="F122" s="102">
        <v>300000</v>
      </c>
      <c r="G122" s="133">
        <v>300000</v>
      </c>
      <c r="H122" s="102">
        <v>0</v>
      </c>
      <c r="I122" s="102">
        <v>230000000</v>
      </c>
      <c r="J122" s="102">
        <v>70000000</v>
      </c>
      <c r="K122" s="139">
        <f t="shared" si="8"/>
        <v>204994562.78346047</v>
      </c>
      <c r="L122" s="105">
        <v>1.7999999999999999E-2</v>
      </c>
      <c r="M122" s="38">
        <v>0</v>
      </c>
      <c r="N122" s="118">
        <f t="shared" si="11"/>
        <v>156355.73046361504</v>
      </c>
      <c r="O122" s="83">
        <v>1.7999999999999999E-2</v>
      </c>
      <c r="P122" s="210">
        <f t="shared" si="9"/>
        <v>156355.73046361504</v>
      </c>
      <c r="Q122" s="153">
        <f t="shared" si="10"/>
        <v>205150918.51392409</v>
      </c>
      <c r="R122" s="104">
        <f t="shared" si="12"/>
        <v>230000000</v>
      </c>
      <c r="S122" s="104">
        <f t="shared" si="13"/>
        <v>275150918.51392412</v>
      </c>
      <c r="T122" s="87"/>
    </row>
    <row r="123" spans="1:20" s="97" customFormat="1" ht="17.25" thickBot="1" x14ac:dyDescent="0.35">
      <c r="B123" s="253"/>
      <c r="C123" s="92">
        <v>12</v>
      </c>
      <c r="D123" s="147">
        <v>0</v>
      </c>
      <c r="E123" s="148">
        <v>0</v>
      </c>
      <c r="F123" s="102">
        <v>300000</v>
      </c>
      <c r="G123" s="133">
        <v>300000</v>
      </c>
      <c r="H123" s="102">
        <v>0</v>
      </c>
      <c r="I123" s="102">
        <v>230000000</v>
      </c>
      <c r="J123" s="102">
        <v>70000000</v>
      </c>
      <c r="K123" s="140">
        <f t="shared" si="8"/>
        <v>209295264.91356274</v>
      </c>
      <c r="L123" s="93">
        <v>1.7999999999999999E-2</v>
      </c>
      <c r="M123" s="38">
        <v>0</v>
      </c>
      <c r="N123" s="118">
        <f t="shared" si="11"/>
        <v>159170.1336119601</v>
      </c>
      <c r="O123" s="94">
        <v>1.7999999999999999E-2</v>
      </c>
      <c r="P123" s="210">
        <f t="shared" si="9"/>
        <v>159170.1336119601</v>
      </c>
      <c r="Q123" s="153">
        <f t="shared" si="10"/>
        <v>209454435.04717469</v>
      </c>
      <c r="R123" s="104">
        <f t="shared" si="12"/>
        <v>230000000</v>
      </c>
      <c r="S123" s="104">
        <f t="shared" si="13"/>
        <v>279454435.04717469</v>
      </c>
      <c r="T123" s="110"/>
    </row>
    <row r="124" spans="1:20" s="18" customFormat="1" x14ac:dyDescent="0.3">
      <c r="A124" s="18">
        <v>11</v>
      </c>
      <c r="B124" s="253">
        <v>2032</v>
      </c>
      <c r="C124" s="27">
        <v>1</v>
      </c>
      <c r="D124" s="147">
        <v>0</v>
      </c>
      <c r="E124" s="147">
        <v>0</v>
      </c>
      <c r="F124" s="102">
        <v>300000</v>
      </c>
      <c r="G124" s="133">
        <v>300000</v>
      </c>
      <c r="H124" s="102">
        <v>0</v>
      </c>
      <c r="I124" s="102">
        <v>230000000</v>
      </c>
      <c r="J124" s="102">
        <v>70000000</v>
      </c>
      <c r="K124" s="139">
        <f t="shared" si="8"/>
        <v>213673379.68200687</v>
      </c>
      <c r="L124" s="105">
        <v>1.7999999999999999E-2</v>
      </c>
      <c r="M124" s="38">
        <v>0</v>
      </c>
      <c r="N124" s="118">
        <f t="shared" si="11"/>
        <v>159806.81414640794</v>
      </c>
      <c r="O124" s="82">
        <v>4.0000000000000001E-3</v>
      </c>
      <c r="P124" s="210">
        <f t="shared" si="9"/>
        <v>159806.81414640794</v>
      </c>
      <c r="Q124" s="153">
        <f t="shared" si="10"/>
        <v>213833186.49615327</v>
      </c>
      <c r="R124" s="104">
        <f t="shared" si="12"/>
        <v>230000000</v>
      </c>
      <c r="S124" s="104">
        <f t="shared" si="13"/>
        <v>283833186.49615324</v>
      </c>
      <c r="T124" s="87"/>
    </row>
    <row r="125" spans="1:20" s="18" customFormat="1" x14ac:dyDescent="0.3">
      <c r="B125" s="253"/>
      <c r="C125" s="28">
        <v>2</v>
      </c>
      <c r="D125" s="147">
        <v>0</v>
      </c>
      <c r="E125" s="147">
        <v>0</v>
      </c>
      <c r="F125" s="102">
        <v>300000</v>
      </c>
      <c r="G125" s="133">
        <v>300000</v>
      </c>
      <c r="H125" s="102">
        <v>0</v>
      </c>
      <c r="I125" s="102">
        <v>230000000</v>
      </c>
      <c r="J125" s="102">
        <v>70000000</v>
      </c>
      <c r="K125" s="139">
        <f t="shared" si="8"/>
        <v>218130300.51628298</v>
      </c>
      <c r="L125" s="105">
        <v>1.7999999999999999E-2</v>
      </c>
      <c r="M125" s="38">
        <v>0</v>
      </c>
      <c r="N125" s="118">
        <f t="shared" si="11"/>
        <v>162683.33680104328</v>
      </c>
      <c r="O125" s="25">
        <v>1.7999999999999999E-2</v>
      </c>
      <c r="P125" s="210">
        <f t="shared" si="9"/>
        <v>162683.33680104328</v>
      </c>
      <c r="Q125" s="153">
        <f t="shared" si="10"/>
        <v>218292983.85308403</v>
      </c>
      <c r="R125" s="104">
        <f t="shared" si="12"/>
        <v>230000000</v>
      </c>
      <c r="S125" s="104">
        <f t="shared" si="13"/>
        <v>288292983.85308403</v>
      </c>
      <c r="T125" s="87"/>
    </row>
    <row r="126" spans="1:20" s="18" customFormat="1" x14ac:dyDescent="0.3">
      <c r="B126" s="253"/>
      <c r="C126" s="28">
        <v>3</v>
      </c>
      <c r="D126" s="147">
        <v>0</v>
      </c>
      <c r="E126" s="147">
        <v>0</v>
      </c>
      <c r="F126" s="102">
        <v>300000</v>
      </c>
      <c r="G126" s="133">
        <v>300000</v>
      </c>
      <c r="H126" s="102">
        <v>0</v>
      </c>
      <c r="I126" s="102">
        <v>230000000</v>
      </c>
      <c r="J126" s="102">
        <v>70000000</v>
      </c>
      <c r="K126" s="139">
        <f t="shared" si="8"/>
        <v>222667445.92557606</v>
      </c>
      <c r="L126" s="105">
        <v>1.7999999999999999E-2</v>
      </c>
      <c r="M126" s="38">
        <v>0</v>
      </c>
      <c r="N126" s="118">
        <f t="shared" si="11"/>
        <v>165611.63686346204</v>
      </c>
      <c r="O126" s="25">
        <v>1.7999999999999999E-2</v>
      </c>
      <c r="P126" s="210">
        <f t="shared" si="9"/>
        <v>165611.63686346204</v>
      </c>
      <c r="Q126" s="153">
        <f t="shared" si="10"/>
        <v>222833057.56243953</v>
      </c>
      <c r="R126" s="104">
        <f t="shared" si="12"/>
        <v>230000000</v>
      </c>
      <c r="S126" s="104">
        <f t="shared" si="13"/>
        <v>292833057.56243956</v>
      </c>
      <c r="T126" s="87"/>
    </row>
    <row r="127" spans="1:20" s="18" customFormat="1" x14ac:dyDescent="0.3">
      <c r="B127" s="253"/>
      <c r="C127" s="28">
        <v>4</v>
      </c>
      <c r="D127" s="147">
        <v>0</v>
      </c>
      <c r="E127" s="147">
        <v>0</v>
      </c>
      <c r="F127" s="102">
        <v>300000</v>
      </c>
      <c r="G127" s="133">
        <v>300000</v>
      </c>
      <c r="H127" s="102">
        <v>0</v>
      </c>
      <c r="I127" s="102">
        <v>230000000</v>
      </c>
      <c r="J127" s="102">
        <v>70000000</v>
      </c>
      <c r="K127" s="139">
        <f t="shared" si="8"/>
        <v>227286259.95223644</v>
      </c>
      <c r="L127" s="105">
        <v>1.7999999999999999E-2</v>
      </c>
      <c r="M127" s="38">
        <v>0</v>
      </c>
      <c r="N127" s="118">
        <f t="shared" si="11"/>
        <v>168592.64632700436</v>
      </c>
      <c r="O127" s="25">
        <v>1.7999999999999999E-2</v>
      </c>
      <c r="P127" s="210">
        <f t="shared" si="9"/>
        <v>168592.64632700436</v>
      </c>
      <c r="Q127" s="153">
        <f t="shared" si="10"/>
        <v>227454852.59856346</v>
      </c>
      <c r="R127" s="104">
        <f t="shared" si="12"/>
        <v>230000000</v>
      </c>
      <c r="S127" s="104">
        <f t="shared" si="13"/>
        <v>297454852.59856343</v>
      </c>
      <c r="T127" s="87"/>
    </row>
    <row r="128" spans="1:20" s="18" customFormat="1" x14ac:dyDescent="0.3">
      <c r="B128" s="253"/>
      <c r="C128" s="28">
        <v>5</v>
      </c>
      <c r="D128" s="147">
        <v>0</v>
      </c>
      <c r="E128" s="147">
        <v>0</v>
      </c>
      <c r="F128" s="102">
        <v>300000</v>
      </c>
      <c r="G128" s="133">
        <v>300000</v>
      </c>
      <c r="H128" s="102">
        <v>0</v>
      </c>
      <c r="I128" s="102">
        <v>230000000</v>
      </c>
      <c r="J128" s="102">
        <v>70000000</v>
      </c>
      <c r="K128" s="139">
        <f t="shared" si="8"/>
        <v>231988212.63137671</v>
      </c>
      <c r="L128" s="105">
        <v>1.7999999999999999E-2</v>
      </c>
      <c r="M128" s="38">
        <v>0</v>
      </c>
      <c r="N128" s="118">
        <f t="shared" si="11"/>
        <v>171627.31396089043</v>
      </c>
      <c r="O128" s="25">
        <v>1.7999999999999999E-2</v>
      </c>
      <c r="P128" s="210">
        <f t="shared" si="9"/>
        <v>171627.31396089043</v>
      </c>
      <c r="Q128" s="153">
        <f t="shared" si="10"/>
        <v>232159839.94533759</v>
      </c>
      <c r="R128" s="104">
        <f t="shared" si="12"/>
        <v>230000000</v>
      </c>
      <c r="S128" s="104">
        <f t="shared" si="13"/>
        <v>302159839.94533759</v>
      </c>
      <c r="T128" s="87"/>
    </row>
    <row r="129" spans="1:20" s="18" customFormat="1" x14ac:dyDescent="0.3">
      <c r="B129" s="253"/>
      <c r="C129" s="28">
        <v>6</v>
      </c>
      <c r="D129" s="147">
        <v>0</v>
      </c>
      <c r="E129" s="147">
        <v>0</v>
      </c>
      <c r="F129" s="102">
        <v>300000</v>
      </c>
      <c r="G129" s="133">
        <v>300000</v>
      </c>
      <c r="H129" s="102">
        <v>0</v>
      </c>
      <c r="I129" s="102">
        <v>230000000</v>
      </c>
      <c r="J129" s="102">
        <v>70000000</v>
      </c>
      <c r="K129" s="139">
        <f t="shared" si="8"/>
        <v>236774800.45874149</v>
      </c>
      <c r="L129" s="105">
        <v>1.7999999999999999E-2</v>
      </c>
      <c r="M129" s="38">
        <v>0</v>
      </c>
      <c r="N129" s="118">
        <f t="shared" si="11"/>
        <v>174716.60561218645</v>
      </c>
      <c r="O129" s="25">
        <v>1.7999999999999999E-2</v>
      </c>
      <c r="P129" s="210">
        <f t="shared" si="9"/>
        <v>174716.60561218645</v>
      </c>
      <c r="Q129" s="153">
        <f t="shared" si="10"/>
        <v>236949517.06435367</v>
      </c>
      <c r="R129" s="104">
        <f t="shared" si="12"/>
        <v>230000000</v>
      </c>
      <c r="S129" s="104">
        <f t="shared" si="13"/>
        <v>306949517.0643537</v>
      </c>
      <c r="T129" s="87"/>
    </row>
    <row r="130" spans="1:20" s="18" customFormat="1" x14ac:dyDescent="0.3">
      <c r="B130" s="253"/>
      <c r="C130" s="28">
        <v>7</v>
      </c>
      <c r="D130" s="147">
        <v>0</v>
      </c>
      <c r="E130" s="147">
        <v>0</v>
      </c>
      <c r="F130" s="102">
        <v>300000</v>
      </c>
      <c r="G130" s="133">
        <v>300000</v>
      </c>
      <c r="H130" s="102">
        <v>0</v>
      </c>
      <c r="I130" s="102">
        <v>230000000</v>
      </c>
      <c r="J130" s="102">
        <v>70000000</v>
      </c>
      <c r="K130" s="139">
        <f t="shared" si="8"/>
        <v>241647546.86699882</v>
      </c>
      <c r="L130" s="105">
        <v>1.7999999999999999E-2</v>
      </c>
      <c r="M130" s="38">
        <v>0</v>
      </c>
      <c r="N130" s="118">
        <f t="shared" si="11"/>
        <v>177861.50451320581</v>
      </c>
      <c r="O130" s="25">
        <v>1.7999999999999999E-2</v>
      </c>
      <c r="P130" s="210">
        <f t="shared" si="9"/>
        <v>177861.50451320581</v>
      </c>
      <c r="Q130" s="153">
        <f t="shared" si="10"/>
        <v>241825408.37151203</v>
      </c>
      <c r="R130" s="104">
        <f t="shared" si="12"/>
        <v>230000000</v>
      </c>
      <c r="S130" s="104">
        <f t="shared" si="13"/>
        <v>311825408.37151206</v>
      </c>
      <c r="T130" s="87"/>
    </row>
    <row r="131" spans="1:20" s="18" customFormat="1" x14ac:dyDescent="0.3">
      <c r="B131" s="253"/>
      <c r="C131" s="28">
        <v>8</v>
      </c>
      <c r="D131" s="147">
        <v>0</v>
      </c>
      <c r="E131" s="147">
        <v>0</v>
      </c>
      <c r="F131" s="102">
        <v>300000</v>
      </c>
      <c r="G131" s="133">
        <v>300000</v>
      </c>
      <c r="H131" s="102">
        <v>0</v>
      </c>
      <c r="I131" s="102">
        <v>230000000</v>
      </c>
      <c r="J131" s="102">
        <v>70000000</v>
      </c>
      <c r="K131" s="139">
        <f t="shared" si="8"/>
        <v>246608002.71060479</v>
      </c>
      <c r="L131" s="105">
        <v>1.7999999999999999E-2</v>
      </c>
      <c r="M131" s="38">
        <v>0</v>
      </c>
      <c r="N131" s="118">
        <f t="shared" si="11"/>
        <v>181063.01159444352</v>
      </c>
      <c r="O131" s="25">
        <v>1.7999999999999999E-2</v>
      </c>
      <c r="P131" s="210">
        <f t="shared" si="9"/>
        <v>181063.01159444352</v>
      </c>
      <c r="Q131" s="153">
        <f t="shared" si="10"/>
        <v>246789065.72219923</v>
      </c>
      <c r="R131" s="104">
        <f t="shared" si="12"/>
        <v>230000000</v>
      </c>
      <c r="S131" s="104">
        <f t="shared" si="13"/>
        <v>316789065.7221992</v>
      </c>
      <c r="T131" s="87"/>
    </row>
    <row r="132" spans="1:20" s="18" customFormat="1" x14ac:dyDescent="0.3">
      <c r="B132" s="253"/>
      <c r="C132" s="28">
        <v>9</v>
      </c>
      <c r="D132" s="147">
        <v>0</v>
      </c>
      <c r="E132" s="147">
        <v>0</v>
      </c>
      <c r="F132" s="102">
        <v>300000</v>
      </c>
      <c r="G132" s="133">
        <v>300000</v>
      </c>
      <c r="H132" s="102">
        <v>0</v>
      </c>
      <c r="I132" s="102">
        <v>230000000</v>
      </c>
      <c r="J132" s="102">
        <v>70000000</v>
      </c>
      <c r="K132" s="139">
        <f t="shared" si="8"/>
        <v>251657746.75939566</v>
      </c>
      <c r="L132" s="105">
        <v>1.7999999999999999E-2</v>
      </c>
      <c r="M132" s="38">
        <v>0</v>
      </c>
      <c r="N132" s="118">
        <f t="shared" si="11"/>
        <v>184322.1458031435</v>
      </c>
      <c r="O132" s="25">
        <v>1.7999999999999999E-2</v>
      </c>
      <c r="P132" s="210">
        <f t="shared" si="9"/>
        <v>184322.1458031435</v>
      </c>
      <c r="Q132" s="153">
        <f t="shared" si="10"/>
        <v>251842068.90519881</v>
      </c>
      <c r="R132" s="104">
        <f t="shared" si="12"/>
        <v>230000000</v>
      </c>
      <c r="S132" s="104">
        <f t="shared" si="13"/>
        <v>321842068.90519881</v>
      </c>
      <c r="T132" s="87"/>
    </row>
    <row r="133" spans="1:20" s="18" customFormat="1" x14ac:dyDescent="0.3">
      <c r="B133" s="253"/>
      <c r="C133" s="28">
        <v>10</v>
      </c>
      <c r="D133" s="147">
        <v>0</v>
      </c>
      <c r="E133" s="147">
        <v>0</v>
      </c>
      <c r="F133" s="102">
        <v>300000</v>
      </c>
      <c r="G133" s="133">
        <v>300000</v>
      </c>
      <c r="H133" s="102">
        <v>0</v>
      </c>
      <c r="I133" s="102">
        <v>230000000</v>
      </c>
      <c r="J133" s="102">
        <v>70000000</v>
      </c>
      <c r="K133" s="139">
        <f t="shared" si="8"/>
        <v>256798386.20106477</v>
      </c>
      <c r="L133" s="105">
        <v>1.7999999999999999E-2</v>
      </c>
      <c r="M133" s="38">
        <v>0</v>
      </c>
      <c r="N133" s="118">
        <f t="shared" si="11"/>
        <v>187639.94442760007</v>
      </c>
      <c r="O133" s="25">
        <v>1.7999999999999999E-2</v>
      </c>
      <c r="P133" s="210">
        <f t="shared" si="9"/>
        <v>187639.94442760007</v>
      </c>
      <c r="Q133" s="153">
        <f t="shared" si="10"/>
        <v>256986026.14549237</v>
      </c>
      <c r="R133" s="104">
        <f t="shared" si="12"/>
        <v>230000000</v>
      </c>
      <c r="S133" s="104">
        <f t="shared" si="13"/>
        <v>326986026.14549237</v>
      </c>
      <c r="T133" s="87"/>
    </row>
    <row r="134" spans="1:20" s="18" customFormat="1" ht="18" customHeight="1" thickBot="1" x14ac:dyDescent="0.35">
      <c r="B134" s="253"/>
      <c r="C134" s="30">
        <v>11</v>
      </c>
      <c r="D134" s="147">
        <v>0</v>
      </c>
      <c r="E134" s="147">
        <v>0</v>
      </c>
      <c r="F134" s="102">
        <v>300000</v>
      </c>
      <c r="G134" s="133">
        <v>300000</v>
      </c>
      <c r="H134" s="102">
        <v>0</v>
      </c>
      <c r="I134" s="102">
        <v>230000000</v>
      </c>
      <c r="J134" s="102">
        <v>70000000</v>
      </c>
      <c r="K134" s="139">
        <f t="shared" si="8"/>
        <v>262031557.15268394</v>
      </c>
      <c r="L134" s="105">
        <v>1.7999999999999999E-2</v>
      </c>
      <c r="M134" s="38">
        <v>0</v>
      </c>
      <c r="N134" s="118">
        <f t="shared" si="11"/>
        <v>191017.46342729687</v>
      </c>
      <c r="O134" s="83">
        <v>1.7999999999999999E-2</v>
      </c>
      <c r="P134" s="210">
        <f t="shared" si="9"/>
        <v>191017.46342729687</v>
      </c>
      <c r="Q134" s="153">
        <f t="shared" si="10"/>
        <v>262222574.61611125</v>
      </c>
      <c r="R134" s="104">
        <f t="shared" si="12"/>
        <v>230000000</v>
      </c>
      <c r="S134" s="104">
        <f t="shared" si="13"/>
        <v>332222574.61611128</v>
      </c>
      <c r="T134" s="87"/>
    </row>
    <row r="135" spans="1:20" s="39" customFormat="1" ht="17.25" thickBot="1" x14ac:dyDescent="0.35">
      <c r="B135" s="253"/>
      <c r="C135" s="20">
        <v>12</v>
      </c>
      <c r="D135" s="147">
        <v>0</v>
      </c>
      <c r="E135" s="146">
        <v>0</v>
      </c>
      <c r="F135" s="103">
        <v>300000</v>
      </c>
      <c r="G135" s="133">
        <v>300000</v>
      </c>
      <c r="H135" s="103">
        <v>0</v>
      </c>
      <c r="I135" s="102">
        <v>230000000</v>
      </c>
      <c r="J135" s="102">
        <v>70000000</v>
      </c>
      <c r="K135" s="203">
        <f t="shared" si="8"/>
        <v>267358925.18143225</v>
      </c>
      <c r="L135" s="204">
        <v>1.7999999999999999E-2</v>
      </c>
      <c r="M135" s="205">
        <v>0</v>
      </c>
      <c r="N135" s="118">
        <f t="shared" si="11"/>
        <v>194455.77776898822</v>
      </c>
      <c r="O135" s="206">
        <v>1.7999999999999999E-2</v>
      </c>
      <c r="P135" s="210">
        <f t="shared" si="9"/>
        <v>194455.77776898822</v>
      </c>
      <c r="Q135" s="207">
        <f t="shared" si="10"/>
        <v>267553380.95920125</v>
      </c>
      <c r="R135" s="103">
        <f t="shared" si="12"/>
        <v>230000000</v>
      </c>
      <c r="S135" s="103">
        <f t="shared" si="13"/>
        <v>337553380.95920122</v>
      </c>
      <c r="T135" s="208"/>
    </row>
    <row r="136" spans="1:20" s="36" customFormat="1" x14ac:dyDescent="0.3">
      <c r="A136" s="31">
        <v>12</v>
      </c>
      <c r="B136" s="253">
        <v>2033</v>
      </c>
      <c r="C136" s="35">
        <v>1</v>
      </c>
      <c r="D136" s="147">
        <v>0</v>
      </c>
      <c r="E136" s="147">
        <v>0</v>
      </c>
      <c r="F136" s="102">
        <v>300000</v>
      </c>
      <c r="G136" s="133">
        <v>300000</v>
      </c>
      <c r="H136" s="102">
        <v>0</v>
      </c>
      <c r="I136" s="102">
        <v>230000000</v>
      </c>
      <c r="J136" s="102">
        <v>70000000</v>
      </c>
      <c r="K136" s="139">
        <f t="shared" si="8"/>
        <v>272782185.83469802</v>
      </c>
      <c r="L136" s="105">
        <v>1.7999999999999999E-2</v>
      </c>
      <c r="M136" s="38">
        <v>0</v>
      </c>
      <c r="N136" s="118">
        <f t="shared" si="11"/>
        <v>195233.60088006419</v>
      </c>
      <c r="O136" s="82">
        <v>4.0000000000000001E-3</v>
      </c>
      <c r="P136" s="210">
        <f t="shared" si="9"/>
        <v>195233.60088006419</v>
      </c>
      <c r="Q136" s="153">
        <f t="shared" si="10"/>
        <v>272977419.43557811</v>
      </c>
      <c r="R136" s="104">
        <f t="shared" si="12"/>
        <v>230000000</v>
      </c>
      <c r="S136" s="104">
        <f t="shared" si="13"/>
        <v>342977419.43557811</v>
      </c>
    </row>
    <row r="137" spans="1:20" x14ac:dyDescent="0.3">
      <c r="A137" s="18"/>
      <c r="B137" s="253"/>
      <c r="C137" s="28">
        <v>2</v>
      </c>
      <c r="D137" s="147">
        <v>0</v>
      </c>
      <c r="E137" s="147">
        <v>0</v>
      </c>
      <c r="F137" s="102">
        <v>300000</v>
      </c>
      <c r="G137" s="133">
        <v>300000</v>
      </c>
      <c r="H137" s="102">
        <v>0</v>
      </c>
      <c r="I137" s="102">
        <v>230000000</v>
      </c>
      <c r="J137" s="102">
        <v>70000000</v>
      </c>
      <c r="K137" s="139">
        <f t="shared" si="8"/>
        <v>278303065.17972261</v>
      </c>
      <c r="L137" s="105">
        <v>1.7999999999999999E-2</v>
      </c>
      <c r="M137" s="38">
        <v>0</v>
      </c>
      <c r="N137" s="118">
        <f t="shared" si="11"/>
        <v>198747.80569590535</v>
      </c>
      <c r="O137" s="25">
        <v>1.7999999999999999E-2</v>
      </c>
      <c r="P137" s="210">
        <f t="shared" si="9"/>
        <v>198747.80569590535</v>
      </c>
      <c r="Q137" s="153">
        <f t="shared" si="10"/>
        <v>278501812.9854185</v>
      </c>
      <c r="R137" s="104">
        <f t="shared" si="12"/>
        <v>230000000</v>
      </c>
      <c r="S137" s="104">
        <f t="shared" si="13"/>
        <v>348501812.9854185</v>
      </c>
    </row>
    <row r="138" spans="1:20" x14ac:dyDescent="0.3">
      <c r="A138" s="18"/>
      <c r="B138" s="253"/>
      <c r="C138" s="28">
        <v>3</v>
      </c>
      <c r="D138" s="147">
        <v>0</v>
      </c>
      <c r="E138" s="147">
        <v>0</v>
      </c>
      <c r="F138" s="102">
        <v>300000</v>
      </c>
      <c r="G138" s="133">
        <v>300000</v>
      </c>
      <c r="H138" s="102">
        <v>0</v>
      </c>
      <c r="I138" s="102">
        <v>230000000</v>
      </c>
      <c r="J138" s="102">
        <v>70000000</v>
      </c>
      <c r="K138" s="139">
        <f t="shared" si="8"/>
        <v>283923320.35295761</v>
      </c>
      <c r="L138" s="105">
        <v>1.7999999999999999E-2</v>
      </c>
      <c r="M138" s="38">
        <v>0</v>
      </c>
      <c r="N138" s="118">
        <f t="shared" si="11"/>
        <v>202325.26619843164</v>
      </c>
      <c r="O138" s="25">
        <v>1.7999999999999999E-2</v>
      </c>
      <c r="P138" s="210">
        <f t="shared" si="9"/>
        <v>202325.26619843164</v>
      </c>
      <c r="Q138" s="153">
        <f t="shared" si="10"/>
        <v>284125645.61915606</v>
      </c>
      <c r="R138" s="104">
        <f t="shared" si="12"/>
        <v>230000000</v>
      </c>
      <c r="S138" s="104">
        <f t="shared" si="13"/>
        <v>354125645.61915606</v>
      </c>
    </row>
    <row r="139" spans="1:20" x14ac:dyDescent="0.3">
      <c r="A139" s="18"/>
      <c r="B139" s="253"/>
      <c r="C139" s="28">
        <v>4</v>
      </c>
      <c r="D139" s="147">
        <v>0</v>
      </c>
      <c r="E139" s="147">
        <v>0</v>
      </c>
      <c r="F139" s="102">
        <v>300000</v>
      </c>
      <c r="G139" s="133">
        <v>300000</v>
      </c>
      <c r="H139" s="102">
        <v>0</v>
      </c>
      <c r="I139" s="102">
        <v>230000000</v>
      </c>
      <c r="J139" s="102">
        <v>70000000</v>
      </c>
      <c r="K139" s="139">
        <f t="shared" si="8"/>
        <v>289644740.11931086</v>
      </c>
      <c r="L139" s="105">
        <v>1.7999999999999999E-2</v>
      </c>
      <c r="M139" s="38">
        <v>0</v>
      </c>
      <c r="N139" s="118">
        <f t="shared" si="11"/>
        <v>205967.1209900034</v>
      </c>
      <c r="O139" s="25">
        <v>1.7999999999999999E-2</v>
      </c>
      <c r="P139" s="210">
        <f t="shared" si="9"/>
        <v>205967.1209900034</v>
      </c>
      <c r="Q139" s="153">
        <f t="shared" si="10"/>
        <v>289850707.24030083</v>
      </c>
      <c r="R139" s="104">
        <f t="shared" si="12"/>
        <v>230000000</v>
      </c>
      <c r="S139" s="104">
        <f t="shared" si="13"/>
        <v>359850707.24030083</v>
      </c>
    </row>
    <row r="140" spans="1:20" x14ac:dyDescent="0.3">
      <c r="A140" s="18"/>
      <c r="B140" s="253"/>
      <c r="C140" s="28">
        <v>5</v>
      </c>
      <c r="D140" s="147">
        <v>0</v>
      </c>
      <c r="E140" s="147">
        <v>0</v>
      </c>
      <c r="F140" s="102">
        <v>300000</v>
      </c>
      <c r="G140" s="133">
        <v>300000</v>
      </c>
      <c r="H140" s="102">
        <v>0</v>
      </c>
      <c r="I140" s="102">
        <v>230000000</v>
      </c>
      <c r="J140" s="102">
        <v>70000000</v>
      </c>
      <c r="K140" s="139">
        <f t="shared" si="8"/>
        <v>295469145.44145846</v>
      </c>
      <c r="L140" s="105">
        <v>1.7999999999999999E-2</v>
      </c>
      <c r="M140" s="38">
        <v>0</v>
      </c>
      <c r="N140" s="118">
        <f t="shared" si="11"/>
        <v>209674.52916782346</v>
      </c>
      <c r="O140" s="25">
        <v>1.7999999999999999E-2</v>
      </c>
      <c r="P140" s="210">
        <f t="shared" si="9"/>
        <v>209674.52916782346</v>
      </c>
      <c r="Q140" s="153">
        <f t="shared" si="10"/>
        <v>295678819.97062629</v>
      </c>
      <c r="R140" s="104">
        <f t="shared" si="12"/>
        <v>230000000</v>
      </c>
      <c r="S140" s="104">
        <f t="shared" si="13"/>
        <v>365678819.97062629</v>
      </c>
    </row>
    <row r="141" spans="1:20" x14ac:dyDescent="0.3">
      <c r="A141" s="18"/>
      <c r="B141" s="253"/>
      <c r="C141" s="28">
        <v>6</v>
      </c>
      <c r="D141" s="147">
        <v>0</v>
      </c>
      <c r="E141" s="147">
        <v>0</v>
      </c>
      <c r="F141" s="102">
        <v>300000</v>
      </c>
      <c r="G141" s="133">
        <v>300000</v>
      </c>
      <c r="H141" s="102">
        <v>0</v>
      </c>
      <c r="I141" s="102">
        <v>230000000</v>
      </c>
      <c r="J141" s="102">
        <v>70000000</v>
      </c>
      <c r="K141" s="139">
        <f t="shared" si="8"/>
        <v>301398390.05940473</v>
      </c>
      <c r="L141" s="105">
        <v>1.7999999999999999E-2</v>
      </c>
      <c r="M141" s="38">
        <v>0</v>
      </c>
      <c r="N141" s="118">
        <f t="shared" si="11"/>
        <v>213448.67069284429</v>
      </c>
      <c r="O141" s="25">
        <v>1.7999999999999999E-2</v>
      </c>
      <c r="P141" s="210">
        <f t="shared" si="9"/>
        <v>213448.67069284429</v>
      </c>
      <c r="Q141" s="153">
        <f t="shared" si="10"/>
        <v>301611838.73009759</v>
      </c>
      <c r="R141" s="104">
        <f t="shared" si="12"/>
        <v>230000000</v>
      </c>
      <c r="S141" s="104">
        <f t="shared" si="13"/>
        <v>371611838.73009759</v>
      </c>
    </row>
    <row r="142" spans="1:20" x14ac:dyDescent="0.3">
      <c r="A142" s="18"/>
      <c r="B142" s="253"/>
      <c r="C142" s="28">
        <v>7</v>
      </c>
      <c r="D142" s="147">
        <v>0</v>
      </c>
      <c r="E142" s="147">
        <v>0</v>
      </c>
      <c r="F142" s="102">
        <v>300000</v>
      </c>
      <c r="G142" s="133">
        <v>300000</v>
      </c>
      <c r="H142" s="102">
        <v>0</v>
      </c>
      <c r="I142" s="102">
        <v>230000000</v>
      </c>
      <c r="J142" s="102">
        <v>70000000</v>
      </c>
      <c r="K142" s="139">
        <f t="shared" si="8"/>
        <v>307434361.08047402</v>
      </c>
      <c r="L142" s="105">
        <v>1.7999999999999999E-2</v>
      </c>
      <c r="M142" s="38">
        <v>0</v>
      </c>
      <c r="N142" s="118">
        <f t="shared" si="11"/>
        <v>217290.74676531547</v>
      </c>
      <c r="O142" s="25">
        <v>1.7999999999999999E-2</v>
      </c>
      <c r="P142" s="210">
        <f t="shared" si="9"/>
        <v>217290.74676531547</v>
      </c>
      <c r="Q142" s="153">
        <f t="shared" si="10"/>
        <v>307651651.82723933</v>
      </c>
      <c r="R142" s="104">
        <f t="shared" si="12"/>
        <v>230000000</v>
      </c>
      <c r="S142" s="104">
        <f t="shared" si="13"/>
        <v>377651651.82723933</v>
      </c>
    </row>
    <row r="143" spans="1:20" x14ac:dyDescent="0.3">
      <c r="A143" s="18"/>
      <c r="B143" s="253"/>
      <c r="C143" s="28">
        <v>8</v>
      </c>
      <c r="D143" s="147">
        <v>0</v>
      </c>
      <c r="E143" s="147">
        <v>0</v>
      </c>
      <c r="F143" s="102">
        <v>300000</v>
      </c>
      <c r="G143" s="133">
        <v>300000</v>
      </c>
      <c r="H143" s="102">
        <v>0</v>
      </c>
      <c r="I143" s="102">
        <v>230000000</v>
      </c>
      <c r="J143" s="102">
        <v>70000000</v>
      </c>
      <c r="K143" s="139">
        <f t="shared" si="8"/>
        <v>313578979.57992256</v>
      </c>
      <c r="L143" s="105">
        <v>1.7999999999999999E-2</v>
      </c>
      <c r="M143" s="38">
        <v>0</v>
      </c>
      <c r="N143" s="118">
        <f t="shared" si="11"/>
        <v>221201.98020709114</v>
      </c>
      <c r="O143" s="25">
        <v>1.7999999999999999E-2</v>
      </c>
      <c r="P143" s="210">
        <f t="shared" si="9"/>
        <v>221201.98020709114</v>
      </c>
      <c r="Q143" s="153">
        <f t="shared" si="10"/>
        <v>313800181.56012964</v>
      </c>
      <c r="R143" s="104">
        <f t="shared" si="12"/>
        <v>230000000</v>
      </c>
      <c r="S143" s="104">
        <f t="shared" si="13"/>
        <v>383800181.56012964</v>
      </c>
    </row>
    <row r="144" spans="1:20" x14ac:dyDescent="0.3">
      <c r="A144" s="18"/>
      <c r="B144" s="253"/>
      <c r="C144" s="28">
        <v>9</v>
      </c>
      <c r="D144" s="147">
        <v>0</v>
      </c>
      <c r="E144" s="147">
        <v>0</v>
      </c>
      <c r="F144" s="102">
        <v>300000</v>
      </c>
      <c r="G144" s="133">
        <v>300000</v>
      </c>
      <c r="H144" s="102">
        <v>0</v>
      </c>
      <c r="I144" s="102">
        <v>230000000</v>
      </c>
      <c r="J144" s="102">
        <v>70000000</v>
      </c>
      <c r="K144" s="139">
        <f t="shared" si="8"/>
        <v>319834201.21236116</v>
      </c>
      <c r="L144" s="105">
        <v>1.7999999999999999E-2</v>
      </c>
      <c r="M144" s="38">
        <v>0</v>
      </c>
      <c r="N144" s="118">
        <f t="shared" si="11"/>
        <v>225183.61585081878</v>
      </c>
      <c r="O144" s="25">
        <v>1.7999999999999999E-2</v>
      </c>
      <c r="P144" s="210">
        <f t="shared" si="9"/>
        <v>225183.61585081878</v>
      </c>
      <c r="Q144" s="153">
        <f t="shared" si="10"/>
        <v>320059384.82821196</v>
      </c>
      <c r="R144" s="104">
        <f t="shared" si="12"/>
        <v>230000000</v>
      </c>
      <c r="S144" s="104">
        <f t="shared" si="13"/>
        <v>390059384.82821196</v>
      </c>
    </row>
    <row r="145" spans="1:19" x14ac:dyDescent="0.3">
      <c r="A145" s="18"/>
      <c r="B145" s="253"/>
      <c r="C145" s="28">
        <v>10</v>
      </c>
      <c r="D145" s="147">
        <v>0</v>
      </c>
      <c r="E145" s="147">
        <v>0</v>
      </c>
      <c r="F145" s="102">
        <v>300000</v>
      </c>
      <c r="G145" s="133">
        <v>300000</v>
      </c>
      <c r="H145" s="102">
        <v>0</v>
      </c>
      <c r="I145" s="102">
        <v>230000000</v>
      </c>
      <c r="J145" s="102">
        <v>70000000</v>
      </c>
      <c r="K145" s="139">
        <f t="shared" si="8"/>
        <v>326202016.83418363</v>
      </c>
      <c r="L145" s="105">
        <v>1.7999999999999999E-2</v>
      </c>
      <c r="M145" s="38">
        <v>0</v>
      </c>
      <c r="N145" s="118">
        <f t="shared" si="11"/>
        <v>229236.92093613351</v>
      </c>
      <c r="O145" s="25">
        <v>1.7999999999999999E-2</v>
      </c>
      <c r="P145" s="210">
        <f t="shared" si="9"/>
        <v>229236.92093613351</v>
      </c>
      <c r="Q145" s="153">
        <f t="shared" si="10"/>
        <v>326431253.75511974</v>
      </c>
      <c r="R145" s="104">
        <f t="shared" si="12"/>
        <v>230000000</v>
      </c>
      <c r="S145" s="104">
        <f t="shared" si="13"/>
        <v>396431253.75511974</v>
      </c>
    </row>
    <row r="146" spans="1:19" ht="17.25" thickBot="1" x14ac:dyDescent="0.35">
      <c r="A146" s="18"/>
      <c r="B146" s="253"/>
      <c r="C146" s="30">
        <v>11</v>
      </c>
      <c r="D146" s="147">
        <v>0</v>
      </c>
      <c r="E146" s="147">
        <v>0</v>
      </c>
      <c r="F146" s="102">
        <v>300000</v>
      </c>
      <c r="G146" s="133">
        <v>300000</v>
      </c>
      <c r="H146" s="102">
        <v>0</v>
      </c>
      <c r="I146" s="102">
        <v>230000000</v>
      </c>
      <c r="J146" s="102">
        <v>70000000</v>
      </c>
      <c r="K146" s="139">
        <f t="shared" si="8"/>
        <v>332684453.13719893</v>
      </c>
      <c r="L146" s="105">
        <v>1.7999999999999999E-2</v>
      </c>
      <c r="M146" s="38">
        <v>0</v>
      </c>
      <c r="N146" s="118">
        <f t="shared" si="11"/>
        <v>233363.18551298391</v>
      </c>
      <c r="O146" s="83">
        <v>1.7999999999999999E-2</v>
      </c>
      <c r="P146" s="210">
        <f t="shared" si="9"/>
        <v>233363.18551298391</v>
      </c>
      <c r="Q146" s="153">
        <f t="shared" si="10"/>
        <v>332917816.32271188</v>
      </c>
      <c r="R146" s="104">
        <f t="shared" si="12"/>
        <v>230000000</v>
      </c>
      <c r="S146" s="104">
        <f t="shared" si="13"/>
        <v>402917816.32271188</v>
      </c>
    </row>
    <row r="147" spans="1:19" s="111" customFormat="1" ht="17.25" thickBot="1" x14ac:dyDescent="0.35">
      <c r="A147" s="97"/>
      <c r="B147" s="253"/>
      <c r="C147" s="92">
        <v>12</v>
      </c>
      <c r="D147" s="147">
        <v>0</v>
      </c>
      <c r="E147" s="148">
        <v>0</v>
      </c>
      <c r="F147" s="102">
        <v>300000</v>
      </c>
      <c r="G147" s="133">
        <v>300000</v>
      </c>
      <c r="H147" s="102">
        <v>0</v>
      </c>
      <c r="I147" s="102">
        <v>230000000</v>
      </c>
      <c r="J147" s="102">
        <v>70000000</v>
      </c>
      <c r="K147" s="140">
        <f t="shared" si="8"/>
        <v>339283573.29366851</v>
      </c>
      <c r="L147" s="93">
        <v>1.7999999999999999E-2</v>
      </c>
      <c r="M147" s="38">
        <v>0</v>
      </c>
      <c r="N147" s="118">
        <f t="shared" si="11"/>
        <v>237563.72285221762</v>
      </c>
      <c r="O147" s="94">
        <v>1.7999999999999999E-2</v>
      </c>
      <c r="P147" s="210">
        <f t="shared" si="9"/>
        <v>237563.72285221762</v>
      </c>
      <c r="Q147" s="153">
        <f t="shared" si="10"/>
        <v>339521137.01652074</v>
      </c>
      <c r="R147" s="104">
        <f t="shared" si="12"/>
        <v>230000000</v>
      </c>
      <c r="S147" s="104">
        <f t="shared" si="13"/>
        <v>409521137.01652074</v>
      </c>
    </row>
  </sheetData>
  <mergeCells count="20">
    <mergeCell ref="B100:B111"/>
    <mergeCell ref="B112:B123"/>
    <mergeCell ref="B124:B135"/>
    <mergeCell ref="B136:B147"/>
    <mergeCell ref="B76:B87"/>
    <mergeCell ref="R1:R2"/>
    <mergeCell ref="S1:S2"/>
    <mergeCell ref="Q1:Q2"/>
    <mergeCell ref="B88:B99"/>
    <mergeCell ref="B16:B27"/>
    <mergeCell ref="B28:B39"/>
    <mergeCell ref="B40:B51"/>
    <mergeCell ref="B52:B63"/>
    <mergeCell ref="B64:B75"/>
    <mergeCell ref="M1:P1"/>
    <mergeCell ref="B4:B15"/>
    <mergeCell ref="A1:C2"/>
    <mergeCell ref="D1:G1"/>
    <mergeCell ref="J1:L1"/>
    <mergeCell ref="H1:I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3"/>
  <sheetViews>
    <sheetView tabSelected="1" topLeftCell="G25" zoomScale="85" zoomScaleNormal="85" workbookViewId="0">
      <selection activeCell="V44" sqref="V44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11" style="18" customWidth="1"/>
    <col min="5" max="5" width="11.75" style="78" bestFit="1" customWidth="1"/>
    <col min="6" max="6" width="12.125" style="1" customWidth="1"/>
    <col min="7" max="7" width="13.875" style="1" bestFit="1" customWidth="1"/>
    <col min="8" max="8" width="9.875" style="78" bestFit="1" customWidth="1"/>
    <col min="9" max="9" width="11.75" style="1" bestFit="1" customWidth="1"/>
    <col min="10" max="10" width="11.375" style="1" bestFit="1" customWidth="1"/>
    <col min="11" max="11" width="9.25" style="1" bestFit="1" customWidth="1"/>
    <col min="12" max="12" width="14.75" style="1" customWidth="1"/>
    <col min="13" max="13" width="10.75" style="1" bestFit="1" customWidth="1"/>
    <col min="14" max="14" width="7" style="1" customWidth="1"/>
    <col min="15" max="15" width="11.5" style="1" bestFit="1" customWidth="1"/>
    <col min="16" max="16" width="10.75" style="1" bestFit="1" customWidth="1"/>
    <col min="17" max="17" width="16.75" style="1" customWidth="1"/>
    <col min="18" max="18" width="12.625" style="18" bestFit="1" customWidth="1"/>
    <col min="19" max="19" width="16.25" style="1" bestFit="1" customWidth="1"/>
    <col min="20" max="20" width="11.75" style="1" bestFit="1" customWidth="1"/>
    <col min="21" max="21" width="12.875" style="1" bestFit="1" customWidth="1"/>
    <col min="22" max="22" width="29.875" style="1" bestFit="1" customWidth="1"/>
    <col min="23" max="16384" width="9" style="1"/>
  </cols>
  <sheetData>
    <row r="1" spans="1:22" x14ac:dyDescent="0.3">
      <c r="G1" s="267" t="s">
        <v>160</v>
      </c>
      <c r="H1" s="267"/>
    </row>
    <row r="2" spans="1:22" s="121" customFormat="1" x14ac:dyDescent="0.3">
      <c r="C2" s="121" t="s">
        <v>181</v>
      </c>
      <c r="D2" s="121" t="s">
        <v>0</v>
      </c>
      <c r="E2" s="121" t="s">
        <v>1</v>
      </c>
      <c r="F2" s="121" t="s">
        <v>163</v>
      </c>
      <c r="G2" s="121" t="s">
        <v>164</v>
      </c>
      <c r="H2" s="121" t="s">
        <v>159</v>
      </c>
      <c r="I2" s="121" t="s">
        <v>2</v>
      </c>
      <c r="J2" s="121" t="s">
        <v>183</v>
      </c>
      <c r="K2" s="121" t="s">
        <v>3</v>
      </c>
      <c r="L2" s="121" t="s">
        <v>184</v>
      </c>
      <c r="M2" s="121" t="s">
        <v>4</v>
      </c>
      <c r="N2" s="121" t="s">
        <v>5</v>
      </c>
      <c r="O2" s="121" t="s">
        <v>8</v>
      </c>
      <c r="P2" s="121" t="s">
        <v>6</v>
      </c>
      <c r="Q2" s="121" t="s">
        <v>185</v>
      </c>
      <c r="R2" s="121" t="s">
        <v>188</v>
      </c>
      <c r="S2" s="121" t="s">
        <v>187</v>
      </c>
      <c r="T2" s="121" t="s">
        <v>9</v>
      </c>
      <c r="U2" s="121" t="s">
        <v>7</v>
      </c>
      <c r="V2" s="121" t="s">
        <v>190</v>
      </c>
    </row>
    <row r="3" spans="1:22" s="167" customFormat="1" x14ac:dyDescent="0.3">
      <c r="A3" s="268">
        <v>2023</v>
      </c>
      <c r="B3" s="167" t="s">
        <v>72</v>
      </c>
      <c r="C3" s="168">
        <v>8340000</v>
      </c>
      <c r="D3" s="168">
        <v>0</v>
      </c>
      <c r="E3" s="168">
        <v>2500000</v>
      </c>
      <c r="F3" s="168"/>
      <c r="G3" s="151"/>
      <c r="H3" s="151"/>
      <c r="I3" s="151">
        <v>300000</v>
      </c>
      <c r="J3" s="151">
        <v>100000</v>
      </c>
      <c r="K3" s="151">
        <v>450000</v>
      </c>
      <c r="L3" s="151">
        <v>100000</v>
      </c>
      <c r="M3" s="151">
        <v>170000</v>
      </c>
      <c r="N3" s="151">
        <v>0</v>
      </c>
      <c r="O3" s="151">
        <v>100000</v>
      </c>
      <c r="P3" s="151">
        <v>0</v>
      </c>
      <c r="Q3" s="151">
        <v>3300000</v>
      </c>
      <c r="R3" s="151">
        <v>0</v>
      </c>
      <c r="S3" s="151">
        <v>1300000</v>
      </c>
      <c r="T3" s="151">
        <f t="shared" ref="T3:T34" si="0">SUM(D3:S3)</f>
        <v>8320000</v>
      </c>
      <c r="U3" s="151">
        <f xml:space="preserve"> C3 - T3</f>
        <v>20000</v>
      </c>
      <c r="V3" s="231"/>
    </row>
    <row r="4" spans="1:22" s="167" customFormat="1" x14ac:dyDescent="0.3">
      <c r="A4" s="268"/>
      <c r="B4" s="167" t="s">
        <v>73</v>
      </c>
      <c r="C4" s="168"/>
      <c r="D4" s="168">
        <v>0</v>
      </c>
      <c r="E4" s="168">
        <v>2500000</v>
      </c>
      <c r="F4" s="168"/>
      <c r="G4" s="151"/>
      <c r="H4" s="151"/>
      <c r="I4" s="151">
        <v>300000</v>
      </c>
      <c r="J4" s="151">
        <v>100000</v>
      </c>
      <c r="K4" s="151">
        <v>450000</v>
      </c>
      <c r="L4" s="151">
        <v>100000</v>
      </c>
      <c r="M4" s="151">
        <v>170000</v>
      </c>
      <c r="N4" s="151">
        <v>0</v>
      </c>
      <c r="O4" s="151">
        <v>100000</v>
      </c>
      <c r="P4" s="151">
        <v>0</v>
      </c>
      <c r="Q4" s="151">
        <v>3500000</v>
      </c>
      <c r="R4" s="151">
        <v>0</v>
      </c>
      <c r="S4" s="151">
        <v>0</v>
      </c>
      <c r="T4" s="151">
        <f t="shared" si="0"/>
        <v>7220000</v>
      </c>
      <c r="U4" s="22"/>
      <c r="V4" s="231"/>
    </row>
    <row r="5" spans="1:22" s="169" customFormat="1" x14ac:dyDescent="0.3">
      <c r="A5" s="268"/>
      <c r="B5" s="169" t="s">
        <v>74</v>
      </c>
      <c r="C5" s="170"/>
      <c r="D5" s="170">
        <v>650000</v>
      </c>
      <c r="E5" s="170">
        <v>2500000</v>
      </c>
      <c r="F5" s="170"/>
      <c r="G5" s="224"/>
      <c r="H5" s="224"/>
      <c r="I5" s="224">
        <v>300000</v>
      </c>
      <c r="J5" s="224">
        <v>100000</v>
      </c>
      <c r="K5" s="224">
        <v>450000</v>
      </c>
      <c r="L5" s="224">
        <v>100000</v>
      </c>
      <c r="M5" s="224">
        <v>170000</v>
      </c>
      <c r="N5" s="224">
        <v>0</v>
      </c>
      <c r="O5" s="224">
        <v>100000</v>
      </c>
      <c r="P5" s="224">
        <v>0</v>
      </c>
      <c r="Q5" s="224">
        <v>2500000</v>
      </c>
      <c r="R5" s="224">
        <v>0</v>
      </c>
      <c r="S5" s="224">
        <v>0</v>
      </c>
      <c r="T5" s="224">
        <f t="shared" si="0"/>
        <v>6870000</v>
      </c>
      <c r="U5" s="225"/>
      <c r="V5" s="232"/>
    </row>
    <row r="6" spans="1:22" s="167" customFormat="1" x14ac:dyDescent="0.3">
      <c r="A6" s="268"/>
      <c r="B6" s="167" t="s">
        <v>75</v>
      </c>
      <c r="C6" s="168"/>
      <c r="D6" s="168">
        <v>1885000</v>
      </c>
      <c r="E6" s="168">
        <v>500000</v>
      </c>
      <c r="F6" s="168"/>
      <c r="G6" s="151"/>
      <c r="H6" s="151"/>
      <c r="I6" s="151">
        <v>500000</v>
      </c>
      <c r="J6" s="151">
        <v>100000</v>
      </c>
      <c r="K6" s="151">
        <v>450000</v>
      </c>
      <c r="L6" s="151">
        <v>100000</v>
      </c>
      <c r="M6" s="151">
        <v>170000</v>
      </c>
      <c r="N6" s="151">
        <v>0</v>
      </c>
      <c r="O6" s="151">
        <v>100000</v>
      </c>
      <c r="P6" s="151">
        <v>0</v>
      </c>
      <c r="Q6" s="151">
        <v>2550000</v>
      </c>
      <c r="R6" s="151">
        <v>0</v>
      </c>
      <c r="S6" s="151">
        <v>0</v>
      </c>
      <c r="T6" s="151">
        <f t="shared" si="0"/>
        <v>6355000</v>
      </c>
      <c r="U6" s="22"/>
      <c r="V6" s="231"/>
    </row>
    <row r="7" spans="1:22" s="167" customFormat="1" x14ac:dyDescent="0.3">
      <c r="A7" s="268"/>
      <c r="B7" s="167" t="s">
        <v>76</v>
      </c>
      <c r="C7" s="168"/>
      <c r="D7" s="168">
        <v>1000000</v>
      </c>
      <c r="E7" s="168">
        <v>100000</v>
      </c>
      <c r="F7" s="168">
        <v>420000</v>
      </c>
      <c r="G7" s="151">
        <v>100000</v>
      </c>
      <c r="H7" s="151">
        <v>400000</v>
      </c>
      <c r="I7" s="151">
        <v>500000</v>
      </c>
      <c r="J7" s="151">
        <v>100000</v>
      </c>
      <c r="K7" s="151">
        <v>630000</v>
      </c>
      <c r="L7" s="151">
        <v>100000</v>
      </c>
      <c r="M7" s="151">
        <v>170000</v>
      </c>
      <c r="N7" s="151">
        <v>0</v>
      </c>
      <c r="O7" s="151">
        <v>100000</v>
      </c>
      <c r="P7" s="151">
        <v>0</v>
      </c>
      <c r="Q7" s="151">
        <v>2800000</v>
      </c>
      <c r="R7" s="151">
        <v>0</v>
      </c>
      <c r="S7" s="151">
        <v>400000</v>
      </c>
      <c r="T7" s="151">
        <f t="shared" si="0"/>
        <v>6820000</v>
      </c>
      <c r="U7" s="22"/>
      <c r="V7" s="231"/>
    </row>
    <row r="8" spans="1:22" s="167" customFormat="1" x14ac:dyDescent="0.3">
      <c r="A8" s="268"/>
      <c r="B8" s="167" t="s">
        <v>77</v>
      </c>
      <c r="C8" s="168"/>
      <c r="D8" s="168">
        <v>1000000</v>
      </c>
      <c r="E8" s="168">
        <v>1000000</v>
      </c>
      <c r="F8" s="168">
        <v>420000</v>
      </c>
      <c r="G8" s="151">
        <v>750000</v>
      </c>
      <c r="H8" s="151">
        <v>500000</v>
      </c>
      <c r="I8" s="151">
        <v>500000</v>
      </c>
      <c r="J8" s="151">
        <v>100000</v>
      </c>
      <c r="K8" s="151">
        <v>630000</v>
      </c>
      <c r="L8" s="151">
        <v>100000</v>
      </c>
      <c r="M8" s="151">
        <v>170000</v>
      </c>
      <c r="N8" s="151">
        <v>0</v>
      </c>
      <c r="O8" s="151">
        <v>100000</v>
      </c>
      <c r="P8" s="151">
        <v>0</v>
      </c>
      <c r="Q8" s="151">
        <v>2900000</v>
      </c>
      <c r="R8" s="151">
        <v>0</v>
      </c>
      <c r="S8" s="151">
        <v>0</v>
      </c>
      <c r="T8" s="151">
        <f t="shared" si="0"/>
        <v>8170000</v>
      </c>
      <c r="U8" s="22"/>
      <c r="V8" s="231"/>
    </row>
    <row r="9" spans="1:22" s="167" customFormat="1" x14ac:dyDescent="0.3">
      <c r="A9" s="268"/>
      <c r="B9" s="167" t="s">
        <v>78</v>
      </c>
      <c r="C9" s="168"/>
      <c r="D9" s="168">
        <v>1000000</v>
      </c>
      <c r="E9" s="168">
        <v>1000000</v>
      </c>
      <c r="F9" s="168">
        <v>420000</v>
      </c>
      <c r="G9" s="151">
        <v>750000</v>
      </c>
      <c r="H9" s="151">
        <v>500000</v>
      </c>
      <c r="I9" s="151">
        <v>500000</v>
      </c>
      <c r="J9" s="151">
        <v>100000</v>
      </c>
      <c r="K9" s="151">
        <v>630000</v>
      </c>
      <c r="L9" s="151">
        <v>100000</v>
      </c>
      <c r="M9" s="151">
        <v>170000</v>
      </c>
      <c r="N9" s="151">
        <v>0</v>
      </c>
      <c r="O9" s="151">
        <v>100000</v>
      </c>
      <c r="P9" s="151">
        <v>0</v>
      </c>
      <c r="Q9" s="151">
        <v>2000000</v>
      </c>
      <c r="R9" s="151">
        <v>0</v>
      </c>
      <c r="S9" s="151">
        <v>0</v>
      </c>
      <c r="T9" s="151">
        <f t="shared" si="0"/>
        <v>7270000</v>
      </c>
      <c r="U9" s="22"/>
      <c r="V9" s="231"/>
    </row>
    <row r="10" spans="1:22" s="167" customFormat="1" x14ac:dyDescent="0.3">
      <c r="A10" s="268"/>
      <c r="B10" s="167" t="s">
        <v>79</v>
      </c>
      <c r="C10" s="168"/>
      <c r="D10" s="168">
        <v>1000000</v>
      </c>
      <c r="E10" s="168">
        <v>1000000</v>
      </c>
      <c r="F10" s="168">
        <v>420000</v>
      </c>
      <c r="G10" s="151">
        <v>750000</v>
      </c>
      <c r="H10" s="151">
        <v>500000</v>
      </c>
      <c r="I10" s="151">
        <v>500000</v>
      </c>
      <c r="J10" s="151">
        <v>100000</v>
      </c>
      <c r="K10" s="151">
        <v>630000</v>
      </c>
      <c r="L10" s="151">
        <v>100000</v>
      </c>
      <c r="M10" s="151">
        <v>170000</v>
      </c>
      <c r="N10" s="151">
        <v>0</v>
      </c>
      <c r="O10" s="151">
        <v>100000</v>
      </c>
      <c r="P10" s="151">
        <v>0</v>
      </c>
      <c r="Q10" s="151">
        <v>2000000</v>
      </c>
      <c r="R10" s="151">
        <v>0</v>
      </c>
      <c r="S10" s="151">
        <v>0</v>
      </c>
      <c r="T10" s="151">
        <f t="shared" si="0"/>
        <v>7270000</v>
      </c>
      <c r="U10" s="22"/>
      <c r="V10" s="231"/>
    </row>
    <row r="11" spans="1:22" s="167" customFormat="1" x14ac:dyDescent="0.3">
      <c r="A11" s="268"/>
      <c r="B11" s="167" t="s">
        <v>80</v>
      </c>
      <c r="C11" s="168"/>
      <c r="D11" s="168">
        <v>1000000</v>
      </c>
      <c r="E11" s="168">
        <v>1000000</v>
      </c>
      <c r="F11" s="168">
        <v>420000</v>
      </c>
      <c r="G11" s="151">
        <v>400000</v>
      </c>
      <c r="H11" s="151">
        <v>100000</v>
      </c>
      <c r="I11" s="151">
        <v>400000</v>
      </c>
      <c r="J11" s="151">
        <v>100000</v>
      </c>
      <c r="K11" s="151">
        <v>630000</v>
      </c>
      <c r="L11" s="151">
        <v>100000</v>
      </c>
      <c r="M11" s="151">
        <v>150000</v>
      </c>
      <c r="N11" s="151">
        <v>0</v>
      </c>
      <c r="O11" s="151">
        <v>100000</v>
      </c>
      <c r="P11" s="151">
        <v>0</v>
      </c>
      <c r="Q11" s="151">
        <v>3000000</v>
      </c>
      <c r="R11" s="151">
        <v>0</v>
      </c>
      <c r="S11" s="151">
        <v>3580000</v>
      </c>
      <c r="T11" s="151">
        <f t="shared" si="0"/>
        <v>10980000</v>
      </c>
      <c r="U11" s="22"/>
      <c r="V11" s="231"/>
    </row>
    <row r="12" spans="1:22" s="167" customFormat="1" x14ac:dyDescent="0.3">
      <c r="A12" s="268"/>
      <c r="B12" s="167" t="s">
        <v>81</v>
      </c>
      <c r="C12" s="168"/>
      <c r="D12" s="168">
        <v>0</v>
      </c>
      <c r="E12" s="168">
        <v>7000000</v>
      </c>
      <c r="F12" s="168">
        <v>420000</v>
      </c>
      <c r="G12" s="151">
        <v>400000</v>
      </c>
      <c r="H12" s="151">
        <v>100000</v>
      </c>
      <c r="I12" s="151">
        <v>400000</v>
      </c>
      <c r="J12" s="151">
        <v>100000</v>
      </c>
      <c r="K12" s="151">
        <v>630000</v>
      </c>
      <c r="L12" s="151">
        <v>100000</v>
      </c>
      <c r="M12" s="151">
        <v>1000000</v>
      </c>
      <c r="N12" s="151">
        <v>0</v>
      </c>
      <c r="O12" s="151">
        <v>100000</v>
      </c>
      <c r="P12" s="151">
        <v>0</v>
      </c>
      <c r="Q12" s="151">
        <v>3000000</v>
      </c>
      <c r="R12" s="151">
        <v>0</v>
      </c>
      <c r="S12" s="151">
        <v>580000</v>
      </c>
      <c r="T12" s="151">
        <f t="shared" si="0"/>
        <v>13830000</v>
      </c>
      <c r="U12" s="151">
        <v>11500000</v>
      </c>
      <c r="V12" s="231"/>
    </row>
    <row r="13" spans="1:22" s="167" customFormat="1" x14ac:dyDescent="0.3">
      <c r="A13" s="268"/>
      <c r="B13" s="167" t="s">
        <v>82</v>
      </c>
      <c r="C13" s="168">
        <f xml:space="preserve"> U12 + 7150000</f>
        <v>18650000</v>
      </c>
      <c r="D13" s="168">
        <v>0</v>
      </c>
      <c r="E13" s="168">
        <v>4000000</v>
      </c>
      <c r="F13" s="168">
        <v>420000</v>
      </c>
      <c r="G13" s="151">
        <v>300000</v>
      </c>
      <c r="H13" s="151">
        <v>100000</v>
      </c>
      <c r="I13" s="151">
        <v>200000</v>
      </c>
      <c r="J13" s="151">
        <v>100000</v>
      </c>
      <c r="K13" s="151">
        <v>630000</v>
      </c>
      <c r="L13" s="151">
        <v>100000</v>
      </c>
      <c r="M13" s="151">
        <v>1000000</v>
      </c>
      <c r="N13" s="151">
        <v>0</v>
      </c>
      <c r="O13" s="151">
        <v>100000</v>
      </c>
      <c r="P13" s="151">
        <v>750000</v>
      </c>
      <c r="Q13" s="151">
        <v>3000000</v>
      </c>
      <c r="R13" s="224">
        <v>0</v>
      </c>
      <c r="S13" s="151">
        <f xml:space="preserve"> 580000 + 5400000 +700000</f>
        <v>6680000</v>
      </c>
      <c r="T13" s="151">
        <f t="shared" si="0"/>
        <v>17380000</v>
      </c>
      <c r="U13" s="151">
        <f t="shared" ref="U13:U44" si="1" xml:space="preserve"> C13 - T13</f>
        <v>1270000</v>
      </c>
      <c r="V13" s="231"/>
    </row>
    <row r="14" spans="1:22" s="194" customFormat="1" ht="17.25" thickBot="1" x14ac:dyDescent="0.35">
      <c r="A14" s="268"/>
      <c r="B14" s="226" t="s">
        <v>83</v>
      </c>
      <c r="C14" s="227">
        <f xml:space="preserve"> U13 + 7150000</f>
        <v>8420000</v>
      </c>
      <c r="D14" s="227">
        <v>0</v>
      </c>
      <c r="E14" s="227">
        <v>1400000</v>
      </c>
      <c r="F14" s="227">
        <v>420000</v>
      </c>
      <c r="G14" s="228">
        <v>0</v>
      </c>
      <c r="H14" s="228">
        <v>100000</v>
      </c>
      <c r="I14" s="228">
        <v>200000</v>
      </c>
      <c r="J14" s="228">
        <v>100000</v>
      </c>
      <c r="K14" s="228">
        <v>630000</v>
      </c>
      <c r="L14" s="228">
        <v>100000</v>
      </c>
      <c r="M14" s="228">
        <v>600000</v>
      </c>
      <c r="N14" s="228">
        <v>0</v>
      </c>
      <c r="O14" s="228">
        <v>100000</v>
      </c>
      <c r="P14" s="228">
        <v>300000</v>
      </c>
      <c r="Q14" s="228">
        <v>3000000</v>
      </c>
      <c r="R14" s="224">
        <v>0</v>
      </c>
      <c r="S14" s="228">
        <v>1580000</v>
      </c>
      <c r="T14" s="228">
        <f t="shared" si="0"/>
        <v>8530000</v>
      </c>
      <c r="U14" s="228">
        <f xml:space="preserve"> C14 - T14 +1000000</f>
        <v>890000</v>
      </c>
      <c r="V14" s="233"/>
    </row>
    <row r="15" spans="1:22" s="195" customFormat="1" x14ac:dyDescent="0.3">
      <c r="A15" s="268">
        <v>2024</v>
      </c>
      <c r="B15" s="167" t="s">
        <v>72</v>
      </c>
      <c r="C15" s="168">
        <f xml:space="preserve"> U14 + 7150000 +340000</f>
        <v>8380000</v>
      </c>
      <c r="D15" s="168">
        <v>0</v>
      </c>
      <c r="E15" s="168">
        <v>0</v>
      </c>
      <c r="F15" s="168">
        <v>420000</v>
      </c>
      <c r="G15" s="151">
        <v>300000</v>
      </c>
      <c r="H15" s="151">
        <v>100000</v>
      </c>
      <c r="I15" s="151">
        <v>200000</v>
      </c>
      <c r="J15" s="151">
        <v>100000</v>
      </c>
      <c r="K15" s="151">
        <v>630000</v>
      </c>
      <c r="L15" s="151">
        <v>100000</v>
      </c>
      <c r="M15" s="151">
        <v>230000</v>
      </c>
      <c r="N15" s="151">
        <v>0</v>
      </c>
      <c r="O15" s="151">
        <v>100000</v>
      </c>
      <c r="P15" s="151">
        <v>1500000</v>
      </c>
      <c r="Q15" s="151">
        <v>3100000</v>
      </c>
      <c r="R15" s="151">
        <v>0</v>
      </c>
      <c r="S15" s="151">
        <v>890000</v>
      </c>
      <c r="T15" s="151">
        <f t="shared" si="0"/>
        <v>7670000</v>
      </c>
      <c r="U15" s="151">
        <f t="shared" si="1"/>
        <v>710000</v>
      </c>
      <c r="V15" s="234"/>
    </row>
    <row r="16" spans="1:22" s="167" customFormat="1" x14ac:dyDescent="0.3">
      <c r="A16" s="268"/>
      <c r="B16" s="167" t="s">
        <v>73</v>
      </c>
      <c r="C16" s="168">
        <f xml:space="preserve"> U15 + 7370000 + 1800000 + 1500000</f>
        <v>11380000</v>
      </c>
      <c r="D16" s="168">
        <v>0</v>
      </c>
      <c r="E16" s="168">
        <v>0</v>
      </c>
      <c r="F16" s="168">
        <v>420000</v>
      </c>
      <c r="G16" s="151">
        <v>0</v>
      </c>
      <c r="H16" s="151">
        <v>100000</v>
      </c>
      <c r="I16" s="151">
        <v>200000</v>
      </c>
      <c r="J16" s="151">
        <v>100000</v>
      </c>
      <c r="K16" s="151">
        <v>630000</v>
      </c>
      <c r="L16" s="151">
        <v>100000</v>
      </c>
      <c r="M16" s="151">
        <v>150000</v>
      </c>
      <c r="N16" s="151">
        <v>0</v>
      </c>
      <c r="O16" s="151">
        <v>100000</v>
      </c>
      <c r="P16" s="151">
        <v>2000000</v>
      </c>
      <c r="Q16" s="151">
        <v>3000000</v>
      </c>
      <c r="R16" s="151">
        <v>0</v>
      </c>
      <c r="S16" s="151">
        <v>0</v>
      </c>
      <c r="T16" s="151">
        <f t="shared" si="0"/>
        <v>6800000</v>
      </c>
      <c r="U16" s="151">
        <f t="shared" si="1"/>
        <v>4580000</v>
      </c>
      <c r="V16" s="231"/>
    </row>
    <row r="17" spans="1:22" s="167" customFormat="1" x14ac:dyDescent="0.3">
      <c r="A17" s="268"/>
      <c r="B17" s="167" t="s">
        <v>74</v>
      </c>
      <c r="C17" s="168">
        <f xml:space="preserve"> U16 + 7370000</f>
        <v>11950000</v>
      </c>
      <c r="D17" s="168">
        <v>0</v>
      </c>
      <c r="E17" s="168">
        <v>350000</v>
      </c>
      <c r="F17" s="168">
        <v>420000</v>
      </c>
      <c r="G17" s="151">
        <v>0</v>
      </c>
      <c r="H17" s="151">
        <v>100000</v>
      </c>
      <c r="I17" s="151">
        <v>200000</v>
      </c>
      <c r="J17" s="151">
        <v>100000</v>
      </c>
      <c r="K17" s="151">
        <v>630000</v>
      </c>
      <c r="L17" s="151">
        <v>100000</v>
      </c>
      <c r="M17" s="151">
        <v>190000</v>
      </c>
      <c r="N17" s="151">
        <v>0</v>
      </c>
      <c r="O17" s="151">
        <v>100000</v>
      </c>
      <c r="P17" s="151">
        <v>0</v>
      </c>
      <c r="Q17" s="151">
        <v>2000000</v>
      </c>
      <c r="R17" s="151">
        <v>0</v>
      </c>
      <c r="S17" s="151">
        <f xml:space="preserve"> 5000000</f>
        <v>5000000</v>
      </c>
      <c r="T17" s="151">
        <f t="shared" si="0"/>
        <v>9190000</v>
      </c>
      <c r="U17" s="151">
        <f t="shared" si="1"/>
        <v>2760000</v>
      </c>
      <c r="V17" s="231"/>
    </row>
    <row r="18" spans="1:22" s="167" customFormat="1" ht="17.25" customHeight="1" x14ac:dyDescent="0.3">
      <c r="A18" s="268"/>
      <c r="B18" s="167" t="s">
        <v>75</v>
      </c>
      <c r="C18" s="168">
        <f xml:space="preserve"> U17 + 7370000</f>
        <v>10130000</v>
      </c>
      <c r="D18" s="168">
        <v>0</v>
      </c>
      <c r="E18" s="168">
        <v>0</v>
      </c>
      <c r="F18" s="168">
        <v>420000</v>
      </c>
      <c r="G18" s="151">
        <v>0</v>
      </c>
      <c r="H18" s="151">
        <v>100000</v>
      </c>
      <c r="I18" s="151">
        <v>200000</v>
      </c>
      <c r="J18" s="151">
        <v>100000</v>
      </c>
      <c r="K18" s="151">
        <v>630000</v>
      </c>
      <c r="L18" s="151">
        <v>100000</v>
      </c>
      <c r="M18" s="151">
        <v>190000</v>
      </c>
      <c r="N18" s="151">
        <v>0</v>
      </c>
      <c r="O18" s="151">
        <v>100000</v>
      </c>
      <c r="P18" s="151">
        <v>400000</v>
      </c>
      <c r="Q18" s="151">
        <v>4500000</v>
      </c>
      <c r="R18" s="151">
        <v>0</v>
      </c>
      <c r="S18" s="151">
        <v>1500000</v>
      </c>
      <c r="T18" s="151">
        <f t="shared" si="0"/>
        <v>8240000</v>
      </c>
      <c r="U18" s="151">
        <f t="shared" si="1"/>
        <v>1890000</v>
      </c>
      <c r="V18" s="231"/>
    </row>
    <row r="19" spans="1:22" s="167" customFormat="1" x14ac:dyDescent="0.3">
      <c r="A19" s="268"/>
      <c r="B19" s="167" t="s">
        <v>76</v>
      </c>
      <c r="C19" s="168">
        <f xml:space="preserve"> U18 + 7370000 +18700000</f>
        <v>27960000</v>
      </c>
      <c r="D19" s="168">
        <v>1900000</v>
      </c>
      <c r="E19" s="168">
        <v>14000000</v>
      </c>
      <c r="F19" s="168">
        <v>420000</v>
      </c>
      <c r="G19" s="168">
        <v>0</v>
      </c>
      <c r="H19" s="168">
        <v>100000</v>
      </c>
      <c r="I19" s="168">
        <v>200000</v>
      </c>
      <c r="J19" s="168">
        <v>100000</v>
      </c>
      <c r="K19" s="168">
        <v>630000</v>
      </c>
      <c r="L19" s="168">
        <v>100000</v>
      </c>
      <c r="M19" s="168">
        <v>190000</v>
      </c>
      <c r="N19" s="168">
        <v>0</v>
      </c>
      <c r="O19" s="168">
        <v>100000</v>
      </c>
      <c r="P19" s="168">
        <v>0</v>
      </c>
      <c r="Q19" s="168">
        <v>3100000</v>
      </c>
      <c r="R19" s="168">
        <v>400000</v>
      </c>
      <c r="S19" s="168">
        <v>5800000</v>
      </c>
      <c r="T19" s="168">
        <f t="shared" si="0"/>
        <v>27040000</v>
      </c>
      <c r="U19" s="168">
        <f t="shared" si="1"/>
        <v>920000</v>
      </c>
      <c r="V19" s="248">
        <v>18700000</v>
      </c>
    </row>
    <row r="20" spans="1:22" ht="15.75" customHeight="1" x14ac:dyDescent="0.3">
      <c r="A20" s="268"/>
      <c r="B20" s="1" t="s">
        <v>77</v>
      </c>
      <c r="C20" s="171">
        <f xml:space="preserve"> U19 + 7370000 +1000000</f>
        <v>9290000</v>
      </c>
      <c r="D20" s="172">
        <v>0</v>
      </c>
      <c r="E20" s="172">
        <v>0</v>
      </c>
      <c r="F20" s="2">
        <v>420000</v>
      </c>
      <c r="G20" s="172">
        <v>300000</v>
      </c>
      <c r="H20" s="173">
        <v>300000</v>
      </c>
      <c r="I20" s="2">
        <v>200000</v>
      </c>
      <c r="J20" s="2">
        <v>100000</v>
      </c>
      <c r="K20" s="2">
        <v>630000</v>
      </c>
      <c r="L20" s="2">
        <v>100000</v>
      </c>
      <c r="M20" s="174">
        <v>190000</v>
      </c>
      <c r="N20" s="2">
        <v>0</v>
      </c>
      <c r="O20" s="2">
        <v>100000</v>
      </c>
      <c r="P20" s="2">
        <v>500000</v>
      </c>
      <c r="Q20" s="2">
        <v>2800000</v>
      </c>
      <c r="R20" s="172">
        <v>0</v>
      </c>
      <c r="S20" s="175">
        <v>1640000</v>
      </c>
      <c r="T20" s="2">
        <f>SUM(D20:S20)</f>
        <v>7280000</v>
      </c>
      <c r="U20" s="2">
        <f t="shared" si="1"/>
        <v>2010000</v>
      </c>
      <c r="V20" s="235">
        <f xml:space="preserve"> V19 - 1640000</f>
        <v>17060000</v>
      </c>
    </row>
    <row r="21" spans="1:22" s="31" customFormat="1" x14ac:dyDescent="0.3">
      <c r="A21" s="268"/>
      <c r="B21" s="31" t="s">
        <v>78</v>
      </c>
      <c r="C21" s="171">
        <f t="shared" ref="C21:C25" si="2" xml:space="preserve"> U20 + 7370000</f>
        <v>9380000</v>
      </c>
      <c r="D21" s="172">
        <v>1800000</v>
      </c>
      <c r="E21" s="172">
        <v>0</v>
      </c>
      <c r="F21" s="171">
        <v>420000</v>
      </c>
      <c r="G21" s="172">
        <v>300000</v>
      </c>
      <c r="H21" s="173">
        <v>300000</v>
      </c>
      <c r="I21" s="171">
        <v>200000</v>
      </c>
      <c r="J21" s="171">
        <v>100000</v>
      </c>
      <c r="K21" s="171">
        <v>630000</v>
      </c>
      <c r="L21" s="171">
        <v>100000</v>
      </c>
      <c r="M21" s="168">
        <v>190000</v>
      </c>
      <c r="N21" s="171">
        <v>0</v>
      </c>
      <c r="O21" s="171">
        <v>100000</v>
      </c>
      <c r="P21" s="2">
        <v>500000</v>
      </c>
      <c r="Q21" s="2">
        <v>1500000</v>
      </c>
      <c r="R21" s="223">
        <v>300000</v>
      </c>
      <c r="S21" s="175">
        <v>1640000</v>
      </c>
      <c r="T21" s="171">
        <f t="shared" si="0"/>
        <v>8080000</v>
      </c>
      <c r="U21" s="171">
        <f t="shared" si="1"/>
        <v>1300000</v>
      </c>
      <c r="V21" s="235">
        <f xml:space="preserve"> V20 - 1640000</f>
        <v>15420000</v>
      </c>
    </row>
    <row r="22" spans="1:22" x14ac:dyDescent="0.3">
      <c r="A22" s="268"/>
      <c r="B22" s="1" t="s">
        <v>79</v>
      </c>
      <c r="C22" s="171">
        <f t="shared" si="2"/>
        <v>8670000</v>
      </c>
      <c r="D22" s="172">
        <v>0</v>
      </c>
      <c r="E22" s="172">
        <v>0</v>
      </c>
      <c r="F22" s="2">
        <v>420000</v>
      </c>
      <c r="G22" s="172">
        <v>300000</v>
      </c>
      <c r="H22" s="173">
        <v>300000</v>
      </c>
      <c r="I22" s="2">
        <v>200000</v>
      </c>
      <c r="J22" s="2">
        <v>100000</v>
      </c>
      <c r="K22" s="2">
        <v>630000</v>
      </c>
      <c r="L22" s="2">
        <v>100000</v>
      </c>
      <c r="M22" s="174">
        <v>190000</v>
      </c>
      <c r="N22" s="2">
        <v>0</v>
      </c>
      <c r="O22" s="2">
        <v>100000</v>
      </c>
      <c r="P22" s="2">
        <v>500000</v>
      </c>
      <c r="Q22" s="2">
        <v>1500000</v>
      </c>
      <c r="R22" s="172">
        <v>0</v>
      </c>
      <c r="S22" s="175">
        <v>1640000</v>
      </c>
      <c r="T22" s="2">
        <f t="shared" si="0"/>
        <v>5980000</v>
      </c>
      <c r="U22" s="2">
        <f t="shared" si="1"/>
        <v>2690000</v>
      </c>
      <c r="V22" s="235">
        <f t="shared" ref="V22:V31" si="3" xml:space="preserve"> V21 - 1640000</f>
        <v>13780000</v>
      </c>
    </row>
    <row r="23" spans="1:22" x14ac:dyDescent="0.3">
      <c r="A23" s="268"/>
      <c r="B23" s="1" t="s">
        <v>80</v>
      </c>
      <c r="C23" s="171">
        <f t="shared" si="2"/>
        <v>10060000</v>
      </c>
      <c r="D23" s="172">
        <v>0</v>
      </c>
      <c r="E23" s="172">
        <v>0</v>
      </c>
      <c r="F23" s="2">
        <v>420000</v>
      </c>
      <c r="G23" s="172">
        <v>300000</v>
      </c>
      <c r="H23" s="173">
        <v>300000</v>
      </c>
      <c r="I23" s="2">
        <v>200000</v>
      </c>
      <c r="J23" s="2">
        <v>100000</v>
      </c>
      <c r="K23" s="2">
        <v>630000</v>
      </c>
      <c r="L23" s="2">
        <v>100000</v>
      </c>
      <c r="M23" s="168">
        <v>190000</v>
      </c>
      <c r="N23" s="2">
        <v>0</v>
      </c>
      <c r="O23" s="2">
        <v>100000</v>
      </c>
      <c r="P23" s="2">
        <v>500000</v>
      </c>
      <c r="Q23" s="2">
        <v>1500000</v>
      </c>
      <c r="R23" s="172">
        <v>400000</v>
      </c>
      <c r="S23" s="175">
        <v>1640000</v>
      </c>
      <c r="T23" s="2">
        <f t="shared" si="0"/>
        <v>6380000</v>
      </c>
      <c r="U23" s="2">
        <f t="shared" si="1"/>
        <v>3680000</v>
      </c>
      <c r="V23" s="235">
        <f t="shared" si="3"/>
        <v>12140000</v>
      </c>
    </row>
    <row r="24" spans="1:22" s="220" customFormat="1" x14ac:dyDescent="0.3">
      <c r="A24" s="268"/>
      <c r="B24" s="220" t="s">
        <v>81</v>
      </c>
      <c r="C24" s="214">
        <f xml:space="preserve"> U23 + 7370000</f>
        <v>11050000</v>
      </c>
      <c r="D24" s="214">
        <v>1800000</v>
      </c>
      <c r="E24" s="214">
        <v>0</v>
      </c>
      <c r="F24" s="214">
        <v>420000</v>
      </c>
      <c r="G24" s="214">
        <v>300000</v>
      </c>
      <c r="H24" s="214">
        <v>300000</v>
      </c>
      <c r="I24" s="214">
        <v>200000</v>
      </c>
      <c r="J24" s="214">
        <v>100000</v>
      </c>
      <c r="K24" s="214">
        <v>630000</v>
      </c>
      <c r="L24" s="214">
        <v>100000</v>
      </c>
      <c r="M24" s="214">
        <v>190000</v>
      </c>
      <c r="N24" s="214">
        <v>0</v>
      </c>
      <c r="O24" s="214">
        <v>100000</v>
      </c>
      <c r="P24" s="2">
        <v>500000</v>
      </c>
      <c r="Q24" s="2">
        <v>1500000</v>
      </c>
      <c r="R24" s="229">
        <v>0</v>
      </c>
      <c r="S24" s="214">
        <v>1640000</v>
      </c>
      <c r="T24" s="214">
        <f>SUM(D24:S24)</f>
        <v>7780000</v>
      </c>
      <c r="U24" s="214">
        <f t="shared" si="1"/>
        <v>3270000</v>
      </c>
      <c r="V24" s="235">
        <f t="shared" si="3"/>
        <v>10500000</v>
      </c>
    </row>
    <row r="25" spans="1:22" x14ac:dyDescent="0.3">
      <c r="A25" s="268"/>
      <c r="B25" s="1" t="s">
        <v>82</v>
      </c>
      <c r="C25" s="171">
        <f t="shared" si="2"/>
        <v>10640000</v>
      </c>
      <c r="D25" s="172">
        <v>0</v>
      </c>
      <c r="E25" s="172">
        <v>0</v>
      </c>
      <c r="F25" s="2">
        <v>420000</v>
      </c>
      <c r="G25" s="172">
        <v>300000</v>
      </c>
      <c r="H25" s="173">
        <v>300000</v>
      </c>
      <c r="I25" s="2">
        <v>200000</v>
      </c>
      <c r="J25" s="2">
        <v>100000</v>
      </c>
      <c r="K25" s="2">
        <v>630000</v>
      </c>
      <c r="L25" s="2">
        <v>100000</v>
      </c>
      <c r="M25" s="168">
        <v>190000</v>
      </c>
      <c r="N25" s="2">
        <v>0</v>
      </c>
      <c r="O25" s="2">
        <v>100000</v>
      </c>
      <c r="P25" s="2">
        <v>500000</v>
      </c>
      <c r="Q25" s="2">
        <v>1500000</v>
      </c>
      <c r="R25" s="172">
        <v>0</v>
      </c>
      <c r="S25" s="175">
        <v>1640000</v>
      </c>
      <c r="T25" s="2">
        <f t="shared" si="0"/>
        <v>5980000</v>
      </c>
      <c r="U25" s="2">
        <f t="shared" si="1"/>
        <v>4660000</v>
      </c>
      <c r="V25" s="235">
        <f t="shared" si="3"/>
        <v>8860000</v>
      </c>
    </row>
    <row r="26" spans="1:22" s="215" customFormat="1" ht="17.25" thickBot="1" x14ac:dyDescent="0.35">
      <c r="A26" s="268"/>
      <c r="B26" s="217" t="s">
        <v>83</v>
      </c>
      <c r="C26" s="218">
        <f xml:space="preserve"> U25 + 7370000</f>
        <v>12030000</v>
      </c>
      <c r="D26" s="218">
        <v>0</v>
      </c>
      <c r="E26" s="216">
        <v>0</v>
      </c>
      <c r="F26" s="218">
        <v>420000</v>
      </c>
      <c r="G26" s="216">
        <v>300000</v>
      </c>
      <c r="H26" s="216">
        <v>300000</v>
      </c>
      <c r="I26" s="218">
        <v>200000</v>
      </c>
      <c r="J26" s="218">
        <v>100000</v>
      </c>
      <c r="K26" s="216">
        <v>800000</v>
      </c>
      <c r="L26" s="216">
        <v>150000</v>
      </c>
      <c r="M26" s="216">
        <v>300000</v>
      </c>
      <c r="N26" s="218">
        <v>0</v>
      </c>
      <c r="O26" s="216">
        <v>100000</v>
      </c>
      <c r="P26" s="216">
        <v>500000</v>
      </c>
      <c r="Q26" s="216">
        <v>2000000</v>
      </c>
      <c r="R26" s="216">
        <v>400000</v>
      </c>
      <c r="S26" s="216">
        <v>1640000</v>
      </c>
      <c r="T26" s="218">
        <f t="shared" si="0"/>
        <v>7210000</v>
      </c>
      <c r="U26" s="218">
        <f t="shared" si="1"/>
        <v>4820000</v>
      </c>
      <c r="V26" s="249">
        <f t="shared" si="3"/>
        <v>7220000</v>
      </c>
    </row>
    <row r="27" spans="1:22" s="68" customFormat="1" x14ac:dyDescent="0.3">
      <c r="A27" s="268">
        <v>2025</v>
      </c>
      <c r="B27" s="1" t="s">
        <v>72</v>
      </c>
      <c r="C27" s="171">
        <f xml:space="preserve"> U26 + 7590000</f>
        <v>12410000</v>
      </c>
      <c r="D27" s="2">
        <v>1800000</v>
      </c>
      <c r="E27" s="172">
        <v>0</v>
      </c>
      <c r="F27" s="2">
        <v>420000</v>
      </c>
      <c r="G27" s="172">
        <v>300000</v>
      </c>
      <c r="H27" s="173">
        <v>300000</v>
      </c>
      <c r="I27" s="2">
        <v>200000</v>
      </c>
      <c r="J27" s="2">
        <v>100000</v>
      </c>
      <c r="K27" s="2">
        <v>800000</v>
      </c>
      <c r="L27" s="2">
        <v>150000</v>
      </c>
      <c r="M27" s="216">
        <v>300000</v>
      </c>
      <c r="N27" s="2">
        <v>0</v>
      </c>
      <c r="O27" s="2">
        <v>200000</v>
      </c>
      <c r="P27" s="2">
        <v>500000</v>
      </c>
      <c r="Q27" s="2">
        <v>2000000</v>
      </c>
      <c r="R27" s="2">
        <v>600000</v>
      </c>
      <c r="S27" s="175">
        <v>1640000</v>
      </c>
      <c r="T27" s="2">
        <f>SUM(D27:S27)</f>
        <v>9310000</v>
      </c>
      <c r="U27" s="2">
        <f t="shared" si="1"/>
        <v>3100000</v>
      </c>
      <c r="V27" s="235">
        <f t="shared" si="3"/>
        <v>5580000</v>
      </c>
    </row>
    <row r="28" spans="1:22" x14ac:dyDescent="0.3">
      <c r="A28" s="268"/>
      <c r="B28" s="1" t="s">
        <v>73</v>
      </c>
      <c r="C28" s="171">
        <f xml:space="preserve"> U27 + 7590000</f>
        <v>10690000</v>
      </c>
      <c r="D28" s="172">
        <v>0</v>
      </c>
      <c r="E28" s="172">
        <v>0</v>
      </c>
      <c r="F28" s="2">
        <v>420000</v>
      </c>
      <c r="G28" s="172">
        <v>300000</v>
      </c>
      <c r="H28" s="173">
        <v>300000</v>
      </c>
      <c r="I28" s="2">
        <v>200000</v>
      </c>
      <c r="J28" s="2">
        <v>100000</v>
      </c>
      <c r="K28" s="2">
        <v>800000</v>
      </c>
      <c r="L28" s="2">
        <v>150000</v>
      </c>
      <c r="M28" s="216">
        <v>300000</v>
      </c>
      <c r="N28" s="2">
        <v>0</v>
      </c>
      <c r="O28" s="2">
        <v>200000</v>
      </c>
      <c r="P28" s="2">
        <v>500000</v>
      </c>
      <c r="Q28" s="2">
        <v>2000000</v>
      </c>
      <c r="R28" s="2">
        <v>0</v>
      </c>
      <c r="S28" s="175">
        <v>1640000</v>
      </c>
      <c r="T28" s="2">
        <f t="shared" si="0"/>
        <v>6910000</v>
      </c>
      <c r="U28" s="2">
        <f t="shared" si="1"/>
        <v>3780000</v>
      </c>
      <c r="V28" s="235">
        <f t="shared" si="3"/>
        <v>3940000</v>
      </c>
    </row>
    <row r="29" spans="1:22" x14ac:dyDescent="0.3">
      <c r="A29" s="268"/>
      <c r="B29" s="1" t="s">
        <v>74</v>
      </c>
      <c r="C29" s="171">
        <f t="shared" ref="C29:C92" si="4" xml:space="preserve"> U28 + 7590000</f>
        <v>11370000</v>
      </c>
      <c r="D29" s="172">
        <v>0</v>
      </c>
      <c r="E29" s="172">
        <v>0</v>
      </c>
      <c r="F29" s="2">
        <v>420000</v>
      </c>
      <c r="G29" s="172">
        <v>300000</v>
      </c>
      <c r="H29" s="173">
        <v>300000</v>
      </c>
      <c r="I29" s="2">
        <v>200000</v>
      </c>
      <c r="J29" s="2">
        <v>100000</v>
      </c>
      <c r="K29" s="2">
        <v>800000</v>
      </c>
      <c r="L29" s="2">
        <v>150000</v>
      </c>
      <c r="M29" s="216">
        <v>300000</v>
      </c>
      <c r="N29" s="2">
        <v>0</v>
      </c>
      <c r="O29" s="2">
        <v>200000</v>
      </c>
      <c r="P29" s="2">
        <v>500000</v>
      </c>
      <c r="Q29" s="2">
        <v>2000000</v>
      </c>
      <c r="R29" s="2">
        <v>0</v>
      </c>
      <c r="S29" s="175">
        <v>1640000</v>
      </c>
      <c r="T29" s="2">
        <f t="shared" si="0"/>
        <v>6910000</v>
      </c>
      <c r="U29" s="2">
        <f t="shared" si="1"/>
        <v>4460000</v>
      </c>
      <c r="V29" s="235">
        <f t="shared" si="3"/>
        <v>2300000</v>
      </c>
    </row>
    <row r="30" spans="1:22" x14ac:dyDescent="0.3">
      <c r="A30" s="268"/>
      <c r="B30" s="1" t="s">
        <v>75</v>
      </c>
      <c r="C30" s="171">
        <f t="shared" si="4"/>
        <v>12050000</v>
      </c>
      <c r="D30" s="2">
        <v>1800000</v>
      </c>
      <c r="E30" s="172">
        <v>0</v>
      </c>
      <c r="F30" s="2">
        <v>420000</v>
      </c>
      <c r="G30" s="172">
        <v>300000</v>
      </c>
      <c r="H30" s="173">
        <v>300000</v>
      </c>
      <c r="I30" s="2">
        <v>200000</v>
      </c>
      <c r="J30" s="2">
        <v>100000</v>
      </c>
      <c r="K30" s="2">
        <v>800000</v>
      </c>
      <c r="L30" s="2">
        <v>150000</v>
      </c>
      <c r="M30" s="216">
        <v>300000</v>
      </c>
      <c r="N30" s="2">
        <v>0</v>
      </c>
      <c r="O30" s="2">
        <v>200000</v>
      </c>
      <c r="P30" s="2">
        <v>500000</v>
      </c>
      <c r="Q30" s="2">
        <v>2000000</v>
      </c>
      <c r="R30" s="2">
        <v>0</v>
      </c>
      <c r="S30" s="175">
        <v>1640000</v>
      </c>
      <c r="T30" s="2">
        <f t="shared" si="0"/>
        <v>8710000</v>
      </c>
      <c r="U30" s="2">
        <f t="shared" si="1"/>
        <v>3340000</v>
      </c>
      <c r="V30" s="235">
        <f t="shared" si="3"/>
        <v>660000</v>
      </c>
    </row>
    <row r="31" spans="1:22" x14ac:dyDescent="0.3">
      <c r="A31" s="268"/>
      <c r="B31" s="1" t="s">
        <v>76</v>
      </c>
      <c r="C31" s="171">
        <f t="shared" si="4"/>
        <v>10930000</v>
      </c>
      <c r="D31" s="172">
        <v>2000000</v>
      </c>
      <c r="E31" s="172">
        <v>0</v>
      </c>
      <c r="F31" s="2">
        <v>420000</v>
      </c>
      <c r="G31" s="172">
        <v>300000</v>
      </c>
      <c r="H31" s="173">
        <v>300000</v>
      </c>
      <c r="I31" s="2">
        <v>200000</v>
      </c>
      <c r="J31" s="2">
        <v>100000</v>
      </c>
      <c r="K31" s="2">
        <v>800000</v>
      </c>
      <c r="L31" s="2">
        <v>150000</v>
      </c>
      <c r="M31" s="216">
        <v>300000</v>
      </c>
      <c r="N31" s="2">
        <v>0</v>
      </c>
      <c r="O31" s="2">
        <v>200000</v>
      </c>
      <c r="P31" s="2">
        <v>500000</v>
      </c>
      <c r="Q31" s="2">
        <v>2000000</v>
      </c>
      <c r="R31" s="2">
        <v>600000</v>
      </c>
      <c r="S31" s="175">
        <v>700000</v>
      </c>
      <c r="T31" s="2">
        <f t="shared" si="0"/>
        <v>8570000</v>
      </c>
      <c r="U31" s="2">
        <f t="shared" si="1"/>
        <v>2360000</v>
      </c>
      <c r="V31" s="235">
        <f t="shared" si="3"/>
        <v>-980000</v>
      </c>
    </row>
    <row r="32" spans="1:22" x14ac:dyDescent="0.3">
      <c r="A32" s="268"/>
      <c r="B32" s="1" t="s">
        <v>77</v>
      </c>
      <c r="C32" s="171">
        <f t="shared" si="4"/>
        <v>9950000</v>
      </c>
      <c r="D32" s="172">
        <v>0</v>
      </c>
      <c r="E32" s="172">
        <v>0</v>
      </c>
      <c r="F32" s="2">
        <v>420000</v>
      </c>
      <c r="G32" s="172">
        <v>300000</v>
      </c>
      <c r="H32" s="173">
        <v>300000</v>
      </c>
      <c r="I32" s="2">
        <v>200000</v>
      </c>
      <c r="J32" s="2">
        <v>100000</v>
      </c>
      <c r="K32" s="2">
        <v>800000</v>
      </c>
      <c r="L32" s="2">
        <v>150000</v>
      </c>
      <c r="M32" s="216">
        <v>300000</v>
      </c>
      <c r="N32" s="2">
        <v>0</v>
      </c>
      <c r="O32" s="2">
        <v>200000</v>
      </c>
      <c r="P32" s="2">
        <v>500000</v>
      </c>
      <c r="Q32" s="2">
        <v>2000000</v>
      </c>
      <c r="R32" s="2">
        <v>0</v>
      </c>
      <c r="S32" s="2">
        <v>0</v>
      </c>
      <c r="T32" s="2">
        <f t="shared" si="0"/>
        <v>5270000</v>
      </c>
      <c r="U32" s="2">
        <f t="shared" si="1"/>
        <v>4680000</v>
      </c>
      <c r="V32" s="235"/>
    </row>
    <row r="33" spans="1:22" x14ac:dyDescent="0.3">
      <c r="A33" s="268"/>
      <c r="B33" s="1" t="s">
        <v>78</v>
      </c>
      <c r="C33" s="171">
        <f t="shared" si="4"/>
        <v>12270000</v>
      </c>
      <c r="D33" s="172">
        <v>1800000</v>
      </c>
      <c r="E33" s="172">
        <v>0</v>
      </c>
      <c r="F33" s="2">
        <v>420000</v>
      </c>
      <c r="G33" s="172">
        <v>300000</v>
      </c>
      <c r="H33" s="173">
        <v>300000</v>
      </c>
      <c r="I33" s="2">
        <v>200000</v>
      </c>
      <c r="J33" s="2">
        <v>100000</v>
      </c>
      <c r="K33" s="2">
        <v>800000</v>
      </c>
      <c r="L33" s="2">
        <v>150000</v>
      </c>
      <c r="M33" s="216">
        <v>300000</v>
      </c>
      <c r="N33" s="2">
        <v>0</v>
      </c>
      <c r="O33" s="2">
        <v>200000</v>
      </c>
      <c r="P33" s="2">
        <v>500000</v>
      </c>
      <c r="Q33" s="2">
        <v>2000000</v>
      </c>
      <c r="R33" s="2">
        <v>0</v>
      </c>
      <c r="S33" s="2">
        <v>0</v>
      </c>
      <c r="T33" s="2">
        <f t="shared" si="0"/>
        <v>7070000</v>
      </c>
      <c r="U33" s="2">
        <f t="shared" si="1"/>
        <v>5200000</v>
      </c>
      <c r="V33" s="235"/>
    </row>
    <row r="34" spans="1:22" x14ac:dyDescent="0.3">
      <c r="A34" s="268"/>
      <c r="B34" s="1" t="s">
        <v>79</v>
      </c>
      <c r="C34" s="171">
        <f t="shared" si="4"/>
        <v>12790000</v>
      </c>
      <c r="D34" s="172">
        <v>0</v>
      </c>
      <c r="E34" s="172">
        <v>0</v>
      </c>
      <c r="F34" s="2">
        <v>420000</v>
      </c>
      <c r="G34" s="172">
        <v>300000</v>
      </c>
      <c r="H34" s="173">
        <v>300000</v>
      </c>
      <c r="I34" s="2">
        <v>200000</v>
      </c>
      <c r="J34" s="2">
        <v>100000</v>
      </c>
      <c r="K34" s="2">
        <v>800000</v>
      </c>
      <c r="L34" s="2">
        <v>150000</v>
      </c>
      <c r="M34" s="216">
        <v>300000</v>
      </c>
      <c r="N34" s="2">
        <v>0</v>
      </c>
      <c r="O34" s="2">
        <v>200000</v>
      </c>
      <c r="P34" s="2">
        <v>500000</v>
      </c>
      <c r="Q34" s="2">
        <v>2000000</v>
      </c>
      <c r="R34" s="2">
        <v>600000</v>
      </c>
      <c r="S34" s="2">
        <v>0</v>
      </c>
      <c r="T34" s="2">
        <f t="shared" si="0"/>
        <v>5870000</v>
      </c>
      <c r="U34" s="2">
        <f t="shared" si="1"/>
        <v>6920000</v>
      </c>
      <c r="V34" s="235"/>
    </row>
    <row r="35" spans="1:22" s="176" customFormat="1" ht="17.25" customHeight="1" x14ac:dyDescent="0.3">
      <c r="A35" s="268"/>
      <c r="B35" s="176" t="s">
        <v>80</v>
      </c>
      <c r="C35" s="171">
        <f t="shared" si="4"/>
        <v>14510000</v>
      </c>
      <c r="D35" s="172">
        <v>0</v>
      </c>
      <c r="E35" s="172">
        <v>0</v>
      </c>
      <c r="F35" s="2">
        <v>420000</v>
      </c>
      <c r="G35" s="172">
        <v>300000</v>
      </c>
      <c r="H35" s="173">
        <v>300000</v>
      </c>
      <c r="I35" s="2">
        <v>200000</v>
      </c>
      <c r="J35" s="2">
        <v>100000</v>
      </c>
      <c r="K35" s="2">
        <v>800000</v>
      </c>
      <c r="L35" s="2">
        <v>150000</v>
      </c>
      <c r="M35" s="216">
        <v>300000</v>
      </c>
      <c r="N35" s="2">
        <v>0</v>
      </c>
      <c r="O35" s="2">
        <v>200000</v>
      </c>
      <c r="P35" s="2">
        <v>500000</v>
      </c>
      <c r="Q35" s="2">
        <v>2000000</v>
      </c>
      <c r="R35" s="2">
        <v>0</v>
      </c>
      <c r="S35" s="2">
        <v>0</v>
      </c>
      <c r="T35" s="177">
        <f t="shared" ref="T35:T66" si="5">SUM(D35:S35)</f>
        <v>5270000</v>
      </c>
      <c r="U35" s="177">
        <f t="shared" si="1"/>
        <v>9240000</v>
      </c>
      <c r="V35" s="236"/>
    </row>
    <row r="36" spans="1:22" s="78" customFormat="1" x14ac:dyDescent="0.3">
      <c r="A36" s="268"/>
      <c r="B36" s="78" t="s">
        <v>81</v>
      </c>
      <c r="C36" s="173">
        <f xml:space="preserve"> U35 + 7590000 +15000000</f>
        <v>31830000</v>
      </c>
      <c r="D36" s="173">
        <v>1800000</v>
      </c>
      <c r="E36" s="173">
        <v>0</v>
      </c>
      <c r="F36" s="173">
        <v>420000</v>
      </c>
      <c r="G36" s="173">
        <v>300000</v>
      </c>
      <c r="H36" s="173">
        <v>300000</v>
      </c>
      <c r="I36" s="173">
        <v>200000</v>
      </c>
      <c r="J36" s="173">
        <v>100000</v>
      </c>
      <c r="K36" s="173">
        <v>800000</v>
      </c>
      <c r="L36" s="173">
        <v>150000</v>
      </c>
      <c r="M36" s="173">
        <v>300000</v>
      </c>
      <c r="N36" s="173">
        <v>0</v>
      </c>
      <c r="O36" s="173">
        <v>200000</v>
      </c>
      <c r="P36" s="173">
        <v>500000</v>
      </c>
      <c r="Q36" s="173">
        <v>2000000</v>
      </c>
      <c r="R36" s="173">
        <v>20000000</v>
      </c>
      <c r="S36" s="173">
        <v>0</v>
      </c>
      <c r="T36" s="173">
        <f t="shared" si="5"/>
        <v>27070000</v>
      </c>
      <c r="U36" s="173">
        <f t="shared" si="1"/>
        <v>4760000</v>
      </c>
      <c r="V36" s="78" t="s">
        <v>186</v>
      </c>
    </row>
    <row r="37" spans="1:22" x14ac:dyDescent="0.3">
      <c r="A37" s="268"/>
      <c r="B37" s="1" t="s">
        <v>82</v>
      </c>
      <c r="C37" s="171">
        <f t="shared" si="4"/>
        <v>12350000</v>
      </c>
      <c r="D37" s="172">
        <v>0</v>
      </c>
      <c r="E37" s="172">
        <v>0</v>
      </c>
      <c r="F37" s="2">
        <v>420000</v>
      </c>
      <c r="G37" s="172">
        <v>300000</v>
      </c>
      <c r="H37" s="173">
        <v>300000</v>
      </c>
      <c r="I37" s="2">
        <v>900000</v>
      </c>
      <c r="J37" s="2">
        <v>0</v>
      </c>
      <c r="K37" s="2">
        <v>800000</v>
      </c>
      <c r="L37" s="2">
        <v>150000</v>
      </c>
      <c r="M37" s="216">
        <v>300000</v>
      </c>
      <c r="N37" s="2">
        <v>0</v>
      </c>
      <c r="O37" s="2">
        <v>200000</v>
      </c>
      <c r="P37" s="2">
        <v>500000</v>
      </c>
      <c r="Q37" s="2">
        <v>2000000</v>
      </c>
      <c r="R37" s="172">
        <v>0</v>
      </c>
      <c r="S37" s="2">
        <v>0</v>
      </c>
      <c r="T37" s="2">
        <f t="shared" si="5"/>
        <v>5870000</v>
      </c>
      <c r="U37" s="2">
        <f t="shared" si="1"/>
        <v>6480000</v>
      </c>
    </row>
    <row r="38" spans="1:22" s="215" customFormat="1" ht="17.25" thickBot="1" x14ac:dyDescent="0.35">
      <c r="A38" s="268"/>
      <c r="B38" s="217" t="s">
        <v>83</v>
      </c>
      <c r="C38" s="216">
        <f xml:space="preserve"> U37 + 7590000</f>
        <v>14070000</v>
      </c>
      <c r="D38" s="218">
        <v>0</v>
      </c>
      <c r="E38" s="216">
        <v>0</v>
      </c>
      <c r="F38" s="218">
        <v>420000</v>
      </c>
      <c r="G38" s="216">
        <v>300000</v>
      </c>
      <c r="H38" s="218">
        <v>300000</v>
      </c>
      <c r="I38" s="216">
        <v>900000</v>
      </c>
      <c r="J38" s="216">
        <v>0</v>
      </c>
      <c r="K38" s="216">
        <v>800000</v>
      </c>
      <c r="L38" s="216">
        <v>150000</v>
      </c>
      <c r="M38" s="216">
        <v>300000</v>
      </c>
      <c r="N38" s="218">
        <v>0</v>
      </c>
      <c r="O38" s="2">
        <v>200000</v>
      </c>
      <c r="P38" s="216">
        <v>500000</v>
      </c>
      <c r="Q38" s="216">
        <v>2000000</v>
      </c>
      <c r="R38" s="216">
        <v>0</v>
      </c>
      <c r="S38" s="218">
        <v>0</v>
      </c>
      <c r="T38" s="218">
        <f t="shared" si="5"/>
        <v>5870000</v>
      </c>
      <c r="U38" s="218">
        <f t="shared" si="1"/>
        <v>8200000</v>
      </c>
    </row>
    <row r="39" spans="1:22" s="213" customFormat="1" x14ac:dyDescent="0.3">
      <c r="A39" s="268">
        <v>2026</v>
      </c>
      <c r="B39" s="220" t="s">
        <v>72</v>
      </c>
      <c r="C39" s="214">
        <f t="shared" si="4"/>
        <v>15790000</v>
      </c>
      <c r="D39" s="2">
        <v>1800000</v>
      </c>
      <c r="E39" s="172">
        <v>0</v>
      </c>
      <c r="F39" s="214">
        <v>420000</v>
      </c>
      <c r="G39" s="214">
        <v>300000</v>
      </c>
      <c r="H39" s="214">
        <v>300000</v>
      </c>
      <c r="I39" s="214">
        <v>900000</v>
      </c>
      <c r="J39" s="214">
        <v>0</v>
      </c>
      <c r="K39" s="214">
        <v>800000</v>
      </c>
      <c r="L39" s="2">
        <v>150000</v>
      </c>
      <c r="M39" s="216">
        <v>300000</v>
      </c>
      <c r="N39" s="214">
        <v>0</v>
      </c>
      <c r="O39" s="2">
        <v>200000</v>
      </c>
      <c r="P39" s="2">
        <v>500000</v>
      </c>
      <c r="Q39" s="2">
        <v>2000000</v>
      </c>
      <c r="R39" s="172">
        <v>0</v>
      </c>
      <c r="S39" s="214">
        <v>0</v>
      </c>
      <c r="T39" s="214">
        <f t="shared" si="5"/>
        <v>7670000</v>
      </c>
      <c r="U39" s="214">
        <f t="shared" si="1"/>
        <v>8120000</v>
      </c>
    </row>
    <row r="40" spans="1:22" s="78" customFormat="1" x14ac:dyDescent="0.3">
      <c r="A40" s="268"/>
      <c r="B40" s="78" t="s">
        <v>73</v>
      </c>
      <c r="C40" s="173">
        <f xml:space="preserve"> U39 + 7590000 +3300000</f>
        <v>19010000</v>
      </c>
      <c r="D40" s="173">
        <v>0</v>
      </c>
      <c r="E40" s="173">
        <v>0</v>
      </c>
      <c r="F40" s="173">
        <v>420000</v>
      </c>
      <c r="G40" s="173">
        <v>300000</v>
      </c>
      <c r="H40" s="173">
        <v>300000</v>
      </c>
      <c r="I40" s="173">
        <v>900000</v>
      </c>
      <c r="J40" s="173">
        <v>0</v>
      </c>
      <c r="K40" s="173">
        <v>800000</v>
      </c>
      <c r="L40" s="173">
        <v>150000</v>
      </c>
      <c r="M40" s="173">
        <v>300000</v>
      </c>
      <c r="N40" s="173">
        <v>0</v>
      </c>
      <c r="O40" s="173">
        <v>200000</v>
      </c>
      <c r="P40" s="173">
        <v>500000</v>
      </c>
      <c r="Q40" s="173">
        <v>2000000</v>
      </c>
      <c r="R40" s="173">
        <v>10000000</v>
      </c>
      <c r="S40" s="173">
        <v>0</v>
      </c>
      <c r="T40" s="173">
        <f t="shared" si="5"/>
        <v>15870000</v>
      </c>
      <c r="U40" s="173">
        <f t="shared" si="1"/>
        <v>3140000</v>
      </c>
      <c r="V40" s="78" t="s">
        <v>191</v>
      </c>
    </row>
    <row r="41" spans="1:22" s="178" customFormat="1" x14ac:dyDescent="0.3">
      <c r="A41" s="268"/>
      <c r="B41" s="178" t="s">
        <v>74</v>
      </c>
      <c r="C41" s="171">
        <f t="shared" si="4"/>
        <v>10730000</v>
      </c>
      <c r="D41" s="172">
        <v>0</v>
      </c>
      <c r="E41" s="172">
        <v>0</v>
      </c>
      <c r="F41" s="2">
        <v>420000</v>
      </c>
      <c r="G41" s="172">
        <v>300000</v>
      </c>
      <c r="H41" s="173">
        <v>300000</v>
      </c>
      <c r="I41" s="2">
        <v>900000</v>
      </c>
      <c r="J41" s="2">
        <v>0</v>
      </c>
      <c r="K41" s="2">
        <v>800000</v>
      </c>
      <c r="L41" s="2">
        <v>150000</v>
      </c>
      <c r="M41" s="216">
        <v>300000</v>
      </c>
      <c r="N41" s="175">
        <v>0</v>
      </c>
      <c r="O41" s="2">
        <v>900000</v>
      </c>
      <c r="P41" s="2">
        <v>500000</v>
      </c>
      <c r="Q41" s="2">
        <v>2000000</v>
      </c>
      <c r="R41" s="2">
        <v>0</v>
      </c>
      <c r="S41" s="172">
        <v>0</v>
      </c>
      <c r="T41" s="175">
        <f t="shared" si="5"/>
        <v>6570000</v>
      </c>
      <c r="U41" s="175">
        <f t="shared" si="1"/>
        <v>4160000</v>
      </c>
    </row>
    <row r="42" spans="1:22" s="178" customFormat="1" x14ac:dyDescent="0.3">
      <c r="A42" s="268"/>
      <c r="B42" s="178" t="s">
        <v>75</v>
      </c>
      <c r="C42" s="171">
        <f t="shared" si="4"/>
        <v>11750000</v>
      </c>
      <c r="D42" s="2">
        <v>1800000</v>
      </c>
      <c r="E42" s="172">
        <v>0</v>
      </c>
      <c r="F42" s="2">
        <v>420000</v>
      </c>
      <c r="G42" s="172">
        <v>300000</v>
      </c>
      <c r="H42" s="173">
        <v>300000</v>
      </c>
      <c r="I42" s="2">
        <v>900000</v>
      </c>
      <c r="J42" s="2">
        <v>0</v>
      </c>
      <c r="K42" s="2">
        <v>800000</v>
      </c>
      <c r="L42" s="2">
        <v>150000</v>
      </c>
      <c r="M42" s="216">
        <v>300000</v>
      </c>
      <c r="N42" s="175">
        <v>0</v>
      </c>
      <c r="O42" s="2">
        <v>900000</v>
      </c>
      <c r="P42" s="2">
        <v>500000</v>
      </c>
      <c r="Q42" s="2">
        <v>2000000</v>
      </c>
      <c r="R42" s="2">
        <v>0</v>
      </c>
      <c r="S42" s="2">
        <v>0</v>
      </c>
      <c r="T42" s="175">
        <f t="shared" si="5"/>
        <v>8370000</v>
      </c>
      <c r="U42" s="175">
        <f t="shared" si="1"/>
        <v>3380000</v>
      </c>
    </row>
    <row r="43" spans="1:22" s="178" customFormat="1" x14ac:dyDescent="0.3">
      <c r="A43" s="268"/>
      <c r="B43" s="178" t="s">
        <v>76</v>
      </c>
      <c r="C43" s="171">
        <f t="shared" si="4"/>
        <v>10970000</v>
      </c>
      <c r="D43" s="172">
        <v>2000000</v>
      </c>
      <c r="E43" s="172">
        <v>0</v>
      </c>
      <c r="F43" s="2">
        <v>420000</v>
      </c>
      <c r="G43" s="172">
        <v>300000</v>
      </c>
      <c r="H43" s="173">
        <v>300000</v>
      </c>
      <c r="I43" s="2">
        <v>900000</v>
      </c>
      <c r="J43" s="2">
        <v>0</v>
      </c>
      <c r="K43" s="2">
        <v>800000</v>
      </c>
      <c r="L43" s="2">
        <v>150000</v>
      </c>
      <c r="M43" s="216">
        <v>300000</v>
      </c>
      <c r="N43" s="175">
        <v>0</v>
      </c>
      <c r="O43" s="2">
        <v>900000</v>
      </c>
      <c r="P43" s="2">
        <v>500000</v>
      </c>
      <c r="Q43" s="2">
        <v>2000000</v>
      </c>
      <c r="R43" s="2">
        <v>600000</v>
      </c>
      <c r="S43" s="172">
        <v>0</v>
      </c>
      <c r="T43" s="175">
        <f t="shared" si="5"/>
        <v>9170000</v>
      </c>
      <c r="U43" s="175">
        <f t="shared" si="1"/>
        <v>1800000</v>
      </c>
    </row>
    <row r="44" spans="1:22" s="178" customFormat="1" x14ac:dyDescent="0.3">
      <c r="A44" s="268"/>
      <c r="B44" s="178" t="s">
        <v>77</v>
      </c>
      <c r="C44" s="171">
        <f t="shared" si="4"/>
        <v>9390000</v>
      </c>
      <c r="D44" s="172">
        <v>0</v>
      </c>
      <c r="E44" s="172">
        <v>0</v>
      </c>
      <c r="F44" s="2">
        <v>420000</v>
      </c>
      <c r="G44" s="172">
        <v>300000</v>
      </c>
      <c r="H44" s="173">
        <v>300000</v>
      </c>
      <c r="I44" s="2">
        <v>900000</v>
      </c>
      <c r="J44" s="2">
        <v>0</v>
      </c>
      <c r="K44" s="2">
        <v>800000</v>
      </c>
      <c r="L44" s="2">
        <v>150000</v>
      </c>
      <c r="M44" s="216">
        <v>300000</v>
      </c>
      <c r="N44" s="175">
        <v>0</v>
      </c>
      <c r="O44" s="2">
        <v>900000</v>
      </c>
      <c r="P44" s="2">
        <v>500000</v>
      </c>
      <c r="Q44" s="2">
        <v>2000000</v>
      </c>
      <c r="R44" s="2">
        <v>0</v>
      </c>
      <c r="S44" s="172">
        <v>0</v>
      </c>
      <c r="T44" s="175">
        <f t="shared" si="5"/>
        <v>6570000</v>
      </c>
      <c r="U44" s="175">
        <f t="shared" si="1"/>
        <v>2820000</v>
      </c>
    </row>
    <row r="45" spans="1:22" s="178" customFormat="1" x14ac:dyDescent="0.3">
      <c r="A45" s="268"/>
      <c r="B45" s="178" t="s">
        <v>78</v>
      </c>
      <c r="C45" s="171">
        <f t="shared" si="4"/>
        <v>10410000</v>
      </c>
      <c r="D45" s="172">
        <v>1800000</v>
      </c>
      <c r="E45" s="172">
        <v>0</v>
      </c>
      <c r="F45" s="2">
        <v>420000</v>
      </c>
      <c r="G45" s="172">
        <v>300000</v>
      </c>
      <c r="H45" s="173">
        <v>300000</v>
      </c>
      <c r="I45" s="2">
        <v>900000</v>
      </c>
      <c r="J45" s="2">
        <v>0</v>
      </c>
      <c r="K45" s="2">
        <v>800000</v>
      </c>
      <c r="L45" s="2">
        <v>150000</v>
      </c>
      <c r="M45" s="216">
        <v>300000</v>
      </c>
      <c r="N45" s="175">
        <v>0</v>
      </c>
      <c r="O45" s="2">
        <v>900000</v>
      </c>
      <c r="P45" s="2">
        <v>500000</v>
      </c>
      <c r="Q45" s="2">
        <v>2000000</v>
      </c>
      <c r="R45" s="2">
        <v>0</v>
      </c>
      <c r="S45" s="2">
        <v>0</v>
      </c>
      <c r="T45" s="175">
        <f t="shared" si="5"/>
        <v>8370000</v>
      </c>
      <c r="U45" s="175">
        <f t="shared" ref="U45:U76" si="6" xml:space="preserve"> C45 - T45</f>
        <v>2040000</v>
      </c>
    </row>
    <row r="46" spans="1:22" s="178" customFormat="1" x14ac:dyDescent="0.3">
      <c r="A46" s="268"/>
      <c r="B46" s="178" t="s">
        <v>79</v>
      </c>
      <c r="C46" s="171">
        <f t="shared" si="4"/>
        <v>9630000</v>
      </c>
      <c r="D46" s="172">
        <v>0</v>
      </c>
      <c r="E46" s="172">
        <v>0</v>
      </c>
      <c r="F46" s="2">
        <v>420000</v>
      </c>
      <c r="G46" s="172">
        <v>300000</v>
      </c>
      <c r="H46" s="173">
        <v>300000</v>
      </c>
      <c r="I46" s="2">
        <v>900000</v>
      </c>
      <c r="J46" s="2">
        <v>0</v>
      </c>
      <c r="K46" s="2">
        <v>800000</v>
      </c>
      <c r="L46" s="2">
        <v>150000</v>
      </c>
      <c r="M46" s="216">
        <v>300000</v>
      </c>
      <c r="N46" s="175">
        <v>0</v>
      </c>
      <c r="O46" s="2">
        <v>900000</v>
      </c>
      <c r="P46" s="2">
        <v>500000</v>
      </c>
      <c r="Q46" s="2">
        <v>2000000</v>
      </c>
      <c r="R46" s="2">
        <v>0</v>
      </c>
      <c r="S46" s="172">
        <v>0</v>
      </c>
      <c r="T46" s="175">
        <f t="shared" si="5"/>
        <v>6570000</v>
      </c>
      <c r="U46" s="175">
        <f t="shared" si="6"/>
        <v>3060000</v>
      </c>
    </row>
    <row r="47" spans="1:22" s="178" customFormat="1" x14ac:dyDescent="0.3">
      <c r="A47" s="268"/>
      <c r="B47" s="178" t="s">
        <v>80</v>
      </c>
      <c r="C47" s="171">
        <f t="shared" si="4"/>
        <v>10650000</v>
      </c>
      <c r="D47" s="172">
        <v>0</v>
      </c>
      <c r="E47" s="172">
        <v>0</v>
      </c>
      <c r="F47" s="2">
        <v>420000</v>
      </c>
      <c r="G47" s="172">
        <v>300000</v>
      </c>
      <c r="H47" s="173">
        <v>300000</v>
      </c>
      <c r="I47" s="2">
        <v>900000</v>
      </c>
      <c r="J47" s="2">
        <v>0</v>
      </c>
      <c r="K47" s="2">
        <v>800000</v>
      </c>
      <c r="L47" s="2">
        <v>150000</v>
      </c>
      <c r="M47" s="216">
        <v>300000</v>
      </c>
      <c r="N47" s="175">
        <v>0</v>
      </c>
      <c r="O47" s="2">
        <v>900000</v>
      </c>
      <c r="P47" s="2">
        <v>500000</v>
      </c>
      <c r="Q47" s="2">
        <v>2000000</v>
      </c>
      <c r="R47" s="2">
        <v>600000</v>
      </c>
      <c r="S47" s="172">
        <v>0</v>
      </c>
      <c r="T47" s="175">
        <f t="shared" si="5"/>
        <v>7170000</v>
      </c>
      <c r="U47" s="175">
        <f t="shared" si="6"/>
        <v>3480000</v>
      </c>
    </row>
    <row r="48" spans="1:22" s="178" customFormat="1" x14ac:dyDescent="0.3">
      <c r="A48" s="268"/>
      <c r="B48" s="178" t="s">
        <v>81</v>
      </c>
      <c r="C48" s="171">
        <f t="shared" si="4"/>
        <v>11070000</v>
      </c>
      <c r="D48" s="214">
        <v>1800000</v>
      </c>
      <c r="E48" s="172">
        <v>0</v>
      </c>
      <c r="F48" s="2">
        <v>420000</v>
      </c>
      <c r="G48" s="172">
        <v>300000</v>
      </c>
      <c r="H48" s="173">
        <v>300000</v>
      </c>
      <c r="I48" s="2">
        <v>900000</v>
      </c>
      <c r="J48" s="2">
        <v>0</v>
      </c>
      <c r="K48" s="2">
        <v>800000</v>
      </c>
      <c r="L48" s="2">
        <v>150000</v>
      </c>
      <c r="M48" s="216">
        <v>300000</v>
      </c>
      <c r="N48" s="175">
        <v>0</v>
      </c>
      <c r="O48" s="2">
        <v>900000</v>
      </c>
      <c r="P48" s="2">
        <v>500000</v>
      </c>
      <c r="Q48" s="2">
        <v>2000000</v>
      </c>
      <c r="R48" s="2">
        <v>0</v>
      </c>
      <c r="S48" s="2">
        <v>0</v>
      </c>
      <c r="T48" s="175">
        <f t="shared" si="5"/>
        <v>8370000</v>
      </c>
      <c r="U48" s="175">
        <f t="shared" si="6"/>
        <v>2700000</v>
      </c>
    </row>
    <row r="49" spans="1:21" s="178" customFormat="1" x14ac:dyDescent="0.3">
      <c r="A49" s="268"/>
      <c r="B49" s="178" t="s">
        <v>82</v>
      </c>
      <c r="C49" s="171">
        <f t="shared" si="4"/>
        <v>10290000</v>
      </c>
      <c r="D49" s="172">
        <v>0</v>
      </c>
      <c r="E49" s="172">
        <v>0</v>
      </c>
      <c r="F49" s="2">
        <v>420000</v>
      </c>
      <c r="G49" s="172">
        <v>300000</v>
      </c>
      <c r="H49" s="173">
        <v>300000</v>
      </c>
      <c r="I49" s="2">
        <v>900000</v>
      </c>
      <c r="J49" s="2">
        <v>0</v>
      </c>
      <c r="K49" s="2">
        <v>800000</v>
      </c>
      <c r="L49" s="2">
        <v>150000</v>
      </c>
      <c r="M49" s="216">
        <v>300000</v>
      </c>
      <c r="N49" s="175">
        <v>0</v>
      </c>
      <c r="O49" s="2">
        <v>900000</v>
      </c>
      <c r="P49" s="2">
        <v>500000</v>
      </c>
      <c r="Q49" s="2">
        <v>2000000</v>
      </c>
      <c r="R49" s="2">
        <v>0</v>
      </c>
      <c r="S49" s="2">
        <v>0</v>
      </c>
      <c r="T49" s="175">
        <f t="shared" si="5"/>
        <v>6570000</v>
      </c>
      <c r="U49" s="175">
        <f t="shared" si="6"/>
        <v>3720000</v>
      </c>
    </row>
    <row r="50" spans="1:21" s="196" customFormat="1" ht="17.25" thickBot="1" x14ac:dyDescent="0.35">
      <c r="A50" s="268"/>
      <c r="B50" s="221" t="s">
        <v>83</v>
      </c>
      <c r="C50" s="171">
        <f t="shared" si="4"/>
        <v>11310000</v>
      </c>
      <c r="D50" s="219">
        <v>0</v>
      </c>
      <c r="E50" s="172">
        <v>0</v>
      </c>
      <c r="F50" s="222">
        <v>420000</v>
      </c>
      <c r="G50" s="197">
        <v>300000</v>
      </c>
      <c r="H50" s="222">
        <v>300000</v>
      </c>
      <c r="I50" s="2">
        <v>900000</v>
      </c>
      <c r="J50" s="2">
        <v>0</v>
      </c>
      <c r="K50" s="2">
        <v>800000</v>
      </c>
      <c r="L50" s="2">
        <v>150000</v>
      </c>
      <c r="M50" s="216">
        <v>300000</v>
      </c>
      <c r="N50" s="222">
        <v>0</v>
      </c>
      <c r="O50" s="2">
        <v>900000</v>
      </c>
      <c r="P50" s="2">
        <v>500000</v>
      </c>
      <c r="Q50" s="2">
        <v>2000000</v>
      </c>
      <c r="R50" s="172">
        <v>0</v>
      </c>
      <c r="S50" s="222">
        <v>0</v>
      </c>
      <c r="T50" s="222">
        <f t="shared" si="5"/>
        <v>6570000</v>
      </c>
      <c r="U50" s="222">
        <f t="shared" si="6"/>
        <v>4740000</v>
      </c>
    </row>
    <row r="51" spans="1:21" s="213" customFormat="1" x14ac:dyDescent="0.3">
      <c r="A51" s="266">
        <v>2027</v>
      </c>
      <c r="B51" s="220" t="s">
        <v>72</v>
      </c>
      <c r="C51" s="214">
        <f t="shared" si="4"/>
        <v>12330000</v>
      </c>
      <c r="D51" s="2">
        <v>1800000</v>
      </c>
      <c r="E51" s="214">
        <v>0</v>
      </c>
      <c r="F51" s="214">
        <v>420000</v>
      </c>
      <c r="G51" s="214">
        <v>300000</v>
      </c>
      <c r="H51" s="214">
        <v>100000</v>
      </c>
      <c r="I51" s="214">
        <v>900000</v>
      </c>
      <c r="J51" s="214">
        <v>0</v>
      </c>
      <c r="K51" s="214">
        <v>800000</v>
      </c>
      <c r="L51" s="214">
        <v>150000</v>
      </c>
      <c r="M51" s="216">
        <v>300000</v>
      </c>
      <c r="N51" s="214">
        <v>0</v>
      </c>
      <c r="O51" s="2">
        <v>900000</v>
      </c>
      <c r="P51" s="2">
        <v>500000</v>
      </c>
      <c r="Q51" s="2">
        <v>2000000</v>
      </c>
      <c r="R51" s="214">
        <v>0</v>
      </c>
      <c r="S51" s="214">
        <v>0</v>
      </c>
      <c r="T51" s="214">
        <f t="shared" si="5"/>
        <v>8170000</v>
      </c>
      <c r="U51" s="214">
        <f t="shared" si="6"/>
        <v>4160000</v>
      </c>
    </row>
    <row r="52" spans="1:21" s="178" customFormat="1" x14ac:dyDescent="0.3">
      <c r="A52" s="266"/>
      <c r="B52" s="178" t="s">
        <v>73</v>
      </c>
      <c r="C52" s="171">
        <f t="shared" si="4"/>
        <v>11750000</v>
      </c>
      <c r="D52" s="172">
        <v>0</v>
      </c>
      <c r="E52" s="172">
        <v>0</v>
      </c>
      <c r="F52" s="2">
        <v>420000</v>
      </c>
      <c r="G52" s="172">
        <v>300000</v>
      </c>
      <c r="H52" s="173">
        <v>100000</v>
      </c>
      <c r="I52" s="2">
        <v>900000</v>
      </c>
      <c r="J52" s="2">
        <v>0</v>
      </c>
      <c r="K52" s="2">
        <v>800000</v>
      </c>
      <c r="L52" s="2">
        <v>150000</v>
      </c>
      <c r="M52" s="216">
        <v>300000</v>
      </c>
      <c r="N52" s="175">
        <v>0</v>
      </c>
      <c r="O52" s="2">
        <v>900000</v>
      </c>
      <c r="P52" s="2">
        <v>500000</v>
      </c>
      <c r="Q52" s="2">
        <v>2000000</v>
      </c>
      <c r="R52" s="2">
        <v>600000</v>
      </c>
      <c r="S52" s="172">
        <v>0</v>
      </c>
      <c r="T52" s="175">
        <f t="shared" si="5"/>
        <v>6970000</v>
      </c>
      <c r="U52" s="175">
        <f t="shared" si="6"/>
        <v>4780000</v>
      </c>
    </row>
    <row r="53" spans="1:21" s="178" customFormat="1" x14ac:dyDescent="0.3">
      <c r="A53" s="266"/>
      <c r="B53" s="178" t="s">
        <v>74</v>
      </c>
      <c r="C53" s="171">
        <f t="shared" si="4"/>
        <v>12370000</v>
      </c>
      <c r="D53" s="172">
        <v>0</v>
      </c>
      <c r="E53" s="172">
        <v>0</v>
      </c>
      <c r="F53" s="2">
        <v>420000</v>
      </c>
      <c r="G53" s="172">
        <v>300000</v>
      </c>
      <c r="H53" s="173">
        <v>100000</v>
      </c>
      <c r="I53" s="2">
        <v>900000</v>
      </c>
      <c r="J53" s="2">
        <v>0</v>
      </c>
      <c r="K53" s="2">
        <v>800000</v>
      </c>
      <c r="L53" s="2">
        <v>150000</v>
      </c>
      <c r="M53" s="216">
        <v>300000</v>
      </c>
      <c r="N53" s="175">
        <v>0</v>
      </c>
      <c r="O53" s="2">
        <v>900000</v>
      </c>
      <c r="P53" s="2">
        <v>500000</v>
      </c>
      <c r="Q53" s="2">
        <v>2000000</v>
      </c>
      <c r="R53" s="2">
        <v>0</v>
      </c>
      <c r="S53" s="2">
        <v>0</v>
      </c>
      <c r="T53" s="175">
        <f t="shared" si="5"/>
        <v>6370000</v>
      </c>
      <c r="U53" s="175">
        <f t="shared" si="6"/>
        <v>6000000</v>
      </c>
    </row>
    <row r="54" spans="1:21" s="178" customFormat="1" x14ac:dyDescent="0.3">
      <c r="A54" s="266"/>
      <c r="B54" s="178" t="s">
        <v>75</v>
      </c>
      <c r="C54" s="171">
        <f t="shared" si="4"/>
        <v>13590000</v>
      </c>
      <c r="D54" s="2">
        <v>1800000</v>
      </c>
      <c r="E54" s="172">
        <v>0</v>
      </c>
      <c r="F54" s="2">
        <v>420000</v>
      </c>
      <c r="G54" s="172">
        <v>300000</v>
      </c>
      <c r="H54" s="173">
        <v>100000</v>
      </c>
      <c r="I54" s="2">
        <v>900000</v>
      </c>
      <c r="J54" s="2">
        <v>0</v>
      </c>
      <c r="K54" s="2">
        <v>800000</v>
      </c>
      <c r="L54" s="2">
        <v>150000</v>
      </c>
      <c r="M54" s="216">
        <v>300000</v>
      </c>
      <c r="N54" s="175">
        <v>0</v>
      </c>
      <c r="O54" s="2">
        <v>900000</v>
      </c>
      <c r="P54" s="2">
        <v>500000</v>
      </c>
      <c r="Q54" s="2">
        <v>2000000</v>
      </c>
      <c r="R54" s="2">
        <v>0</v>
      </c>
      <c r="S54" s="172">
        <v>0</v>
      </c>
      <c r="T54" s="175">
        <f t="shared" si="5"/>
        <v>8170000</v>
      </c>
      <c r="U54" s="175">
        <f t="shared" si="6"/>
        <v>5420000</v>
      </c>
    </row>
    <row r="55" spans="1:21" s="178" customFormat="1" x14ac:dyDescent="0.3">
      <c r="A55" s="266"/>
      <c r="B55" s="178" t="s">
        <v>76</v>
      </c>
      <c r="C55" s="171">
        <f t="shared" si="4"/>
        <v>13010000</v>
      </c>
      <c r="D55" s="172">
        <v>2000000</v>
      </c>
      <c r="E55" s="172">
        <v>0</v>
      </c>
      <c r="F55" s="2">
        <v>420000</v>
      </c>
      <c r="G55" s="172">
        <v>300000</v>
      </c>
      <c r="H55" s="173">
        <v>100000</v>
      </c>
      <c r="I55" s="2">
        <v>900000</v>
      </c>
      <c r="J55" s="2">
        <v>0</v>
      </c>
      <c r="K55" s="2">
        <v>800000</v>
      </c>
      <c r="L55" s="2">
        <v>150000</v>
      </c>
      <c r="M55" s="216">
        <v>300000</v>
      </c>
      <c r="N55" s="175">
        <v>0</v>
      </c>
      <c r="O55" s="2">
        <v>900000</v>
      </c>
      <c r="P55" s="2">
        <v>500000</v>
      </c>
      <c r="Q55" s="2">
        <v>2000000</v>
      </c>
      <c r="R55" s="2">
        <v>600000</v>
      </c>
      <c r="S55" s="172">
        <v>0</v>
      </c>
      <c r="T55" s="175">
        <f t="shared" si="5"/>
        <v>8970000</v>
      </c>
      <c r="U55" s="175">
        <f t="shared" si="6"/>
        <v>4040000</v>
      </c>
    </row>
    <row r="56" spans="1:21" s="178" customFormat="1" x14ac:dyDescent="0.3">
      <c r="A56" s="266"/>
      <c r="B56" s="178" t="s">
        <v>77</v>
      </c>
      <c r="C56" s="171">
        <f t="shared" si="4"/>
        <v>11630000</v>
      </c>
      <c r="D56" s="172">
        <v>0</v>
      </c>
      <c r="E56" s="172">
        <v>0</v>
      </c>
      <c r="F56" s="2">
        <v>420000</v>
      </c>
      <c r="G56" s="172">
        <v>300000</v>
      </c>
      <c r="H56" s="173">
        <v>100000</v>
      </c>
      <c r="I56" s="2">
        <v>900000</v>
      </c>
      <c r="J56" s="2">
        <v>0</v>
      </c>
      <c r="K56" s="2">
        <v>800000</v>
      </c>
      <c r="L56" s="2">
        <v>150000</v>
      </c>
      <c r="M56" s="216">
        <v>300000</v>
      </c>
      <c r="N56" s="175">
        <v>0</v>
      </c>
      <c r="O56" s="2">
        <v>900000</v>
      </c>
      <c r="P56" s="2">
        <v>500000</v>
      </c>
      <c r="Q56" s="2">
        <v>2000000</v>
      </c>
      <c r="R56" s="2">
        <v>0</v>
      </c>
      <c r="S56" s="2">
        <v>0</v>
      </c>
      <c r="T56" s="175">
        <f t="shared" si="5"/>
        <v>6370000</v>
      </c>
      <c r="U56" s="175">
        <f t="shared" si="6"/>
        <v>5260000</v>
      </c>
    </row>
    <row r="57" spans="1:21" s="178" customFormat="1" x14ac:dyDescent="0.3">
      <c r="A57" s="266"/>
      <c r="B57" s="178" t="s">
        <v>78</v>
      </c>
      <c r="C57" s="171">
        <f t="shared" si="4"/>
        <v>12850000</v>
      </c>
      <c r="D57" s="172">
        <v>1800000</v>
      </c>
      <c r="E57" s="172">
        <v>0</v>
      </c>
      <c r="F57" s="2">
        <v>420000</v>
      </c>
      <c r="G57" s="172">
        <v>300000</v>
      </c>
      <c r="H57" s="173">
        <v>100000</v>
      </c>
      <c r="I57" s="2">
        <v>900000</v>
      </c>
      <c r="J57" s="2">
        <v>0</v>
      </c>
      <c r="K57" s="2">
        <v>800000</v>
      </c>
      <c r="L57" s="2">
        <v>150000</v>
      </c>
      <c r="M57" s="216">
        <v>300000</v>
      </c>
      <c r="N57" s="175">
        <v>0</v>
      </c>
      <c r="O57" s="2">
        <v>900000</v>
      </c>
      <c r="P57" s="2">
        <v>500000</v>
      </c>
      <c r="Q57" s="2">
        <v>2000000</v>
      </c>
      <c r="R57" s="2">
        <v>0</v>
      </c>
      <c r="S57" s="172">
        <v>0</v>
      </c>
      <c r="T57" s="175">
        <f t="shared" si="5"/>
        <v>8170000</v>
      </c>
      <c r="U57" s="175">
        <f t="shared" si="6"/>
        <v>4680000</v>
      </c>
    </row>
    <row r="58" spans="1:21" s="178" customFormat="1" x14ac:dyDescent="0.3">
      <c r="A58" s="266"/>
      <c r="B58" s="178" t="s">
        <v>79</v>
      </c>
      <c r="C58" s="171">
        <f t="shared" si="4"/>
        <v>12270000</v>
      </c>
      <c r="D58" s="172">
        <v>0</v>
      </c>
      <c r="E58" s="172">
        <v>0</v>
      </c>
      <c r="F58" s="2">
        <v>420000</v>
      </c>
      <c r="G58" s="172">
        <v>300000</v>
      </c>
      <c r="H58" s="173">
        <v>100000</v>
      </c>
      <c r="I58" s="2">
        <v>900000</v>
      </c>
      <c r="J58" s="2">
        <v>0</v>
      </c>
      <c r="K58" s="2">
        <v>800000</v>
      </c>
      <c r="L58" s="2">
        <v>150000</v>
      </c>
      <c r="M58" s="216">
        <v>300000</v>
      </c>
      <c r="N58" s="175">
        <v>0</v>
      </c>
      <c r="O58" s="2">
        <v>900000</v>
      </c>
      <c r="P58" s="2">
        <v>500000</v>
      </c>
      <c r="Q58" s="2">
        <v>2000000</v>
      </c>
      <c r="R58" s="2">
        <v>0</v>
      </c>
      <c r="S58" s="172">
        <v>0</v>
      </c>
      <c r="T58" s="175">
        <f t="shared" si="5"/>
        <v>6370000</v>
      </c>
      <c r="U58" s="175">
        <f t="shared" si="6"/>
        <v>5900000</v>
      </c>
    </row>
    <row r="59" spans="1:21" s="178" customFormat="1" x14ac:dyDescent="0.3">
      <c r="A59" s="266"/>
      <c r="B59" s="178" t="s">
        <v>80</v>
      </c>
      <c r="C59" s="171">
        <f t="shared" si="4"/>
        <v>13490000</v>
      </c>
      <c r="D59" s="172">
        <v>0</v>
      </c>
      <c r="E59" s="172">
        <v>0</v>
      </c>
      <c r="F59" s="2">
        <v>420000</v>
      </c>
      <c r="G59" s="172">
        <v>300000</v>
      </c>
      <c r="H59" s="173">
        <v>100000</v>
      </c>
      <c r="I59" s="2">
        <v>900000</v>
      </c>
      <c r="J59" s="2">
        <v>0</v>
      </c>
      <c r="K59" s="2">
        <v>800000</v>
      </c>
      <c r="L59" s="2">
        <v>150000</v>
      </c>
      <c r="M59" s="216">
        <v>300000</v>
      </c>
      <c r="N59" s="175">
        <v>0</v>
      </c>
      <c r="O59" s="2">
        <v>900000</v>
      </c>
      <c r="P59" s="2">
        <v>500000</v>
      </c>
      <c r="Q59" s="2">
        <v>2000000</v>
      </c>
      <c r="R59" s="2">
        <v>600000</v>
      </c>
      <c r="S59" s="2">
        <v>0</v>
      </c>
      <c r="T59" s="175">
        <f t="shared" si="5"/>
        <v>6970000</v>
      </c>
      <c r="U59" s="175">
        <f t="shared" si="6"/>
        <v>6520000</v>
      </c>
    </row>
    <row r="60" spans="1:21" s="178" customFormat="1" x14ac:dyDescent="0.3">
      <c r="A60" s="266"/>
      <c r="B60" s="178" t="s">
        <v>81</v>
      </c>
      <c r="C60" s="171">
        <f t="shared" si="4"/>
        <v>14110000</v>
      </c>
      <c r="D60" s="214">
        <v>1800000</v>
      </c>
      <c r="E60" s="172">
        <v>0</v>
      </c>
      <c r="F60" s="2">
        <v>420000</v>
      </c>
      <c r="G60" s="172">
        <v>300000</v>
      </c>
      <c r="H60" s="173">
        <v>100000</v>
      </c>
      <c r="I60" s="2">
        <v>900000</v>
      </c>
      <c r="J60" s="2">
        <v>0</v>
      </c>
      <c r="K60" s="2">
        <v>800000</v>
      </c>
      <c r="L60" s="2">
        <v>150000</v>
      </c>
      <c r="M60" s="216">
        <v>300000</v>
      </c>
      <c r="N60" s="175">
        <v>0</v>
      </c>
      <c r="O60" s="2">
        <v>900000</v>
      </c>
      <c r="P60" s="2">
        <v>500000</v>
      </c>
      <c r="Q60" s="2">
        <v>2000000</v>
      </c>
      <c r="R60" s="2">
        <v>0</v>
      </c>
      <c r="S60" s="2">
        <v>0</v>
      </c>
      <c r="T60" s="175">
        <f>SUM(D60:S60)</f>
        <v>8170000</v>
      </c>
      <c r="U60" s="175">
        <f t="shared" si="6"/>
        <v>5940000</v>
      </c>
    </row>
    <row r="61" spans="1:21" s="178" customFormat="1" x14ac:dyDescent="0.3">
      <c r="A61" s="266"/>
      <c r="B61" s="178" t="s">
        <v>82</v>
      </c>
      <c r="C61" s="171">
        <f t="shared" si="4"/>
        <v>13530000</v>
      </c>
      <c r="D61" s="172">
        <v>0</v>
      </c>
      <c r="E61" s="172">
        <v>0</v>
      </c>
      <c r="F61" s="2">
        <v>420000</v>
      </c>
      <c r="G61" s="172">
        <v>300000</v>
      </c>
      <c r="H61" s="173">
        <v>100000</v>
      </c>
      <c r="I61" s="2">
        <v>900000</v>
      </c>
      <c r="J61" s="2">
        <v>0</v>
      </c>
      <c r="K61" s="2">
        <v>800000</v>
      </c>
      <c r="L61" s="2">
        <v>150000</v>
      </c>
      <c r="M61" s="216">
        <v>300000</v>
      </c>
      <c r="N61" s="175">
        <v>0</v>
      </c>
      <c r="O61" s="2">
        <v>900000</v>
      </c>
      <c r="P61" s="2">
        <v>500000</v>
      </c>
      <c r="Q61" s="2">
        <v>2000000</v>
      </c>
      <c r="R61" s="2">
        <v>0</v>
      </c>
      <c r="S61" s="2">
        <v>0</v>
      </c>
      <c r="T61" s="175">
        <f t="shared" si="5"/>
        <v>6370000</v>
      </c>
      <c r="U61" s="175">
        <f t="shared" si="6"/>
        <v>7160000</v>
      </c>
    </row>
    <row r="62" spans="1:21" s="198" customFormat="1" x14ac:dyDescent="0.3">
      <c r="A62" s="266"/>
      <c r="B62" s="198" t="s">
        <v>83</v>
      </c>
      <c r="C62" s="171">
        <f t="shared" si="4"/>
        <v>14750000</v>
      </c>
      <c r="D62" s="219">
        <v>0</v>
      </c>
      <c r="E62" s="172">
        <v>0</v>
      </c>
      <c r="F62" s="197">
        <v>420000</v>
      </c>
      <c r="G62" s="197">
        <v>300000</v>
      </c>
      <c r="H62" s="197">
        <v>100000</v>
      </c>
      <c r="I62" s="2">
        <v>900000</v>
      </c>
      <c r="J62" s="2">
        <v>0</v>
      </c>
      <c r="K62" s="2">
        <v>800000</v>
      </c>
      <c r="L62" s="2">
        <v>150000</v>
      </c>
      <c r="M62" s="216">
        <v>300000</v>
      </c>
      <c r="N62" s="197">
        <v>0</v>
      </c>
      <c r="O62" s="2">
        <v>900000</v>
      </c>
      <c r="P62" s="2">
        <v>500000</v>
      </c>
      <c r="Q62" s="2">
        <v>2000000</v>
      </c>
      <c r="R62" s="172">
        <v>0</v>
      </c>
      <c r="S62" s="197">
        <v>0</v>
      </c>
      <c r="T62" s="197">
        <f t="shared" si="5"/>
        <v>6370000</v>
      </c>
      <c r="U62" s="197">
        <f t="shared" si="6"/>
        <v>8380000</v>
      </c>
    </row>
    <row r="63" spans="1:21" s="178" customFormat="1" x14ac:dyDescent="0.3">
      <c r="A63" s="266">
        <v>2028</v>
      </c>
      <c r="B63" s="178" t="s">
        <v>72</v>
      </c>
      <c r="C63" s="171">
        <f t="shared" si="4"/>
        <v>15970000</v>
      </c>
      <c r="D63" s="2">
        <v>1800000</v>
      </c>
      <c r="E63" s="172">
        <v>0</v>
      </c>
      <c r="F63" s="2">
        <v>420000</v>
      </c>
      <c r="G63" s="172">
        <v>300000</v>
      </c>
      <c r="H63" s="173">
        <v>100000</v>
      </c>
      <c r="I63" s="2">
        <v>900000</v>
      </c>
      <c r="J63" s="2">
        <v>0</v>
      </c>
      <c r="K63" s="2">
        <v>800000</v>
      </c>
      <c r="L63" s="2">
        <v>150000</v>
      </c>
      <c r="M63" s="216">
        <v>300000</v>
      </c>
      <c r="N63" s="175">
        <v>0</v>
      </c>
      <c r="O63" s="2">
        <v>900000</v>
      </c>
      <c r="P63" s="2">
        <v>500000</v>
      </c>
      <c r="Q63" s="2">
        <v>2000000</v>
      </c>
      <c r="R63" s="172">
        <v>0</v>
      </c>
      <c r="S63" s="172">
        <v>0</v>
      </c>
      <c r="T63" s="175">
        <f t="shared" si="5"/>
        <v>8170000</v>
      </c>
      <c r="U63" s="175">
        <f t="shared" si="6"/>
        <v>7800000</v>
      </c>
    </row>
    <row r="64" spans="1:21" s="178" customFormat="1" x14ac:dyDescent="0.3">
      <c r="A64" s="266"/>
      <c r="B64" s="178" t="s">
        <v>73</v>
      </c>
      <c r="C64" s="171">
        <f t="shared" si="4"/>
        <v>15390000</v>
      </c>
      <c r="D64" s="172">
        <v>0</v>
      </c>
      <c r="E64" s="172">
        <v>0</v>
      </c>
      <c r="F64" s="2">
        <v>420000</v>
      </c>
      <c r="G64" s="172">
        <v>300000</v>
      </c>
      <c r="H64" s="173">
        <v>100000</v>
      </c>
      <c r="I64" s="2">
        <v>900000</v>
      </c>
      <c r="J64" s="2">
        <v>0</v>
      </c>
      <c r="K64" s="2">
        <v>800000</v>
      </c>
      <c r="L64" s="2">
        <v>150000</v>
      </c>
      <c r="M64" s="216">
        <v>300000</v>
      </c>
      <c r="N64" s="175">
        <v>0</v>
      </c>
      <c r="O64" s="2">
        <v>900000</v>
      </c>
      <c r="P64" s="2">
        <v>500000</v>
      </c>
      <c r="Q64" s="2">
        <v>2000000</v>
      </c>
      <c r="R64" s="2">
        <v>600000</v>
      </c>
      <c r="S64" s="172">
        <v>0</v>
      </c>
      <c r="T64" s="175">
        <f t="shared" si="5"/>
        <v>6970000</v>
      </c>
      <c r="U64" s="175">
        <f t="shared" si="6"/>
        <v>8420000</v>
      </c>
    </row>
    <row r="65" spans="1:21" s="178" customFormat="1" x14ac:dyDescent="0.3">
      <c r="A65" s="266"/>
      <c r="B65" s="178" t="s">
        <v>74</v>
      </c>
      <c r="C65" s="171">
        <f t="shared" si="4"/>
        <v>16010000</v>
      </c>
      <c r="D65" s="172">
        <v>0</v>
      </c>
      <c r="E65" s="172">
        <v>0</v>
      </c>
      <c r="F65" s="2">
        <v>420000</v>
      </c>
      <c r="G65" s="172">
        <v>300000</v>
      </c>
      <c r="H65" s="173">
        <v>100000</v>
      </c>
      <c r="I65" s="2">
        <v>900000</v>
      </c>
      <c r="J65" s="2">
        <v>0</v>
      </c>
      <c r="K65" s="2">
        <v>800000</v>
      </c>
      <c r="L65" s="2">
        <v>150000</v>
      </c>
      <c r="M65" s="216">
        <v>300000</v>
      </c>
      <c r="N65" s="175">
        <v>0</v>
      </c>
      <c r="O65" s="2">
        <v>900000</v>
      </c>
      <c r="P65" s="2">
        <v>500000</v>
      </c>
      <c r="Q65" s="2">
        <v>2000000</v>
      </c>
      <c r="R65" s="2">
        <v>0</v>
      </c>
      <c r="S65" s="2">
        <v>0</v>
      </c>
      <c r="T65" s="175">
        <f t="shared" si="5"/>
        <v>6370000</v>
      </c>
      <c r="U65" s="175">
        <f t="shared" si="6"/>
        <v>9640000</v>
      </c>
    </row>
    <row r="66" spans="1:21" s="178" customFormat="1" x14ac:dyDescent="0.3">
      <c r="A66" s="266"/>
      <c r="B66" s="178" t="s">
        <v>75</v>
      </c>
      <c r="C66" s="171">
        <f t="shared" si="4"/>
        <v>17230000</v>
      </c>
      <c r="D66" s="2">
        <v>1800000</v>
      </c>
      <c r="E66" s="172">
        <v>0</v>
      </c>
      <c r="F66" s="2">
        <v>420000</v>
      </c>
      <c r="G66" s="172">
        <v>300000</v>
      </c>
      <c r="H66" s="173">
        <v>100000</v>
      </c>
      <c r="I66" s="2">
        <v>900000</v>
      </c>
      <c r="J66" s="2">
        <v>0</v>
      </c>
      <c r="K66" s="2">
        <v>800000</v>
      </c>
      <c r="L66" s="2">
        <v>150000</v>
      </c>
      <c r="M66" s="216">
        <v>300000</v>
      </c>
      <c r="N66" s="175">
        <v>0</v>
      </c>
      <c r="O66" s="2">
        <v>900000</v>
      </c>
      <c r="P66" s="2">
        <v>500000</v>
      </c>
      <c r="Q66" s="2">
        <v>2000000</v>
      </c>
      <c r="R66" s="2">
        <v>0</v>
      </c>
      <c r="S66" s="172">
        <v>0</v>
      </c>
      <c r="T66" s="175">
        <f t="shared" si="5"/>
        <v>8170000</v>
      </c>
      <c r="U66" s="175">
        <f t="shared" si="6"/>
        <v>9060000</v>
      </c>
    </row>
    <row r="67" spans="1:21" s="178" customFormat="1" x14ac:dyDescent="0.3">
      <c r="A67" s="266"/>
      <c r="B67" s="178" t="s">
        <v>76</v>
      </c>
      <c r="C67" s="171">
        <f t="shared" si="4"/>
        <v>16650000</v>
      </c>
      <c r="D67" s="172">
        <v>2000000</v>
      </c>
      <c r="E67" s="172">
        <v>0</v>
      </c>
      <c r="F67" s="2">
        <v>420000</v>
      </c>
      <c r="G67" s="172">
        <v>300000</v>
      </c>
      <c r="H67" s="173">
        <v>100000</v>
      </c>
      <c r="I67" s="2">
        <v>900000</v>
      </c>
      <c r="J67" s="2">
        <v>0</v>
      </c>
      <c r="K67" s="2">
        <v>800000</v>
      </c>
      <c r="L67" s="2">
        <v>150000</v>
      </c>
      <c r="M67" s="216">
        <v>300000</v>
      </c>
      <c r="N67" s="175">
        <v>0</v>
      </c>
      <c r="O67" s="2">
        <v>900000</v>
      </c>
      <c r="P67" s="2">
        <v>500000</v>
      </c>
      <c r="Q67" s="2">
        <v>2000000</v>
      </c>
      <c r="R67" s="2">
        <v>600000</v>
      </c>
      <c r="S67" s="172">
        <v>0</v>
      </c>
      <c r="T67" s="175">
        <f t="shared" ref="T67:T98" si="7">SUM(D67:S67)</f>
        <v>8970000</v>
      </c>
      <c r="U67" s="175">
        <f t="shared" si="6"/>
        <v>7680000</v>
      </c>
    </row>
    <row r="68" spans="1:21" s="178" customFormat="1" x14ac:dyDescent="0.3">
      <c r="A68" s="266"/>
      <c r="B68" s="178" t="s">
        <v>77</v>
      </c>
      <c r="C68" s="171">
        <f t="shared" si="4"/>
        <v>15270000</v>
      </c>
      <c r="D68" s="172">
        <v>0</v>
      </c>
      <c r="E68" s="172">
        <v>0</v>
      </c>
      <c r="F68" s="2">
        <v>420000</v>
      </c>
      <c r="G68" s="172">
        <v>300000</v>
      </c>
      <c r="H68" s="173">
        <v>100000</v>
      </c>
      <c r="I68" s="2">
        <v>900000</v>
      </c>
      <c r="J68" s="2">
        <v>0</v>
      </c>
      <c r="K68" s="2">
        <v>800000</v>
      </c>
      <c r="L68" s="2">
        <v>150000</v>
      </c>
      <c r="M68" s="216">
        <v>300000</v>
      </c>
      <c r="N68" s="175">
        <v>0</v>
      </c>
      <c r="O68" s="2">
        <v>900000</v>
      </c>
      <c r="P68" s="2">
        <v>500000</v>
      </c>
      <c r="Q68" s="2">
        <v>2000000</v>
      </c>
      <c r="R68" s="2">
        <v>0</v>
      </c>
      <c r="S68" s="2">
        <v>0</v>
      </c>
      <c r="T68" s="175">
        <f t="shared" si="7"/>
        <v>6370000</v>
      </c>
      <c r="U68" s="175">
        <f t="shared" si="6"/>
        <v>8900000</v>
      </c>
    </row>
    <row r="69" spans="1:21" s="178" customFormat="1" x14ac:dyDescent="0.3">
      <c r="A69" s="266"/>
      <c r="B69" s="178" t="s">
        <v>78</v>
      </c>
      <c r="C69" s="171">
        <f t="shared" si="4"/>
        <v>16490000</v>
      </c>
      <c r="D69" s="172">
        <v>1800000</v>
      </c>
      <c r="E69" s="172">
        <v>0</v>
      </c>
      <c r="F69" s="2">
        <v>420000</v>
      </c>
      <c r="G69" s="172">
        <v>300000</v>
      </c>
      <c r="H69" s="173">
        <v>100000</v>
      </c>
      <c r="I69" s="2">
        <v>900000</v>
      </c>
      <c r="J69" s="2">
        <v>0</v>
      </c>
      <c r="K69" s="2">
        <v>800000</v>
      </c>
      <c r="L69" s="2">
        <v>150000</v>
      </c>
      <c r="M69" s="216">
        <v>300000</v>
      </c>
      <c r="N69" s="175">
        <v>0</v>
      </c>
      <c r="O69" s="2">
        <v>900000</v>
      </c>
      <c r="P69" s="2">
        <v>500000</v>
      </c>
      <c r="Q69" s="2">
        <v>2000000</v>
      </c>
      <c r="R69" s="2">
        <v>0</v>
      </c>
      <c r="S69" s="172">
        <v>0</v>
      </c>
      <c r="T69" s="175">
        <f t="shared" si="7"/>
        <v>8170000</v>
      </c>
      <c r="U69" s="175">
        <f t="shared" si="6"/>
        <v>8320000</v>
      </c>
    </row>
    <row r="70" spans="1:21" s="178" customFormat="1" x14ac:dyDescent="0.3">
      <c r="A70" s="266"/>
      <c r="B70" s="178" t="s">
        <v>79</v>
      </c>
      <c r="C70" s="171">
        <f t="shared" si="4"/>
        <v>15910000</v>
      </c>
      <c r="D70" s="172">
        <v>0</v>
      </c>
      <c r="E70" s="172">
        <v>0</v>
      </c>
      <c r="F70" s="2">
        <v>420000</v>
      </c>
      <c r="G70" s="172">
        <v>300000</v>
      </c>
      <c r="H70" s="173">
        <v>100000</v>
      </c>
      <c r="I70" s="2">
        <v>900000</v>
      </c>
      <c r="J70" s="2">
        <v>0</v>
      </c>
      <c r="K70" s="2">
        <v>800000</v>
      </c>
      <c r="L70" s="2">
        <v>150000</v>
      </c>
      <c r="M70" s="216">
        <v>300000</v>
      </c>
      <c r="N70" s="175">
        <v>0</v>
      </c>
      <c r="O70" s="2">
        <v>900000</v>
      </c>
      <c r="P70" s="2">
        <v>500000</v>
      </c>
      <c r="Q70" s="2">
        <v>2000000</v>
      </c>
      <c r="R70" s="2">
        <v>0</v>
      </c>
      <c r="S70" s="172">
        <v>0</v>
      </c>
      <c r="T70" s="175">
        <f t="shared" si="7"/>
        <v>6370000</v>
      </c>
      <c r="U70" s="175">
        <f t="shared" si="6"/>
        <v>9540000</v>
      </c>
    </row>
    <row r="71" spans="1:21" s="178" customFormat="1" x14ac:dyDescent="0.3">
      <c r="A71" s="266"/>
      <c r="B71" s="178" t="s">
        <v>80</v>
      </c>
      <c r="C71" s="171">
        <f t="shared" si="4"/>
        <v>17130000</v>
      </c>
      <c r="D71" s="172">
        <v>0</v>
      </c>
      <c r="E71" s="172">
        <v>0</v>
      </c>
      <c r="F71" s="2">
        <v>420000</v>
      </c>
      <c r="G71" s="172">
        <v>300000</v>
      </c>
      <c r="H71" s="173">
        <v>100000</v>
      </c>
      <c r="I71" s="2">
        <v>900000</v>
      </c>
      <c r="J71" s="2">
        <v>0</v>
      </c>
      <c r="K71" s="2">
        <v>800000</v>
      </c>
      <c r="L71" s="2">
        <v>150000</v>
      </c>
      <c r="M71" s="216">
        <v>300000</v>
      </c>
      <c r="N71" s="175">
        <v>0</v>
      </c>
      <c r="O71" s="2">
        <v>900000</v>
      </c>
      <c r="P71" s="2">
        <v>500000</v>
      </c>
      <c r="Q71" s="2">
        <v>2000000</v>
      </c>
      <c r="R71" s="2">
        <v>600000</v>
      </c>
      <c r="S71" s="2">
        <v>0</v>
      </c>
      <c r="T71" s="175">
        <f t="shared" si="7"/>
        <v>6970000</v>
      </c>
      <c r="U71" s="175">
        <f t="shared" si="6"/>
        <v>10160000</v>
      </c>
    </row>
    <row r="72" spans="1:21" s="178" customFormat="1" x14ac:dyDescent="0.3">
      <c r="A72" s="266"/>
      <c r="B72" s="178" t="s">
        <v>81</v>
      </c>
      <c r="C72" s="171">
        <f t="shared" si="4"/>
        <v>17750000</v>
      </c>
      <c r="D72" s="214">
        <v>1800000</v>
      </c>
      <c r="E72" s="172">
        <v>0</v>
      </c>
      <c r="F72" s="2">
        <v>420000</v>
      </c>
      <c r="G72" s="172">
        <v>300000</v>
      </c>
      <c r="H72" s="173">
        <v>100000</v>
      </c>
      <c r="I72" s="2">
        <v>900000</v>
      </c>
      <c r="J72" s="2">
        <v>0</v>
      </c>
      <c r="K72" s="2">
        <v>800000</v>
      </c>
      <c r="L72" s="2">
        <v>150000</v>
      </c>
      <c r="M72" s="216">
        <v>300000</v>
      </c>
      <c r="N72" s="175">
        <v>0</v>
      </c>
      <c r="O72" s="2">
        <v>900000</v>
      </c>
      <c r="P72" s="2">
        <v>500000</v>
      </c>
      <c r="Q72" s="2">
        <v>2000000</v>
      </c>
      <c r="R72" s="2">
        <v>0</v>
      </c>
      <c r="S72" s="2">
        <v>0</v>
      </c>
      <c r="T72" s="175">
        <f t="shared" si="7"/>
        <v>8170000</v>
      </c>
      <c r="U72" s="175">
        <f t="shared" si="6"/>
        <v>9580000</v>
      </c>
    </row>
    <row r="73" spans="1:21" s="178" customFormat="1" x14ac:dyDescent="0.3">
      <c r="A73" s="266"/>
      <c r="B73" s="178" t="s">
        <v>82</v>
      </c>
      <c r="C73" s="171">
        <f t="shared" si="4"/>
        <v>17170000</v>
      </c>
      <c r="D73" s="172">
        <v>0</v>
      </c>
      <c r="E73" s="172">
        <v>0</v>
      </c>
      <c r="F73" s="2">
        <v>420000</v>
      </c>
      <c r="G73" s="172">
        <v>300000</v>
      </c>
      <c r="H73" s="173">
        <v>100000</v>
      </c>
      <c r="I73" s="2">
        <v>900000</v>
      </c>
      <c r="J73" s="2">
        <v>0</v>
      </c>
      <c r="K73" s="2">
        <v>800000</v>
      </c>
      <c r="L73" s="2">
        <v>150000</v>
      </c>
      <c r="M73" s="216">
        <v>300000</v>
      </c>
      <c r="N73" s="175">
        <v>0</v>
      </c>
      <c r="O73" s="2">
        <v>900000</v>
      </c>
      <c r="P73" s="2">
        <v>500000</v>
      </c>
      <c r="Q73" s="2">
        <v>2000000</v>
      </c>
      <c r="R73" s="2">
        <v>0</v>
      </c>
      <c r="S73" s="2">
        <v>0</v>
      </c>
      <c r="T73" s="175">
        <f t="shared" si="7"/>
        <v>6370000</v>
      </c>
      <c r="U73" s="175">
        <f t="shared" si="6"/>
        <v>10800000</v>
      </c>
    </row>
    <row r="74" spans="1:21" s="192" customFormat="1" x14ac:dyDescent="0.3">
      <c r="A74" s="266"/>
      <c r="B74" s="192" t="s">
        <v>83</v>
      </c>
      <c r="C74" s="171">
        <f t="shared" si="4"/>
        <v>18390000</v>
      </c>
      <c r="D74" s="219">
        <v>0</v>
      </c>
      <c r="E74" s="172">
        <v>0</v>
      </c>
      <c r="F74" s="193">
        <v>420000</v>
      </c>
      <c r="G74" s="193">
        <v>300000</v>
      </c>
      <c r="H74" s="193">
        <v>100000</v>
      </c>
      <c r="I74" s="2">
        <v>900000</v>
      </c>
      <c r="J74" s="2">
        <v>0</v>
      </c>
      <c r="K74" s="2">
        <v>800000</v>
      </c>
      <c r="L74" s="2">
        <v>150000</v>
      </c>
      <c r="M74" s="216">
        <v>300000</v>
      </c>
      <c r="N74" s="193">
        <v>0</v>
      </c>
      <c r="O74" s="2">
        <v>900000</v>
      </c>
      <c r="P74" s="2">
        <v>500000</v>
      </c>
      <c r="Q74" s="2">
        <v>2000000</v>
      </c>
      <c r="R74" s="172">
        <v>0</v>
      </c>
      <c r="S74" s="197">
        <v>0</v>
      </c>
      <c r="T74" s="193">
        <f t="shared" si="7"/>
        <v>6370000</v>
      </c>
      <c r="U74" s="193">
        <f t="shared" si="6"/>
        <v>12020000</v>
      </c>
    </row>
    <row r="75" spans="1:21" s="178" customFormat="1" x14ac:dyDescent="0.3">
      <c r="A75" s="266">
        <v>2029</v>
      </c>
      <c r="B75" s="178" t="s">
        <v>72</v>
      </c>
      <c r="C75" s="171">
        <f t="shared" si="4"/>
        <v>19610000</v>
      </c>
      <c r="D75" s="2">
        <v>1800000</v>
      </c>
      <c r="E75" s="172">
        <v>0</v>
      </c>
      <c r="F75" s="2">
        <v>420000</v>
      </c>
      <c r="G75" s="172">
        <v>300000</v>
      </c>
      <c r="H75" s="173">
        <v>100000</v>
      </c>
      <c r="I75" s="2">
        <v>900000</v>
      </c>
      <c r="J75" s="2">
        <v>0</v>
      </c>
      <c r="K75" s="2">
        <v>800000</v>
      </c>
      <c r="L75" s="2">
        <v>150000</v>
      </c>
      <c r="M75" s="216">
        <v>300000</v>
      </c>
      <c r="N75" s="175">
        <v>0</v>
      </c>
      <c r="O75" s="2">
        <v>900000</v>
      </c>
      <c r="P75" s="2">
        <v>500000</v>
      </c>
      <c r="Q75" s="2">
        <v>2000000</v>
      </c>
      <c r="R75" s="172">
        <v>0</v>
      </c>
      <c r="S75" s="172">
        <v>0</v>
      </c>
      <c r="T75" s="175">
        <f t="shared" si="7"/>
        <v>8170000</v>
      </c>
      <c r="U75" s="175">
        <f t="shared" si="6"/>
        <v>11440000</v>
      </c>
    </row>
    <row r="76" spans="1:21" s="178" customFormat="1" x14ac:dyDescent="0.3">
      <c r="A76" s="266"/>
      <c r="B76" s="178" t="s">
        <v>73</v>
      </c>
      <c r="C76" s="171">
        <f t="shared" si="4"/>
        <v>19030000</v>
      </c>
      <c r="D76" s="172">
        <v>0</v>
      </c>
      <c r="E76" s="172">
        <v>0</v>
      </c>
      <c r="F76" s="2">
        <v>420000</v>
      </c>
      <c r="G76" s="172">
        <v>300000</v>
      </c>
      <c r="H76" s="173">
        <v>100000</v>
      </c>
      <c r="I76" s="2">
        <v>900000</v>
      </c>
      <c r="J76" s="2">
        <v>0</v>
      </c>
      <c r="K76" s="2">
        <v>800000</v>
      </c>
      <c r="L76" s="2">
        <v>150000</v>
      </c>
      <c r="M76" s="216">
        <v>300000</v>
      </c>
      <c r="N76" s="175">
        <v>0</v>
      </c>
      <c r="O76" s="2">
        <v>900000</v>
      </c>
      <c r="P76" s="2">
        <v>500000</v>
      </c>
      <c r="Q76" s="2">
        <v>2000000</v>
      </c>
      <c r="R76" s="2">
        <v>600000</v>
      </c>
      <c r="S76" s="172">
        <v>0</v>
      </c>
      <c r="T76" s="175">
        <f t="shared" si="7"/>
        <v>6970000</v>
      </c>
      <c r="U76" s="175">
        <f t="shared" si="6"/>
        <v>12060000</v>
      </c>
    </row>
    <row r="77" spans="1:21" s="178" customFormat="1" x14ac:dyDescent="0.3">
      <c r="A77" s="266"/>
      <c r="B77" s="178" t="s">
        <v>74</v>
      </c>
      <c r="C77" s="171">
        <f t="shared" si="4"/>
        <v>19650000</v>
      </c>
      <c r="D77" s="172">
        <v>0</v>
      </c>
      <c r="E77" s="172">
        <v>0</v>
      </c>
      <c r="F77" s="2">
        <v>420000</v>
      </c>
      <c r="G77" s="172">
        <v>300000</v>
      </c>
      <c r="H77" s="173">
        <v>100000</v>
      </c>
      <c r="I77" s="2">
        <v>900000</v>
      </c>
      <c r="J77" s="2">
        <v>0</v>
      </c>
      <c r="K77" s="2">
        <v>800000</v>
      </c>
      <c r="L77" s="2">
        <v>150000</v>
      </c>
      <c r="M77" s="216">
        <v>300000</v>
      </c>
      <c r="N77" s="175">
        <v>0</v>
      </c>
      <c r="O77" s="2">
        <v>900000</v>
      </c>
      <c r="P77" s="2">
        <v>500000</v>
      </c>
      <c r="Q77" s="2">
        <v>2000000</v>
      </c>
      <c r="R77" s="2">
        <v>0</v>
      </c>
      <c r="S77" s="2">
        <v>0</v>
      </c>
      <c r="T77" s="175">
        <f t="shared" si="7"/>
        <v>6370000</v>
      </c>
      <c r="U77" s="175">
        <f t="shared" ref="U77:U108" si="8" xml:space="preserve"> C77 - T77</f>
        <v>13280000</v>
      </c>
    </row>
    <row r="78" spans="1:21" s="178" customFormat="1" x14ac:dyDescent="0.3">
      <c r="A78" s="266"/>
      <c r="B78" s="178" t="s">
        <v>75</v>
      </c>
      <c r="C78" s="171">
        <f t="shared" si="4"/>
        <v>20870000</v>
      </c>
      <c r="D78" s="2">
        <v>1800000</v>
      </c>
      <c r="E78" s="172">
        <v>0</v>
      </c>
      <c r="F78" s="2">
        <v>420000</v>
      </c>
      <c r="G78" s="172">
        <v>300000</v>
      </c>
      <c r="H78" s="173">
        <v>100000</v>
      </c>
      <c r="I78" s="2">
        <v>900000</v>
      </c>
      <c r="J78" s="2">
        <v>0</v>
      </c>
      <c r="K78" s="2">
        <v>800000</v>
      </c>
      <c r="L78" s="2">
        <v>150000</v>
      </c>
      <c r="M78" s="216">
        <v>300000</v>
      </c>
      <c r="N78" s="175">
        <v>0</v>
      </c>
      <c r="O78" s="2">
        <v>900000</v>
      </c>
      <c r="P78" s="2">
        <v>500000</v>
      </c>
      <c r="Q78" s="2">
        <v>2000000</v>
      </c>
      <c r="R78" s="2">
        <v>0</v>
      </c>
      <c r="S78" s="172">
        <v>0</v>
      </c>
      <c r="T78" s="175">
        <f t="shared" si="7"/>
        <v>8170000</v>
      </c>
      <c r="U78" s="175">
        <f t="shared" si="8"/>
        <v>12700000</v>
      </c>
    </row>
    <row r="79" spans="1:21" s="178" customFormat="1" x14ac:dyDescent="0.3">
      <c r="A79" s="266"/>
      <c r="B79" s="178" t="s">
        <v>76</v>
      </c>
      <c r="C79" s="171">
        <f t="shared" si="4"/>
        <v>20290000</v>
      </c>
      <c r="D79" s="172">
        <v>2000000</v>
      </c>
      <c r="E79" s="172">
        <v>0</v>
      </c>
      <c r="F79" s="2">
        <v>420000</v>
      </c>
      <c r="G79" s="172">
        <v>300000</v>
      </c>
      <c r="H79" s="173">
        <v>100000</v>
      </c>
      <c r="I79" s="2">
        <v>900000</v>
      </c>
      <c r="J79" s="2">
        <v>0</v>
      </c>
      <c r="K79" s="2">
        <v>800000</v>
      </c>
      <c r="L79" s="2">
        <v>150000</v>
      </c>
      <c r="M79" s="216">
        <v>300000</v>
      </c>
      <c r="N79" s="175">
        <v>0</v>
      </c>
      <c r="O79" s="2">
        <v>900000</v>
      </c>
      <c r="P79" s="2">
        <v>500000</v>
      </c>
      <c r="Q79" s="2">
        <v>2000000</v>
      </c>
      <c r="R79" s="2">
        <v>600000</v>
      </c>
      <c r="S79" s="172">
        <v>0</v>
      </c>
      <c r="T79" s="175">
        <f t="shared" si="7"/>
        <v>8970000</v>
      </c>
      <c r="U79" s="175">
        <f t="shared" si="8"/>
        <v>11320000</v>
      </c>
    </row>
    <row r="80" spans="1:21" s="178" customFormat="1" x14ac:dyDescent="0.3">
      <c r="A80" s="266"/>
      <c r="B80" s="178" t="s">
        <v>77</v>
      </c>
      <c r="C80" s="171">
        <f t="shared" si="4"/>
        <v>18910000</v>
      </c>
      <c r="D80" s="172">
        <v>0</v>
      </c>
      <c r="E80" s="172">
        <v>0</v>
      </c>
      <c r="F80" s="2">
        <v>420000</v>
      </c>
      <c r="G80" s="172">
        <v>300000</v>
      </c>
      <c r="H80" s="173">
        <v>100000</v>
      </c>
      <c r="I80" s="2">
        <v>900000</v>
      </c>
      <c r="J80" s="2">
        <v>0</v>
      </c>
      <c r="K80" s="2">
        <v>800000</v>
      </c>
      <c r="L80" s="2">
        <v>150000</v>
      </c>
      <c r="M80" s="216">
        <v>300000</v>
      </c>
      <c r="N80" s="175">
        <v>0</v>
      </c>
      <c r="O80" s="2">
        <v>900000</v>
      </c>
      <c r="P80" s="2">
        <v>500000</v>
      </c>
      <c r="Q80" s="2">
        <v>2000000</v>
      </c>
      <c r="R80" s="2">
        <v>0</v>
      </c>
      <c r="S80" s="2">
        <v>0</v>
      </c>
      <c r="T80" s="175">
        <f t="shared" si="7"/>
        <v>6370000</v>
      </c>
      <c r="U80" s="175">
        <f t="shared" si="8"/>
        <v>12540000</v>
      </c>
    </row>
    <row r="81" spans="1:21" s="178" customFormat="1" x14ac:dyDescent="0.3">
      <c r="A81" s="266"/>
      <c r="B81" s="178" t="s">
        <v>78</v>
      </c>
      <c r="C81" s="171">
        <f t="shared" si="4"/>
        <v>20130000</v>
      </c>
      <c r="D81" s="172">
        <v>1800000</v>
      </c>
      <c r="E81" s="172">
        <v>0</v>
      </c>
      <c r="F81" s="2">
        <v>420000</v>
      </c>
      <c r="G81" s="172">
        <v>300000</v>
      </c>
      <c r="H81" s="173">
        <v>100000</v>
      </c>
      <c r="I81" s="2">
        <v>900000</v>
      </c>
      <c r="J81" s="2">
        <v>0</v>
      </c>
      <c r="K81" s="2">
        <v>800000</v>
      </c>
      <c r="L81" s="2">
        <v>150000</v>
      </c>
      <c r="M81" s="216">
        <v>300000</v>
      </c>
      <c r="N81" s="175">
        <v>0</v>
      </c>
      <c r="O81" s="2">
        <v>900000</v>
      </c>
      <c r="P81" s="2">
        <v>500000</v>
      </c>
      <c r="Q81" s="2">
        <v>2000000</v>
      </c>
      <c r="R81" s="2">
        <v>0</v>
      </c>
      <c r="S81" s="172">
        <v>0</v>
      </c>
      <c r="T81" s="175">
        <f t="shared" si="7"/>
        <v>8170000</v>
      </c>
      <c r="U81" s="175">
        <f t="shared" si="8"/>
        <v>11960000</v>
      </c>
    </row>
    <row r="82" spans="1:21" s="178" customFormat="1" x14ac:dyDescent="0.3">
      <c r="A82" s="266"/>
      <c r="B82" s="178" t="s">
        <v>79</v>
      </c>
      <c r="C82" s="171">
        <f t="shared" si="4"/>
        <v>19550000</v>
      </c>
      <c r="D82" s="172">
        <v>0</v>
      </c>
      <c r="E82" s="172">
        <v>0</v>
      </c>
      <c r="F82" s="2">
        <v>420000</v>
      </c>
      <c r="G82" s="172">
        <v>300000</v>
      </c>
      <c r="H82" s="173">
        <v>100000</v>
      </c>
      <c r="I82" s="2">
        <v>900000</v>
      </c>
      <c r="J82" s="2">
        <v>0</v>
      </c>
      <c r="K82" s="2">
        <v>800000</v>
      </c>
      <c r="L82" s="2">
        <v>150000</v>
      </c>
      <c r="M82" s="216">
        <v>300000</v>
      </c>
      <c r="N82" s="175">
        <v>0</v>
      </c>
      <c r="O82" s="2">
        <v>900000</v>
      </c>
      <c r="P82" s="2">
        <v>500000</v>
      </c>
      <c r="Q82" s="2">
        <v>2000000</v>
      </c>
      <c r="R82" s="2">
        <v>0</v>
      </c>
      <c r="S82" s="172">
        <v>0</v>
      </c>
      <c r="T82" s="175">
        <f t="shared" si="7"/>
        <v>6370000</v>
      </c>
      <c r="U82" s="175">
        <f t="shared" si="8"/>
        <v>13180000</v>
      </c>
    </row>
    <row r="83" spans="1:21" s="178" customFormat="1" x14ac:dyDescent="0.3">
      <c r="A83" s="266"/>
      <c r="B83" s="178" t="s">
        <v>80</v>
      </c>
      <c r="C83" s="171">
        <f t="shared" si="4"/>
        <v>20770000</v>
      </c>
      <c r="D83" s="172">
        <v>0</v>
      </c>
      <c r="E83" s="172">
        <v>0</v>
      </c>
      <c r="F83" s="2">
        <v>420000</v>
      </c>
      <c r="G83" s="172">
        <v>300000</v>
      </c>
      <c r="H83" s="173">
        <v>100000</v>
      </c>
      <c r="I83" s="2">
        <v>900000</v>
      </c>
      <c r="J83" s="2">
        <v>0</v>
      </c>
      <c r="K83" s="2">
        <v>800000</v>
      </c>
      <c r="L83" s="2">
        <v>150000</v>
      </c>
      <c r="M83" s="216">
        <v>300000</v>
      </c>
      <c r="N83" s="175">
        <v>0</v>
      </c>
      <c r="O83" s="2">
        <v>900000</v>
      </c>
      <c r="P83" s="2">
        <v>500000</v>
      </c>
      <c r="Q83" s="2">
        <v>2000000</v>
      </c>
      <c r="R83" s="2">
        <v>600000</v>
      </c>
      <c r="S83" s="2">
        <v>0</v>
      </c>
      <c r="T83" s="175">
        <f t="shared" si="7"/>
        <v>6970000</v>
      </c>
      <c r="U83" s="175">
        <f t="shared" si="8"/>
        <v>13800000</v>
      </c>
    </row>
    <row r="84" spans="1:21" s="178" customFormat="1" x14ac:dyDescent="0.3">
      <c r="A84" s="266"/>
      <c r="B84" s="178" t="s">
        <v>81</v>
      </c>
      <c r="C84" s="171">
        <f t="shared" si="4"/>
        <v>21390000</v>
      </c>
      <c r="D84" s="214">
        <v>1800000</v>
      </c>
      <c r="E84" s="172">
        <v>0</v>
      </c>
      <c r="F84" s="2">
        <v>420000</v>
      </c>
      <c r="G84" s="172">
        <v>300000</v>
      </c>
      <c r="H84" s="173">
        <v>100000</v>
      </c>
      <c r="I84" s="2">
        <v>900000</v>
      </c>
      <c r="J84" s="2">
        <v>0</v>
      </c>
      <c r="K84" s="2">
        <v>800000</v>
      </c>
      <c r="L84" s="2">
        <v>150000</v>
      </c>
      <c r="M84" s="216">
        <v>300000</v>
      </c>
      <c r="N84" s="175">
        <v>0</v>
      </c>
      <c r="O84" s="2">
        <v>900000</v>
      </c>
      <c r="P84" s="2">
        <v>500000</v>
      </c>
      <c r="Q84" s="2">
        <v>2000000</v>
      </c>
      <c r="R84" s="2">
        <v>0</v>
      </c>
      <c r="S84" s="2">
        <v>0</v>
      </c>
      <c r="T84" s="175">
        <f t="shared" si="7"/>
        <v>8170000</v>
      </c>
      <c r="U84" s="175">
        <f t="shared" si="8"/>
        <v>13220000</v>
      </c>
    </row>
    <row r="85" spans="1:21" s="178" customFormat="1" x14ac:dyDescent="0.3">
      <c r="A85" s="266"/>
      <c r="B85" s="178" t="s">
        <v>82</v>
      </c>
      <c r="C85" s="171">
        <f t="shared" si="4"/>
        <v>20810000</v>
      </c>
      <c r="D85" s="172">
        <v>0</v>
      </c>
      <c r="E85" s="172">
        <v>0</v>
      </c>
      <c r="F85" s="2">
        <v>420000</v>
      </c>
      <c r="G85" s="172">
        <v>300000</v>
      </c>
      <c r="H85" s="173">
        <v>100000</v>
      </c>
      <c r="I85" s="2">
        <v>900000</v>
      </c>
      <c r="J85" s="2">
        <v>0</v>
      </c>
      <c r="K85" s="2">
        <v>800000</v>
      </c>
      <c r="L85" s="2">
        <v>150000</v>
      </c>
      <c r="M85" s="216">
        <v>300000</v>
      </c>
      <c r="N85" s="175">
        <v>0</v>
      </c>
      <c r="O85" s="2">
        <v>900000</v>
      </c>
      <c r="P85" s="2">
        <v>500000</v>
      </c>
      <c r="Q85" s="2">
        <v>2000000</v>
      </c>
      <c r="R85" s="2">
        <v>0</v>
      </c>
      <c r="S85" s="2">
        <v>0</v>
      </c>
      <c r="T85" s="175">
        <f t="shared" si="7"/>
        <v>6370000</v>
      </c>
      <c r="U85" s="175">
        <f t="shared" si="8"/>
        <v>14440000</v>
      </c>
    </row>
    <row r="86" spans="1:21" s="192" customFormat="1" x14ac:dyDescent="0.3">
      <c r="A86" s="266"/>
      <c r="B86" s="192" t="s">
        <v>83</v>
      </c>
      <c r="C86" s="171">
        <f t="shared" si="4"/>
        <v>22030000</v>
      </c>
      <c r="D86" s="219">
        <v>0</v>
      </c>
      <c r="E86" s="172">
        <v>0</v>
      </c>
      <c r="F86" s="193">
        <v>420000</v>
      </c>
      <c r="G86" s="193">
        <v>300000</v>
      </c>
      <c r="H86" s="193">
        <v>100000</v>
      </c>
      <c r="I86" s="2">
        <v>900000</v>
      </c>
      <c r="J86" s="2">
        <v>0</v>
      </c>
      <c r="K86" s="2">
        <v>800000</v>
      </c>
      <c r="L86" s="2">
        <v>150000</v>
      </c>
      <c r="M86" s="216">
        <v>300000</v>
      </c>
      <c r="N86" s="193">
        <v>0</v>
      </c>
      <c r="O86" s="2">
        <v>900000</v>
      </c>
      <c r="P86" s="2">
        <v>500000</v>
      </c>
      <c r="Q86" s="2">
        <v>2000000</v>
      </c>
      <c r="R86" s="172">
        <v>0</v>
      </c>
      <c r="S86" s="197">
        <v>0</v>
      </c>
      <c r="T86" s="193">
        <f t="shared" si="7"/>
        <v>6370000</v>
      </c>
      <c r="U86" s="193">
        <f t="shared" si="8"/>
        <v>15660000</v>
      </c>
    </row>
    <row r="87" spans="1:21" s="178" customFormat="1" x14ac:dyDescent="0.3">
      <c r="A87" s="266">
        <v>2030</v>
      </c>
      <c r="B87" s="178" t="s">
        <v>72</v>
      </c>
      <c r="C87" s="171">
        <f t="shared" si="4"/>
        <v>23250000</v>
      </c>
      <c r="D87" s="2">
        <v>1800000</v>
      </c>
      <c r="E87" s="172">
        <v>0</v>
      </c>
      <c r="F87" s="2">
        <v>420000</v>
      </c>
      <c r="G87" s="172">
        <v>300000</v>
      </c>
      <c r="H87" s="173">
        <v>100000</v>
      </c>
      <c r="I87" s="2">
        <v>900000</v>
      </c>
      <c r="J87" s="2">
        <v>0</v>
      </c>
      <c r="K87" s="2">
        <v>800000</v>
      </c>
      <c r="L87" s="2">
        <v>150000</v>
      </c>
      <c r="M87" s="216">
        <v>300000</v>
      </c>
      <c r="N87" s="175">
        <v>0</v>
      </c>
      <c r="O87" s="2">
        <v>900000</v>
      </c>
      <c r="P87" s="2">
        <v>500000</v>
      </c>
      <c r="Q87" s="2">
        <v>2000000</v>
      </c>
      <c r="R87" s="172">
        <v>0</v>
      </c>
      <c r="S87" s="172">
        <v>0</v>
      </c>
      <c r="T87" s="175">
        <f t="shared" si="7"/>
        <v>8170000</v>
      </c>
      <c r="U87" s="175">
        <f t="shared" si="8"/>
        <v>15080000</v>
      </c>
    </row>
    <row r="88" spans="1:21" s="178" customFormat="1" x14ac:dyDescent="0.3">
      <c r="A88" s="266"/>
      <c r="B88" s="178" t="s">
        <v>73</v>
      </c>
      <c r="C88" s="171">
        <f t="shared" si="4"/>
        <v>22670000</v>
      </c>
      <c r="D88" s="172">
        <v>0</v>
      </c>
      <c r="E88" s="172">
        <v>0</v>
      </c>
      <c r="F88" s="2">
        <v>420000</v>
      </c>
      <c r="G88" s="172">
        <v>300000</v>
      </c>
      <c r="H88" s="173">
        <v>100000</v>
      </c>
      <c r="I88" s="2">
        <v>900000</v>
      </c>
      <c r="J88" s="2">
        <v>0</v>
      </c>
      <c r="K88" s="2">
        <v>800000</v>
      </c>
      <c r="L88" s="2">
        <v>150000</v>
      </c>
      <c r="M88" s="216">
        <v>300000</v>
      </c>
      <c r="N88" s="175">
        <v>0</v>
      </c>
      <c r="O88" s="2">
        <v>900000</v>
      </c>
      <c r="P88" s="2">
        <v>500000</v>
      </c>
      <c r="Q88" s="2">
        <v>2000000</v>
      </c>
      <c r="R88" s="2">
        <v>600000</v>
      </c>
      <c r="S88" s="172">
        <v>0</v>
      </c>
      <c r="T88" s="175">
        <f t="shared" si="7"/>
        <v>6970000</v>
      </c>
      <c r="U88" s="175">
        <f t="shared" si="8"/>
        <v>15700000</v>
      </c>
    </row>
    <row r="89" spans="1:21" s="178" customFormat="1" x14ac:dyDescent="0.3">
      <c r="A89" s="266"/>
      <c r="B89" s="178" t="s">
        <v>74</v>
      </c>
      <c r="C89" s="171">
        <f t="shared" si="4"/>
        <v>23290000</v>
      </c>
      <c r="D89" s="172">
        <v>0</v>
      </c>
      <c r="E89" s="172">
        <v>0</v>
      </c>
      <c r="F89" s="2">
        <v>420000</v>
      </c>
      <c r="G89" s="172">
        <v>300000</v>
      </c>
      <c r="H89" s="173">
        <v>100000</v>
      </c>
      <c r="I89" s="2">
        <v>900000</v>
      </c>
      <c r="J89" s="2">
        <v>0</v>
      </c>
      <c r="K89" s="2">
        <v>800000</v>
      </c>
      <c r="L89" s="2">
        <v>150000</v>
      </c>
      <c r="M89" s="216">
        <v>300000</v>
      </c>
      <c r="N89" s="175">
        <v>0</v>
      </c>
      <c r="O89" s="2">
        <v>900000</v>
      </c>
      <c r="P89" s="2">
        <v>500000</v>
      </c>
      <c r="Q89" s="2">
        <v>2000000</v>
      </c>
      <c r="R89" s="2">
        <v>0</v>
      </c>
      <c r="S89" s="2">
        <v>0</v>
      </c>
      <c r="T89" s="175">
        <f t="shared" si="7"/>
        <v>6370000</v>
      </c>
      <c r="U89" s="175">
        <f t="shared" si="8"/>
        <v>16920000</v>
      </c>
    </row>
    <row r="90" spans="1:21" s="178" customFormat="1" x14ac:dyDescent="0.3">
      <c r="A90" s="266"/>
      <c r="B90" s="178" t="s">
        <v>75</v>
      </c>
      <c r="C90" s="171">
        <f t="shared" si="4"/>
        <v>24510000</v>
      </c>
      <c r="D90" s="2">
        <v>1800000</v>
      </c>
      <c r="E90" s="172">
        <v>0</v>
      </c>
      <c r="F90" s="2">
        <v>420000</v>
      </c>
      <c r="G90" s="172">
        <v>300000</v>
      </c>
      <c r="H90" s="173">
        <v>100000</v>
      </c>
      <c r="I90" s="2">
        <v>900000</v>
      </c>
      <c r="J90" s="2">
        <v>0</v>
      </c>
      <c r="K90" s="2">
        <v>800000</v>
      </c>
      <c r="L90" s="2">
        <v>150000</v>
      </c>
      <c r="M90" s="216">
        <v>300000</v>
      </c>
      <c r="N90" s="175">
        <v>0</v>
      </c>
      <c r="O90" s="2">
        <v>900000</v>
      </c>
      <c r="P90" s="2">
        <v>500000</v>
      </c>
      <c r="Q90" s="2">
        <v>2000000</v>
      </c>
      <c r="R90" s="2">
        <v>0</v>
      </c>
      <c r="S90" s="172">
        <v>0</v>
      </c>
      <c r="T90" s="175">
        <f t="shared" si="7"/>
        <v>8170000</v>
      </c>
      <c r="U90" s="175">
        <f t="shared" si="8"/>
        <v>16340000</v>
      </c>
    </row>
    <row r="91" spans="1:21" s="178" customFormat="1" x14ac:dyDescent="0.3">
      <c r="A91" s="266"/>
      <c r="B91" s="178" t="s">
        <v>76</v>
      </c>
      <c r="C91" s="171">
        <f t="shared" si="4"/>
        <v>23930000</v>
      </c>
      <c r="D91" s="172">
        <v>2000000</v>
      </c>
      <c r="E91" s="172">
        <v>0</v>
      </c>
      <c r="F91" s="2">
        <v>420000</v>
      </c>
      <c r="G91" s="172">
        <v>300000</v>
      </c>
      <c r="H91" s="173">
        <v>100000</v>
      </c>
      <c r="I91" s="2">
        <v>900000</v>
      </c>
      <c r="J91" s="2">
        <v>0</v>
      </c>
      <c r="K91" s="2">
        <v>800000</v>
      </c>
      <c r="L91" s="2">
        <v>150000</v>
      </c>
      <c r="M91" s="216">
        <v>300000</v>
      </c>
      <c r="N91" s="175">
        <v>0</v>
      </c>
      <c r="O91" s="2">
        <v>900000</v>
      </c>
      <c r="P91" s="2">
        <v>500000</v>
      </c>
      <c r="Q91" s="2">
        <v>2000000</v>
      </c>
      <c r="R91" s="2">
        <v>600000</v>
      </c>
      <c r="S91" s="172">
        <v>0</v>
      </c>
      <c r="T91" s="175">
        <f t="shared" si="7"/>
        <v>8970000</v>
      </c>
      <c r="U91" s="175">
        <f t="shared" si="8"/>
        <v>14960000</v>
      </c>
    </row>
    <row r="92" spans="1:21" s="178" customFormat="1" x14ac:dyDescent="0.3">
      <c r="A92" s="266"/>
      <c r="B92" s="178" t="s">
        <v>77</v>
      </c>
      <c r="C92" s="171">
        <f t="shared" si="4"/>
        <v>22550000</v>
      </c>
      <c r="D92" s="172">
        <v>0</v>
      </c>
      <c r="E92" s="172">
        <v>0</v>
      </c>
      <c r="F92" s="2">
        <v>420000</v>
      </c>
      <c r="G92" s="172">
        <v>300000</v>
      </c>
      <c r="H92" s="173">
        <v>100000</v>
      </c>
      <c r="I92" s="2">
        <v>900000</v>
      </c>
      <c r="J92" s="2">
        <v>0</v>
      </c>
      <c r="K92" s="2">
        <v>800000</v>
      </c>
      <c r="L92" s="2">
        <v>150000</v>
      </c>
      <c r="M92" s="216">
        <v>300000</v>
      </c>
      <c r="N92" s="175">
        <v>0</v>
      </c>
      <c r="O92" s="2">
        <v>900000</v>
      </c>
      <c r="P92" s="2">
        <v>500000</v>
      </c>
      <c r="Q92" s="2">
        <v>2000000</v>
      </c>
      <c r="R92" s="2">
        <v>0</v>
      </c>
      <c r="S92" s="2">
        <v>0</v>
      </c>
      <c r="T92" s="175">
        <f t="shared" si="7"/>
        <v>6370000</v>
      </c>
      <c r="U92" s="175">
        <f t="shared" si="8"/>
        <v>16180000</v>
      </c>
    </row>
    <row r="93" spans="1:21" s="178" customFormat="1" x14ac:dyDescent="0.3">
      <c r="A93" s="266"/>
      <c r="B93" s="178" t="s">
        <v>78</v>
      </c>
      <c r="C93" s="171">
        <f t="shared" ref="C93:C122" si="9" xml:space="preserve"> U92 + 7590000</f>
        <v>23770000</v>
      </c>
      <c r="D93" s="172">
        <v>1800000</v>
      </c>
      <c r="E93" s="172">
        <v>0</v>
      </c>
      <c r="F93" s="2">
        <v>420000</v>
      </c>
      <c r="G93" s="172">
        <v>300000</v>
      </c>
      <c r="H93" s="173">
        <v>100000</v>
      </c>
      <c r="I93" s="2">
        <v>900000</v>
      </c>
      <c r="J93" s="2">
        <v>0</v>
      </c>
      <c r="K93" s="2">
        <v>800000</v>
      </c>
      <c r="L93" s="2">
        <v>150000</v>
      </c>
      <c r="M93" s="216">
        <v>300000</v>
      </c>
      <c r="N93" s="175">
        <v>0</v>
      </c>
      <c r="O93" s="2">
        <v>900000</v>
      </c>
      <c r="P93" s="2">
        <v>500000</v>
      </c>
      <c r="Q93" s="2">
        <v>2000000</v>
      </c>
      <c r="R93" s="2">
        <v>0</v>
      </c>
      <c r="S93" s="172">
        <v>0</v>
      </c>
      <c r="T93" s="175">
        <f t="shared" si="7"/>
        <v>8170000</v>
      </c>
      <c r="U93" s="175">
        <f t="shared" si="8"/>
        <v>15600000</v>
      </c>
    </row>
    <row r="94" spans="1:21" s="178" customFormat="1" x14ac:dyDescent="0.3">
      <c r="A94" s="266"/>
      <c r="B94" s="178" t="s">
        <v>79</v>
      </c>
      <c r="C94" s="171">
        <f t="shared" si="9"/>
        <v>23190000</v>
      </c>
      <c r="D94" s="172">
        <v>0</v>
      </c>
      <c r="E94" s="172">
        <v>0</v>
      </c>
      <c r="F94" s="2">
        <v>420000</v>
      </c>
      <c r="G94" s="172">
        <v>300000</v>
      </c>
      <c r="H94" s="173">
        <v>100000</v>
      </c>
      <c r="I94" s="2">
        <v>900000</v>
      </c>
      <c r="J94" s="2">
        <v>0</v>
      </c>
      <c r="K94" s="2">
        <v>800000</v>
      </c>
      <c r="L94" s="2">
        <v>150000</v>
      </c>
      <c r="M94" s="216">
        <v>300000</v>
      </c>
      <c r="N94" s="175">
        <v>0</v>
      </c>
      <c r="O94" s="2">
        <v>900000</v>
      </c>
      <c r="P94" s="2">
        <v>500000</v>
      </c>
      <c r="Q94" s="2">
        <v>2000000</v>
      </c>
      <c r="R94" s="2">
        <v>0</v>
      </c>
      <c r="S94" s="172">
        <v>0</v>
      </c>
      <c r="T94" s="175">
        <f t="shared" si="7"/>
        <v>6370000</v>
      </c>
      <c r="U94" s="175">
        <f t="shared" si="8"/>
        <v>16820000</v>
      </c>
    </row>
    <row r="95" spans="1:21" s="178" customFormat="1" x14ac:dyDescent="0.3">
      <c r="A95" s="266"/>
      <c r="B95" s="178" t="s">
        <v>80</v>
      </c>
      <c r="C95" s="171">
        <f t="shared" si="9"/>
        <v>24410000</v>
      </c>
      <c r="D95" s="172">
        <v>0</v>
      </c>
      <c r="E95" s="172">
        <v>0</v>
      </c>
      <c r="F95" s="2">
        <v>420000</v>
      </c>
      <c r="G95" s="172">
        <v>300000</v>
      </c>
      <c r="H95" s="173">
        <v>100000</v>
      </c>
      <c r="I95" s="2">
        <v>900000</v>
      </c>
      <c r="J95" s="2">
        <v>0</v>
      </c>
      <c r="K95" s="2">
        <v>800000</v>
      </c>
      <c r="L95" s="2">
        <v>150000</v>
      </c>
      <c r="M95" s="216">
        <v>300000</v>
      </c>
      <c r="N95" s="175">
        <v>0</v>
      </c>
      <c r="O95" s="2">
        <v>900000</v>
      </c>
      <c r="P95" s="2">
        <v>500000</v>
      </c>
      <c r="Q95" s="2">
        <v>2000000</v>
      </c>
      <c r="R95" s="2">
        <v>600000</v>
      </c>
      <c r="S95" s="2">
        <v>0</v>
      </c>
      <c r="T95" s="175">
        <f t="shared" si="7"/>
        <v>6970000</v>
      </c>
      <c r="U95" s="175">
        <f t="shared" si="8"/>
        <v>17440000</v>
      </c>
    </row>
    <row r="96" spans="1:21" s="178" customFormat="1" x14ac:dyDescent="0.3">
      <c r="A96" s="266"/>
      <c r="B96" s="178" t="s">
        <v>81</v>
      </c>
      <c r="C96" s="171">
        <f t="shared" si="9"/>
        <v>25030000</v>
      </c>
      <c r="D96" s="214">
        <v>1800000</v>
      </c>
      <c r="E96" s="172">
        <v>0</v>
      </c>
      <c r="F96" s="2">
        <v>420000</v>
      </c>
      <c r="G96" s="172">
        <v>300000</v>
      </c>
      <c r="H96" s="173">
        <v>100000</v>
      </c>
      <c r="I96" s="2">
        <v>900000</v>
      </c>
      <c r="J96" s="2">
        <v>0</v>
      </c>
      <c r="K96" s="2">
        <v>800000</v>
      </c>
      <c r="L96" s="2">
        <v>150000</v>
      </c>
      <c r="M96" s="216">
        <v>300000</v>
      </c>
      <c r="N96" s="175">
        <v>0</v>
      </c>
      <c r="O96" s="2">
        <v>900000</v>
      </c>
      <c r="P96" s="2">
        <v>500000</v>
      </c>
      <c r="Q96" s="2">
        <v>2000000</v>
      </c>
      <c r="R96" s="2">
        <v>0</v>
      </c>
      <c r="S96" s="2">
        <v>0</v>
      </c>
      <c r="T96" s="175">
        <f t="shared" si="7"/>
        <v>8170000</v>
      </c>
      <c r="U96" s="175">
        <f t="shared" si="8"/>
        <v>16860000</v>
      </c>
    </row>
    <row r="97" spans="1:21" s="178" customFormat="1" x14ac:dyDescent="0.3">
      <c r="A97" s="266"/>
      <c r="B97" s="178" t="s">
        <v>82</v>
      </c>
      <c r="C97" s="171">
        <f t="shared" si="9"/>
        <v>24450000</v>
      </c>
      <c r="D97" s="172">
        <v>0</v>
      </c>
      <c r="E97" s="172">
        <v>0</v>
      </c>
      <c r="F97" s="2">
        <v>420000</v>
      </c>
      <c r="G97" s="172">
        <v>300000</v>
      </c>
      <c r="H97" s="173">
        <v>100000</v>
      </c>
      <c r="I97" s="2">
        <v>900000</v>
      </c>
      <c r="J97" s="2">
        <v>0</v>
      </c>
      <c r="K97" s="2">
        <v>800000</v>
      </c>
      <c r="L97" s="2">
        <v>150000</v>
      </c>
      <c r="M97" s="216">
        <v>300000</v>
      </c>
      <c r="N97" s="175">
        <v>0</v>
      </c>
      <c r="O97" s="2">
        <v>900000</v>
      </c>
      <c r="P97" s="2">
        <v>500000</v>
      </c>
      <c r="Q97" s="2">
        <v>2000000</v>
      </c>
      <c r="R97" s="2">
        <v>0</v>
      </c>
      <c r="S97" s="2">
        <v>0</v>
      </c>
      <c r="T97" s="175">
        <f t="shared" si="7"/>
        <v>6370000</v>
      </c>
      <c r="U97" s="175">
        <f t="shared" si="8"/>
        <v>18080000</v>
      </c>
    </row>
    <row r="98" spans="1:21" s="192" customFormat="1" x14ac:dyDescent="0.3">
      <c r="A98" s="266"/>
      <c r="B98" s="192" t="s">
        <v>83</v>
      </c>
      <c r="C98" s="171">
        <f t="shared" si="9"/>
        <v>25670000</v>
      </c>
      <c r="D98" s="219">
        <v>0</v>
      </c>
      <c r="E98" s="172">
        <v>0</v>
      </c>
      <c r="F98" s="193">
        <v>420000</v>
      </c>
      <c r="G98" s="193">
        <v>300000</v>
      </c>
      <c r="H98" s="193">
        <v>100000</v>
      </c>
      <c r="I98" s="2">
        <v>900000</v>
      </c>
      <c r="J98" s="2">
        <v>0</v>
      </c>
      <c r="K98" s="2">
        <v>800000</v>
      </c>
      <c r="L98" s="2">
        <v>150000</v>
      </c>
      <c r="M98" s="216">
        <v>300000</v>
      </c>
      <c r="N98" s="193">
        <v>0</v>
      </c>
      <c r="O98" s="2">
        <v>900000</v>
      </c>
      <c r="P98" s="2">
        <v>500000</v>
      </c>
      <c r="Q98" s="2">
        <v>2000000</v>
      </c>
      <c r="R98" s="172">
        <v>0</v>
      </c>
      <c r="S98" s="197">
        <v>0</v>
      </c>
      <c r="T98" s="193">
        <f t="shared" si="7"/>
        <v>6370000</v>
      </c>
      <c r="U98" s="193">
        <f t="shared" si="8"/>
        <v>19300000</v>
      </c>
    </row>
    <row r="99" spans="1:21" s="178" customFormat="1" x14ac:dyDescent="0.3">
      <c r="A99" s="266">
        <v>2031</v>
      </c>
      <c r="B99" s="178" t="s">
        <v>72</v>
      </c>
      <c r="C99" s="171">
        <f t="shared" si="9"/>
        <v>26890000</v>
      </c>
      <c r="D99" s="2">
        <v>1800000</v>
      </c>
      <c r="E99" s="172">
        <v>0</v>
      </c>
      <c r="F99" s="2">
        <v>420000</v>
      </c>
      <c r="G99" s="172">
        <v>300000</v>
      </c>
      <c r="H99" s="173">
        <v>100000</v>
      </c>
      <c r="I99" s="2">
        <v>900000</v>
      </c>
      <c r="J99" s="2">
        <v>0</v>
      </c>
      <c r="K99" s="2">
        <v>800000</v>
      </c>
      <c r="L99" s="2">
        <v>150000</v>
      </c>
      <c r="M99" s="216">
        <v>300000</v>
      </c>
      <c r="N99" s="175">
        <v>0</v>
      </c>
      <c r="O99" s="2">
        <v>500000</v>
      </c>
      <c r="P99" s="2">
        <v>500000</v>
      </c>
      <c r="Q99" s="2">
        <v>2000000</v>
      </c>
      <c r="R99" s="172">
        <v>0</v>
      </c>
      <c r="S99" s="172">
        <v>0</v>
      </c>
      <c r="T99" s="175">
        <f t="shared" ref="T99:T122" si="10">SUM(D99:S99)</f>
        <v>7770000</v>
      </c>
      <c r="U99" s="175">
        <f t="shared" si="8"/>
        <v>19120000</v>
      </c>
    </row>
    <row r="100" spans="1:21" s="178" customFormat="1" x14ac:dyDescent="0.3">
      <c r="A100" s="266"/>
      <c r="B100" s="178" t="s">
        <v>73</v>
      </c>
      <c r="C100" s="171">
        <f t="shared" si="9"/>
        <v>26710000</v>
      </c>
      <c r="D100" s="172">
        <v>0</v>
      </c>
      <c r="E100" s="172">
        <v>0</v>
      </c>
      <c r="F100" s="2">
        <v>420000</v>
      </c>
      <c r="G100" s="172">
        <v>300000</v>
      </c>
      <c r="H100" s="173">
        <v>100000</v>
      </c>
      <c r="I100" s="2">
        <v>900000</v>
      </c>
      <c r="J100" s="2">
        <v>0</v>
      </c>
      <c r="K100" s="2">
        <v>800000</v>
      </c>
      <c r="L100" s="2">
        <v>150000</v>
      </c>
      <c r="M100" s="216">
        <v>300000</v>
      </c>
      <c r="N100" s="175">
        <v>0</v>
      </c>
      <c r="O100" s="2">
        <v>500000</v>
      </c>
      <c r="P100" s="2">
        <v>500000</v>
      </c>
      <c r="Q100" s="2">
        <v>2000000</v>
      </c>
      <c r="R100" s="2">
        <v>600000</v>
      </c>
      <c r="S100" s="172">
        <v>0</v>
      </c>
      <c r="T100" s="175">
        <f t="shared" si="10"/>
        <v>6570000</v>
      </c>
      <c r="U100" s="175">
        <f t="shared" si="8"/>
        <v>20140000</v>
      </c>
    </row>
    <row r="101" spans="1:21" s="178" customFormat="1" x14ac:dyDescent="0.3">
      <c r="A101" s="266"/>
      <c r="B101" s="178" t="s">
        <v>74</v>
      </c>
      <c r="C101" s="171">
        <f t="shared" si="9"/>
        <v>27730000</v>
      </c>
      <c r="D101" s="172">
        <v>0</v>
      </c>
      <c r="E101" s="172">
        <v>0</v>
      </c>
      <c r="F101" s="2">
        <v>420000</v>
      </c>
      <c r="G101" s="172">
        <v>300000</v>
      </c>
      <c r="H101" s="173">
        <v>100000</v>
      </c>
      <c r="I101" s="2">
        <v>900000</v>
      </c>
      <c r="J101" s="2">
        <v>0</v>
      </c>
      <c r="K101" s="2">
        <v>800000</v>
      </c>
      <c r="L101" s="2">
        <v>150000</v>
      </c>
      <c r="M101" s="216">
        <v>300000</v>
      </c>
      <c r="N101" s="175">
        <v>0</v>
      </c>
      <c r="O101" s="2">
        <v>500000</v>
      </c>
      <c r="P101" s="2">
        <v>500000</v>
      </c>
      <c r="Q101" s="2">
        <v>2000000</v>
      </c>
      <c r="R101" s="2">
        <v>0</v>
      </c>
      <c r="S101" s="2">
        <v>0</v>
      </c>
      <c r="T101" s="175">
        <f t="shared" si="10"/>
        <v>5970000</v>
      </c>
      <c r="U101" s="175">
        <f t="shared" si="8"/>
        <v>21760000</v>
      </c>
    </row>
    <row r="102" spans="1:21" s="178" customFormat="1" x14ac:dyDescent="0.3">
      <c r="A102" s="266"/>
      <c r="B102" s="178" t="s">
        <v>75</v>
      </c>
      <c r="C102" s="171">
        <f t="shared" si="9"/>
        <v>29350000</v>
      </c>
      <c r="D102" s="2">
        <v>1800000</v>
      </c>
      <c r="E102" s="172">
        <v>0</v>
      </c>
      <c r="F102" s="2">
        <v>420000</v>
      </c>
      <c r="G102" s="172">
        <v>300000</v>
      </c>
      <c r="H102" s="173">
        <v>100000</v>
      </c>
      <c r="I102" s="2">
        <v>900000</v>
      </c>
      <c r="J102" s="2">
        <v>0</v>
      </c>
      <c r="K102" s="2">
        <v>800000</v>
      </c>
      <c r="L102" s="2">
        <v>150000</v>
      </c>
      <c r="M102" s="216">
        <v>300000</v>
      </c>
      <c r="N102" s="175">
        <v>0</v>
      </c>
      <c r="O102" s="2">
        <v>500000</v>
      </c>
      <c r="P102" s="2">
        <v>500000</v>
      </c>
      <c r="Q102" s="2">
        <v>2000000</v>
      </c>
      <c r="R102" s="2">
        <v>0</v>
      </c>
      <c r="S102" s="172">
        <v>0</v>
      </c>
      <c r="T102" s="175">
        <f t="shared" si="10"/>
        <v>7770000</v>
      </c>
      <c r="U102" s="175">
        <f t="shared" si="8"/>
        <v>21580000</v>
      </c>
    </row>
    <row r="103" spans="1:21" s="178" customFormat="1" x14ac:dyDescent="0.3">
      <c r="A103" s="266"/>
      <c r="B103" s="178" t="s">
        <v>76</v>
      </c>
      <c r="C103" s="171">
        <f t="shared" si="9"/>
        <v>29170000</v>
      </c>
      <c r="D103" s="172">
        <v>2000000</v>
      </c>
      <c r="E103" s="172">
        <v>0</v>
      </c>
      <c r="F103" s="2">
        <v>420000</v>
      </c>
      <c r="G103" s="172">
        <v>300000</v>
      </c>
      <c r="H103" s="173">
        <v>100000</v>
      </c>
      <c r="I103" s="2">
        <v>900000</v>
      </c>
      <c r="J103" s="2">
        <v>0</v>
      </c>
      <c r="K103" s="2">
        <v>800000</v>
      </c>
      <c r="L103" s="2">
        <v>150000</v>
      </c>
      <c r="M103" s="216">
        <v>300000</v>
      </c>
      <c r="N103" s="175">
        <v>0</v>
      </c>
      <c r="O103" s="2">
        <v>500000</v>
      </c>
      <c r="P103" s="2">
        <v>500000</v>
      </c>
      <c r="Q103" s="2">
        <v>2000000</v>
      </c>
      <c r="R103" s="2">
        <v>600000</v>
      </c>
      <c r="S103" s="172">
        <v>0</v>
      </c>
      <c r="T103" s="175">
        <f t="shared" si="10"/>
        <v>8570000</v>
      </c>
      <c r="U103" s="175">
        <f t="shared" si="8"/>
        <v>20600000</v>
      </c>
    </row>
    <row r="104" spans="1:21" s="178" customFormat="1" x14ac:dyDescent="0.3">
      <c r="A104" s="266"/>
      <c r="B104" s="178" t="s">
        <v>77</v>
      </c>
      <c r="C104" s="171">
        <f t="shared" si="9"/>
        <v>28190000</v>
      </c>
      <c r="D104" s="172">
        <v>0</v>
      </c>
      <c r="E104" s="172">
        <v>0</v>
      </c>
      <c r="F104" s="2">
        <v>420000</v>
      </c>
      <c r="G104" s="172">
        <v>300000</v>
      </c>
      <c r="H104" s="173">
        <v>100000</v>
      </c>
      <c r="I104" s="2">
        <v>900000</v>
      </c>
      <c r="J104" s="2">
        <v>0</v>
      </c>
      <c r="K104" s="2">
        <v>800000</v>
      </c>
      <c r="L104" s="2">
        <v>150000</v>
      </c>
      <c r="M104" s="216">
        <v>300000</v>
      </c>
      <c r="N104" s="175">
        <v>0</v>
      </c>
      <c r="O104" s="2">
        <v>500000</v>
      </c>
      <c r="P104" s="2">
        <v>500000</v>
      </c>
      <c r="Q104" s="2">
        <v>2000000</v>
      </c>
      <c r="R104" s="2">
        <v>0</v>
      </c>
      <c r="S104" s="2">
        <v>0</v>
      </c>
      <c r="T104" s="175">
        <f t="shared" si="10"/>
        <v>5970000</v>
      </c>
      <c r="U104" s="175">
        <f t="shared" si="8"/>
        <v>22220000</v>
      </c>
    </row>
    <row r="105" spans="1:21" s="178" customFormat="1" x14ac:dyDescent="0.3">
      <c r="A105" s="266"/>
      <c r="B105" s="178" t="s">
        <v>78</v>
      </c>
      <c r="C105" s="171">
        <f t="shared" si="9"/>
        <v>29810000</v>
      </c>
      <c r="D105" s="172">
        <v>1800000</v>
      </c>
      <c r="E105" s="172">
        <v>0</v>
      </c>
      <c r="F105" s="2">
        <v>420000</v>
      </c>
      <c r="G105" s="172">
        <v>300000</v>
      </c>
      <c r="H105" s="173">
        <v>100000</v>
      </c>
      <c r="I105" s="2">
        <v>900000</v>
      </c>
      <c r="J105" s="2">
        <v>0</v>
      </c>
      <c r="K105" s="2">
        <v>800000</v>
      </c>
      <c r="L105" s="2">
        <v>150000</v>
      </c>
      <c r="M105" s="216">
        <v>300000</v>
      </c>
      <c r="N105" s="175">
        <v>0</v>
      </c>
      <c r="O105" s="2">
        <v>500000</v>
      </c>
      <c r="P105" s="2">
        <v>500000</v>
      </c>
      <c r="Q105" s="2">
        <v>2000000</v>
      </c>
      <c r="R105" s="2">
        <v>0</v>
      </c>
      <c r="S105" s="172">
        <v>0</v>
      </c>
      <c r="T105" s="175">
        <f t="shared" si="10"/>
        <v>7770000</v>
      </c>
      <c r="U105" s="175">
        <f t="shared" si="8"/>
        <v>22040000</v>
      </c>
    </row>
    <row r="106" spans="1:21" s="178" customFormat="1" x14ac:dyDescent="0.3">
      <c r="A106" s="266"/>
      <c r="B106" s="178" t="s">
        <v>79</v>
      </c>
      <c r="C106" s="171">
        <f t="shared" si="9"/>
        <v>29630000</v>
      </c>
      <c r="D106" s="172">
        <v>0</v>
      </c>
      <c r="E106" s="172">
        <v>0</v>
      </c>
      <c r="F106" s="2">
        <v>420000</v>
      </c>
      <c r="G106" s="172">
        <v>300000</v>
      </c>
      <c r="H106" s="173">
        <v>100000</v>
      </c>
      <c r="I106" s="2">
        <v>900000</v>
      </c>
      <c r="J106" s="2">
        <v>0</v>
      </c>
      <c r="K106" s="2">
        <v>800000</v>
      </c>
      <c r="L106" s="2">
        <v>150000</v>
      </c>
      <c r="M106" s="216">
        <v>300000</v>
      </c>
      <c r="N106" s="175">
        <v>0</v>
      </c>
      <c r="O106" s="2">
        <v>500000</v>
      </c>
      <c r="P106" s="2">
        <v>500000</v>
      </c>
      <c r="Q106" s="2">
        <v>2000000</v>
      </c>
      <c r="R106" s="2">
        <v>0</v>
      </c>
      <c r="S106" s="172">
        <v>0</v>
      </c>
      <c r="T106" s="175">
        <f t="shared" si="10"/>
        <v>5970000</v>
      </c>
      <c r="U106" s="175">
        <f t="shared" si="8"/>
        <v>23660000</v>
      </c>
    </row>
    <row r="107" spans="1:21" s="178" customFormat="1" x14ac:dyDescent="0.3">
      <c r="A107" s="266"/>
      <c r="B107" s="178" t="s">
        <v>80</v>
      </c>
      <c r="C107" s="171">
        <f t="shared" si="9"/>
        <v>31250000</v>
      </c>
      <c r="D107" s="172">
        <v>0</v>
      </c>
      <c r="E107" s="172">
        <v>0</v>
      </c>
      <c r="F107" s="2">
        <v>420000</v>
      </c>
      <c r="G107" s="172">
        <v>300000</v>
      </c>
      <c r="H107" s="173">
        <v>100000</v>
      </c>
      <c r="I107" s="2">
        <v>900000</v>
      </c>
      <c r="J107" s="2">
        <v>0</v>
      </c>
      <c r="K107" s="2">
        <v>800000</v>
      </c>
      <c r="L107" s="2">
        <v>150000</v>
      </c>
      <c r="M107" s="216">
        <v>300000</v>
      </c>
      <c r="N107" s="175">
        <v>0</v>
      </c>
      <c r="O107" s="2">
        <v>500000</v>
      </c>
      <c r="P107" s="2">
        <v>500000</v>
      </c>
      <c r="Q107" s="2">
        <v>2000000</v>
      </c>
      <c r="R107" s="2">
        <v>600000</v>
      </c>
      <c r="S107" s="2">
        <v>0</v>
      </c>
      <c r="T107" s="175">
        <f t="shared" si="10"/>
        <v>6570000</v>
      </c>
      <c r="U107" s="175">
        <f t="shared" si="8"/>
        <v>24680000</v>
      </c>
    </row>
    <row r="108" spans="1:21" s="178" customFormat="1" x14ac:dyDescent="0.3">
      <c r="A108" s="266"/>
      <c r="B108" s="178" t="s">
        <v>81</v>
      </c>
      <c r="C108" s="171">
        <f t="shared" si="9"/>
        <v>32270000</v>
      </c>
      <c r="D108" s="214">
        <v>1800000</v>
      </c>
      <c r="E108" s="172">
        <v>0</v>
      </c>
      <c r="F108" s="2">
        <v>420000</v>
      </c>
      <c r="G108" s="172">
        <v>300000</v>
      </c>
      <c r="H108" s="173">
        <v>100000</v>
      </c>
      <c r="I108" s="2">
        <v>900000</v>
      </c>
      <c r="J108" s="2">
        <v>0</v>
      </c>
      <c r="K108" s="2">
        <v>800000</v>
      </c>
      <c r="L108" s="2">
        <v>150000</v>
      </c>
      <c r="M108" s="216">
        <v>300000</v>
      </c>
      <c r="N108" s="175">
        <v>0</v>
      </c>
      <c r="O108" s="2">
        <v>500000</v>
      </c>
      <c r="P108" s="2">
        <v>500000</v>
      </c>
      <c r="Q108" s="2">
        <v>2000000</v>
      </c>
      <c r="R108" s="2">
        <v>0</v>
      </c>
      <c r="S108" s="2">
        <v>0</v>
      </c>
      <c r="T108" s="175">
        <f t="shared" si="10"/>
        <v>7770000</v>
      </c>
      <c r="U108" s="175">
        <f t="shared" si="8"/>
        <v>24500000</v>
      </c>
    </row>
    <row r="109" spans="1:21" s="178" customFormat="1" x14ac:dyDescent="0.3">
      <c r="A109" s="266"/>
      <c r="B109" s="178" t="s">
        <v>82</v>
      </c>
      <c r="C109" s="171">
        <f t="shared" si="9"/>
        <v>32090000</v>
      </c>
      <c r="D109" s="172">
        <v>0</v>
      </c>
      <c r="E109" s="172">
        <v>0</v>
      </c>
      <c r="F109" s="2">
        <v>420000</v>
      </c>
      <c r="G109" s="172">
        <v>300000</v>
      </c>
      <c r="H109" s="173">
        <v>100000</v>
      </c>
      <c r="I109" s="2">
        <v>900000</v>
      </c>
      <c r="J109" s="2">
        <v>0</v>
      </c>
      <c r="K109" s="2">
        <v>800000</v>
      </c>
      <c r="L109" s="2">
        <v>150000</v>
      </c>
      <c r="M109" s="216">
        <v>300000</v>
      </c>
      <c r="N109" s="175">
        <v>0</v>
      </c>
      <c r="O109" s="2">
        <v>500000</v>
      </c>
      <c r="P109" s="2">
        <v>500000</v>
      </c>
      <c r="Q109" s="2">
        <v>2000000</v>
      </c>
      <c r="R109" s="2">
        <v>0</v>
      </c>
      <c r="S109" s="2">
        <v>0</v>
      </c>
      <c r="T109" s="175">
        <f t="shared" si="10"/>
        <v>5970000</v>
      </c>
      <c r="U109" s="175">
        <f t="shared" ref="U109:U122" si="11" xml:space="preserve"> C109 - T109</f>
        <v>26120000</v>
      </c>
    </row>
    <row r="110" spans="1:21" s="192" customFormat="1" x14ac:dyDescent="0.3">
      <c r="A110" s="266"/>
      <c r="B110" s="192" t="s">
        <v>83</v>
      </c>
      <c r="C110" s="171">
        <f t="shared" si="9"/>
        <v>33710000</v>
      </c>
      <c r="D110" s="219">
        <v>0</v>
      </c>
      <c r="E110" s="172">
        <v>0</v>
      </c>
      <c r="F110" s="193">
        <v>420000</v>
      </c>
      <c r="G110" s="193">
        <v>300000</v>
      </c>
      <c r="H110" s="193">
        <v>100000</v>
      </c>
      <c r="I110" s="2">
        <v>900000</v>
      </c>
      <c r="J110" s="2">
        <v>0</v>
      </c>
      <c r="K110" s="2">
        <v>800000</v>
      </c>
      <c r="L110" s="2">
        <v>150000</v>
      </c>
      <c r="M110" s="216">
        <v>300000</v>
      </c>
      <c r="N110" s="193">
        <v>0</v>
      </c>
      <c r="O110" s="2">
        <v>500000</v>
      </c>
      <c r="P110" s="2">
        <v>500000</v>
      </c>
      <c r="Q110" s="2">
        <v>2000000</v>
      </c>
      <c r="R110" s="172">
        <v>0</v>
      </c>
      <c r="S110" s="197">
        <v>0</v>
      </c>
      <c r="T110" s="193">
        <f t="shared" si="10"/>
        <v>5970000</v>
      </c>
      <c r="U110" s="193">
        <f t="shared" si="11"/>
        <v>27740000</v>
      </c>
    </row>
    <row r="111" spans="1:21" s="178" customFormat="1" x14ac:dyDescent="0.3">
      <c r="A111" s="266">
        <v>2032</v>
      </c>
      <c r="B111" s="178" t="s">
        <v>72</v>
      </c>
      <c r="C111" s="171">
        <f t="shared" si="9"/>
        <v>35330000</v>
      </c>
      <c r="D111" s="2">
        <v>1800000</v>
      </c>
      <c r="E111" s="172">
        <v>0</v>
      </c>
      <c r="F111" s="2">
        <v>420000</v>
      </c>
      <c r="G111" s="172">
        <v>300000</v>
      </c>
      <c r="H111" s="173">
        <v>100000</v>
      </c>
      <c r="I111" s="2">
        <v>900000</v>
      </c>
      <c r="J111" s="2">
        <v>0</v>
      </c>
      <c r="K111" s="2">
        <v>800000</v>
      </c>
      <c r="L111" s="2">
        <v>150000</v>
      </c>
      <c r="M111" s="216">
        <v>300000</v>
      </c>
      <c r="N111" s="175">
        <v>0</v>
      </c>
      <c r="O111" s="2">
        <v>500000</v>
      </c>
      <c r="P111" s="2">
        <v>500000</v>
      </c>
      <c r="Q111" s="2">
        <v>2000000</v>
      </c>
      <c r="R111" s="172">
        <v>0</v>
      </c>
      <c r="S111" s="172">
        <v>0</v>
      </c>
      <c r="T111" s="175">
        <f t="shared" si="10"/>
        <v>7770000</v>
      </c>
      <c r="U111" s="175">
        <f t="shared" si="11"/>
        <v>27560000</v>
      </c>
    </row>
    <row r="112" spans="1:21" s="178" customFormat="1" x14ac:dyDescent="0.3">
      <c r="A112" s="266"/>
      <c r="B112" s="178" t="s">
        <v>73</v>
      </c>
      <c r="C112" s="171">
        <f t="shared" si="9"/>
        <v>35150000</v>
      </c>
      <c r="D112" s="172">
        <v>0</v>
      </c>
      <c r="E112" s="172">
        <v>0</v>
      </c>
      <c r="F112" s="2">
        <v>420000</v>
      </c>
      <c r="G112" s="172">
        <v>300000</v>
      </c>
      <c r="H112" s="173">
        <v>100000</v>
      </c>
      <c r="I112" s="2">
        <v>900000</v>
      </c>
      <c r="J112" s="2">
        <v>0</v>
      </c>
      <c r="K112" s="2">
        <v>800000</v>
      </c>
      <c r="L112" s="2">
        <v>150000</v>
      </c>
      <c r="M112" s="216">
        <v>300000</v>
      </c>
      <c r="N112" s="175">
        <v>0</v>
      </c>
      <c r="O112" s="2">
        <v>500000</v>
      </c>
      <c r="P112" s="2">
        <v>500000</v>
      </c>
      <c r="Q112" s="2">
        <v>2000000</v>
      </c>
      <c r="R112" s="2">
        <v>600000</v>
      </c>
      <c r="S112" s="172">
        <v>0</v>
      </c>
      <c r="T112" s="175">
        <f t="shared" si="10"/>
        <v>6570000</v>
      </c>
      <c r="U112" s="175">
        <f t="shared" si="11"/>
        <v>28580000</v>
      </c>
    </row>
    <row r="113" spans="1:21" s="178" customFormat="1" x14ac:dyDescent="0.3">
      <c r="A113" s="266"/>
      <c r="B113" s="178" t="s">
        <v>74</v>
      </c>
      <c r="C113" s="171">
        <f t="shared" si="9"/>
        <v>36170000</v>
      </c>
      <c r="D113" s="172">
        <v>0</v>
      </c>
      <c r="E113" s="172">
        <v>0</v>
      </c>
      <c r="F113" s="2">
        <v>420000</v>
      </c>
      <c r="G113" s="172">
        <v>300000</v>
      </c>
      <c r="H113" s="173">
        <v>100000</v>
      </c>
      <c r="I113" s="2">
        <v>900000</v>
      </c>
      <c r="J113" s="2">
        <v>0</v>
      </c>
      <c r="K113" s="2">
        <v>800000</v>
      </c>
      <c r="L113" s="2">
        <v>150000</v>
      </c>
      <c r="M113" s="216">
        <v>300000</v>
      </c>
      <c r="N113" s="175">
        <v>0</v>
      </c>
      <c r="O113" s="2">
        <v>500000</v>
      </c>
      <c r="P113" s="2">
        <v>500000</v>
      </c>
      <c r="Q113" s="2">
        <v>2000000</v>
      </c>
      <c r="R113" s="2">
        <v>0</v>
      </c>
      <c r="S113" s="2">
        <v>0</v>
      </c>
      <c r="T113" s="175">
        <f t="shared" si="10"/>
        <v>5970000</v>
      </c>
      <c r="U113" s="175">
        <f t="shared" si="11"/>
        <v>30200000</v>
      </c>
    </row>
    <row r="114" spans="1:21" s="178" customFormat="1" x14ac:dyDescent="0.3">
      <c r="A114" s="266"/>
      <c r="B114" s="178" t="s">
        <v>75</v>
      </c>
      <c r="C114" s="171">
        <f t="shared" si="9"/>
        <v>37790000</v>
      </c>
      <c r="D114" s="2">
        <v>1800000</v>
      </c>
      <c r="E114" s="172">
        <v>0</v>
      </c>
      <c r="F114" s="2">
        <v>420000</v>
      </c>
      <c r="G114" s="172">
        <v>300000</v>
      </c>
      <c r="H114" s="173">
        <v>100000</v>
      </c>
      <c r="I114" s="2">
        <v>900000</v>
      </c>
      <c r="J114" s="2">
        <v>0</v>
      </c>
      <c r="K114" s="2">
        <v>800000</v>
      </c>
      <c r="L114" s="2">
        <v>150000</v>
      </c>
      <c r="M114" s="216">
        <v>300000</v>
      </c>
      <c r="N114" s="175">
        <v>0</v>
      </c>
      <c r="O114" s="2">
        <v>500000</v>
      </c>
      <c r="P114" s="2">
        <v>500000</v>
      </c>
      <c r="Q114" s="2">
        <v>2000000</v>
      </c>
      <c r="R114" s="2">
        <v>0</v>
      </c>
      <c r="S114" s="172">
        <v>0</v>
      </c>
      <c r="T114" s="175">
        <f t="shared" si="10"/>
        <v>7770000</v>
      </c>
      <c r="U114" s="175">
        <f t="shared" si="11"/>
        <v>30020000</v>
      </c>
    </row>
    <row r="115" spans="1:21" s="178" customFormat="1" x14ac:dyDescent="0.3">
      <c r="A115" s="266"/>
      <c r="B115" s="178" t="s">
        <v>76</v>
      </c>
      <c r="C115" s="171">
        <f t="shared" si="9"/>
        <v>37610000</v>
      </c>
      <c r="D115" s="172">
        <v>2000000</v>
      </c>
      <c r="E115" s="172">
        <v>0</v>
      </c>
      <c r="F115" s="2">
        <v>420000</v>
      </c>
      <c r="G115" s="172">
        <v>300000</v>
      </c>
      <c r="H115" s="173">
        <v>100000</v>
      </c>
      <c r="I115" s="2">
        <v>900000</v>
      </c>
      <c r="J115" s="2">
        <v>0</v>
      </c>
      <c r="K115" s="2">
        <v>800000</v>
      </c>
      <c r="L115" s="2">
        <v>150000</v>
      </c>
      <c r="M115" s="216">
        <v>300000</v>
      </c>
      <c r="N115" s="175">
        <v>0</v>
      </c>
      <c r="O115" s="2">
        <v>500000</v>
      </c>
      <c r="P115" s="2">
        <v>500000</v>
      </c>
      <c r="Q115" s="2">
        <v>2000000</v>
      </c>
      <c r="R115" s="2">
        <v>600000</v>
      </c>
      <c r="S115" s="172">
        <v>0</v>
      </c>
      <c r="T115" s="175">
        <f t="shared" si="10"/>
        <v>8570000</v>
      </c>
      <c r="U115" s="175">
        <f t="shared" si="11"/>
        <v>29040000</v>
      </c>
    </row>
    <row r="116" spans="1:21" s="178" customFormat="1" x14ac:dyDescent="0.3">
      <c r="A116" s="266"/>
      <c r="B116" s="178" t="s">
        <v>77</v>
      </c>
      <c r="C116" s="171">
        <f t="shared" si="9"/>
        <v>36630000</v>
      </c>
      <c r="D116" s="172">
        <v>0</v>
      </c>
      <c r="E116" s="172">
        <v>0</v>
      </c>
      <c r="F116" s="2">
        <v>420000</v>
      </c>
      <c r="G116" s="172">
        <v>300000</v>
      </c>
      <c r="H116" s="173">
        <v>100000</v>
      </c>
      <c r="I116" s="2">
        <v>900000</v>
      </c>
      <c r="J116" s="2">
        <v>0</v>
      </c>
      <c r="K116" s="2">
        <v>800000</v>
      </c>
      <c r="L116" s="2">
        <v>150000</v>
      </c>
      <c r="M116" s="216">
        <v>300000</v>
      </c>
      <c r="N116" s="175">
        <v>0</v>
      </c>
      <c r="O116" s="2">
        <v>500000</v>
      </c>
      <c r="P116" s="2">
        <v>500000</v>
      </c>
      <c r="Q116" s="2">
        <v>2000000</v>
      </c>
      <c r="R116" s="2">
        <v>0</v>
      </c>
      <c r="S116" s="2">
        <v>0</v>
      </c>
      <c r="T116" s="175">
        <f t="shared" si="10"/>
        <v>5970000</v>
      </c>
      <c r="U116" s="175">
        <f t="shared" si="11"/>
        <v>30660000</v>
      </c>
    </row>
    <row r="117" spans="1:21" s="178" customFormat="1" x14ac:dyDescent="0.3">
      <c r="A117" s="266"/>
      <c r="B117" s="178" t="s">
        <v>78</v>
      </c>
      <c r="C117" s="171">
        <f t="shared" si="9"/>
        <v>38250000</v>
      </c>
      <c r="D117" s="172">
        <v>1800000</v>
      </c>
      <c r="E117" s="172">
        <v>0</v>
      </c>
      <c r="F117" s="2">
        <v>420000</v>
      </c>
      <c r="G117" s="172">
        <v>300000</v>
      </c>
      <c r="H117" s="173">
        <v>100000</v>
      </c>
      <c r="I117" s="2">
        <v>900000</v>
      </c>
      <c r="J117" s="2">
        <v>0</v>
      </c>
      <c r="K117" s="2">
        <v>800000</v>
      </c>
      <c r="L117" s="2">
        <v>150000</v>
      </c>
      <c r="M117" s="216">
        <v>300000</v>
      </c>
      <c r="N117" s="175">
        <v>0</v>
      </c>
      <c r="O117" s="2">
        <v>500000</v>
      </c>
      <c r="P117" s="2">
        <v>500000</v>
      </c>
      <c r="Q117" s="2">
        <v>2000000</v>
      </c>
      <c r="R117" s="2">
        <v>0</v>
      </c>
      <c r="S117" s="172">
        <v>0</v>
      </c>
      <c r="T117" s="175">
        <f t="shared" si="10"/>
        <v>7770000</v>
      </c>
      <c r="U117" s="175">
        <f t="shared" si="11"/>
        <v>30480000</v>
      </c>
    </row>
    <row r="118" spans="1:21" s="178" customFormat="1" x14ac:dyDescent="0.3">
      <c r="A118" s="266"/>
      <c r="B118" s="178" t="s">
        <v>79</v>
      </c>
      <c r="C118" s="171">
        <f t="shared" si="9"/>
        <v>38070000</v>
      </c>
      <c r="D118" s="172">
        <v>0</v>
      </c>
      <c r="E118" s="172">
        <v>0</v>
      </c>
      <c r="F118" s="2">
        <v>420000</v>
      </c>
      <c r="G118" s="172">
        <v>300000</v>
      </c>
      <c r="H118" s="173">
        <v>100000</v>
      </c>
      <c r="I118" s="2">
        <v>900000</v>
      </c>
      <c r="J118" s="2">
        <v>0</v>
      </c>
      <c r="K118" s="2">
        <v>800000</v>
      </c>
      <c r="L118" s="2">
        <v>150000</v>
      </c>
      <c r="M118" s="216">
        <v>300000</v>
      </c>
      <c r="N118" s="175">
        <v>0</v>
      </c>
      <c r="O118" s="2">
        <v>500000</v>
      </c>
      <c r="P118" s="2">
        <v>500000</v>
      </c>
      <c r="Q118" s="2">
        <v>2000000</v>
      </c>
      <c r="R118" s="2">
        <v>0</v>
      </c>
      <c r="S118" s="172">
        <v>0</v>
      </c>
      <c r="T118" s="175">
        <f t="shared" si="10"/>
        <v>5970000</v>
      </c>
      <c r="U118" s="175">
        <f t="shared" si="11"/>
        <v>32100000</v>
      </c>
    </row>
    <row r="119" spans="1:21" s="178" customFormat="1" x14ac:dyDescent="0.3">
      <c r="A119" s="266"/>
      <c r="B119" s="178" t="s">
        <v>80</v>
      </c>
      <c r="C119" s="171">
        <f t="shared" si="9"/>
        <v>39690000</v>
      </c>
      <c r="D119" s="172">
        <v>0</v>
      </c>
      <c r="E119" s="172">
        <v>0</v>
      </c>
      <c r="F119" s="2">
        <v>420000</v>
      </c>
      <c r="G119" s="172">
        <v>300000</v>
      </c>
      <c r="H119" s="173">
        <v>100000</v>
      </c>
      <c r="I119" s="2">
        <v>900000</v>
      </c>
      <c r="J119" s="2">
        <v>0</v>
      </c>
      <c r="K119" s="2">
        <v>800000</v>
      </c>
      <c r="L119" s="2">
        <v>150000</v>
      </c>
      <c r="M119" s="216">
        <v>300000</v>
      </c>
      <c r="N119" s="175">
        <v>0</v>
      </c>
      <c r="O119" s="2">
        <v>500000</v>
      </c>
      <c r="P119" s="2">
        <v>500000</v>
      </c>
      <c r="Q119" s="2">
        <v>2000000</v>
      </c>
      <c r="R119" s="2">
        <v>600000</v>
      </c>
      <c r="S119" s="2">
        <v>0</v>
      </c>
      <c r="T119" s="175">
        <f t="shared" si="10"/>
        <v>6570000</v>
      </c>
      <c r="U119" s="175">
        <f t="shared" si="11"/>
        <v>33120000</v>
      </c>
    </row>
    <row r="120" spans="1:21" s="178" customFormat="1" x14ac:dyDescent="0.3">
      <c r="A120" s="266"/>
      <c r="B120" s="178" t="s">
        <v>81</v>
      </c>
      <c r="C120" s="171">
        <f t="shared" si="9"/>
        <v>40710000</v>
      </c>
      <c r="D120" s="214">
        <v>1800000</v>
      </c>
      <c r="E120" s="172">
        <v>0</v>
      </c>
      <c r="F120" s="2">
        <v>420000</v>
      </c>
      <c r="G120" s="172">
        <v>300000</v>
      </c>
      <c r="H120" s="173">
        <v>100000</v>
      </c>
      <c r="I120" s="2">
        <v>900000</v>
      </c>
      <c r="J120" s="2">
        <v>0</v>
      </c>
      <c r="K120" s="2">
        <v>800000</v>
      </c>
      <c r="L120" s="2">
        <v>150000</v>
      </c>
      <c r="M120" s="216">
        <v>300000</v>
      </c>
      <c r="N120" s="175">
        <v>0</v>
      </c>
      <c r="O120" s="2">
        <v>500000</v>
      </c>
      <c r="P120" s="2">
        <v>500000</v>
      </c>
      <c r="Q120" s="2">
        <v>2000000</v>
      </c>
      <c r="R120" s="2">
        <v>0</v>
      </c>
      <c r="S120" s="2">
        <v>0</v>
      </c>
      <c r="T120" s="175">
        <f t="shared" si="10"/>
        <v>7770000</v>
      </c>
      <c r="U120" s="175">
        <f t="shared" si="11"/>
        <v>32940000</v>
      </c>
    </row>
    <row r="121" spans="1:21" s="178" customFormat="1" x14ac:dyDescent="0.3">
      <c r="A121" s="266"/>
      <c r="B121" s="178" t="s">
        <v>82</v>
      </c>
      <c r="C121" s="171">
        <f t="shared" si="9"/>
        <v>40530000</v>
      </c>
      <c r="D121" s="172">
        <v>0</v>
      </c>
      <c r="E121" s="172">
        <v>0</v>
      </c>
      <c r="F121" s="2">
        <v>420000</v>
      </c>
      <c r="G121" s="172">
        <v>300000</v>
      </c>
      <c r="H121" s="173">
        <v>100000</v>
      </c>
      <c r="I121" s="2">
        <v>900000</v>
      </c>
      <c r="J121" s="2">
        <v>0</v>
      </c>
      <c r="K121" s="2">
        <v>800000</v>
      </c>
      <c r="L121" s="2">
        <v>150000</v>
      </c>
      <c r="M121" s="216">
        <v>300000</v>
      </c>
      <c r="N121" s="175">
        <v>0</v>
      </c>
      <c r="O121" s="2">
        <v>500000</v>
      </c>
      <c r="P121" s="2">
        <v>500000</v>
      </c>
      <c r="Q121" s="2">
        <v>2000000</v>
      </c>
      <c r="R121" s="2">
        <v>0</v>
      </c>
      <c r="S121" s="2">
        <v>0</v>
      </c>
      <c r="T121" s="175">
        <f t="shared" si="10"/>
        <v>5970000</v>
      </c>
      <c r="U121" s="175">
        <f t="shared" si="11"/>
        <v>34560000</v>
      </c>
    </row>
    <row r="122" spans="1:21" s="192" customFormat="1" x14ac:dyDescent="0.3">
      <c r="A122" s="266"/>
      <c r="B122" s="192" t="s">
        <v>83</v>
      </c>
      <c r="C122" s="171">
        <f t="shared" si="9"/>
        <v>42150000</v>
      </c>
      <c r="D122" s="219">
        <v>0</v>
      </c>
      <c r="E122" s="172">
        <v>0</v>
      </c>
      <c r="F122" s="193">
        <v>420000</v>
      </c>
      <c r="G122" s="193">
        <v>300000</v>
      </c>
      <c r="H122" s="193">
        <v>100000</v>
      </c>
      <c r="I122" s="2">
        <v>900000</v>
      </c>
      <c r="J122" s="2">
        <v>0</v>
      </c>
      <c r="K122" s="2">
        <v>800000</v>
      </c>
      <c r="L122" s="2">
        <v>150000</v>
      </c>
      <c r="M122" s="216">
        <v>300000</v>
      </c>
      <c r="N122" s="193">
        <v>0</v>
      </c>
      <c r="O122" s="2">
        <v>500000</v>
      </c>
      <c r="P122" s="2">
        <v>500000</v>
      </c>
      <c r="Q122" s="2">
        <v>2000000</v>
      </c>
      <c r="R122" s="172">
        <v>0</v>
      </c>
      <c r="S122" s="197">
        <v>0</v>
      </c>
      <c r="T122" s="193">
        <f t="shared" si="10"/>
        <v>5970000</v>
      </c>
      <c r="U122" s="193">
        <f t="shared" si="11"/>
        <v>36180000</v>
      </c>
    </row>
    <row r="123" spans="1:21" x14ac:dyDescent="0.3">
      <c r="E123" s="172">
        <v>0</v>
      </c>
      <c r="F123" s="2">
        <f>SUM(F7:F122)</f>
        <v>48720000</v>
      </c>
      <c r="G123" s="2">
        <f>SUM(G7:G122)</f>
        <v>34650000</v>
      </c>
    </row>
  </sheetData>
  <mergeCells count="11">
    <mergeCell ref="G1:H1"/>
    <mergeCell ref="A3:A14"/>
    <mergeCell ref="A15:A26"/>
    <mergeCell ref="A27:A38"/>
    <mergeCell ref="A39:A50"/>
    <mergeCell ref="A111:A122"/>
    <mergeCell ref="A51:A62"/>
    <mergeCell ref="A63:A74"/>
    <mergeCell ref="A75:A86"/>
    <mergeCell ref="A87:A98"/>
    <mergeCell ref="A99:A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F8F1-2D69-489A-8970-38263CE6BE29}">
  <dimension ref="H8:L13"/>
  <sheetViews>
    <sheetView workbookViewId="0">
      <selection activeCell="N9" sqref="N9"/>
    </sheetView>
  </sheetViews>
  <sheetFormatPr defaultRowHeight="16.5" x14ac:dyDescent="0.3"/>
  <cols>
    <col min="8" max="9" width="9.5" bestFit="1" customWidth="1"/>
    <col min="11" max="11" width="12.75" bestFit="1" customWidth="1"/>
  </cols>
  <sheetData>
    <row r="8" spans="8:12" x14ac:dyDescent="0.3">
      <c r="H8">
        <v>1640000</v>
      </c>
      <c r="I8">
        <f xml:space="preserve"> H8 * 6</f>
        <v>9840000</v>
      </c>
    </row>
    <row r="9" spans="8:12" x14ac:dyDescent="0.3">
      <c r="H9">
        <v>20000000</v>
      </c>
      <c r="I9">
        <f xml:space="preserve"> H9 * 0.09</f>
        <v>1800000</v>
      </c>
      <c r="J9">
        <f xml:space="preserve"> I9 /12</f>
        <v>150000</v>
      </c>
      <c r="K9">
        <f xml:space="preserve"> (H9 + I9) / 60</f>
        <v>363333.33333333331</v>
      </c>
      <c r="L9">
        <f xml:space="preserve"> K9 * 12</f>
        <v>4360000</v>
      </c>
    </row>
    <row r="10" spans="8:12" x14ac:dyDescent="0.3">
      <c r="H10">
        <f xml:space="preserve"> H9 - L9</f>
        <v>15640000</v>
      </c>
      <c r="I10">
        <f xml:space="preserve"> H10 * 0.09</f>
        <v>1407600</v>
      </c>
      <c r="K10">
        <f xml:space="preserve"> (H10 + I10) / 60</f>
        <v>284126.66666666669</v>
      </c>
      <c r="L10">
        <f xml:space="preserve"> K10 * 12</f>
        <v>3409520</v>
      </c>
    </row>
    <row r="11" spans="8:12" x14ac:dyDescent="0.3">
      <c r="H11">
        <f xml:space="preserve"> H10 - L10</f>
        <v>12230480</v>
      </c>
      <c r="I11">
        <f xml:space="preserve"> H11 * 0.09</f>
        <v>1100743.2</v>
      </c>
      <c r="K11">
        <f xml:space="preserve"> (H11 + I11) / 60</f>
        <v>222187.05333333332</v>
      </c>
      <c r="L11">
        <f xml:space="preserve"> K11 * 12</f>
        <v>2666244.6399999997</v>
      </c>
    </row>
    <row r="12" spans="8:12" x14ac:dyDescent="0.3">
      <c r="H12">
        <f xml:space="preserve"> H11 - L11</f>
        <v>9564235.3599999994</v>
      </c>
      <c r="I12">
        <f xml:space="preserve"> H12 * 0.09</f>
        <v>860781.18239999993</v>
      </c>
      <c r="K12">
        <f xml:space="preserve"> (H12 + I12) / 60</f>
        <v>173750.27570666664</v>
      </c>
      <c r="L12">
        <f xml:space="preserve"> K12 * 12</f>
        <v>2085003.3084799997</v>
      </c>
    </row>
    <row r="13" spans="8:12" x14ac:dyDescent="0.3">
      <c r="H13">
        <f xml:space="preserve"> H12 - L12</f>
        <v>7479232.0515199993</v>
      </c>
      <c r="I13">
        <f xml:space="preserve"> H13 * 0.09</f>
        <v>673130.88463679992</v>
      </c>
      <c r="K13">
        <f xml:space="preserve"> (H13 + I13) / 60</f>
        <v>135872.71560261332</v>
      </c>
      <c r="L13">
        <f xml:space="preserve"> K13 * 12</f>
        <v>1630472.5872313599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70"/>
  <sheetViews>
    <sheetView topLeftCell="A61" workbookViewId="0">
      <selection activeCell="D34" sqref="D34"/>
    </sheetView>
  </sheetViews>
  <sheetFormatPr defaultRowHeight="16.5" x14ac:dyDescent="0.3"/>
  <cols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59" t="s">
        <v>36</v>
      </c>
      <c r="E3" s="259"/>
      <c r="F3" s="259"/>
      <c r="G3" s="259"/>
      <c r="H3" s="259"/>
      <c r="I3" s="259"/>
      <c r="J3" s="259"/>
      <c r="K3" s="259"/>
      <c r="L3" s="259"/>
      <c r="M3" s="259"/>
      <c r="N3" s="259"/>
    </row>
    <row r="4" spans="3:14" x14ac:dyDescent="0.3"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0" t="s">
        <v>50</v>
      </c>
      <c r="D9" s="40">
        <v>3.46</v>
      </c>
      <c r="E9" s="40">
        <v>3.49</v>
      </c>
      <c r="F9" s="40">
        <v>3.52</v>
      </c>
      <c r="G9" s="40">
        <v>3.51</v>
      </c>
      <c r="H9" s="40">
        <v>3.44</v>
      </c>
      <c r="I9" s="40">
        <v>3.36</v>
      </c>
      <c r="J9" s="40">
        <v>3.27</v>
      </c>
      <c r="K9" s="40">
        <v>3.23</v>
      </c>
    </row>
    <row r="10" spans="3:14" ht="17.25" thickBot="1" x14ac:dyDescent="0.35">
      <c r="C10" s="40" t="s">
        <v>51</v>
      </c>
      <c r="D10" s="40">
        <v>3.94</v>
      </c>
      <c r="E10" s="40">
        <v>4.0599999999999996</v>
      </c>
      <c r="F10" s="40">
        <v>4.08</v>
      </c>
      <c r="G10" s="40">
        <v>4.09</v>
      </c>
      <c r="H10" s="40">
        <v>4.0999999999999996</v>
      </c>
      <c r="I10" s="40">
        <v>4.1100000000000003</v>
      </c>
      <c r="J10" s="40">
        <v>4.12</v>
      </c>
      <c r="K10" s="40">
        <v>4.28</v>
      </c>
    </row>
    <row r="11" spans="3:14" ht="17.25" thickBot="1" x14ac:dyDescent="0.35">
      <c r="C11" s="40" t="s">
        <v>52</v>
      </c>
      <c r="D11" s="40">
        <v>4.03</v>
      </c>
      <c r="E11" s="40">
        <v>4.17</v>
      </c>
      <c r="F11" s="40">
        <v>4.17</v>
      </c>
      <c r="G11" s="40">
        <v>4.18</v>
      </c>
      <c r="H11" s="40">
        <v>4.1900000000000004</v>
      </c>
      <c r="I11" s="40">
        <v>4.21</v>
      </c>
      <c r="J11" s="40">
        <v>4.24</v>
      </c>
      <c r="K11" s="40">
        <v>4.4000000000000004</v>
      </c>
    </row>
    <row r="12" spans="3:14" ht="17.25" thickBot="1" x14ac:dyDescent="0.35">
      <c r="C12" s="40" t="s">
        <v>53</v>
      </c>
      <c r="D12" s="40">
        <v>4.08</v>
      </c>
      <c r="E12" s="40">
        <v>4.21</v>
      </c>
      <c r="F12" s="40">
        <v>4.22</v>
      </c>
      <c r="G12" s="40">
        <v>4.22</v>
      </c>
      <c r="H12" s="40">
        <v>4.2300000000000004</v>
      </c>
      <c r="I12" s="40">
        <v>4.24</v>
      </c>
      <c r="J12" s="40">
        <v>4.28</v>
      </c>
      <c r="K12" s="40">
        <v>4.46</v>
      </c>
    </row>
    <row r="13" spans="3:14" ht="17.25" thickBot="1" x14ac:dyDescent="0.35">
      <c r="C13" s="40" t="s">
        <v>54</v>
      </c>
      <c r="D13" s="40">
        <v>4.0999999999999996</v>
      </c>
      <c r="E13" s="40">
        <v>4.2300000000000004</v>
      </c>
      <c r="F13" s="40">
        <v>4.24</v>
      </c>
      <c r="G13" s="40">
        <v>4.25</v>
      </c>
      <c r="H13" s="40">
        <v>4.2699999999999996</v>
      </c>
      <c r="I13" s="40">
        <v>4.29</v>
      </c>
      <c r="J13" s="40">
        <v>4.33</v>
      </c>
      <c r="K13" s="40">
        <v>4.55</v>
      </c>
    </row>
    <row r="14" spans="3:14" ht="17.25" thickBot="1" x14ac:dyDescent="0.35">
      <c r="C14" s="40" t="s">
        <v>55</v>
      </c>
      <c r="D14" s="40">
        <v>4.59</v>
      </c>
      <c r="E14" s="40">
        <v>4.8</v>
      </c>
      <c r="F14" s="40">
        <v>4.8</v>
      </c>
      <c r="G14" s="40">
        <v>4.8099999999999996</v>
      </c>
      <c r="H14" s="40">
        <v>4.83</v>
      </c>
      <c r="I14" s="40">
        <v>4.84</v>
      </c>
      <c r="J14" s="40">
        <v>4.8899999999999997</v>
      </c>
      <c r="K14" s="40">
        <v>5.19</v>
      </c>
    </row>
    <row r="15" spans="3:14" ht="17.25" thickBot="1" x14ac:dyDescent="0.35">
      <c r="C15" s="40" t="s">
        <v>56</v>
      </c>
      <c r="D15" s="40">
        <v>4.7300000000000004</v>
      </c>
      <c r="E15" s="40">
        <v>4.96</v>
      </c>
      <c r="F15" s="40">
        <v>4.96</v>
      </c>
      <c r="G15" s="40">
        <v>4.97</v>
      </c>
      <c r="H15" s="40">
        <v>5</v>
      </c>
      <c r="I15" s="40">
        <v>5.01</v>
      </c>
      <c r="J15" s="40">
        <v>5.16</v>
      </c>
      <c r="K15" s="40">
        <v>5.65</v>
      </c>
    </row>
    <row r="16" spans="3:14" ht="17.25" thickBot="1" x14ac:dyDescent="0.35">
      <c r="C16" s="40" t="s">
        <v>57</v>
      </c>
      <c r="D16" s="40">
        <v>4.9400000000000004</v>
      </c>
      <c r="E16" s="40">
        <v>5.18</v>
      </c>
      <c r="F16" s="40">
        <v>5.21</v>
      </c>
      <c r="G16" s="40">
        <v>5.23</v>
      </c>
      <c r="H16" s="40">
        <v>5.3</v>
      </c>
      <c r="I16" s="40">
        <v>5.35</v>
      </c>
      <c r="J16" s="40">
        <v>5.61</v>
      </c>
      <c r="K16" s="40">
        <v>6.25</v>
      </c>
    </row>
    <row r="17" spans="2:12" ht="17.25" thickBot="1" x14ac:dyDescent="0.35">
      <c r="C17" s="40" t="s">
        <v>58</v>
      </c>
      <c r="D17" s="40">
        <v>5.6</v>
      </c>
      <c r="E17" s="40">
        <v>6.16</v>
      </c>
      <c r="F17" s="40">
        <v>6.5</v>
      </c>
      <c r="G17" s="40">
        <v>6.71</v>
      </c>
      <c r="H17" s="40">
        <v>7.07</v>
      </c>
      <c r="I17" s="40">
        <v>7.59</v>
      </c>
      <c r="J17" s="40">
        <v>8.1300000000000008</v>
      </c>
      <c r="K17" s="40">
        <v>8.34</v>
      </c>
    </row>
    <row r="18" spans="2:12" ht="17.25" thickBot="1" x14ac:dyDescent="0.35">
      <c r="C18" s="40" t="s">
        <v>59</v>
      </c>
      <c r="D18" s="40">
        <v>5.98</v>
      </c>
      <c r="E18" s="40">
        <v>6.66</v>
      </c>
      <c r="F18" s="40">
        <v>7.08</v>
      </c>
      <c r="G18" s="40">
        <v>7.38</v>
      </c>
      <c r="H18" s="40">
        <v>7.88</v>
      </c>
      <c r="I18" s="40">
        <v>8.5299999999999994</v>
      </c>
      <c r="J18" s="40">
        <v>9.18</v>
      </c>
      <c r="K18" s="40">
        <v>9.39</v>
      </c>
    </row>
    <row r="19" spans="2:12" ht="17.25" thickBot="1" x14ac:dyDescent="0.35">
      <c r="C19" s="40" t="s">
        <v>60</v>
      </c>
      <c r="D19" s="40">
        <v>6.66</v>
      </c>
      <c r="E19" s="40">
        <v>7.45</v>
      </c>
      <c r="F19" s="40">
        <v>8.02</v>
      </c>
      <c r="G19" s="40">
        <v>8.36</v>
      </c>
      <c r="H19" s="40">
        <v>8.99</v>
      </c>
      <c r="I19" s="40">
        <v>9.68</v>
      </c>
      <c r="J19" s="40">
        <v>10.55</v>
      </c>
      <c r="K19" s="40">
        <v>10.81</v>
      </c>
      <c r="L19" s="13">
        <f xml:space="preserve"> K19 / 100</f>
        <v>0.1081</v>
      </c>
    </row>
    <row r="21" spans="2:12" x14ac:dyDescent="0.3">
      <c r="C21" s="42" t="s">
        <v>87</v>
      </c>
      <c r="D21" s="42" t="s">
        <v>89</v>
      </c>
      <c r="E21" s="42" t="s">
        <v>90</v>
      </c>
      <c r="F21" s="42" t="s">
        <v>92</v>
      </c>
      <c r="G21" s="42" t="s">
        <v>91</v>
      </c>
      <c r="H21" s="42" t="s">
        <v>88</v>
      </c>
      <c r="I21" s="42" t="s">
        <v>93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289">
        <f xml:space="preserve"> D22 + E22 + F22 + G22</f>
        <v>18921448</v>
      </c>
      <c r="E23" s="268"/>
      <c r="F23" s="268"/>
      <c r="G23" s="268"/>
      <c r="H23" s="2">
        <v>0</v>
      </c>
      <c r="I23" s="2">
        <f xml:space="preserve"> SUM(C23:H23)</f>
        <v>22261448</v>
      </c>
    </row>
    <row r="24" spans="2:12" x14ac:dyDescent="0.3">
      <c r="C24" s="43">
        <f xml:space="preserve"> C23/ I23 * 100</f>
        <v>15.003516393003727</v>
      </c>
      <c r="D24" s="290">
        <f xml:space="preserve"> D23 / I23 * 100</f>
        <v>84.996483606996279</v>
      </c>
      <c r="E24" s="291"/>
      <c r="F24" s="291"/>
      <c r="G24" s="292"/>
      <c r="H24" s="43">
        <f xml:space="preserve"> H23 / I23 * 100</f>
        <v>0</v>
      </c>
      <c r="I24" s="43">
        <f xml:space="preserve"> SUM(C24:H24)</f>
        <v>100</v>
      </c>
    </row>
    <row r="25" spans="2:12" x14ac:dyDescent="0.3">
      <c r="C25" s="41"/>
      <c r="D25" s="44">
        <f xml:space="preserve"> D22 / D23 * 100</f>
        <v>27.587740642259512</v>
      </c>
      <c r="E25" s="44">
        <f xml:space="preserve"> E22 / D23 * 100</f>
        <v>4.1073495009472847</v>
      </c>
      <c r="F25" s="44">
        <f xml:space="preserve"> F22 / D23 * 100</f>
        <v>19.808922657504858</v>
      </c>
      <c r="G25" s="44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282" t="s">
        <v>100</v>
      </c>
      <c r="C27" s="284" t="s">
        <v>115</v>
      </c>
      <c r="D27" s="293" t="s">
        <v>98</v>
      </c>
      <c r="E27" s="294"/>
      <c r="F27" s="295"/>
      <c r="G27" s="282" t="s">
        <v>102</v>
      </c>
      <c r="H27" s="286" t="s">
        <v>118</v>
      </c>
      <c r="I27" s="296" t="s">
        <v>96</v>
      </c>
      <c r="J27" s="282" t="s">
        <v>105</v>
      </c>
      <c r="K27" s="282" t="s">
        <v>116</v>
      </c>
    </row>
    <row r="28" spans="2:12" ht="17.25" thickBot="1" x14ac:dyDescent="0.35">
      <c r="B28" s="283"/>
      <c r="C28" s="285"/>
      <c r="D28" s="282" t="s">
        <v>97</v>
      </c>
      <c r="E28" s="286" t="s">
        <v>101</v>
      </c>
      <c r="F28" s="287" t="s">
        <v>104</v>
      </c>
      <c r="G28" s="283"/>
      <c r="H28" s="283"/>
      <c r="I28" s="297"/>
      <c r="J28" s="283"/>
      <c r="K28" s="283"/>
    </row>
    <row r="29" spans="2:12" ht="37.5" customHeight="1" thickBot="1" x14ac:dyDescent="0.35">
      <c r="B29" s="283"/>
      <c r="C29" s="285"/>
      <c r="D29" s="283"/>
      <c r="E29" s="283"/>
      <c r="F29" s="288"/>
      <c r="G29" s="283"/>
      <c r="H29" s="283"/>
      <c r="I29" s="47" t="s">
        <v>99</v>
      </c>
      <c r="J29" s="298"/>
      <c r="K29" s="298"/>
    </row>
    <row r="30" spans="2:12" x14ac:dyDescent="0.3">
      <c r="B30" s="273" t="s">
        <v>114</v>
      </c>
      <c r="C30" s="275">
        <v>4679754000</v>
      </c>
      <c r="D30" s="50">
        <v>4679754000</v>
      </c>
      <c r="E30" s="49">
        <v>0</v>
      </c>
      <c r="F30" s="51">
        <v>10.81</v>
      </c>
      <c r="G30" s="269">
        <f xml:space="preserve"> C30 + D31</f>
        <v>0</v>
      </c>
      <c r="H30" s="275">
        <v>583000000</v>
      </c>
      <c r="I30" s="277">
        <f xml:space="preserve"> G30 / H30</f>
        <v>0</v>
      </c>
      <c r="J30" s="271" t="s">
        <v>103</v>
      </c>
      <c r="K30" s="269">
        <f xml:space="preserve"> D30 / H30</f>
        <v>8.0270222984562611</v>
      </c>
    </row>
    <row r="31" spans="2:12" ht="17.25" thickBot="1" x14ac:dyDescent="0.35">
      <c r="B31" s="274"/>
      <c r="C31" s="276"/>
      <c r="D31" s="279">
        <f xml:space="preserve"> (D30 * (E30 - F30)) / F30</f>
        <v>-4679754000</v>
      </c>
      <c r="E31" s="280"/>
      <c r="F31" s="281"/>
      <c r="G31" s="274"/>
      <c r="H31" s="276"/>
      <c r="I31" s="278"/>
      <c r="J31" s="272"/>
      <c r="K31" s="270"/>
    </row>
    <row r="32" spans="2:12" x14ac:dyDescent="0.3">
      <c r="B32" s="1"/>
      <c r="C32" s="1"/>
      <c r="D32" s="1"/>
      <c r="E32" s="1"/>
      <c r="F32" s="1"/>
      <c r="H32" s="3"/>
      <c r="I32" s="1"/>
      <c r="J32" s="1"/>
    </row>
    <row r="33" spans="1:10" x14ac:dyDescent="0.3">
      <c r="B33" s="1"/>
      <c r="C33" s="1"/>
      <c r="D33" s="1"/>
      <c r="E33" s="1"/>
      <c r="F33" s="1"/>
      <c r="H33" s="4"/>
      <c r="I33" s="1"/>
      <c r="J33" s="1"/>
    </row>
    <row r="34" spans="1:10" x14ac:dyDescent="0.3">
      <c r="B34" s="1"/>
      <c r="C34" s="1"/>
      <c r="D34" s="1"/>
      <c r="E34" s="1"/>
      <c r="F34" s="1"/>
      <c r="H34" s="1"/>
      <c r="I34" s="1"/>
      <c r="J34" s="1"/>
    </row>
    <row r="36" spans="1:10" s="58" customFormat="1" x14ac:dyDescent="0.3"/>
    <row r="37" spans="1:10" ht="17.25" thickBot="1" x14ac:dyDescent="0.35"/>
    <row r="38" spans="1:10" ht="50.25" thickBot="1" x14ac:dyDescent="0.35">
      <c r="B38" s="53" t="s">
        <v>117</v>
      </c>
      <c r="C38" s="54" t="s">
        <v>108</v>
      </c>
      <c r="D38" s="54" t="s">
        <v>106</v>
      </c>
      <c r="E38" s="55" t="s">
        <v>107</v>
      </c>
      <c r="F38" s="64"/>
    </row>
    <row r="39" spans="1:10" x14ac:dyDescent="0.3">
      <c r="A39" s="63">
        <v>2021</v>
      </c>
      <c r="B39" s="52" t="s">
        <v>109</v>
      </c>
      <c r="C39" s="48">
        <v>5950076000</v>
      </c>
      <c r="D39" s="48">
        <v>1344380000</v>
      </c>
      <c r="E39" s="48">
        <f t="shared" ref="E39:E44" si="0" xml:space="preserve"> C39 - D39</f>
        <v>4605696000</v>
      </c>
      <c r="F39" s="65"/>
    </row>
    <row r="40" spans="1:10" x14ac:dyDescent="0.3">
      <c r="A40" s="63">
        <v>2022</v>
      </c>
      <c r="B40" s="52" t="s">
        <v>109</v>
      </c>
      <c r="C40" s="48">
        <v>5764276000</v>
      </c>
      <c r="D40" s="48">
        <v>1704062000</v>
      </c>
      <c r="E40" s="48">
        <f t="shared" si="0"/>
        <v>4060214000</v>
      </c>
      <c r="F40" s="65"/>
    </row>
    <row r="41" spans="1:10" x14ac:dyDescent="0.3">
      <c r="A41" s="76" t="s">
        <v>158</v>
      </c>
      <c r="B41" s="52" t="s">
        <v>109</v>
      </c>
      <c r="C41" s="48">
        <v>5654093000</v>
      </c>
      <c r="D41" s="48">
        <v>1732443000</v>
      </c>
      <c r="E41" s="48">
        <f t="shared" si="0"/>
        <v>3921650000</v>
      </c>
      <c r="F41" s="65"/>
    </row>
    <row r="42" spans="1:10" x14ac:dyDescent="0.3">
      <c r="A42" s="76" t="s">
        <v>173</v>
      </c>
      <c r="B42" s="52" t="s">
        <v>109</v>
      </c>
      <c r="C42" s="48">
        <v>5583277000</v>
      </c>
      <c r="D42" s="48">
        <v>1844192000</v>
      </c>
      <c r="E42" s="48">
        <f t="shared" si="0"/>
        <v>3739085000</v>
      </c>
      <c r="F42" s="65"/>
    </row>
    <row r="43" spans="1:10" x14ac:dyDescent="0.3">
      <c r="A43" s="76" t="s">
        <v>182</v>
      </c>
      <c r="B43" s="52" t="s">
        <v>109</v>
      </c>
      <c r="C43" s="48">
        <v>5452121000</v>
      </c>
      <c r="D43" s="48">
        <v>1942835000</v>
      </c>
      <c r="E43" s="48">
        <f t="shared" si="0"/>
        <v>3509286000</v>
      </c>
      <c r="F43" s="65"/>
    </row>
    <row r="44" spans="1:10" x14ac:dyDescent="0.3">
      <c r="A44" s="76" t="s">
        <v>189</v>
      </c>
      <c r="B44" s="52" t="s">
        <v>109</v>
      </c>
      <c r="C44" s="48">
        <v>4847306000</v>
      </c>
      <c r="D44" s="48">
        <v>1918184000</v>
      </c>
      <c r="E44" s="48">
        <f t="shared" si="0"/>
        <v>2929122000</v>
      </c>
      <c r="F44" s="65"/>
    </row>
    <row r="45" spans="1:10" ht="17.25" thickBot="1" x14ac:dyDescent="0.35"/>
    <row r="46" spans="1:10" ht="33.75" thickBot="1" x14ac:dyDescent="0.35">
      <c r="B46" s="53" t="s">
        <v>117</v>
      </c>
      <c r="C46" s="56" t="s">
        <v>110</v>
      </c>
      <c r="D46" s="54" t="s">
        <v>111</v>
      </c>
      <c r="E46" s="54" t="s">
        <v>112</v>
      </c>
      <c r="F46" s="57" t="s">
        <v>97</v>
      </c>
    </row>
    <row r="47" spans="1:10" x14ac:dyDescent="0.3">
      <c r="A47" s="75">
        <v>2021</v>
      </c>
      <c r="B47" s="52" t="s">
        <v>109</v>
      </c>
      <c r="C47" s="48">
        <v>5947000</v>
      </c>
      <c r="D47" s="48">
        <v>7070710000</v>
      </c>
      <c r="E47" s="48">
        <v>2396903000</v>
      </c>
      <c r="F47" s="48">
        <f t="shared" ref="F47:F52" si="1" xml:space="preserve"> D47 + C47 - E47</f>
        <v>4679754000</v>
      </c>
    </row>
    <row r="48" spans="1:10" x14ac:dyDescent="0.3">
      <c r="A48" s="75">
        <v>2022</v>
      </c>
      <c r="B48" s="52" t="s">
        <v>109</v>
      </c>
      <c r="C48" s="48">
        <v>6084000</v>
      </c>
      <c r="D48" s="48">
        <v>7297306000</v>
      </c>
      <c r="E48" s="48">
        <v>3120911000</v>
      </c>
      <c r="F48" s="48">
        <f t="shared" si="1"/>
        <v>4182479000</v>
      </c>
      <c r="G48" s="165">
        <f xml:space="preserve">  (F48 / F47 * 100) - 100</f>
        <v>-10.62609273906277</v>
      </c>
    </row>
    <row r="49" spans="1:7" x14ac:dyDescent="0.3">
      <c r="A49" s="76" t="s">
        <v>158</v>
      </c>
      <c r="B49" s="52" t="s">
        <v>109</v>
      </c>
      <c r="C49" s="48">
        <v>6120000</v>
      </c>
      <c r="D49" s="48">
        <v>7360887000</v>
      </c>
      <c r="E49" s="48">
        <v>3327472000</v>
      </c>
      <c r="F49" s="48">
        <f t="shared" si="1"/>
        <v>4039535000</v>
      </c>
      <c r="G49" s="165">
        <f xml:space="preserve">  (F49 / F48 * 100) - 100</f>
        <v>-3.4176860182681139</v>
      </c>
    </row>
    <row r="50" spans="1:7" x14ac:dyDescent="0.3">
      <c r="A50" s="76" t="s">
        <v>173</v>
      </c>
      <c r="B50" s="52" t="s">
        <v>109</v>
      </c>
      <c r="C50" s="48">
        <v>6201000</v>
      </c>
      <c r="D50" s="48">
        <v>7409733000</v>
      </c>
      <c r="E50" s="48">
        <v>3563870000</v>
      </c>
      <c r="F50" s="48">
        <f t="shared" si="1"/>
        <v>3852064000</v>
      </c>
      <c r="G50" s="165">
        <f xml:space="preserve">  (F50 / F49 * 100) - 100</f>
        <v>-4.6409054507511485</v>
      </c>
    </row>
    <row r="51" spans="1:7" x14ac:dyDescent="0.3">
      <c r="A51" s="76" t="s">
        <v>182</v>
      </c>
      <c r="B51" s="52" t="s">
        <v>109</v>
      </c>
      <c r="C51" s="48">
        <v>6243000</v>
      </c>
      <c r="D51" s="48">
        <v>7456196000</v>
      </c>
      <c r="E51" s="48">
        <v>3847349000</v>
      </c>
      <c r="F51" s="48">
        <f t="shared" si="1"/>
        <v>3615090000</v>
      </c>
      <c r="G51" s="165">
        <f xml:space="preserve">  (F51 / F50 * 100) - 100</f>
        <v>-6.1518707892703759</v>
      </c>
    </row>
    <row r="52" spans="1:7" x14ac:dyDescent="0.3">
      <c r="A52" s="76" t="s">
        <v>189</v>
      </c>
      <c r="B52" s="52" t="s">
        <v>109</v>
      </c>
      <c r="C52" s="230">
        <v>7057000</v>
      </c>
      <c r="D52" s="48">
        <v>7823209000</v>
      </c>
      <c r="E52" s="48">
        <v>4785520000</v>
      </c>
      <c r="F52" s="48">
        <f t="shared" si="1"/>
        <v>3044746000</v>
      </c>
      <c r="G52" s="165">
        <f xml:space="preserve">  (F52 / F51 * 100) - 100</f>
        <v>-15.776757978362923</v>
      </c>
    </row>
    <row r="53" spans="1:7" ht="17.25" thickBot="1" x14ac:dyDescent="0.35"/>
    <row r="54" spans="1:7" ht="66.75" thickBot="1" x14ac:dyDescent="0.35">
      <c r="B54" s="53" t="s">
        <v>117</v>
      </c>
      <c r="C54" s="61" t="s">
        <v>113</v>
      </c>
      <c r="D54" s="62" t="s">
        <v>120</v>
      </c>
      <c r="E54" s="66" t="s">
        <v>121</v>
      </c>
      <c r="F54" s="67" t="s">
        <v>123</v>
      </c>
      <c r="G54" s="67" t="s">
        <v>122</v>
      </c>
    </row>
    <row r="55" spans="1:7" x14ac:dyDescent="0.3">
      <c r="A55" s="63">
        <v>2021</v>
      </c>
      <c r="B55" s="52" t="s">
        <v>109</v>
      </c>
      <c r="C55" s="59">
        <f t="shared" ref="C55:C60" si="2" xml:space="preserve"> F47 / C39 * 100</f>
        <v>78.650323121923151</v>
      </c>
      <c r="D55" s="60">
        <f t="shared" ref="D55:D60" si="3">(C47-F47)/C47 *100</f>
        <v>-78591.003867496212</v>
      </c>
      <c r="E55" s="68">
        <v>50</v>
      </c>
      <c r="F55" s="69">
        <v>594729610</v>
      </c>
      <c r="G55" s="70">
        <f t="shared" ref="G55:G60" si="4" xml:space="preserve"> E55 * F55</f>
        <v>29736480500</v>
      </c>
    </row>
    <row r="56" spans="1:7" x14ac:dyDescent="0.3">
      <c r="A56" s="63">
        <v>2022</v>
      </c>
      <c r="B56" s="52" t="s">
        <v>109</v>
      </c>
      <c r="C56" s="59">
        <f t="shared" si="2"/>
        <v>72.55861794265229</v>
      </c>
      <c r="D56" s="60">
        <f t="shared" si="3"/>
        <v>-68645.545693622611</v>
      </c>
      <c r="E56" s="1">
        <v>13.33</v>
      </c>
      <c r="F56" s="69">
        <v>608421785</v>
      </c>
      <c r="G56" s="70">
        <f t="shared" si="4"/>
        <v>8110262394.0500002</v>
      </c>
    </row>
    <row r="57" spans="1:7" x14ac:dyDescent="0.3">
      <c r="A57" s="76" t="s">
        <v>158</v>
      </c>
      <c r="B57" s="52" t="s">
        <v>109</v>
      </c>
      <c r="C57" s="59">
        <f t="shared" si="2"/>
        <v>71.444438568661667</v>
      </c>
      <c r="D57" s="60">
        <f t="shared" si="3"/>
        <v>-65905.473856209152</v>
      </c>
      <c r="E57" s="1">
        <v>8</v>
      </c>
      <c r="F57" s="69">
        <v>611951626</v>
      </c>
      <c r="G57" s="70">
        <f t="shared" si="4"/>
        <v>4895613008</v>
      </c>
    </row>
    <row r="58" spans="1:7" x14ac:dyDescent="0.3">
      <c r="A58" s="76" t="s">
        <v>173</v>
      </c>
      <c r="B58" s="52" t="s">
        <v>109</v>
      </c>
      <c r="C58" s="59">
        <f t="shared" si="2"/>
        <v>68.992887152115145</v>
      </c>
      <c r="D58" s="60">
        <f t="shared" si="3"/>
        <v>-62020.045154007414</v>
      </c>
      <c r="E58" s="1">
        <v>7.54</v>
      </c>
      <c r="F58" s="69">
        <v>620087507</v>
      </c>
      <c r="G58" s="70">
        <f t="shared" si="4"/>
        <v>4675459802.7799997</v>
      </c>
    </row>
    <row r="59" spans="1:7" x14ac:dyDescent="0.3">
      <c r="A59" s="76" t="s">
        <v>182</v>
      </c>
      <c r="B59" s="52" t="s">
        <v>109</v>
      </c>
      <c r="C59" s="59">
        <f t="shared" si="2"/>
        <v>66.306121966111903</v>
      </c>
      <c r="D59" s="60">
        <f t="shared" si="3"/>
        <v>-57806.295050456516</v>
      </c>
      <c r="E59" s="1">
        <v>3.54</v>
      </c>
      <c r="F59" s="69">
        <v>624267053</v>
      </c>
      <c r="G59" s="70">
        <f t="shared" si="4"/>
        <v>2209905367.6199999</v>
      </c>
    </row>
    <row r="60" spans="1:7" x14ac:dyDescent="0.3">
      <c r="A60" s="76" t="s">
        <v>189</v>
      </c>
      <c r="B60" s="52" t="s">
        <v>109</v>
      </c>
      <c r="C60" s="59">
        <f t="shared" si="2"/>
        <v>62.813158484320986</v>
      </c>
      <c r="D60" s="60">
        <f t="shared" si="3"/>
        <v>-43045.047470596568</v>
      </c>
      <c r="E60" s="1">
        <v>2.54</v>
      </c>
      <c r="F60" s="69">
        <v>705604549</v>
      </c>
      <c r="G60" s="70">
        <f t="shared" si="4"/>
        <v>1792235554.46</v>
      </c>
    </row>
    <row r="61" spans="1:7" ht="17.25" thickBot="1" x14ac:dyDescent="0.35"/>
    <row r="62" spans="1:7" ht="17.25" thickBot="1" x14ac:dyDescent="0.35">
      <c r="B62" s="53" t="s">
        <v>117</v>
      </c>
      <c r="C62" s="71" t="s">
        <v>124</v>
      </c>
      <c r="D62" s="73" t="s">
        <v>125</v>
      </c>
      <c r="E62" s="33" t="s">
        <v>127</v>
      </c>
      <c r="F62" s="33" t="s">
        <v>126</v>
      </c>
      <c r="G62" s="72" t="s">
        <v>128</v>
      </c>
    </row>
    <row r="63" spans="1:7" x14ac:dyDescent="0.3">
      <c r="A63" s="63">
        <v>2021</v>
      </c>
      <c r="B63" s="52" t="s">
        <v>109</v>
      </c>
      <c r="C63" s="68">
        <v>4208</v>
      </c>
      <c r="D63" s="68">
        <v>24.3</v>
      </c>
      <c r="E63" s="68"/>
      <c r="F63" s="68"/>
      <c r="G63" s="68"/>
    </row>
    <row r="64" spans="1:7" x14ac:dyDescent="0.3">
      <c r="A64" s="63">
        <v>2022</v>
      </c>
      <c r="B64" s="52" t="s">
        <v>109</v>
      </c>
      <c r="C64" s="1">
        <v>3939</v>
      </c>
      <c r="D64" s="1">
        <v>13.33</v>
      </c>
      <c r="E64" s="41">
        <f xml:space="preserve"> C56 - C55</f>
        <v>-6.0917051792708605</v>
      </c>
      <c r="F64" s="1">
        <f xml:space="preserve"> (C64 - C63) / C63 * 100</f>
        <v>-6.3925855513307983</v>
      </c>
      <c r="G64" s="74">
        <f xml:space="preserve">  D63 * ((100 + E64) / 100) * ((100 + F64) / 100)</f>
        <v>21.360945796487893</v>
      </c>
    </row>
    <row r="65" spans="1:8" x14ac:dyDescent="0.3">
      <c r="A65" s="76" t="s">
        <v>158</v>
      </c>
      <c r="B65" s="52" t="s">
        <v>109</v>
      </c>
      <c r="C65" s="1">
        <v>4119</v>
      </c>
      <c r="D65" s="1">
        <v>8</v>
      </c>
      <c r="E65" s="41">
        <f xml:space="preserve"> C57 - C56</f>
        <v>-1.1141793739906234</v>
      </c>
      <c r="F65" s="1">
        <f xml:space="preserve"> (C65 - C64) / C64 * 100</f>
        <v>4.5696877380045704</v>
      </c>
      <c r="G65" s="74">
        <f xml:space="preserve">  D64 * ((100 + E65) / 100) * ((100 + F65) / 100)</f>
        <v>13.78383235964265</v>
      </c>
      <c r="H65" s="130">
        <f xml:space="preserve"> G65 / G64</f>
        <v>0.64528193137913159</v>
      </c>
    </row>
    <row r="66" spans="1:8" x14ac:dyDescent="0.3">
      <c r="A66" s="76" t="s">
        <v>173</v>
      </c>
      <c r="B66" s="52" t="s">
        <v>109</v>
      </c>
      <c r="C66" s="1">
        <v>4377</v>
      </c>
      <c r="D66" s="1">
        <v>7.54</v>
      </c>
      <c r="E66" s="41">
        <f xml:space="preserve"> C58 - C57</f>
        <v>-2.451551416546522</v>
      </c>
      <c r="F66" s="1">
        <f xml:space="preserve"> (C66 - C65) / C65 * 100</f>
        <v>6.263656227239621</v>
      </c>
      <c r="G66" s="74">
        <f xml:space="preserve">  D65 * ((100 + E66) / 100) * ((100 + F66) / 100)</f>
        <v>8.2926838446181268</v>
      </c>
      <c r="H66" s="130">
        <f xml:space="preserve"> G66 / G65</f>
        <v>0.60162396264322504</v>
      </c>
    </row>
    <row r="67" spans="1:8" x14ac:dyDescent="0.3">
      <c r="A67" s="76" t="s">
        <v>182</v>
      </c>
      <c r="B67" s="52" t="s">
        <v>109</v>
      </c>
      <c r="C67" s="1">
        <v>4415</v>
      </c>
      <c r="D67" s="1">
        <v>3.54</v>
      </c>
      <c r="E67" s="41">
        <f xml:space="preserve"> C59 - C58</f>
        <v>-2.6867651860032424</v>
      </c>
      <c r="F67" s="1">
        <f xml:space="preserve"> (C67 - C66) / C66 * 100</f>
        <v>0.86817454877770162</v>
      </c>
      <c r="G67" s="74">
        <f xml:space="preserve">  D66 * ((100 + E67) / 100) * ((100 + F67) / 100)</f>
        <v>7.4011194997638103</v>
      </c>
      <c r="H67" s="130">
        <f xml:space="preserve"> G67 / G66</f>
        <v>0.89248784090172051</v>
      </c>
    </row>
    <row r="68" spans="1:8" x14ac:dyDescent="0.3">
      <c r="A68" s="76" t="s">
        <v>189</v>
      </c>
      <c r="B68" s="52" t="s">
        <v>109</v>
      </c>
      <c r="C68" s="1">
        <v>5222</v>
      </c>
      <c r="D68" s="1">
        <v>2.54</v>
      </c>
      <c r="E68" s="41">
        <f xml:space="preserve"> C60 - C59</f>
        <v>-3.4929634817909161</v>
      </c>
      <c r="F68" s="1">
        <f xml:space="preserve"> (C68 - C67) / C67 * 100</f>
        <v>18.278595696489241</v>
      </c>
      <c r="G68" s="74">
        <f xml:space="preserve">  D67 * ((100 + E68) / 100) * ((100 + F68) / 100)</f>
        <v>4.0408097309880651</v>
      </c>
      <c r="H68" s="130">
        <f xml:space="preserve"> G68 / G67</f>
        <v>0.54597277224303953</v>
      </c>
    </row>
    <row r="70" spans="1:8" ht="15.75" customHeight="1" x14ac:dyDescent="0.3"/>
  </sheetData>
  <mergeCells count="22"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  <mergeCell ref="B27:B29"/>
    <mergeCell ref="C27:C29"/>
    <mergeCell ref="D28:D29"/>
    <mergeCell ref="E28:E29"/>
    <mergeCell ref="F28:F29"/>
    <mergeCell ref="K30:K31"/>
    <mergeCell ref="J30:J31"/>
    <mergeCell ref="B30:B31"/>
    <mergeCell ref="C30:C31"/>
    <mergeCell ref="G30:G31"/>
    <mergeCell ref="H30:H31"/>
    <mergeCell ref="I30:I31"/>
    <mergeCell ref="D31:F31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C462-E1A2-442F-BFD3-B96C7F90CA43}">
  <dimension ref="A1:G13"/>
  <sheetViews>
    <sheetView topLeftCell="A4" workbookViewId="0">
      <selection activeCell="G5" sqref="G5"/>
    </sheetView>
  </sheetViews>
  <sheetFormatPr defaultRowHeight="16.5" x14ac:dyDescent="0.3"/>
  <cols>
    <col min="2" max="2" width="9.875" bestFit="1" customWidth="1"/>
    <col min="3" max="5" width="12.875" bestFit="1" customWidth="1"/>
    <col min="6" max="6" width="28.875" bestFit="1" customWidth="1"/>
    <col min="7" max="7" width="22.75" bestFit="1" customWidth="1"/>
  </cols>
  <sheetData>
    <row r="1" spans="1:7" ht="17.25" thickBot="1" x14ac:dyDescent="0.35"/>
    <row r="2" spans="1:7" ht="66.75" thickBot="1" x14ac:dyDescent="0.35">
      <c r="B2" s="53" t="s">
        <v>117</v>
      </c>
      <c r="C2" s="54" t="s">
        <v>108</v>
      </c>
      <c r="D2" s="54" t="s">
        <v>106</v>
      </c>
      <c r="E2" s="55" t="s">
        <v>107</v>
      </c>
      <c r="F2" s="64"/>
    </row>
    <row r="3" spans="1:7" x14ac:dyDescent="0.3">
      <c r="A3" s="63">
        <v>2022</v>
      </c>
      <c r="B3" s="52" t="s">
        <v>133</v>
      </c>
      <c r="C3" s="48">
        <v>904912596</v>
      </c>
      <c r="D3" s="48">
        <v>380745977</v>
      </c>
      <c r="E3" s="48">
        <f xml:space="preserve"> C3 - D3</f>
        <v>524166619</v>
      </c>
      <c r="F3" s="65"/>
    </row>
    <row r="4" spans="1:7" ht="17.25" thickBot="1" x14ac:dyDescent="0.35"/>
    <row r="5" spans="1:7" ht="66.75" thickBot="1" x14ac:dyDescent="0.35">
      <c r="B5" s="53" t="s">
        <v>117</v>
      </c>
      <c r="C5" s="56" t="s">
        <v>110</v>
      </c>
      <c r="D5" s="54" t="s">
        <v>111</v>
      </c>
      <c r="E5" s="54" t="s">
        <v>112</v>
      </c>
      <c r="F5" s="57" t="s">
        <v>97</v>
      </c>
    </row>
    <row r="6" spans="1:7" x14ac:dyDescent="0.3">
      <c r="A6" s="63">
        <v>2022</v>
      </c>
      <c r="B6" s="52" t="s">
        <v>133</v>
      </c>
      <c r="C6" s="48"/>
      <c r="D6" s="48"/>
      <c r="E6" s="48"/>
      <c r="F6" s="48"/>
    </row>
    <row r="7" spans="1:7" ht="17.25" thickBot="1" x14ac:dyDescent="0.35"/>
    <row r="8" spans="1:7" ht="116.25" thickBot="1" x14ac:dyDescent="0.35">
      <c r="B8" s="53" t="s">
        <v>117</v>
      </c>
      <c r="C8" s="61" t="s">
        <v>113</v>
      </c>
      <c r="D8" s="62" t="s">
        <v>120</v>
      </c>
      <c r="E8" s="66" t="s">
        <v>121</v>
      </c>
      <c r="F8" s="67" t="s">
        <v>123</v>
      </c>
      <c r="G8" s="67" t="s">
        <v>122</v>
      </c>
    </row>
    <row r="9" spans="1:7" x14ac:dyDescent="0.3">
      <c r="A9" s="63">
        <v>2022</v>
      </c>
      <c r="B9" s="52" t="s">
        <v>133</v>
      </c>
      <c r="C9" s="59">
        <f xml:space="preserve"> F6 / C3 * 100</f>
        <v>0</v>
      </c>
      <c r="D9" s="60" t="e">
        <f>(C6-F6)/C6 *100</f>
        <v>#DIV/0!</v>
      </c>
      <c r="E9" s="1">
        <v>5.6</v>
      </c>
      <c r="F9" s="69">
        <v>175430235</v>
      </c>
      <c r="G9" s="70">
        <f xml:space="preserve"> E9 * F9</f>
        <v>982409315.99999988</v>
      </c>
    </row>
    <row r="11" spans="1:7" ht="17.25" thickBot="1" x14ac:dyDescent="0.35"/>
    <row r="12" spans="1:7" ht="17.25" thickBot="1" x14ac:dyDescent="0.35">
      <c r="B12" s="53" t="s">
        <v>117</v>
      </c>
      <c r="C12" s="71" t="s">
        <v>124</v>
      </c>
      <c r="D12" s="73" t="s">
        <v>125</v>
      </c>
      <c r="E12" s="33" t="s">
        <v>127</v>
      </c>
      <c r="F12" s="33" t="s">
        <v>126</v>
      </c>
      <c r="G12" s="72" t="s">
        <v>128</v>
      </c>
    </row>
    <row r="13" spans="1:7" x14ac:dyDescent="0.3">
      <c r="A13" s="63">
        <v>2022</v>
      </c>
      <c r="B13" s="52" t="s">
        <v>133</v>
      </c>
      <c r="C13" s="1">
        <v>3939</v>
      </c>
      <c r="D13" s="1">
        <v>5.6</v>
      </c>
      <c r="E13" s="41" t="e">
        <f xml:space="preserve"> C9 -#REF!</f>
        <v>#REF!</v>
      </c>
      <c r="F13" s="1" t="e">
        <f xml:space="preserve"> (C13 -#REF!) /#REF! * 100</f>
        <v>#REF!</v>
      </c>
      <c r="G13" s="74" t="e">
        <f>#REF! * ((  100 + E13) / 100) * ((100 + F13) / 100)</f>
        <v>#REF!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157</v>
      </c>
    </row>
    <row r="3" spans="1:12" x14ac:dyDescent="0.3">
      <c r="C3" t="s">
        <v>19</v>
      </c>
      <c r="D3" t="s">
        <v>20</v>
      </c>
      <c r="E3" t="s">
        <v>21</v>
      </c>
      <c r="I3" t="s">
        <v>129</v>
      </c>
      <c r="J3" t="s">
        <v>130</v>
      </c>
      <c r="K3" t="s">
        <v>131</v>
      </c>
      <c r="L3" t="s">
        <v>132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140</v>
      </c>
      <c r="B22" t="s">
        <v>134</v>
      </c>
      <c r="C22" t="s">
        <v>135</v>
      </c>
      <c r="D22" t="s">
        <v>136</v>
      </c>
    </row>
    <row r="23" spans="1:11" x14ac:dyDescent="0.3">
      <c r="A23" t="s">
        <v>143</v>
      </c>
    </row>
    <row r="24" spans="1:11" x14ac:dyDescent="0.3">
      <c r="A24" t="s">
        <v>141</v>
      </c>
    </row>
    <row r="25" spans="1:11" x14ac:dyDescent="0.3">
      <c r="A25" t="s">
        <v>142</v>
      </c>
    </row>
    <row r="26" spans="1:11" x14ac:dyDescent="0.3">
      <c r="A26" t="s">
        <v>139</v>
      </c>
    </row>
    <row r="27" spans="1:11" x14ac:dyDescent="0.3">
      <c r="A27" t="s">
        <v>138</v>
      </c>
      <c r="B27" t="s">
        <v>137</v>
      </c>
    </row>
    <row r="29" spans="1:11" x14ac:dyDescent="0.3">
      <c r="A29" s="268" t="s">
        <v>144</v>
      </c>
      <c r="B29" s="268"/>
      <c r="C29" s="268"/>
    </row>
    <row r="30" spans="1:11" x14ac:dyDescent="0.3">
      <c r="A30" s="1">
        <v>1</v>
      </c>
      <c r="B30" s="268" t="s">
        <v>145</v>
      </c>
      <c r="C30" s="1" t="s">
        <v>146</v>
      </c>
    </row>
    <row r="31" spans="1:11" x14ac:dyDescent="0.3">
      <c r="A31" s="1">
        <v>2</v>
      </c>
      <c r="B31" s="268"/>
      <c r="C31" s="1" t="s">
        <v>147</v>
      </c>
    </row>
    <row r="32" spans="1:11" x14ac:dyDescent="0.3">
      <c r="A32" s="1">
        <v>3</v>
      </c>
      <c r="B32" s="268"/>
      <c r="C32" s="1" t="s">
        <v>148</v>
      </c>
    </row>
    <row r="33" spans="1:3" x14ac:dyDescent="0.3">
      <c r="A33" s="1">
        <v>4</v>
      </c>
      <c r="B33" s="268"/>
      <c r="C33" s="1" t="s">
        <v>149</v>
      </c>
    </row>
    <row r="34" spans="1:3" x14ac:dyDescent="0.3">
      <c r="A34" s="1">
        <v>5</v>
      </c>
      <c r="B34" s="268" t="s">
        <v>153</v>
      </c>
      <c r="C34" s="1" t="s">
        <v>150</v>
      </c>
    </row>
    <row r="35" spans="1:3" x14ac:dyDescent="0.3">
      <c r="A35" s="1">
        <v>6</v>
      </c>
      <c r="B35" s="268"/>
      <c r="C35" s="1" t="s">
        <v>151</v>
      </c>
    </row>
    <row r="36" spans="1:3" x14ac:dyDescent="0.3">
      <c r="A36" s="1">
        <v>7</v>
      </c>
      <c r="B36" s="268"/>
      <c r="C36" s="1" t="s">
        <v>152</v>
      </c>
    </row>
    <row r="37" spans="1:3" x14ac:dyDescent="0.3">
      <c r="A37" s="1">
        <v>8</v>
      </c>
      <c r="B37" s="268" t="s">
        <v>154</v>
      </c>
      <c r="C37" s="1" t="s">
        <v>155</v>
      </c>
    </row>
    <row r="38" spans="1:3" x14ac:dyDescent="0.3">
      <c r="A38" s="1">
        <v>9</v>
      </c>
      <c r="B38" s="268"/>
      <c r="C38" s="1" t="s">
        <v>156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37"/>
  <sheetViews>
    <sheetView topLeftCell="A16" workbookViewId="0">
      <selection activeCell="K25" sqref="K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0.62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303"/>
      <c r="C1" s="303"/>
    </row>
    <row r="2" spans="2:18" x14ac:dyDescent="0.3">
      <c r="B2" s="302" t="s">
        <v>71</v>
      </c>
      <c r="C2" s="302"/>
      <c r="E2" s="299" t="s">
        <v>71</v>
      </c>
      <c r="F2" s="300"/>
      <c r="G2" s="300"/>
      <c r="H2" s="301"/>
      <c r="J2" s="299" t="s">
        <v>94</v>
      </c>
      <c r="K2" s="300"/>
      <c r="L2" s="300"/>
      <c r="M2" s="301"/>
      <c r="O2" s="299" t="s">
        <v>95</v>
      </c>
      <c r="P2" s="300"/>
      <c r="Q2" s="300"/>
      <c r="R2" s="301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46">
        <v>6895968</v>
      </c>
      <c r="G4" s="46">
        <v>20436</v>
      </c>
      <c r="H4" s="1">
        <f t="shared" ref="H4:H14" si="0">ROUND((G4/IF(F4=0,1,F4))*100,2)</f>
        <v>0.3</v>
      </c>
      <c r="J4" s="4">
        <v>1</v>
      </c>
      <c r="K4" s="46">
        <v>7800000</v>
      </c>
      <c r="L4" s="46">
        <v>-370000</v>
      </c>
      <c r="M4" s="1">
        <f t="shared" ref="M4:M14" si="1">ROUND((L4/IF(K4=0,1,K4))*100,2)</f>
        <v>-4.74</v>
      </c>
      <c r="O4" s="4">
        <v>1</v>
      </c>
      <c r="P4" s="46">
        <v>0</v>
      </c>
      <c r="Q4" s="46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46">
        <v>2840710</v>
      </c>
      <c r="G5" s="46">
        <v>-263661</v>
      </c>
      <c r="H5" s="1">
        <f t="shared" si="0"/>
        <v>-9.2799999999999994</v>
      </c>
      <c r="J5" s="4">
        <v>2</v>
      </c>
      <c r="K5" s="46">
        <v>5700000</v>
      </c>
      <c r="L5" s="46">
        <v>56335</v>
      </c>
      <c r="M5" s="1">
        <f t="shared" si="1"/>
        <v>0.99</v>
      </c>
      <c r="O5" s="4">
        <v>2</v>
      </c>
      <c r="P5" s="46">
        <v>0</v>
      </c>
      <c r="Q5" s="46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46">
        <v>6714000</v>
      </c>
      <c r="G6" s="46">
        <v>-70497</v>
      </c>
      <c r="H6" s="1">
        <f t="shared" si="0"/>
        <v>-1.05</v>
      </c>
      <c r="J6" s="4">
        <v>3</v>
      </c>
      <c r="K6" s="46">
        <v>1271879</v>
      </c>
      <c r="L6" s="46">
        <v>-55655</v>
      </c>
      <c r="M6" s="1">
        <f t="shared" si="1"/>
        <v>-4.38</v>
      </c>
      <c r="O6" s="4">
        <v>3</v>
      </c>
      <c r="P6" s="46">
        <v>0</v>
      </c>
      <c r="Q6" s="46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46">
        <v>3403333</v>
      </c>
      <c r="G7" s="2">
        <v>-11231</v>
      </c>
      <c r="H7" s="1">
        <f t="shared" si="0"/>
        <v>-0.33</v>
      </c>
      <c r="J7" s="4">
        <v>4</v>
      </c>
      <c r="K7" s="46">
        <v>2876888</v>
      </c>
      <c r="L7" s="2">
        <v>-12946</v>
      </c>
      <c r="M7" s="1">
        <f t="shared" si="1"/>
        <v>-0.45</v>
      </c>
      <c r="O7" s="4">
        <v>4</v>
      </c>
      <c r="P7" s="46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46">
        <v>6778491</v>
      </c>
      <c r="G8" s="2">
        <v>156448</v>
      </c>
      <c r="H8" s="1">
        <f t="shared" si="0"/>
        <v>2.31</v>
      </c>
      <c r="J8" s="4">
        <v>5</v>
      </c>
      <c r="K8" s="46">
        <v>0</v>
      </c>
      <c r="L8" s="2">
        <v>0</v>
      </c>
      <c r="M8" s="1">
        <f t="shared" si="1"/>
        <v>0</v>
      </c>
      <c r="O8" s="4">
        <v>5</v>
      </c>
      <c r="P8" s="46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46">
        <v>0</v>
      </c>
      <c r="G9" s="46">
        <v>0</v>
      </c>
      <c r="H9" s="1">
        <f t="shared" si="0"/>
        <v>0</v>
      </c>
      <c r="J9" s="4">
        <v>6</v>
      </c>
      <c r="K9" s="46">
        <v>0</v>
      </c>
      <c r="L9" s="46">
        <v>0</v>
      </c>
      <c r="M9" s="1">
        <f t="shared" si="1"/>
        <v>0</v>
      </c>
      <c r="O9" s="4">
        <v>6</v>
      </c>
      <c r="P9" s="46">
        <v>0</v>
      </c>
      <c r="Q9" s="46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46">
        <v>0</v>
      </c>
      <c r="G10" s="2">
        <v>0</v>
      </c>
      <c r="H10" s="1">
        <f t="shared" si="0"/>
        <v>0</v>
      </c>
      <c r="J10" s="4">
        <v>7</v>
      </c>
      <c r="K10" s="46">
        <v>0</v>
      </c>
      <c r="L10" s="2">
        <v>0</v>
      </c>
      <c r="M10" s="1">
        <f t="shared" si="1"/>
        <v>0</v>
      </c>
      <c r="O10" s="4">
        <v>7</v>
      </c>
      <c r="P10" s="46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46">
        <v>0</v>
      </c>
      <c r="G11" s="2">
        <v>0</v>
      </c>
      <c r="H11" s="1">
        <f t="shared" si="0"/>
        <v>0</v>
      </c>
      <c r="J11" s="4">
        <v>8</v>
      </c>
      <c r="K11" s="46">
        <v>0</v>
      </c>
      <c r="L11" s="2">
        <v>0</v>
      </c>
      <c r="M11" s="1">
        <f t="shared" si="1"/>
        <v>0</v>
      </c>
      <c r="O11" s="4">
        <v>8</v>
      </c>
      <c r="P11" s="46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46">
        <v>0</v>
      </c>
      <c r="G12" s="46">
        <v>0</v>
      </c>
      <c r="H12" s="1">
        <f t="shared" si="0"/>
        <v>0</v>
      </c>
      <c r="J12" s="7">
        <v>9</v>
      </c>
      <c r="K12" s="46">
        <v>0</v>
      </c>
      <c r="L12" s="46">
        <v>0</v>
      </c>
      <c r="M12" s="1">
        <f t="shared" si="1"/>
        <v>0</v>
      </c>
      <c r="O12" s="7">
        <v>9</v>
      </c>
      <c r="P12" s="46">
        <v>0</v>
      </c>
      <c r="Q12" s="46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46">
        <v>0</v>
      </c>
      <c r="G13" s="2">
        <v>0</v>
      </c>
      <c r="H13" s="1">
        <f t="shared" si="0"/>
        <v>0</v>
      </c>
      <c r="J13" s="4">
        <v>10</v>
      </c>
      <c r="K13" s="46">
        <v>0</v>
      </c>
      <c r="L13" s="2">
        <v>0</v>
      </c>
      <c r="M13" s="1">
        <f t="shared" si="1"/>
        <v>0</v>
      </c>
      <c r="O13" s="4">
        <v>10</v>
      </c>
      <c r="P13" s="46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45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45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45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</row>
    <row r="17" spans="1:8" x14ac:dyDescent="0.3">
      <c r="B17" s="5" t="s">
        <v>18</v>
      </c>
      <c r="C17" s="2">
        <f xml:space="preserve"> C15 + C14</f>
        <v>1586826</v>
      </c>
    </row>
    <row r="18" spans="1:8" x14ac:dyDescent="0.3">
      <c r="B18" s="3"/>
    </row>
    <row r="19" spans="1:8" x14ac:dyDescent="0.3">
      <c r="B19">
        <v>1.1599999999999999</v>
      </c>
      <c r="C19">
        <f xml:space="preserve"> B19 /100</f>
        <v>1.1599999999999999E-2</v>
      </c>
    </row>
    <row r="20" spans="1:8" x14ac:dyDescent="0.3">
      <c r="A20" t="s">
        <v>119</v>
      </c>
      <c r="B20">
        <v>2833000</v>
      </c>
      <c r="C20">
        <f xml:space="preserve"> B20 / C19</f>
        <v>244224137.93103451</v>
      </c>
    </row>
    <row r="22" spans="1:8" x14ac:dyDescent="0.3">
      <c r="B22">
        <v>0.45</v>
      </c>
      <c r="C22">
        <f xml:space="preserve"> B22 /100</f>
        <v>4.5000000000000005E-3</v>
      </c>
    </row>
    <row r="23" spans="1:8" x14ac:dyDescent="0.3">
      <c r="B23">
        <v>12946</v>
      </c>
      <c r="C23">
        <f xml:space="preserve"> B23 / C22</f>
        <v>2876888.8888888885</v>
      </c>
    </row>
    <row r="25" spans="1:8" x14ac:dyDescent="0.3">
      <c r="B25" s="4" t="s">
        <v>169</v>
      </c>
      <c r="C25" s="4">
        <v>16696980</v>
      </c>
      <c r="E25" s="299" t="s">
        <v>170</v>
      </c>
      <c r="F25" s="300"/>
      <c r="G25" s="300"/>
      <c r="H25" s="301"/>
    </row>
    <row r="26" spans="1:8" x14ac:dyDescent="0.3">
      <c r="B26" s="112">
        <v>45301</v>
      </c>
      <c r="C26" s="1">
        <f xml:space="preserve"> C25 / 2</f>
        <v>8348490</v>
      </c>
      <c r="E26" s="5" t="s">
        <v>13</v>
      </c>
      <c r="F26" s="5" t="s">
        <v>10</v>
      </c>
      <c r="G26" s="5" t="s">
        <v>14</v>
      </c>
      <c r="H26" s="5" t="s">
        <v>17</v>
      </c>
    </row>
    <row r="27" spans="1:8" x14ac:dyDescent="0.3">
      <c r="B27" s="112">
        <v>45422</v>
      </c>
      <c r="C27" s="1">
        <f xml:space="preserve"> C25 / 2</f>
        <v>8348490</v>
      </c>
      <c r="E27" s="4">
        <v>1</v>
      </c>
      <c r="F27" s="46">
        <v>0</v>
      </c>
      <c r="G27" s="46">
        <v>0</v>
      </c>
      <c r="H27" s="1">
        <f t="shared" ref="H27:H37" si="3">ROUND((G27/IF(F27=0,1,F27))*100,2)</f>
        <v>0</v>
      </c>
    </row>
    <row r="28" spans="1:8" x14ac:dyDescent="0.3">
      <c r="E28" s="4">
        <v>2</v>
      </c>
      <c r="F28" s="46">
        <v>0</v>
      </c>
      <c r="G28" s="46">
        <v>0</v>
      </c>
      <c r="H28" s="1">
        <f t="shared" si="3"/>
        <v>0</v>
      </c>
    </row>
    <row r="29" spans="1:8" x14ac:dyDescent="0.3">
      <c r="E29" s="4">
        <v>3</v>
      </c>
      <c r="F29" s="46">
        <v>0</v>
      </c>
      <c r="G29" s="46">
        <v>0</v>
      </c>
      <c r="H29" s="1">
        <f t="shared" si="3"/>
        <v>0</v>
      </c>
    </row>
    <row r="30" spans="1:8" x14ac:dyDescent="0.3">
      <c r="E30" s="4">
        <v>4</v>
      </c>
      <c r="F30" s="46">
        <v>0</v>
      </c>
      <c r="G30" s="2">
        <v>0</v>
      </c>
      <c r="H30" s="1">
        <f t="shared" si="3"/>
        <v>0</v>
      </c>
    </row>
    <row r="31" spans="1:8" x14ac:dyDescent="0.3">
      <c r="E31" s="4">
        <v>5</v>
      </c>
      <c r="F31" s="46">
        <v>0</v>
      </c>
      <c r="G31" s="2">
        <v>0</v>
      </c>
      <c r="H31" s="1">
        <f t="shared" si="3"/>
        <v>0</v>
      </c>
    </row>
    <row r="32" spans="1:8" x14ac:dyDescent="0.3">
      <c r="E32" s="4">
        <v>6</v>
      </c>
      <c r="F32" s="46">
        <v>0</v>
      </c>
      <c r="G32" s="46">
        <v>0</v>
      </c>
      <c r="H32" s="1">
        <f t="shared" si="3"/>
        <v>0</v>
      </c>
    </row>
    <row r="33" spans="5:8" x14ac:dyDescent="0.3">
      <c r="E33" s="4">
        <v>7</v>
      </c>
      <c r="F33" s="46">
        <v>0</v>
      </c>
      <c r="G33" s="2">
        <v>0</v>
      </c>
      <c r="H33" s="1">
        <f t="shared" si="3"/>
        <v>0</v>
      </c>
    </row>
    <row r="34" spans="5:8" x14ac:dyDescent="0.3">
      <c r="E34" s="4">
        <v>8</v>
      </c>
      <c r="F34" s="46">
        <v>0</v>
      </c>
      <c r="G34" s="2">
        <v>0</v>
      </c>
      <c r="H34" s="1">
        <f t="shared" si="3"/>
        <v>0</v>
      </c>
    </row>
    <row r="35" spans="5:8" x14ac:dyDescent="0.3">
      <c r="E35" s="7">
        <v>9</v>
      </c>
      <c r="F35" s="46">
        <v>0</v>
      </c>
      <c r="G35" s="46">
        <v>0</v>
      </c>
      <c r="H35" s="1">
        <f t="shared" si="3"/>
        <v>0</v>
      </c>
    </row>
    <row r="36" spans="5:8" x14ac:dyDescent="0.3">
      <c r="E36" s="4">
        <v>10</v>
      </c>
      <c r="F36" s="46">
        <v>0</v>
      </c>
      <c r="G36" s="2">
        <v>0</v>
      </c>
      <c r="H36" s="1">
        <f t="shared" si="3"/>
        <v>0</v>
      </c>
    </row>
    <row r="37" spans="5:8" x14ac:dyDescent="0.3">
      <c r="E37" s="45"/>
      <c r="F37" s="2">
        <f>SUM(F27:F36)/IF(COUNTIF(F27:F36,"&gt;1")=0,1,COUNTIF(F27:F36,"&gt;1"))</f>
        <v>0</v>
      </c>
      <c r="G37" s="2">
        <f>SUM(G27:G36)</f>
        <v>0</v>
      </c>
      <c r="H37" s="1">
        <f t="shared" si="3"/>
        <v>0</v>
      </c>
    </row>
  </sheetData>
  <mergeCells count="6">
    <mergeCell ref="E25:H25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302" t="s">
        <v>66</v>
      </c>
      <c r="C2" s="302"/>
      <c r="E2" s="302" t="s">
        <v>67</v>
      </c>
      <c r="F2" s="302"/>
      <c r="H2" s="302" t="s">
        <v>68</v>
      </c>
      <c r="I2" s="302"/>
      <c r="K2" s="302" t="s">
        <v>69</v>
      </c>
      <c r="L2" s="302"/>
      <c r="N2" s="302" t="s">
        <v>70</v>
      </c>
      <c r="O2" s="302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시나리오</vt:lpstr>
      <vt:lpstr>생활패턴</vt:lpstr>
      <vt:lpstr>Sheet1</vt:lpstr>
      <vt:lpstr>플러그파워</vt:lpstr>
      <vt:lpstr>리사이클</vt:lpstr>
      <vt:lpstr>금융사이클</vt:lpstr>
      <vt:lpstr>단타일지</vt:lpstr>
      <vt:lpstr>2022단타일지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2024-06-10T05:11:50Z</dcterms:modified>
</cp:coreProperties>
</file>