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A3773178-3ED9-4325-82A6-BB5B616CB49B}" xr6:coauthVersionLast="36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시나리오" sheetId="18" r:id="rId1"/>
    <sheet name="생활패턴" sheetId="5" r:id="rId2"/>
    <sheet name="포트폴리오＿월 자금 흐름 관리" sheetId="23" r:id="rId3"/>
    <sheet name="단타일지" sheetId="9" r:id="rId4"/>
    <sheet name="플러그파워" sheetId="11" r:id="rId5"/>
    <sheet name="금융사이클" sheetId="10" r:id="rId6"/>
    <sheet name="2022단타일지" sheetId="13" r:id="rId7"/>
    <sheet name="차량관리" sheetId="24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58" i="5" l="1"/>
  <c r="T157" i="5"/>
  <c r="T156" i="5"/>
  <c r="T155" i="5"/>
  <c r="T154" i="5"/>
  <c r="T153" i="5"/>
  <c r="T152" i="5"/>
  <c r="T151" i="5"/>
  <c r="T150" i="5"/>
  <c r="T149" i="5"/>
  <c r="T148" i="5"/>
  <c r="T147" i="5"/>
  <c r="T146" i="5"/>
  <c r="T145" i="5"/>
  <c r="T144" i="5"/>
  <c r="T143" i="5"/>
  <c r="T142" i="5"/>
  <c r="T141" i="5"/>
  <c r="T140" i="5"/>
  <c r="T139" i="5"/>
  <c r="T138" i="5"/>
  <c r="T137" i="5"/>
  <c r="T136" i="5"/>
  <c r="T135" i="5"/>
  <c r="C135" i="5"/>
  <c r="U135" i="5" s="1"/>
  <c r="C136" i="5" s="1"/>
  <c r="U136" i="5" s="1"/>
  <c r="C137" i="5" s="1"/>
  <c r="U137" i="5" s="1"/>
  <c r="C138" i="5" s="1"/>
  <c r="U138" i="5" s="1"/>
  <c r="C139" i="5" s="1"/>
  <c r="U139" i="5" s="1"/>
  <c r="C140" i="5" s="1"/>
  <c r="U140" i="5" s="1"/>
  <c r="C141" i="5" s="1"/>
  <c r="U141" i="5" s="1"/>
  <c r="C142" i="5" s="1"/>
  <c r="U142" i="5" s="1"/>
  <c r="C143" i="5" s="1"/>
  <c r="U143" i="5" s="1"/>
  <c r="C144" i="5" s="1"/>
  <c r="U144" i="5" s="1"/>
  <c r="C145" i="5" s="1"/>
  <c r="U145" i="5" s="1"/>
  <c r="C146" i="5" s="1"/>
  <c r="T134" i="5"/>
  <c r="T133" i="5"/>
  <c r="T132" i="5"/>
  <c r="T131" i="5"/>
  <c r="T130" i="5"/>
  <c r="T129" i="5"/>
  <c r="T128" i="5"/>
  <c r="T127" i="5"/>
  <c r="T126" i="5"/>
  <c r="T125" i="5"/>
  <c r="T124" i="5"/>
  <c r="T123" i="5"/>
  <c r="C123" i="5"/>
  <c r="U123" i="5" s="1"/>
  <c r="C124" i="5" s="1"/>
  <c r="U124" i="5" s="1"/>
  <c r="C125" i="5" s="1"/>
  <c r="U125" i="5" s="1"/>
  <c r="C126" i="5" s="1"/>
  <c r="U126" i="5" s="1"/>
  <c r="C127" i="5" s="1"/>
  <c r="U127" i="5" s="1"/>
  <c r="C128" i="5" s="1"/>
  <c r="U128" i="5" s="1"/>
  <c r="C129" i="5" s="1"/>
  <c r="U129" i="5" s="1"/>
  <c r="C130" i="5" s="1"/>
  <c r="U130" i="5" s="1"/>
  <c r="C131" i="5" s="1"/>
  <c r="U131" i="5" s="1"/>
  <c r="C132" i="5" s="1"/>
  <c r="U132" i="5" s="1"/>
  <c r="C133" i="5" s="1"/>
  <c r="U133" i="5" s="1"/>
  <c r="C134" i="5" s="1"/>
  <c r="U134" i="5" s="1"/>
  <c r="I159" i="18"/>
  <c r="K160" i="18"/>
  <c r="K161" i="18" s="1"/>
  <c r="N148" i="18"/>
  <c r="P148" i="18" s="1"/>
  <c r="K148" i="18"/>
  <c r="K149" i="18" s="1"/>
  <c r="I148" i="18"/>
  <c r="R148" i="18" s="1"/>
  <c r="D34" i="5"/>
  <c r="I17" i="23"/>
  <c r="I16" i="23"/>
  <c r="U146" i="5" l="1"/>
  <c r="C147" i="5" s="1"/>
  <c r="U147" i="5" s="1"/>
  <c r="C148" i="5" s="1"/>
  <c r="U148" i="5" s="1"/>
  <c r="C149" i="5" s="1"/>
  <c r="U149" i="5" s="1"/>
  <c r="C150" i="5" s="1"/>
  <c r="U150" i="5" s="1"/>
  <c r="C151" i="5" s="1"/>
  <c r="U151" i="5" s="1"/>
  <c r="C152" i="5" s="1"/>
  <c r="U152" i="5" s="1"/>
  <c r="C153" i="5" s="1"/>
  <c r="U153" i="5" s="1"/>
  <c r="C154" i="5" s="1"/>
  <c r="U154" i="5" s="1"/>
  <c r="C155" i="5" s="1"/>
  <c r="U155" i="5" s="1"/>
  <c r="C156" i="5" s="1"/>
  <c r="U156" i="5" s="1"/>
  <c r="C157" i="5" s="1"/>
  <c r="U157" i="5" s="1"/>
  <c r="C158" i="5" s="1"/>
  <c r="U158" i="5" s="1"/>
  <c r="R160" i="18"/>
  <c r="K162" i="18"/>
  <c r="K150" i="18"/>
  <c r="Q148" i="18"/>
  <c r="S148" i="18" s="1"/>
  <c r="I149" i="18"/>
  <c r="N149" i="18"/>
  <c r="D32" i="5"/>
  <c r="F16" i="23"/>
  <c r="R161" i="18" l="1"/>
  <c r="K163" i="18"/>
  <c r="P149" i="18"/>
  <c r="Q149" i="18" s="1"/>
  <c r="S149" i="18" s="1"/>
  <c r="N150" i="18"/>
  <c r="R149" i="18"/>
  <c r="I150" i="18"/>
  <c r="K151" i="18"/>
  <c r="J3" i="23"/>
  <c r="F6" i="23"/>
  <c r="F7" i="23" s="1"/>
  <c r="F3" i="23"/>
  <c r="F4" i="23" s="1"/>
  <c r="R162" i="18" l="1"/>
  <c r="K164" i="18"/>
  <c r="K152" i="18"/>
  <c r="R150" i="18"/>
  <c r="I151" i="18"/>
  <c r="P150" i="18"/>
  <c r="Q150" i="18" s="1"/>
  <c r="S150" i="18" s="1"/>
  <c r="N151" i="18"/>
  <c r="I6" i="23"/>
  <c r="J6" i="23" s="1"/>
  <c r="B7" i="23"/>
  <c r="C7" i="23"/>
  <c r="D7" i="23"/>
  <c r="E7" i="23"/>
  <c r="C4" i="23"/>
  <c r="B4" i="23"/>
  <c r="E4" i="23"/>
  <c r="D4" i="23"/>
  <c r="I3" i="23"/>
  <c r="I48" i="18"/>
  <c r="I49" i="18" s="1"/>
  <c r="I50" i="18" s="1"/>
  <c r="I51" i="18" s="1"/>
  <c r="I52" i="18" s="1"/>
  <c r="I53" i="18" s="1"/>
  <c r="I54" i="18" s="1"/>
  <c r="I55" i="18" s="1"/>
  <c r="I56" i="18" s="1"/>
  <c r="I57" i="18" s="1"/>
  <c r="I58" i="18" s="1"/>
  <c r="I59" i="18" s="1"/>
  <c r="I60" i="18" s="1"/>
  <c r="I61" i="18" s="1"/>
  <c r="I62" i="18" s="1"/>
  <c r="I63" i="18" s="1"/>
  <c r="I64" i="18" s="1"/>
  <c r="I65" i="18" s="1"/>
  <c r="I66" i="18" s="1"/>
  <c r="I67" i="18" s="1"/>
  <c r="I68" i="18" s="1"/>
  <c r="I69" i="18" s="1"/>
  <c r="I70" i="18" s="1"/>
  <c r="I71" i="18" s="1"/>
  <c r="I72" i="18" s="1"/>
  <c r="I73" i="18" s="1"/>
  <c r="I74" i="18" s="1"/>
  <c r="I75" i="18" s="1"/>
  <c r="I76" i="18" s="1"/>
  <c r="I77" i="18" s="1"/>
  <c r="I78" i="18" s="1"/>
  <c r="I79" i="18" s="1"/>
  <c r="I80" i="18" s="1"/>
  <c r="I81" i="18" s="1"/>
  <c r="I82" i="18" s="1"/>
  <c r="I83" i="18" s="1"/>
  <c r="I84" i="18" s="1"/>
  <c r="I85" i="18" s="1"/>
  <c r="I86" i="18" s="1"/>
  <c r="I87" i="18" s="1"/>
  <c r="I88" i="18" s="1"/>
  <c r="I89" i="18" s="1"/>
  <c r="I90" i="18" s="1"/>
  <c r="I91" i="18" s="1"/>
  <c r="I92" i="18" s="1"/>
  <c r="I93" i="18" s="1"/>
  <c r="I94" i="18" s="1"/>
  <c r="I95" i="18" s="1"/>
  <c r="I96" i="18" s="1"/>
  <c r="I97" i="18" s="1"/>
  <c r="I98" i="18" s="1"/>
  <c r="I99" i="18" s="1"/>
  <c r="R163" i="18" l="1"/>
  <c r="K165" i="18"/>
  <c r="P151" i="18"/>
  <c r="Q151" i="18" s="1"/>
  <c r="S151" i="18" s="1"/>
  <c r="N152" i="18"/>
  <c r="R151" i="18"/>
  <c r="I152" i="18"/>
  <c r="K153" i="18"/>
  <c r="I100" i="18"/>
  <c r="I101" i="18" s="1"/>
  <c r="I102" i="18" s="1"/>
  <c r="I103" i="18" s="1"/>
  <c r="I104" i="18" s="1"/>
  <c r="I105" i="18" s="1"/>
  <c r="I106" i="18" s="1"/>
  <c r="I107" i="18" s="1"/>
  <c r="I108" i="18" s="1"/>
  <c r="I109" i="18" s="1"/>
  <c r="I110" i="18" s="1"/>
  <c r="I111" i="18" s="1"/>
  <c r="I112" i="18" s="1"/>
  <c r="I113" i="18" s="1"/>
  <c r="I114" i="18" s="1"/>
  <c r="I115" i="18" s="1"/>
  <c r="I116" i="18" s="1"/>
  <c r="I117" i="18" s="1"/>
  <c r="I118" i="18" s="1"/>
  <c r="I119" i="18" s="1"/>
  <c r="I120" i="18" s="1"/>
  <c r="I121" i="18" s="1"/>
  <c r="I122" i="18" s="1"/>
  <c r="R164" i="18" l="1"/>
  <c r="K166" i="18"/>
  <c r="P152" i="18"/>
  <c r="Q152" i="18" s="1"/>
  <c r="S152" i="18" s="1"/>
  <c r="N153" i="18"/>
  <c r="K154" i="18"/>
  <c r="I153" i="18"/>
  <c r="R152" i="18"/>
  <c r="I123" i="18"/>
  <c r="I124" i="18" s="1"/>
  <c r="I125" i="18" s="1"/>
  <c r="I126" i="18" s="1"/>
  <c r="I127" i="18" s="1"/>
  <c r="I128" i="18" s="1"/>
  <c r="I129" i="18" s="1"/>
  <c r="I130" i="18" s="1"/>
  <c r="I131" i="18" s="1"/>
  <c r="I132" i="18" s="1"/>
  <c r="I133" i="18" s="1"/>
  <c r="I134" i="18" s="1"/>
  <c r="D69" i="11"/>
  <c r="C69" i="11"/>
  <c r="E80" i="11" s="1"/>
  <c r="F80" i="11"/>
  <c r="F58" i="11"/>
  <c r="G58" i="11" s="1"/>
  <c r="E47" i="11"/>
  <c r="G69" i="11"/>
  <c r="R165" i="18" l="1"/>
  <c r="K167" i="18"/>
  <c r="I154" i="18"/>
  <c r="R153" i="18"/>
  <c r="P153" i="18"/>
  <c r="Q153" i="18" s="1"/>
  <c r="S153" i="18" s="1"/>
  <c r="N154" i="18"/>
  <c r="K155" i="18"/>
  <c r="I135" i="18"/>
  <c r="I136" i="18" s="1"/>
  <c r="I137" i="18" s="1"/>
  <c r="I138" i="18" s="1"/>
  <c r="I139" i="18" s="1"/>
  <c r="I140" i="18" s="1"/>
  <c r="I141" i="18" s="1"/>
  <c r="I142" i="18" s="1"/>
  <c r="I143" i="18" s="1"/>
  <c r="I144" i="18" s="1"/>
  <c r="I145" i="18" s="1"/>
  <c r="I146" i="18" s="1"/>
  <c r="I147" i="18" s="1"/>
  <c r="G80" i="11"/>
  <c r="H80" i="11" s="1"/>
  <c r="I80" i="11" s="1"/>
  <c r="D30" i="5"/>
  <c r="R166" i="18" l="1"/>
  <c r="K168" i="18"/>
  <c r="I155" i="18"/>
  <c r="R154" i="18"/>
  <c r="K156" i="18"/>
  <c r="N155" i="18"/>
  <c r="P154" i="18"/>
  <c r="Q154" i="18" s="1"/>
  <c r="S154" i="18" s="1"/>
  <c r="D68" i="11"/>
  <c r="C68" i="11"/>
  <c r="E46" i="11"/>
  <c r="F57" i="11"/>
  <c r="G57" i="11" s="1"/>
  <c r="G68" i="11"/>
  <c r="F79" i="11"/>
  <c r="R167" i="18" l="1"/>
  <c r="K169" i="18"/>
  <c r="N156" i="18"/>
  <c r="P155" i="18"/>
  <c r="Q155" i="18" s="1"/>
  <c r="S155" i="18" s="1"/>
  <c r="K157" i="18"/>
  <c r="I156" i="18"/>
  <c r="R155" i="18"/>
  <c r="K3" i="24"/>
  <c r="K4" i="24" s="1"/>
  <c r="K5" i="24" s="1"/>
  <c r="K6" i="24" s="1"/>
  <c r="K7" i="24" s="1"/>
  <c r="K8" i="24" s="1"/>
  <c r="K9" i="24" s="1"/>
  <c r="K10" i="24" s="1"/>
  <c r="K11" i="24" s="1"/>
  <c r="K12" i="24" s="1"/>
  <c r="K13" i="24" s="1"/>
  <c r="K14" i="24" s="1"/>
  <c r="K15" i="24" s="1"/>
  <c r="K16" i="24" s="1"/>
  <c r="K17" i="24" s="1"/>
  <c r="K18" i="24" s="1"/>
  <c r="K19" i="24" s="1"/>
  <c r="K20" i="24" s="1"/>
  <c r="K21" i="24" s="1"/>
  <c r="K22" i="24" s="1"/>
  <c r="K23" i="24" s="1"/>
  <c r="K24" i="24" s="1"/>
  <c r="K25" i="24" s="1"/>
  <c r="R168" i="18" l="1"/>
  <c r="K170" i="18"/>
  <c r="I157" i="18"/>
  <c r="R156" i="18"/>
  <c r="K158" i="18"/>
  <c r="P156" i="18"/>
  <c r="Q156" i="18" s="1"/>
  <c r="S156" i="18" s="1"/>
  <c r="N157" i="18"/>
  <c r="J3" i="24"/>
  <c r="J4" i="24"/>
  <c r="G3" i="24"/>
  <c r="G4" i="24" s="1"/>
  <c r="E3" i="24"/>
  <c r="E4" i="24" s="1"/>
  <c r="D3" i="24"/>
  <c r="D4" i="24" s="1"/>
  <c r="C3" i="24"/>
  <c r="C4" i="24" s="1"/>
  <c r="C5" i="24" s="1"/>
  <c r="C6" i="24" s="1"/>
  <c r="C7" i="24" s="1"/>
  <c r="C8" i="24" s="1"/>
  <c r="C9" i="24" s="1"/>
  <c r="C10" i="24" s="1"/>
  <c r="C11" i="24" s="1"/>
  <c r="C12" i="24" s="1"/>
  <c r="C13" i="24" s="1"/>
  <c r="C14" i="24" s="1"/>
  <c r="R169" i="18" l="1"/>
  <c r="K171" i="18"/>
  <c r="K159" i="18"/>
  <c r="P157" i="18"/>
  <c r="Q157" i="18" s="1"/>
  <c r="S157" i="18" s="1"/>
  <c r="N158" i="18"/>
  <c r="I158" i="18"/>
  <c r="R157" i="18"/>
  <c r="M24" i="9"/>
  <c r="M23" i="9"/>
  <c r="M22" i="9"/>
  <c r="M21" i="9"/>
  <c r="M20" i="9"/>
  <c r="M19" i="9"/>
  <c r="M18" i="9"/>
  <c r="L28" i="9"/>
  <c r="M28" i="9" s="1"/>
  <c r="M27" i="9"/>
  <c r="M26" i="9"/>
  <c r="M25" i="9"/>
  <c r="R171" i="18" l="1"/>
  <c r="R170" i="18"/>
  <c r="R158" i="18"/>
  <c r="R159" i="18"/>
  <c r="P158" i="18"/>
  <c r="Q158" i="18" s="1"/>
  <c r="S158" i="18" s="1"/>
  <c r="N159" i="18"/>
  <c r="M29" i="9"/>
  <c r="P159" i="18" l="1"/>
  <c r="Q159" i="18" s="1"/>
  <c r="S159" i="18" s="1"/>
  <c r="N160" i="18"/>
  <c r="F78" i="11"/>
  <c r="G67" i="11"/>
  <c r="F56" i="11"/>
  <c r="E45" i="11"/>
  <c r="P160" i="18" l="1"/>
  <c r="Q160" i="18" s="1"/>
  <c r="S160" i="18" s="1"/>
  <c r="N161" i="18"/>
  <c r="C67" i="11"/>
  <c r="D67" i="11"/>
  <c r="N162" i="18" l="1"/>
  <c r="P161" i="18"/>
  <c r="Q161" i="18" s="1"/>
  <c r="S161" i="18" s="1"/>
  <c r="E79" i="11"/>
  <c r="G79" i="11" s="1"/>
  <c r="R23" i="5"/>
  <c r="P162" i="18" l="1"/>
  <c r="Q162" i="18" s="1"/>
  <c r="S162" i="18" s="1"/>
  <c r="N163" i="18"/>
  <c r="H33" i="18"/>
  <c r="H34" i="18" s="1"/>
  <c r="H35" i="18" s="1"/>
  <c r="P163" i="18" l="1"/>
  <c r="Q163" i="18" s="1"/>
  <c r="S163" i="18" s="1"/>
  <c r="N164" i="18"/>
  <c r="F77" i="11"/>
  <c r="E44" i="11"/>
  <c r="G66" i="11"/>
  <c r="F55" i="11"/>
  <c r="G56" i="11" s="1"/>
  <c r="P164" i="18" l="1"/>
  <c r="Q164" i="18" s="1"/>
  <c r="S164" i="18" s="1"/>
  <c r="N165" i="18"/>
  <c r="D66" i="11"/>
  <c r="C66" i="11"/>
  <c r="E78" i="11" s="1"/>
  <c r="G78" i="11" s="1"/>
  <c r="H79" i="11" s="1"/>
  <c r="I79" i="11" s="1"/>
  <c r="P165" i="18" l="1"/>
  <c r="Q165" i="18" s="1"/>
  <c r="S165" i="18" s="1"/>
  <c r="N166" i="18"/>
  <c r="S17" i="5"/>
  <c r="P166" i="18" l="1"/>
  <c r="Q166" i="18" s="1"/>
  <c r="S166" i="18" s="1"/>
  <c r="N167" i="18"/>
  <c r="S13" i="5"/>
  <c r="P167" i="18" l="1"/>
  <c r="Q167" i="18" s="1"/>
  <c r="S167" i="18" s="1"/>
  <c r="N168" i="18"/>
  <c r="E43" i="11"/>
  <c r="F76" i="11"/>
  <c r="G65" i="11"/>
  <c r="F54" i="11"/>
  <c r="P168" i="18" l="1"/>
  <c r="Q168" i="18" s="1"/>
  <c r="S168" i="18" s="1"/>
  <c r="N169" i="18"/>
  <c r="D65" i="11"/>
  <c r="G55" i="11"/>
  <c r="C65" i="11"/>
  <c r="E77" i="11" s="1"/>
  <c r="G77" i="11" s="1"/>
  <c r="H78" i="11" s="1"/>
  <c r="I78" i="11" s="1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26" i="18"/>
  <c r="R25" i="18"/>
  <c r="N170" i="18" l="1"/>
  <c r="P169" i="18"/>
  <c r="Q169" i="18" s="1"/>
  <c r="S169" i="18" s="1"/>
  <c r="F75" i="11"/>
  <c r="G64" i="11"/>
  <c r="F53" i="11"/>
  <c r="E42" i="11"/>
  <c r="P170" i="18" l="1"/>
  <c r="Q170" i="18" s="1"/>
  <c r="S170" i="18" s="1"/>
  <c r="N171" i="18"/>
  <c r="P171" i="18" s="1"/>
  <c r="Q171" i="18" s="1"/>
  <c r="S171" i="18" s="1"/>
  <c r="G54" i="11"/>
  <c r="C64" i="11"/>
  <c r="D64" i="11"/>
  <c r="N19" i="18"/>
  <c r="N20" i="18" s="1"/>
  <c r="E76" i="11" l="1"/>
  <c r="G76" i="11" s="1"/>
  <c r="H77" i="11" s="1"/>
  <c r="I77" i="11" s="1"/>
  <c r="P20" i="18"/>
  <c r="N21" i="18"/>
  <c r="G28" i="9"/>
  <c r="H29" i="9" s="1"/>
  <c r="H27" i="9"/>
  <c r="H26" i="9"/>
  <c r="H25" i="9"/>
  <c r="H24" i="9"/>
  <c r="H23" i="9"/>
  <c r="H22" i="9"/>
  <c r="H21" i="9"/>
  <c r="H20" i="9"/>
  <c r="H19" i="9"/>
  <c r="H18" i="9"/>
  <c r="C27" i="9"/>
  <c r="C26" i="9"/>
  <c r="H28" i="9" l="1"/>
  <c r="P21" i="18"/>
  <c r="N22" i="18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N84" i="18" s="1"/>
  <c r="N85" i="18" s="1"/>
  <c r="N86" i="18" s="1"/>
  <c r="N87" i="18" s="1"/>
  <c r="N88" i="18" s="1"/>
  <c r="N89" i="18" s="1"/>
  <c r="N90" i="18" s="1"/>
  <c r="N91" i="18" s="1"/>
  <c r="N92" i="18" s="1"/>
  <c r="N93" i="18" s="1"/>
  <c r="N94" i="18" s="1"/>
  <c r="N95" i="18" s="1"/>
  <c r="N96" i="18" s="1"/>
  <c r="N97" i="18" s="1"/>
  <c r="N98" i="18" s="1"/>
  <c r="N99" i="18" s="1"/>
  <c r="N100" i="18" s="1"/>
  <c r="N101" i="18" s="1"/>
  <c r="N102" i="18" s="1"/>
  <c r="N103" i="18" s="1"/>
  <c r="N104" i="18" s="1"/>
  <c r="N105" i="18" s="1"/>
  <c r="N106" i="18" s="1"/>
  <c r="N107" i="18" s="1"/>
  <c r="N108" i="18" s="1"/>
  <c r="N109" i="18" s="1"/>
  <c r="N110" i="18" s="1"/>
  <c r="N111" i="18" s="1"/>
  <c r="N112" i="18" s="1"/>
  <c r="N113" i="18" s="1"/>
  <c r="N114" i="18" s="1"/>
  <c r="N115" i="18" s="1"/>
  <c r="N116" i="18" s="1"/>
  <c r="N117" i="18" s="1"/>
  <c r="N118" i="18" s="1"/>
  <c r="N119" i="18" s="1"/>
  <c r="N120" i="18" s="1"/>
  <c r="N121" i="18" s="1"/>
  <c r="N122" i="18" s="1"/>
  <c r="N123" i="18" s="1"/>
  <c r="N124" i="18" s="1"/>
  <c r="N125" i="18" s="1"/>
  <c r="N126" i="18" s="1"/>
  <c r="N127" i="18" s="1"/>
  <c r="N128" i="18" s="1"/>
  <c r="N129" i="18" s="1"/>
  <c r="N130" i="18" s="1"/>
  <c r="N131" i="18" s="1"/>
  <c r="N132" i="18" s="1"/>
  <c r="N133" i="18" s="1"/>
  <c r="N134" i="18" s="1"/>
  <c r="N135" i="18" s="1"/>
  <c r="N136" i="18" s="1"/>
  <c r="N137" i="18" s="1"/>
  <c r="N138" i="18" s="1"/>
  <c r="N139" i="18" s="1"/>
  <c r="N140" i="18" s="1"/>
  <c r="N141" i="18" s="1"/>
  <c r="N142" i="18" s="1"/>
  <c r="N143" i="18" s="1"/>
  <c r="N144" i="18" s="1"/>
  <c r="N145" i="18" s="1"/>
  <c r="N146" i="18" s="1"/>
  <c r="N147" i="18" s="1"/>
  <c r="K4" i="18"/>
  <c r="K5" i="18" s="1"/>
  <c r="P22" i="18" l="1"/>
  <c r="K6" i="18"/>
  <c r="F74" i="11"/>
  <c r="E41" i="11"/>
  <c r="G63" i="11"/>
  <c r="F52" i="11"/>
  <c r="C63" i="11" s="1"/>
  <c r="E75" i="11" l="1"/>
  <c r="G75" i="11" s="1"/>
  <c r="G53" i="11"/>
  <c r="D63" i="11"/>
  <c r="P23" i="18"/>
  <c r="K7" i="18"/>
  <c r="H76" i="11" l="1"/>
  <c r="I76" i="11" s="1"/>
  <c r="P24" i="18"/>
  <c r="K8" i="18"/>
  <c r="P25" i="18" l="1"/>
  <c r="K9" i="18"/>
  <c r="F73" i="11"/>
  <c r="G61" i="11"/>
  <c r="G62" i="11"/>
  <c r="P26" i="18" l="1"/>
  <c r="K10" i="18"/>
  <c r="F51" i="11"/>
  <c r="C62" i="11" s="1"/>
  <c r="E40" i="11"/>
  <c r="E74" i="11" l="1"/>
  <c r="G74" i="11" s="1"/>
  <c r="G52" i="11"/>
  <c r="D62" i="11"/>
  <c r="P27" i="18"/>
  <c r="K11" i="18"/>
  <c r="H75" i="11" l="1"/>
  <c r="I75" i="11" s="1"/>
  <c r="P28" i="18"/>
  <c r="K12" i="18"/>
  <c r="P29" i="18" l="1"/>
  <c r="K13" i="18"/>
  <c r="C22" i="9"/>
  <c r="C23" i="9" s="1"/>
  <c r="C19" i="9"/>
  <c r="C20" i="9" s="1"/>
  <c r="K30" i="11"/>
  <c r="F50" i="11"/>
  <c r="E39" i="11"/>
  <c r="D31" i="11"/>
  <c r="G30" i="11" s="1"/>
  <c r="I30" i="11" s="1"/>
  <c r="D61" i="11" l="1"/>
  <c r="G51" i="11"/>
  <c r="P30" i="18"/>
  <c r="K14" i="18"/>
  <c r="C61" i="11"/>
  <c r="E73" i="11" s="1"/>
  <c r="G73" i="11" s="1"/>
  <c r="H74" i="11" s="1"/>
  <c r="I74" i="11" s="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C17" i="13" s="1"/>
  <c r="F14" i="13"/>
  <c r="F17" i="13" s="1"/>
  <c r="I14" i="13"/>
  <c r="I16" i="13" s="1"/>
  <c r="L14" i="13"/>
  <c r="L16" i="13" s="1"/>
  <c r="O14" i="13"/>
  <c r="O16" i="13" s="1"/>
  <c r="C16" i="13"/>
  <c r="F16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L17" i="13" l="1"/>
  <c r="P31" i="18"/>
  <c r="K15" i="18"/>
  <c r="M14" i="9"/>
  <c r="I17" i="13"/>
  <c r="O17" i="13"/>
  <c r="R14" i="9"/>
  <c r="H14" i="9"/>
  <c r="I22" i="11"/>
  <c r="D23" i="11"/>
  <c r="E25" i="11" s="1"/>
  <c r="P32" i="18" l="1"/>
  <c r="K16" i="18"/>
  <c r="D25" i="11"/>
  <c r="F25" i="11"/>
  <c r="I23" i="11"/>
  <c r="H24" i="11" s="1"/>
  <c r="G25" i="11"/>
  <c r="P33" i="18" l="1"/>
  <c r="K17" i="18"/>
  <c r="D24" i="11"/>
  <c r="C24" i="11"/>
  <c r="P34" i="18" l="1"/>
  <c r="K18" i="18"/>
  <c r="I24" i="11"/>
  <c r="T122" i="5"/>
  <c r="T121" i="5"/>
  <c r="T120" i="5"/>
  <c r="T119" i="5"/>
  <c r="T118" i="5"/>
  <c r="T117" i="5"/>
  <c r="T116" i="5"/>
  <c r="T115" i="5"/>
  <c r="T114" i="5"/>
  <c r="T113" i="5"/>
  <c r="T112" i="5"/>
  <c r="T111" i="5"/>
  <c r="T110" i="5"/>
  <c r="T109" i="5"/>
  <c r="T108" i="5"/>
  <c r="T107" i="5"/>
  <c r="T106" i="5"/>
  <c r="T105" i="5"/>
  <c r="T104" i="5"/>
  <c r="T103" i="5"/>
  <c r="T102" i="5"/>
  <c r="T101" i="5"/>
  <c r="T100" i="5"/>
  <c r="T99" i="5"/>
  <c r="T98" i="5"/>
  <c r="T97" i="5"/>
  <c r="T96" i="5"/>
  <c r="T95" i="5"/>
  <c r="T94" i="5"/>
  <c r="T93" i="5"/>
  <c r="T92" i="5"/>
  <c r="T91" i="5"/>
  <c r="T90" i="5"/>
  <c r="T89" i="5"/>
  <c r="T88" i="5"/>
  <c r="T87" i="5"/>
  <c r="T86" i="5"/>
  <c r="T85" i="5"/>
  <c r="T84" i="5"/>
  <c r="T83" i="5"/>
  <c r="T82" i="5"/>
  <c r="T81" i="5"/>
  <c r="T80" i="5"/>
  <c r="T79" i="5"/>
  <c r="T78" i="5"/>
  <c r="T77" i="5"/>
  <c r="T76" i="5"/>
  <c r="T75" i="5"/>
  <c r="T74" i="5"/>
  <c r="T73" i="5"/>
  <c r="T72" i="5"/>
  <c r="T71" i="5"/>
  <c r="T70" i="5"/>
  <c r="T69" i="5"/>
  <c r="T68" i="5"/>
  <c r="T67" i="5"/>
  <c r="T66" i="5"/>
  <c r="T65" i="5"/>
  <c r="T64" i="5"/>
  <c r="T63" i="5"/>
  <c r="T62" i="5"/>
  <c r="T61" i="5"/>
  <c r="T60" i="5"/>
  <c r="T59" i="5"/>
  <c r="T58" i="5"/>
  <c r="T57" i="5"/>
  <c r="T56" i="5"/>
  <c r="T55" i="5"/>
  <c r="T54" i="5"/>
  <c r="T53" i="5"/>
  <c r="T52" i="5"/>
  <c r="T51" i="5"/>
  <c r="T50" i="5"/>
  <c r="T49" i="5"/>
  <c r="T48" i="5"/>
  <c r="T47" i="5"/>
  <c r="T46" i="5"/>
  <c r="T45" i="5"/>
  <c r="T44" i="5"/>
  <c r="T43" i="5"/>
  <c r="T42" i="5"/>
  <c r="T41" i="5"/>
  <c r="T40" i="5"/>
  <c r="T39" i="5"/>
  <c r="P35" i="18" l="1"/>
  <c r="K19" i="18"/>
  <c r="T38" i="5"/>
  <c r="T37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P36" i="18" l="1"/>
  <c r="K20" i="18"/>
  <c r="Q20" i="18" s="1"/>
  <c r="T13" i="5"/>
  <c r="T14" i="5"/>
  <c r="T12" i="5"/>
  <c r="T11" i="5"/>
  <c r="T10" i="5"/>
  <c r="T9" i="5"/>
  <c r="T8" i="5"/>
  <c r="T7" i="5"/>
  <c r="T6" i="5"/>
  <c r="T5" i="5"/>
  <c r="T4" i="5"/>
  <c r="T3" i="5"/>
  <c r="U3" i="5" s="1"/>
  <c r="C14" i="9"/>
  <c r="C16" i="9" s="1"/>
  <c r="P37" i="18" l="1"/>
  <c r="K21" i="18"/>
  <c r="Q21" i="18" s="1"/>
  <c r="C17" i="9"/>
  <c r="P38" i="18" l="1"/>
  <c r="K22" i="18"/>
  <c r="Q22" i="18" s="1"/>
  <c r="P39" i="18" l="1"/>
  <c r="K23" i="18"/>
  <c r="Q23" i="18" s="1"/>
  <c r="L19" i="11"/>
  <c r="P40" i="18" l="1"/>
  <c r="K24" i="18"/>
  <c r="Q24" i="18" s="1"/>
  <c r="P41" i="18" l="1"/>
  <c r="K25" i="18"/>
  <c r="Q25" i="18" s="1"/>
  <c r="S25" i="18" s="1"/>
  <c r="P42" i="18" l="1"/>
  <c r="K26" i="18"/>
  <c r="Q26" i="18" s="1"/>
  <c r="S26" i="18" s="1"/>
  <c r="P43" i="18" l="1"/>
  <c r="K27" i="18"/>
  <c r="Q27" i="18" s="1"/>
  <c r="S27" i="18" s="1"/>
  <c r="P44" i="18" l="1"/>
  <c r="K28" i="18"/>
  <c r="Q28" i="18" s="1"/>
  <c r="S28" i="18" s="1"/>
  <c r="P45" i="18" l="1"/>
  <c r="K29" i="18"/>
  <c r="Q29" i="18" s="1"/>
  <c r="S29" i="18" s="1"/>
  <c r="C13" i="5" l="1"/>
  <c r="U13" i="5" s="1"/>
  <c r="P46" i="18"/>
  <c r="K30" i="18"/>
  <c r="Q30" i="18" s="1"/>
  <c r="S30" i="18" s="1"/>
  <c r="C14" i="5" l="1"/>
  <c r="U14" i="5" s="1"/>
  <c r="C15" i="5" s="1"/>
  <c r="P47" i="18"/>
  <c r="K31" i="18"/>
  <c r="Q31" i="18" s="1"/>
  <c r="S31" i="18" s="1"/>
  <c r="U15" i="5" l="1"/>
  <c r="C16" i="5" s="1"/>
  <c r="P48" i="18"/>
  <c r="K32" i="18"/>
  <c r="Q32" i="18" s="1"/>
  <c r="S32" i="18" s="1"/>
  <c r="U16" i="5" l="1"/>
  <c r="C17" i="5" s="1"/>
  <c r="P49" i="18"/>
  <c r="K33" i="18"/>
  <c r="Q33" i="18" s="1"/>
  <c r="S33" i="18" s="1"/>
  <c r="U17" i="5" l="1"/>
  <c r="C18" i="5" s="1"/>
  <c r="P50" i="18"/>
  <c r="K34" i="18"/>
  <c r="Q34" i="18" s="1"/>
  <c r="S34" i="18" s="1"/>
  <c r="U18" i="5" l="1"/>
  <c r="C19" i="5" s="1"/>
  <c r="P51" i="18"/>
  <c r="K35" i="18"/>
  <c r="Q35" i="18" l="1"/>
  <c r="S35" i="18" s="1"/>
  <c r="K36" i="18"/>
  <c r="Q36" i="18" s="1"/>
  <c r="S36" i="18" s="1"/>
  <c r="U19" i="5"/>
  <c r="C20" i="5" s="1"/>
  <c r="P52" i="18"/>
  <c r="U20" i="5" l="1"/>
  <c r="C21" i="5" s="1"/>
  <c r="P53" i="18"/>
  <c r="K37" i="18"/>
  <c r="Q37" i="18" s="1"/>
  <c r="S37" i="18" s="1"/>
  <c r="U21" i="5" l="1"/>
  <c r="C22" i="5" s="1"/>
  <c r="P54" i="18"/>
  <c r="K38" i="18"/>
  <c r="Q38" i="18" s="1"/>
  <c r="S38" i="18" s="1"/>
  <c r="U22" i="5" l="1"/>
  <c r="C23" i="5" s="1"/>
  <c r="P55" i="18"/>
  <c r="K39" i="18"/>
  <c r="Q39" i="18" s="1"/>
  <c r="S39" i="18" s="1"/>
  <c r="U23" i="5" l="1"/>
  <c r="C24" i="5" s="1"/>
  <c r="P56" i="18"/>
  <c r="K40" i="18"/>
  <c r="Q40" i="18" s="1"/>
  <c r="S40" i="18" s="1"/>
  <c r="U24" i="5" l="1"/>
  <c r="C25" i="5" s="1"/>
  <c r="P57" i="18"/>
  <c r="Q41" i="18"/>
  <c r="S41" i="18" s="1"/>
  <c r="U25" i="5" l="1"/>
  <c r="C26" i="5" s="1"/>
  <c r="U26" i="5" s="1"/>
  <c r="C27" i="5" s="1"/>
  <c r="P58" i="18"/>
  <c r="Q42" i="18"/>
  <c r="S42" i="18" s="1"/>
  <c r="U27" i="5" l="1"/>
  <c r="C28" i="5" s="1"/>
  <c r="P59" i="18"/>
  <c r="K43" i="18"/>
  <c r="Q43" i="18" s="1"/>
  <c r="S43" i="18" s="1"/>
  <c r="U28" i="5" l="1"/>
  <c r="C29" i="5" s="1"/>
  <c r="P60" i="18"/>
  <c r="K44" i="18"/>
  <c r="Q44" i="18" s="1"/>
  <c r="S44" i="18" s="1"/>
  <c r="U29" i="5" l="1"/>
  <c r="C30" i="5" s="1"/>
  <c r="P61" i="18"/>
  <c r="K45" i="18"/>
  <c r="Q45" i="18" s="1"/>
  <c r="S45" i="18" s="1"/>
  <c r="U30" i="5" l="1"/>
  <c r="C31" i="5" s="1"/>
  <c r="P62" i="18"/>
  <c r="K46" i="18"/>
  <c r="Q46" i="18" s="1"/>
  <c r="S46" i="18" s="1"/>
  <c r="U31" i="5" l="1"/>
  <c r="C32" i="5" s="1"/>
  <c r="U32" i="5" s="1"/>
  <c r="P63" i="18"/>
  <c r="K47" i="18"/>
  <c r="Q47" i="18" s="1"/>
  <c r="S47" i="18" s="1"/>
  <c r="C33" i="5" l="1"/>
  <c r="P64" i="18"/>
  <c r="K48" i="18"/>
  <c r="Q48" i="18" s="1"/>
  <c r="S48" i="18" s="1"/>
  <c r="U33" i="5" l="1"/>
  <c r="C34" i="5" s="1"/>
  <c r="P65" i="18"/>
  <c r="K49" i="18"/>
  <c r="Q49" i="18" s="1"/>
  <c r="S49" i="18" s="1"/>
  <c r="U34" i="5" l="1"/>
  <c r="C35" i="5" s="1"/>
  <c r="P66" i="18"/>
  <c r="K50" i="18"/>
  <c r="Q50" i="18" s="1"/>
  <c r="S50" i="18" s="1"/>
  <c r="U35" i="5" l="1"/>
  <c r="C36" i="5" s="1"/>
  <c r="P67" i="18"/>
  <c r="K51" i="18"/>
  <c r="Q51" i="18" s="1"/>
  <c r="S51" i="18" s="1"/>
  <c r="U36" i="5" l="1"/>
  <c r="C37" i="5" s="1"/>
  <c r="P68" i="18"/>
  <c r="K52" i="18"/>
  <c r="Q52" i="18" s="1"/>
  <c r="S52" i="18" s="1"/>
  <c r="U37" i="5" l="1"/>
  <c r="C38" i="5" s="1"/>
  <c r="P69" i="18"/>
  <c r="K53" i="18"/>
  <c r="Q53" i="18" s="1"/>
  <c r="S53" i="18" s="1"/>
  <c r="U38" i="5" l="1"/>
  <c r="C39" i="5" s="1"/>
  <c r="P70" i="18"/>
  <c r="K54" i="18"/>
  <c r="Q54" i="18" s="1"/>
  <c r="S54" i="18" s="1"/>
  <c r="U39" i="5" l="1"/>
  <c r="C40" i="5" s="1"/>
  <c r="P71" i="18"/>
  <c r="K55" i="18"/>
  <c r="Q55" i="18" s="1"/>
  <c r="S55" i="18" s="1"/>
  <c r="U40" i="5" l="1"/>
  <c r="C41" i="5" s="1"/>
  <c r="P72" i="18"/>
  <c r="K56" i="18"/>
  <c r="Q56" i="18" s="1"/>
  <c r="S56" i="18" s="1"/>
  <c r="U41" i="5" l="1"/>
  <c r="C42" i="5" s="1"/>
  <c r="P73" i="18"/>
  <c r="K57" i="18"/>
  <c r="Q57" i="18" s="1"/>
  <c r="S57" i="18" s="1"/>
  <c r="U42" i="5" l="1"/>
  <c r="C43" i="5" s="1"/>
  <c r="P74" i="18"/>
  <c r="K58" i="18"/>
  <c r="Q58" i="18" s="1"/>
  <c r="S58" i="18" s="1"/>
  <c r="U43" i="5" l="1"/>
  <c r="C44" i="5" s="1"/>
  <c r="P75" i="18"/>
  <c r="K59" i="18"/>
  <c r="Q59" i="18" s="1"/>
  <c r="S59" i="18" s="1"/>
  <c r="U44" i="5" l="1"/>
  <c r="C45" i="5" s="1"/>
  <c r="P76" i="18"/>
  <c r="K60" i="18"/>
  <c r="Q60" i="18" s="1"/>
  <c r="S60" i="18" s="1"/>
  <c r="U45" i="5" l="1"/>
  <c r="C46" i="5" s="1"/>
  <c r="P77" i="18"/>
  <c r="K61" i="18"/>
  <c r="Q61" i="18" s="1"/>
  <c r="S61" i="18" s="1"/>
  <c r="U46" i="5" l="1"/>
  <c r="C47" i="5" s="1"/>
  <c r="P78" i="18"/>
  <c r="K62" i="18"/>
  <c r="Q62" i="18" s="1"/>
  <c r="S62" i="18" s="1"/>
  <c r="U47" i="5" l="1"/>
  <c r="C48" i="5" s="1"/>
  <c r="P79" i="18"/>
  <c r="K63" i="18"/>
  <c r="Q63" i="18" s="1"/>
  <c r="S63" i="18" s="1"/>
  <c r="U48" i="5" l="1"/>
  <c r="C49" i="5" s="1"/>
  <c r="P80" i="18"/>
  <c r="K64" i="18"/>
  <c r="Q64" i="18" s="1"/>
  <c r="S64" i="18" s="1"/>
  <c r="U49" i="5" l="1"/>
  <c r="C50" i="5" s="1"/>
  <c r="P81" i="18"/>
  <c r="K65" i="18"/>
  <c r="Q65" i="18" s="1"/>
  <c r="S65" i="18" s="1"/>
  <c r="U50" i="5" l="1"/>
  <c r="C51" i="5" s="1"/>
  <c r="P82" i="18"/>
  <c r="K66" i="18"/>
  <c r="Q66" i="18" s="1"/>
  <c r="S66" i="18" s="1"/>
  <c r="U51" i="5" l="1"/>
  <c r="C52" i="5" s="1"/>
  <c r="P83" i="18"/>
  <c r="K67" i="18"/>
  <c r="Q67" i="18" s="1"/>
  <c r="S67" i="18" s="1"/>
  <c r="U52" i="5" l="1"/>
  <c r="C53" i="5" s="1"/>
  <c r="P84" i="18"/>
  <c r="K68" i="18"/>
  <c r="Q68" i="18" s="1"/>
  <c r="S68" i="18" s="1"/>
  <c r="U53" i="5" l="1"/>
  <c r="C54" i="5" s="1"/>
  <c r="P85" i="18"/>
  <c r="K69" i="18"/>
  <c r="Q69" i="18" s="1"/>
  <c r="S69" i="18" s="1"/>
  <c r="U54" i="5" l="1"/>
  <c r="C55" i="5" s="1"/>
  <c r="P86" i="18"/>
  <c r="K70" i="18"/>
  <c r="Q70" i="18" s="1"/>
  <c r="S70" i="18" s="1"/>
  <c r="U55" i="5" l="1"/>
  <c r="C56" i="5" s="1"/>
  <c r="P87" i="18"/>
  <c r="K71" i="18"/>
  <c r="Q71" i="18" s="1"/>
  <c r="S71" i="18" s="1"/>
  <c r="U56" i="5" l="1"/>
  <c r="C57" i="5" s="1"/>
  <c r="P88" i="18"/>
  <c r="K72" i="18"/>
  <c r="Q72" i="18" s="1"/>
  <c r="S72" i="18" s="1"/>
  <c r="U57" i="5" l="1"/>
  <c r="C58" i="5" s="1"/>
  <c r="P89" i="18"/>
  <c r="K73" i="18"/>
  <c r="Q73" i="18" s="1"/>
  <c r="S73" i="18" s="1"/>
  <c r="U58" i="5" l="1"/>
  <c r="C59" i="5" s="1"/>
  <c r="P90" i="18"/>
  <c r="K74" i="18"/>
  <c r="Q74" i="18" s="1"/>
  <c r="S74" i="18" s="1"/>
  <c r="U59" i="5" l="1"/>
  <c r="C60" i="5" s="1"/>
  <c r="P91" i="18"/>
  <c r="K75" i="18"/>
  <c r="Q75" i="18" s="1"/>
  <c r="S75" i="18" s="1"/>
  <c r="U60" i="5" l="1"/>
  <c r="C61" i="5" s="1"/>
  <c r="P92" i="18"/>
  <c r="K76" i="18"/>
  <c r="Q76" i="18" s="1"/>
  <c r="S76" i="18" s="1"/>
  <c r="U61" i="5" l="1"/>
  <c r="C62" i="5" s="1"/>
  <c r="P93" i="18"/>
  <c r="K77" i="18"/>
  <c r="Q77" i="18" s="1"/>
  <c r="S77" i="18" s="1"/>
  <c r="U62" i="5" l="1"/>
  <c r="C63" i="5" s="1"/>
  <c r="P94" i="18"/>
  <c r="K78" i="18"/>
  <c r="Q78" i="18" s="1"/>
  <c r="S78" i="18" s="1"/>
  <c r="U63" i="5" l="1"/>
  <c r="C64" i="5" s="1"/>
  <c r="P95" i="18"/>
  <c r="K79" i="18"/>
  <c r="Q79" i="18" s="1"/>
  <c r="S79" i="18" s="1"/>
  <c r="U64" i="5" l="1"/>
  <c r="C65" i="5" s="1"/>
  <c r="P96" i="18"/>
  <c r="K80" i="18"/>
  <c r="Q80" i="18" s="1"/>
  <c r="S80" i="18" s="1"/>
  <c r="U65" i="5" l="1"/>
  <c r="C66" i="5" s="1"/>
  <c r="P97" i="18"/>
  <c r="K81" i="18"/>
  <c r="Q81" i="18" s="1"/>
  <c r="S81" i="18" s="1"/>
  <c r="U66" i="5" l="1"/>
  <c r="C67" i="5" s="1"/>
  <c r="P98" i="18"/>
  <c r="K82" i="18"/>
  <c r="Q82" i="18" s="1"/>
  <c r="S82" i="18" s="1"/>
  <c r="U67" i="5" l="1"/>
  <c r="C68" i="5" s="1"/>
  <c r="P99" i="18"/>
  <c r="K83" i="18"/>
  <c r="Q83" i="18" s="1"/>
  <c r="S83" i="18" s="1"/>
  <c r="U68" i="5" l="1"/>
  <c r="C69" i="5" s="1"/>
  <c r="P100" i="18"/>
  <c r="K84" i="18"/>
  <c r="Q84" i="18" s="1"/>
  <c r="S84" i="18" s="1"/>
  <c r="U69" i="5" l="1"/>
  <c r="C70" i="5" s="1"/>
  <c r="P101" i="18"/>
  <c r="K85" i="18"/>
  <c r="Q85" i="18" s="1"/>
  <c r="S85" i="18" s="1"/>
  <c r="U70" i="5" l="1"/>
  <c r="C71" i="5" s="1"/>
  <c r="P102" i="18"/>
  <c r="K86" i="18"/>
  <c r="Q86" i="18" s="1"/>
  <c r="S86" i="18" s="1"/>
  <c r="U71" i="5" l="1"/>
  <c r="C72" i="5" s="1"/>
  <c r="P103" i="18"/>
  <c r="K87" i="18"/>
  <c r="Q87" i="18" s="1"/>
  <c r="S87" i="18" s="1"/>
  <c r="U72" i="5" l="1"/>
  <c r="C73" i="5" s="1"/>
  <c r="P104" i="18"/>
  <c r="K88" i="18"/>
  <c r="Q88" i="18" s="1"/>
  <c r="S88" i="18" s="1"/>
  <c r="U73" i="5" l="1"/>
  <c r="C74" i="5" s="1"/>
  <c r="P105" i="18"/>
  <c r="K89" i="18"/>
  <c r="Q89" i="18" s="1"/>
  <c r="S89" i="18" s="1"/>
  <c r="U74" i="5" l="1"/>
  <c r="C75" i="5" s="1"/>
  <c r="P106" i="18"/>
  <c r="K90" i="18"/>
  <c r="Q90" i="18" s="1"/>
  <c r="S90" i="18" s="1"/>
  <c r="U75" i="5" l="1"/>
  <c r="C76" i="5" s="1"/>
  <c r="P107" i="18"/>
  <c r="K91" i="18"/>
  <c r="Q91" i="18" s="1"/>
  <c r="S91" i="18" s="1"/>
  <c r="U76" i="5" l="1"/>
  <c r="C77" i="5" s="1"/>
  <c r="P108" i="18"/>
  <c r="K92" i="18"/>
  <c r="Q92" i="18" s="1"/>
  <c r="S92" i="18" s="1"/>
  <c r="U77" i="5" l="1"/>
  <c r="C78" i="5" s="1"/>
  <c r="P109" i="18"/>
  <c r="K93" i="18"/>
  <c r="Q93" i="18" s="1"/>
  <c r="S93" i="18" s="1"/>
  <c r="U78" i="5" l="1"/>
  <c r="C79" i="5" s="1"/>
  <c r="P110" i="18"/>
  <c r="K94" i="18"/>
  <c r="Q94" i="18" s="1"/>
  <c r="S94" i="18" s="1"/>
  <c r="U79" i="5" l="1"/>
  <c r="C80" i="5" s="1"/>
  <c r="P111" i="18"/>
  <c r="K95" i="18"/>
  <c r="Q95" i="18" s="1"/>
  <c r="S95" i="18" s="1"/>
  <c r="U80" i="5" l="1"/>
  <c r="C81" i="5" s="1"/>
  <c r="P112" i="18"/>
  <c r="K96" i="18"/>
  <c r="Q96" i="18" s="1"/>
  <c r="S96" i="18" s="1"/>
  <c r="U81" i="5" l="1"/>
  <c r="C82" i="5" s="1"/>
  <c r="P113" i="18"/>
  <c r="K97" i="18"/>
  <c r="Q97" i="18" s="1"/>
  <c r="S97" i="18" s="1"/>
  <c r="U82" i="5" l="1"/>
  <c r="C83" i="5" s="1"/>
  <c r="P114" i="18"/>
  <c r="K98" i="18"/>
  <c r="Q98" i="18" s="1"/>
  <c r="S98" i="18" s="1"/>
  <c r="U83" i="5" l="1"/>
  <c r="C84" i="5" s="1"/>
  <c r="P115" i="18"/>
  <c r="K99" i="18"/>
  <c r="Q99" i="18" s="1"/>
  <c r="S99" i="18" s="1"/>
  <c r="U84" i="5" l="1"/>
  <c r="C85" i="5" s="1"/>
  <c r="P116" i="18"/>
  <c r="K100" i="18"/>
  <c r="Q100" i="18" s="1"/>
  <c r="S100" i="18" s="1"/>
  <c r="U85" i="5" l="1"/>
  <c r="C86" i="5" s="1"/>
  <c r="P117" i="18"/>
  <c r="K101" i="18"/>
  <c r="Q101" i="18" s="1"/>
  <c r="S101" i="18" s="1"/>
  <c r="U86" i="5" l="1"/>
  <c r="C87" i="5" s="1"/>
  <c r="P118" i="18"/>
  <c r="K102" i="18"/>
  <c r="Q102" i="18" s="1"/>
  <c r="S102" i="18" s="1"/>
  <c r="U87" i="5" l="1"/>
  <c r="C88" i="5" s="1"/>
  <c r="P119" i="18"/>
  <c r="K103" i="18"/>
  <c r="Q103" i="18" s="1"/>
  <c r="S103" i="18" s="1"/>
  <c r="U88" i="5" l="1"/>
  <c r="C89" i="5" s="1"/>
  <c r="P120" i="18"/>
  <c r="K104" i="18"/>
  <c r="Q104" i="18" s="1"/>
  <c r="S104" i="18" s="1"/>
  <c r="U89" i="5" l="1"/>
  <c r="C90" i="5" s="1"/>
  <c r="P121" i="18"/>
  <c r="K105" i="18"/>
  <c r="Q105" i="18" s="1"/>
  <c r="S105" i="18" s="1"/>
  <c r="U90" i="5" l="1"/>
  <c r="C91" i="5" s="1"/>
  <c r="P122" i="18"/>
  <c r="K106" i="18"/>
  <c r="Q106" i="18" s="1"/>
  <c r="S106" i="18" s="1"/>
  <c r="U91" i="5" l="1"/>
  <c r="C92" i="5" s="1"/>
  <c r="P123" i="18"/>
  <c r="K107" i="18"/>
  <c r="Q107" i="18" s="1"/>
  <c r="S107" i="18" s="1"/>
  <c r="U92" i="5" l="1"/>
  <c r="C93" i="5" s="1"/>
  <c r="P124" i="18"/>
  <c r="K108" i="18"/>
  <c r="Q108" i="18" s="1"/>
  <c r="S108" i="18" s="1"/>
  <c r="U93" i="5" l="1"/>
  <c r="C94" i="5" s="1"/>
  <c r="P125" i="18"/>
  <c r="K109" i="18"/>
  <c r="Q109" i="18" s="1"/>
  <c r="S109" i="18" s="1"/>
  <c r="U94" i="5" l="1"/>
  <c r="C95" i="5" s="1"/>
  <c r="P126" i="18"/>
  <c r="K110" i="18"/>
  <c r="Q110" i="18" s="1"/>
  <c r="S110" i="18" s="1"/>
  <c r="U95" i="5" l="1"/>
  <c r="C96" i="5" s="1"/>
  <c r="P127" i="18"/>
  <c r="K111" i="18"/>
  <c r="Q111" i="18" s="1"/>
  <c r="S111" i="18" s="1"/>
  <c r="U96" i="5" l="1"/>
  <c r="C97" i="5" s="1"/>
  <c r="P128" i="18"/>
  <c r="K112" i="18"/>
  <c r="Q112" i="18" s="1"/>
  <c r="S112" i="18" s="1"/>
  <c r="U97" i="5" l="1"/>
  <c r="C98" i="5" s="1"/>
  <c r="P129" i="18"/>
  <c r="K113" i="18"/>
  <c r="Q113" i="18" s="1"/>
  <c r="S113" i="18" s="1"/>
  <c r="U98" i="5" l="1"/>
  <c r="C99" i="5" s="1"/>
  <c r="P130" i="18"/>
  <c r="K114" i="18"/>
  <c r="Q114" i="18" s="1"/>
  <c r="S114" i="18" s="1"/>
  <c r="U99" i="5" l="1"/>
  <c r="C100" i="5" s="1"/>
  <c r="P131" i="18"/>
  <c r="K115" i="18"/>
  <c r="Q115" i="18" s="1"/>
  <c r="S115" i="18" s="1"/>
  <c r="U100" i="5" l="1"/>
  <c r="C101" i="5" s="1"/>
  <c r="P132" i="18"/>
  <c r="K116" i="18"/>
  <c r="Q116" i="18" s="1"/>
  <c r="S116" i="18" s="1"/>
  <c r="U101" i="5" l="1"/>
  <c r="C102" i="5" s="1"/>
  <c r="P133" i="18"/>
  <c r="K117" i="18"/>
  <c r="Q117" i="18" s="1"/>
  <c r="S117" i="18" s="1"/>
  <c r="U102" i="5" l="1"/>
  <c r="C103" i="5" s="1"/>
  <c r="P134" i="18"/>
  <c r="K118" i="18"/>
  <c r="Q118" i="18" s="1"/>
  <c r="S118" i="18" s="1"/>
  <c r="U103" i="5" l="1"/>
  <c r="C104" i="5" s="1"/>
  <c r="P135" i="18"/>
  <c r="K119" i="18"/>
  <c r="Q119" i="18" s="1"/>
  <c r="S119" i="18" s="1"/>
  <c r="U104" i="5" l="1"/>
  <c r="C105" i="5" s="1"/>
  <c r="P136" i="18"/>
  <c r="K120" i="18"/>
  <c r="Q120" i="18" s="1"/>
  <c r="S120" i="18" s="1"/>
  <c r="U105" i="5" l="1"/>
  <c r="C106" i="5" s="1"/>
  <c r="P137" i="18"/>
  <c r="K121" i="18"/>
  <c r="Q121" i="18" s="1"/>
  <c r="S121" i="18" s="1"/>
  <c r="U106" i="5" l="1"/>
  <c r="C107" i="5" s="1"/>
  <c r="P138" i="18"/>
  <c r="K122" i="18"/>
  <c r="Q122" i="18" s="1"/>
  <c r="S122" i="18" s="1"/>
  <c r="U107" i="5" l="1"/>
  <c r="C108" i="5" s="1"/>
  <c r="P139" i="18"/>
  <c r="K123" i="18"/>
  <c r="Q123" i="18" s="1"/>
  <c r="S123" i="18" s="1"/>
  <c r="U108" i="5" l="1"/>
  <c r="C109" i="5" s="1"/>
  <c r="P140" i="18"/>
  <c r="K124" i="18"/>
  <c r="Q124" i="18" s="1"/>
  <c r="S124" i="18" s="1"/>
  <c r="U109" i="5" l="1"/>
  <c r="C110" i="5" s="1"/>
  <c r="P141" i="18"/>
  <c r="K125" i="18"/>
  <c r="Q125" i="18" s="1"/>
  <c r="S125" i="18" s="1"/>
  <c r="U110" i="5" l="1"/>
  <c r="C111" i="5" s="1"/>
  <c r="P142" i="18"/>
  <c r="K126" i="18"/>
  <c r="Q126" i="18" s="1"/>
  <c r="S126" i="18" s="1"/>
  <c r="U111" i="5" l="1"/>
  <c r="C112" i="5" s="1"/>
  <c r="P143" i="18"/>
  <c r="K127" i="18"/>
  <c r="Q127" i="18" s="1"/>
  <c r="S127" i="18" s="1"/>
  <c r="U112" i="5" l="1"/>
  <c r="C113" i="5" s="1"/>
  <c r="P144" i="18"/>
  <c r="K128" i="18"/>
  <c r="Q128" i="18" s="1"/>
  <c r="S128" i="18" s="1"/>
  <c r="U113" i="5" l="1"/>
  <c r="C114" i="5" s="1"/>
  <c r="P145" i="18"/>
  <c r="K129" i="18"/>
  <c r="Q129" i="18" s="1"/>
  <c r="S129" i="18" s="1"/>
  <c r="U114" i="5" l="1"/>
  <c r="C115" i="5" s="1"/>
  <c r="P146" i="18"/>
  <c r="K130" i="18"/>
  <c r="Q130" i="18" s="1"/>
  <c r="S130" i="18" s="1"/>
  <c r="U115" i="5" l="1"/>
  <c r="C116" i="5" s="1"/>
  <c r="P147" i="18"/>
  <c r="K131" i="18"/>
  <c r="Q131" i="18" s="1"/>
  <c r="S131" i="18" s="1"/>
  <c r="U116" i="5" l="1"/>
  <c r="C117" i="5" s="1"/>
  <c r="K132" i="18"/>
  <c r="Q132" i="18" s="1"/>
  <c r="S132" i="18" s="1"/>
  <c r="U117" i="5" l="1"/>
  <c r="C118" i="5" s="1"/>
  <c r="K133" i="18"/>
  <c r="Q133" i="18" s="1"/>
  <c r="S133" i="18" s="1"/>
  <c r="U118" i="5" l="1"/>
  <c r="C119" i="5" s="1"/>
  <c r="K134" i="18"/>
  <c r="Q134" i="18" s="1"/>
  <c r="S134" i="18" s="1"/>
  <c r="U119" i="5" l="1"/>
  <c r="C120" i="5" s="1"/>
  <c r="K135" i="18"/>
  <c r="Q135" i="18" s="1"/>
  <c r="S135" i="18" s="1"/>
  <c r="U120" i="5" l="1"/>
  <c r="C121" i="5" s="1"/>
  <c r="K136" i="18"/>
  <c r="Q136" i="18" s="1"/>
  <c r="S136" i="18" s="1"/>
  <c r="U121" i="5" l="1"/>
  <c r="C122" i="5" s="1"/>
  <c r="K137" i="18"/>
  <c r="Q137" i="18" s="1"/>
  <c r="S137" i="18" s="1"/>
  <c r="U122" i="5" l="1"/>
  <c r="K138" i="18"/>
  <c r="Q138" i="18" s="1"/>
  <c r="S138" i="18" s="1"/>
  <c r="K139" i="18" l="1"/>
  <c r="Q139" i="18" s="1"/>
  <c r="S139" i="18" s="1"/>
  <c r="K140" i="18" l="1"/>
  <c r="Q140" i="18" s="1"/>
  <c r="S140" i="18" s="1"/>
  <c r="K141" i="18" l="1"/>
  <c r="Q141" i="18" s="1"/>
  <c r="S141" i="18" s="1"/>
  <c r="K142" i="18" l="1"/>
  <c r="Q142" i="18" s="1"/>
  <c r="S142" i="18" s="1"/>
  <c r="K143" i="18" l="1"/>
  <c r="Q143" i="18" s="1"/>
  <c r="S143" i="18" s="1"/>
  <c r="K144" i="18" l="1"/>
  <c r="Q144" i="18" s="1"/>
  <c r="S144" i="18" s="1"/>
  <c r="K145" i="18" l="1"/>
  <c r="Q145" i="18" s="1"/>
  <c r="S145" i="18" s="1"/>
  <c r="K146" i="18" l="1"/>
  <c r="Q146" i="18" s="1"/>
  <c r="S146" i="18" s="1"/>
  <c r="K147" i="18" l="1"/>
  <c r="Q147" i="18" s="1"/>
  <c r="S147" i="1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920E4F-FC13-4FEA-9FC7-458E814D7548}" keepAlive="1" name="쿼리 - Table 0" description="통합 문서의 'Table 0' 쿼리에 대한 연결입니다." type="5" refreshedVersion="6" background="1" saveData="1">
    <dbPr connection="Provider=Microsoft.Mashup.OleDb.1;Data Source=$Workbook$;Location=Table 0;Extended Properties=&quot;&quot;" command="SELECT * FROM [Table 0]"/>
  </connection>
  <connection id="2" xr16:uid="{DCB66228-0DFD-4D8A-9D37-3178F146F7A2}" keepAlive="1" name="쿼리 - Table 0 (2)" description="통합 문서의 'Table 0 (2)' 쿼리에 대한 연결입니다." type="5" refreshedVersion="6" background="1">
    <dbPr connection="Provider=Microsoft.Mashup.OleDb.1;Data Source=$Workbook$;Location=Table 0 (2);Extended Properties=&quot;&quot;" command="SELECT * FROM [Table 0 (2)]"/>
  </connection>
  <connection id="3" xr16:uid="{9F41F2F1-88F1-4BCA-815E-B0B869331CAD}" keepAlive="1" name="쿼리 - Table 0 (3)" description="통합 문서의 'Table 0 (3)' 쿼리에 대한 연결입니다." type="5" refreshedVersion="6" background="1" saveData="1">
    <dbPr connection="Provider=Microsoft.Mashup.OleDb.1;Data Source=$Workbook$;Location=Table 0 (3);Extended Properties=&quot;&quot;" command="SELECT * FROM [Table 0 (3)]"/>
  </connection>
  <connection id="4" xr16:uid="{9901B80D-DE63-4056-AAA3-C36390E586A0}" keepAlive="1" name="쿼리 - Table 0 (4)" description="통합 문서의 'Table 0 (4)' 쿼리에 대한 연결입니다." type="5" refreshedVersion="6" background="1" saveData="1">
    <dbPr connection="Provider=Microsoft.Mashup.OleDb.1;Data Source=$Workbook$;Location=Table 0 (4);Extended Properties=&quot;&quot;" command="SELECT * FROM [Table 0 (4)]"/>
  </connection>
  <connection id="5" xr16:uid="{906F888F-B7EB-40C3-AC49-A75936793077}" keepAlive="1" name="쿼리 - Table 1" description="통합 문서의 'Table 1' 쿼리에 대한 연결입니다." type="5" refreshedVersion="6" background="1" saveData="1">
    <dbPr connection="Provider=Microsoft.Mashup.OleDb.1;Data Source=$Workbook$;Location=Table 1;Extended Properties=&quot;&quot;" command="SELECT * FROM [Table 1]"/>
  </connection>
  <connection id="6" xr16:uid="{37A02E5A-993C-4503-B4D4-915D437B92AE}" keepAlive="1" name="쿼리 - Table 1 (2)" description="통합 문서의 'Table 1 (2)' 쿼리에 대한 연결입니다." type="5" refreshedVersion="6" background="1" saveData="1">
    <dbPr connection="Provider=Microsoft.Mashup.OleDb.1;Data Source=$Workbook$;Location=Table 1 (2);Extended Properties=&quot;&quot;" command="SELECT * FROM [Table 1 (2)]"/>
  </connection>
  <connection id="7" xr16:uid="{C0F4DA0F-9C28-4B38-9A3B-417BD12D70AE}" keepAlive="1" name="쿼리 - Table 1 (3)" description="통합 문서의 'Table 1 (3)' 쿼리에 대한 연결입니다." type="5" refreshedVersion="6" background="1" saveData="1">
    <dbPr connection="Provider=Microsoft.Mashup.OleDb.1;Data Source=$Workbook$;Location=Table 1 (3);Extended Properties=&quot;&quot;" command="SELECT * FROM [Table 1 (3)]"/>
  </connection>
  <connection id="8" xr16:uid="{CC974E18-010A-4C4F-8019-55FCC07C877B}" keepAlive="1" name="쿼리 - Table 2" description="통합 문서의 'Table 2' 쿼리에 대한 연결입니다." type="5" refreshedVersion="6" background="1" saveData="1">
    <dbPr connection="Provider=Microsoft.Mashup.OleDb.1;Data Source=$Workbook$;Location=Table 2;Extended Properties=&quot;&quot;" command="SELECT * FROM [Table 2]"/>
  </connection>
  <connection id="9" xr16:uid="{4A019320-0502-4FBA-9F8B-5A5ECB3DA8F9}" keepAlive="1" name="쿼리 - 일별시세" description="통합 문서의 '일별시세' 쿼리에 대한 연결입니다." type="5" refreshedVersion="6" background="1" saveData="1">
    <dbPr connection="Provider=Microsoft.Mashup.OleDb.1;Data Source=$Workbook$;Location=일별시세;Extended Properties=&quot;&quot;" command="SELECT * FROM [일별시세]"/>
  </connection>
</connections>
</file>

<file path=xl/sharedStrings.xml><?xml version="1.0" encoding="utf-8"?>
<sst xmlns="http://schemas.openxmlformats.org/spreadsheetml/2006/main" count="497" uniqueCount="234">
  <si>
    <t>세금</t>
    <phoneticPr fontId="1" type="noConversion"/>
  </si>
  <si>
    <t>투자</t>
    <phoneticPr fontId="1" type="noConversion"/>
  </si>
  <si>
    <t>임차료</t>
    <phoneticPr fontId="1" type="noConversion"/>
  </si>
  <si>
    <t>보험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</si>
  <si>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</si>
  <si>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</si>
  <si>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</si>
  <si>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</si>
  <si>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</si>
  <si>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</si>
  <si>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</si>
  <si>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</si>
  <si>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</si>
  <si>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</si>
  <si>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</si>
  <si>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</si>
  <si>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</si>
  <si>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</si>
  <si>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</si>
  <si>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</si>
  <si>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</si>
  <si>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</si>
  <si>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</si>
  <si>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</si>
  <si>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</si>
  <si>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</si>
  <si>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</si>
  <si>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</si>
  <si>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</si>
  <si>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</si>
  <si>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</si>
  <si>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</si>
  <si>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</si>
  <si>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</si>
  <si>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</si>
  <si>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</si>
  <si>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</si>
  <si>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</si>
  <si>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</si>
  <si>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</si>
  <si>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</si>
  <si>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</si>
  <si>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</si>
  <si>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</si>
  <si>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</si>
  <si>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</si>
  <si>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</si>
  <si>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</si>
  <si>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</si>
  <si>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</si>
  <si>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</si>
  <si>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</si>
  <si>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</si>
  <si>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</si>
  <si>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</si>
  <si>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</si>
  <si>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</si>
  <si>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</si>
  <si>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</si>
  <si>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</si>
  <si>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</si>
  <si>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</si>
  <si>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</si>
  <si>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</si>
  <si>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</si>
  <si>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</si>
  <si>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</si>
  <si>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</si>
  <si>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</si>
  <si>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</si>
  <si>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</si>
  <si>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</si>
  <si>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</si>
  <si>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</si>
  <si>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</si>
  <si>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</si>
  <si>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</si>
  <si>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</si>
  <si>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</si>
  <si>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</si>
  <si>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</si>
  <si>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</si>
  <si>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</si>
  <si>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</si>
  <si>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현금흐름</t>
    <phoneticPr fontId="1" type="noConversion"/>
  </si>
  <si>
    <t>퇴직금(자산)*</t>
    <phoneticPr fontId="1" type="noConversion"/>
  </si>
  <si>
    <t>유동자산금액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</si>
  <si>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</si>
  <si>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</si>
  <si>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</si>
  <si>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</si>
  <si>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</si>
  <si>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</si>
  <si>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</si>
  <si>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</si>
  <si>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</si>
  <si>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</si>
  <si>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</si>
  <si>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</si>
  <si>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</si>
  <si>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</si>
  <si>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</si>
  <si>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</si>
  <si>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</si>
  <si>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</si>
  <si>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</si>
  <si>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</si>
  <si>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</si>
  <si>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</si>
  <si>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</si>
  <si>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</si>
  <si>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</si>
  <si>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</si>
  <si>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</si>
  <si>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</si>
  <si>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</si>
  <si>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</si>
  <si>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</si>
  <si>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</si>
  <si>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</si>
  <si>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</si>
  <si>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</si>
  <si>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</si>
  <si>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</si>
  <si>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</si>
  <si>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</si>
  <si>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</si>
  <si>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</si>
  <si>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</si>
  <si>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</si>
  <si>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</si>
  <si>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</si>
  <si>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</si>
  <si>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</si>
  <si>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</si>
  <si>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</si>
  <si>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</si>
  <si>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</si>
  <si>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</si>
  <si>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</si>
  <si>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</si>
  <si>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</si>
  <si>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</si>
  <si>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</si>
  <si>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</si>
  <si>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</si>
  <si>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</si>
  <si>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</si>
  <si>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</si>
  <si>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</si>
  <si>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</si>
  <si>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</si>
  <si>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</si>
  <si>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</si>
  <si>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</si>
  <si>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</si>
  <si>
    <t>https://brunch.co.kr/@carpediem7760/43</t>
  </si>
  <si>
    <t>2022-1</t>
    <phoneticPr fontId="1" type="noConversion"/>
  </si>
  <si>
    <t>회수금</t>
    <phoneticPr fontId="1" type="noConversion"/>
  </si>
  <si>
    <t>투자원금</t>
    <phoneticPr fontId="1" type="noConversion"/>
  </si>
  <si>
    <t>노란공제(사업해제)</t>
    <phoneticPr fontId="1" type="noConversion"/>
  </si>
  <si>
    <t>비유동자산</t>
    <phoneticPr fontId="1" type="noConversion"/>
  </si>
  <si>
    <t>유동자산</t>
    <phoneticPr fontId="1" type="noConversion"/>
  </si>
  <si>
    <t>IRP 퇴직 
(사업해제)</t>
    <phoneticPr fontId="1" type="noConversion"/>
  </si>
  <si>
    <t>퇴직 연금 
(만55세)</t>
    <phoneticPr fontId="1" type="noConversion"/>
  </si>
  <si>
    <t>원금</t>
    <phoneticPr fontId="1" type="noConversion"/>
  </si>
  <si>
    <t>현금</t>
    <phoneticPr fontId="1" type="noConversion"/>
  </si>
  <si>
    <t>합계</t>
    <phoneticPr fontId="1" type="noConversion"/>
  </si>
  <si>
    <t>2022-2</t>
    <phoneticPr fontId="1" type="noConversion"/>
  </si>
  <si>
    <t>부동산</t>
    <phoneticPr fontId="1" type="noConversion"/>
  </si>
  <si>
    <t>대출</t>
    <phoneticPr fontId="1" type="noConversion"/>
  </si>
  <si>
    <t>유동대출</t>
    <phoneticPr fontId="1" type="noConversion"/>
  </si>
  <si>
    <t>비유동대출</t>
    <phoneticPr fontId="1" type="noConversion"/>
  </si>
  <si>
    <t>대출합계</t>
    <phoneticPr fontId="1" type="noConversion"/>
  </si>
  <si>
    <t>순 자산 합계</t>
    <phoneticPr fontId="1" type="noConversion"/>
  </si>
  <si>
    <t>보유자금</t>
    <phoneticPr fontId="1" type="noConversion"/>
  </si>
  <si>
    <t>2022-3</t>
    <phoneticPr fontId="1" type="noConversion"/>
  </si>
  <si>
    <t>주택청약</t>
    <phoneticPr fontId="1" type="noConversion"/>
  </si>
  <si>
    <t>전기료+가스비</t>
    <phoneticPr fontId="1" type="noConversion"/>
  </si>
  <si>
    <t>생활비(카드 + 기타)</t>
    <phoneticPr fontId="1" type="noConversion"/>
  </si>
  <si>
    <t>가족지출</t>
    <phoneticPr fontId="1" type="noConversion"/>
  </si>
  <si>
    <t>2024-5</t>
    <phoneticPr fontId="1" type="noConversion"/>
  </si>
  <si>
    <t>신용대출</t>
    <phoneticPr fontId="1" type="noConversion"/>
  </si>
  <si>
    <t>주식 자산 합계</t>
    <phoneticPr fontId="1" type="noConversion"/>
  </si>
  <si>
    <t>사업지출</t>
    <phoneticPr fontId="1" type="noConversion"/>
  </si>
  <si>
    <t>침대 200 + 여행 150</t>
    <phoneticPr fontId="1" type="noConversion"/>
  </si>
  <si>
    <t>2024-9</t>
    <phoneticPr fontId="1" type="noConversion"/>
  </si>
  <si>
    <t>와이프420</t>
    <phoneticPr fontId="1" type="noConversion"/>
  </si>
  <si>
    <t>K뱅크 대출 6000 , 6% 1년</t>
    <phoneticPr fontId="1" type="noConversion"/>
  </si>
  <si>
    <t>대출6370만원</t>
    <phoneticPr fontId="1" type="noConversion"/>
  </si>
  <si>
    <t>24년 12월 현재 매매법(원금 6천 월 30이상이 이익)</t>
    <phoneticPr fontId="1" type="noConversion"/>
  </si>
  <si>
    <t>와이프돈 1020</t>
    <phoneticPr fontId="1" type="noConversion"/>
  </si>
  <si>
    <t>대출원금+이자</t>
    <phoneticPr fontId="1" type="noConversion"/>
  </si>
  <si>
    <t xml:space="preserve">원금 </t>
    <phoneticPr fontId="1" type="noConversion"/>
  </si>
  <si>
    <t>25년 01월 현재 매매법(원금 6천 월 30이상이 이익)</t>
    <phoneticPr fontId="1" type="noConversion"/>
  </si>
  <si>
    <t>2010-K7</t>
    <phoneticPr fontId="1" type="noConversion"/>
  </si>
  <si>
    <t>엔진 오일 및 오일 필터</t>
    <phoneticPr fontId="1" type="noConversion"/>
  </si>
  <si>
    <t>2025-01 구매-시작</t>
    <phoneticPr fontId="1" type="noConversion"/>
  </si>
  <si>
    <t>미션오일</t>
    <phoneticPr fontId="1" type="noConversion"/>
  </si>
  <si>
    <t>냉각수</t>
    <phoneticPr fontId="1" type="noConversion"/>
  </si>
  <si>
    <t>1.6mm</t>
    <phoneticPr fontId="1" type="noConversion"/>
  </si>
  <si>
    <t>타이어교체기준</t>
    <phoneticPr fontId="1" type="noConversion"/>
  </si>
  <si>
    <t>브레이크 패드 및 디스크</t>
    <phoneticPr fontId="1" type="noConversion"/>
  </si>
  <si>
    <t>에어컨필터</t>
    <phoneticPr fontId="1" type="noConversion"/>
  </si>
  <si>
    <t xml:space="preserve">와이퍼 블래이드 </t>
    <phoneticPr fontId="1" type="noConversion"/>
  </si>
  <si>
    <t>1년</t>
    <phoneticPr fontId="1" type="noConversion"/>
  </si>
  <si>
    <t>엔진벨트</t>
    <phoneticPr fontId="1" type="noConversion"/>
  </si>
  <si>
    <t>불스원샷</t>
    <phoneticPr fontId="1" type="noConversion"/>
  </si>
  <si>
    <t>기타수입</t>
    <phoneticPr fontId="1" type="noConversion"/>
  </si>
  <si>
    <t>2024-12</t>
    <phoneticPr fontId="1" type="noConversion"/>
  </si>
  <si>
    <t>와이프돈 1020 + 이자 40, 주식으로 2000 추가 어머니돈 2000계좌로</t>
    <phoneticPr fontId="1" type="noConversion"/>
  </si>
  <si>
    <t>4월 30일기준 3100 박살.. 에휴</t>
    <phoneticPr fontId="1" type="noConversion"/>
  </si>
  <si>
    <t>2025-05</t>
    <phoneticPr fontId="1" type="noConversion"/>
  </si>
  <si>
    <t>집구매</t>
    <phoneticPr fontId="1" type="noConversion"/>
  </si>
  <si>
    <t>RSI</t>
    <phoneticPr fontId="1" type="noConversion"/>
  </si>
  <si>
    <t>피어엔그리드</t>
    <phoneticPr fontId="1" type="noConversion"/>
  </si>
  <si>
    <t>기준으로 일지 생성</t>
    <phoneticPr fontId="1" type="noConversion"/>
  </si>
  <si>
    <t>이슈 달력</t>
    <phoneticPr fontId="1" type="noConversion"/>
  </si>
  <si>
    <t>대출원금이거나 차량</t>
    <phoneticPr fontId="1" type="noConversion"/>
  </si>
  <si>
    <t>와이프 지원금 현금 1030</t>
    <phoneticPr fontId="1" type="noConversion"/>
  </si>
  <si>
    <t>집대출원금</t>
    <phoneticPr fontId="1" type="noConversion"/>
  </si>
  <si>
    <t>오일</t>
    <phoneticPr fontId="1" type="noConversion"/>
  </si>
  <si>
    <t>달라</t>
    <phoneticPr fontId="1" type="noConversion"/>
  </si>
  <si>
    <t>원화</t>
    <phoneticPr fontId="1" type="noConversion"/>
  </si>
  <si>
    <t>한국주식</t>
    <phoneticPr fontId="1" type="noConversion"/>
  </si>
  <si>
    <t>미국주식</t>
    <phoneticPr fontId="1" type="noConversion"/>
  </si>
  <si>
    <t>미국채권</t>
    <phoneticPr fontId="1" type="noConversion"/>
  </si>
  <si>
    <t>현금</t>
    <phoneticPr fontId="1" type="noConversion"/>
  </si>
  <si>
    <t>총금액</t>
    <phoneticPr fontId="1" type="noConversion"/>
  </si>
  <si>
    <t>기준금액</t>
    <phoneticPr fontId="1" type="noConversion"/>
  </si>
  <si>
    <t>2025-06</t>
    <phoneticPr fontId="1" type="noConversion"/>
  </si>
  <si>
    <t>달라</t>
    <phoneticPr fontId="1" type="noConversion"/>
  </si>
  <si>
    <t>원화</t>
    <phoneticPr fontId="1" type="noConversion"/>
  </si>
  <si>
    <t>대출 2.56억 기준 (380,000,000) ,  (쳥약통장680 + 보증금5400 + 어머니 증여 100000000) , 세금 이사비 기타 900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</si>
</sst>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_ "/>
    <numFmt numFmtId="181" formatCode="_-\$* #,##0_ ;_-\$* \-#,##0\ ;_-\$* &quot;-&quot;_ ;_-@_ "/>
    <numFmt numFmtId="182" formatCode="#,##0.000_ "/>
    <numFmt numFmtId="183" formatCode="#,##0.00_ "/>
    <numFmt numFmtId="184" formatCode="#,##0_ "/>
    <numFmt numFmtId="185" formatCode="0.000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5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367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177" fontId="0" fillId="0" borderId="30" xfId="0" applyNumberFormat="1" applyBorder="1">
      <alignment vertical="center"/>
    </xf>
    <xf numFmtId="0" fontId="0" fillId="3" borderId="34" xfId="0" applyFill="1" applyBorder="1">
      <alignment vertical="center"/>
    </xf>
    <xf numFmtId="0" fontId="0" fillId="3" borderId="37" xfId="0" applyFill="1" applyBorder="1">
      <alignment vertical="center"/>
    </xf>
    <xf numFmtId="0" fontId="0" fillId="40" borderId="1" xfId="0" applyFill="1" applyBorder="1">
      <alignment vertical="center"/>
    </xf>
    <xf numFmtId="0" fontId="0" fillId="40" borderId="2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21" xfId="0" applyFill="1" applyBorder="1">
      <alignment vertical="center"/>
    </xf>
    <xf numFmtId="0" fontId="0" fillId="5" borderId="24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2" xfId="0" applyFill="1" applyBorder="1">
      <alignment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0" fontId="0" fillId="0" borderId="39" xfId="0" applyBorder="1">
      <alignment vertical="center"/>
    </xf>
    <xf numFmtId="0" fontId="0" fillId="40" borderId="21" xfId="0" applyFill="1" applyBorder="1">
      <alignment vertical="center"/>
    </xf>
    <xf numFmtId="0" fontId="0" fillId="41" borderId="24" xfId="0" applyFill="1" applyBorder="1">
      <alignment vertical="center"/>
    </xf>
    <xf numFmtId="0" fontId="0" fillId="41" borderId="0" xfId="0" applyFill="1">
      <alignment vertical="center"/>
    </xf>
    <xf numFmtId="0" fontId="0" fillId="3" borderId="38" xfId="0" applyFill="1" applyBorder="1">
      <alignment vertical="center"/>
    </xf>
    <xf numFmtId="177" fontId="2" fillId="5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5" fillId="37" borderId="44" xfId="0" applyFont="1" applyFill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2" fillId="42" borderId="1" xfId="0" applyFont="1" applyFill="1" applyBorder="1" applyAlignment="1">
      <alignment horizontal="center" vertical="center"/>
    </xf>
    <xf numFmtId="180" fontId="0" fillId="43" borderId="1" xfId="0" applyNumberFormat="1" applyFill="1" applyBorder="1">
      <alignment vertical="center"/>
    </xf>
    <xf numFmtId="180" fontId="0" fillId="39" borderId="1" xfId="0" applyNumberFormat="1" applyFill="1" applyBorder="1">
      <alignment vertical="center"/>
    </xf>
    <xf numFmtId="0" fontId="2" fillId="0" borderId="45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0" borderId="29" xfId="0" applyFont="1" applyBorder="1" applyAlignment="1">
      <alignment horizontal="left" vertical="center" wrapText="1"/>
    </xf>
    <xf numFmtId="3" fontId="0" fillId="0" borderId="21" xfId="0" applyNumberFormat="1" applyBorder="1" applyAlignment="1">
      <alignment horizontal="center" vertical="center"/>
    </xf>
    <xf numFmtId="0" fontId="0" fillId="0" borderId="31" xfId="0" applyBorder="1">
      <alignment vertical="center"/>
    </xf>
    <xf numFmtId="3" fontId="0" fillId="0" borderId="27" xfId="0" applyNumberFormat="1" applyBorder="1">
      <alignment vertical="center"/>
    </xf>
    <xf numFmtId="0" fontId="0" fillId="0" borderId="28" xfId="0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33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0" fillId="42" borderId="0" xfId="0" applyFill="1">
      <alignment vertical="center"/>
    </xf>
    <xf numFmtId="180" fontId="0" fillId="0" borderId="21" xfId="0" applyNumberFormat="1" applyBorder="1">
      <alignment vertical="center"/>
    </xf>
    <xf numFmtId="3" fontId="0" fillId="0" borderId="21" xfId="0" applyNumberFormat="1" applyBorder="1">
      <alignment vertical="center"/>
    </xf>
    <xf numFmtId="0" fontId="2" fillId="0" borderId="39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17" xfId="0" applyFont="1" applyBorder="1" applyAlignment="1">
      <alignment horizontal="left" vertical="center" wrapText="1"/>
    </xf>
    <xf numFmtId="3" fontId="0" fillId="0" borderId="1" xfId="0" applyNumberFormat="1" applyBorder="1" applyAlignment="1">
      <alignment horizontal="center" vertical="center"/>
    </xf>
    <xf numFmtId="0" fontId="2" fillId="0" borderId="26" xfId="0" applyFont="1" applyBorder="1">
      <alignment vertical="center"/>
    </xf>
    <xf numFmtId="0" fontId="2" fillId="0" borderId="17" xfId="0" applyFont="1" applyBorder="1">
      <alignment vertical="center"/>
    </xf>
    <xf numFmtId="0" fontId="0" fillId="0" borderId="21" xfId="0" applyBorder="1">
      <alignment vertical="center"/>
    </xf>
    <xf numFmtId="3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2" fillId="0" borderId="43" xfId="0" applyFont="1" applyBorder="1">
      <alignment vertical="center"/>
    </xf>
    <xf numFmtId="0" fontId="0" fillId="0" borderId="36" xfId="0" applyBorder="1">
      <alignment vertical="center"/>
    </xf>
    <xf numFmtId="0" fontId="0" fillId="0" borderId="43" xfId="0" applyBorder="1">
      <alignment vertical="center"/>
    </xf>
    <xf numFmtId="180" fontId="2" fillId="0" borderId="1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2" borderId="1" xfId="0" applyFill="1" applyBorder="1">
      <alignment vertical="center"/>
    </xf>
    <xf numFmtId="177" fontId="0" fillId="2" borderId="30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4" xfId="0" applyFont="1" applyFill="1" applyBorder="1">
      <alignment vertical="center"/>
    </xf>
    <xf numFmtId="0" fontId="0" fillId="40" borderId="5" xfId="0" applyFill="1" applyBorder="1">
      <alignment vertical="center"/>
    </xf>
    <xf numFmtId="0" fontId="0" fillId="40" borderId="23" xfId="0" applyFill="1" applyBorder="1">
      <alignment vertical="center"/>
    </xf>
    <xf numFmtId="0" fontId="0" fillId="40" borderId="25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3" xfId="0" applyFill="1" applyBorder="1">
      <alignment vertical="center"/>
    </xf>
    <xf numFmtId="0" fontId="0" fillId="5" borderId="25" xfId="0" applyFill="1" applyBorder="1">
      <alignment vertical="center"/>
    </xf>
    <xf numFmtId="0" fontId="0" fillId="41" borderId="5" xfId="0" applyFill="1" applyBorder="1">
      <alignment vertical="center"/>
    </xf>
    <xf numFmtId="0" fontId="0" fillId="43" borderId="34" xfId="0" applyFill="1" applyBorder="1">
      <alignment vertical="center"/>
    </xf>
    <xf numFmtId="182" fontId="2" fillId="43" borderId="3" xfId="0" applyNumberFormat="1" applyFont="1" applyFill="1" applyBorder="1">
      <alignment vertical="center"/>
    </xf>
    <xf numFmtId="0" fontId="0" fillId="43" borderId="1" xfId="0" applyFill="1" applyBorder="1">
      <alignment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0" fontId="2" fillId="39" borderId="22" xfId="0" applyFont="1" applyFill="1" applyBorder="1" applyAlignment="1">
      <alignment horizontal="center" vertical="center"/>
    </xf>
    <xf numFmtId="177" fontId="2" fillId="2" borderId="1" xfId="0" applyNumberFormat="1" applyFont="1" applyFill="1" applyBorder="1">
      <alignment vertical="center"/>
    </xf>
    <xf numFmtId="177" fontId="0" fillId="4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82" fontId="2" fillId="5" borderId="3" xfId="0" applyNumberFormat="1" applyFont="1" applyFill="1" applyBorder="1">
      <alignment vertical="center"/>
    </xf>
    <xf numFmtId="0" fontId="2" fillId="5" borderId="29" xfId="0" applyFont="1" applyFill="1" applyBorder="1">
      <alignment vertical="center"/>
    </xf>
    <xf numFmtId="0" fontId="0" fillId="43" borderId="5" xfId="0" applyFill="1" applyBorder="1">
      <alignment vertical="center"/>
    </xf>
    <xf numFmtId="0" fontId="0" fillId="43" borderId="0" xfId="0" applyFill="1">
      <alignment vertical="center"/>
    </xf>
    <xf numFmtId="14" fontId="0" fillId="0" borderId="1" xfId="0" applyNumberFormat="1" applyBorder="1">
      <alignment vertical="center"/>
    </xf>
    <xf numFmtId="0" fontId="0" fillId="40" borderId="4" xfId="0" applyFill="1" applyBorder="1">
      <alignment vertical="center"/>
    </xf>
    <xf numFmtId="0" fontId="0" fillId="3" borderId="4" xfId="0" applyFill="1" applyBorder="1">
      <alignment vertical="center"/>
    </xf>
    <xf numFmtId="0" fontId="2" fillId="5" borderId="22" xfId="0" applyFont="1" applyFill="1" applyBorder="1" applyAlignment="1">
      <alignment horizontal="center" vertical="center"/>
    </xf>
    <xf numFmtId="176" fontId="2" fillId="5" borderId="4" xfId="0" applyNumberFormat="1" applyFont="1" applyFill="1" applyBorder="1">
      <alignment vertical="center"/>
    </xf>
    <xf numFmtId="179" fontId="2" fillId="3" borderId="23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>
      <alignment vertical="center"/>
    </xf>
    <xf numFmtId="179" fontId="2" fillId="3" borderId="0" xfId="0" applyNumberFormat="1" applyFont="1" applyFill="1">
      <alignment vertical="center"/>
    </xf>
    <xf numFmtId="0" fontId="2" fillId="5" borderId="52" xfId="0" applyFont="1" applyFill="1" applyBorder="1">
      <alignment vertical="center"/>
    </xf>
    <xf numFmtId="0" fontId="2" fillId="39" borderId="1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176" fontId="2" fillId="40" borderId="1" xfId="0" applyNumberFormat="1" applyFont="1" applyFill="1" applyBorder="1">
      <alignment vertical="center"/>
    </xf>
    <xf numFmtId="182" fontId="2" fillId="40" borderId="4" xfId="0" applyNumberFormat="1" applyFont="1" applyFill="1" applyBorder="1">
      <alignment vertical="center"/>
    </xf>
    <xf numFmtId="177" fontId="2" fillId="40" borderId="1" xfId="0" applyNumberFormat="1" applyFont="1" applyFill="1" applyBorder="1">
      <alignment vertical="center"/>
    </xf>
    <xf numFmtId="176" fontId="2" fillId="40" borderId="5" xfId="0" applyNumberFormat="1" applyFont="1" applyFill="1" applyBorder="1">
      <alignment vertical="center"/>
    </xf>
    <xf numFmtId="0" fontId="2" fillId="40" borderId="4" xfId="0" applyFont="1" applyFill="1" applyBorder="1">
      <alignment vertical="center"/>
    </xf>
    <xf numFmtId="176" fontId="2" fillId="40" borderId="4" xfId="0" applyNumberFormat="1" applyFont="1" applyFill="1" applyBorder="1">
      <alignment vertical="center"/>
    </xf>
    <xf numFmtId="0" fontId="2" fillId="40" borderId="1" xfId="0" applyFont="1" applyFill="1" applyBorder="1">
      <alignment vertical="center"/>
    </xf>
    <xf numFmtId="10" fontId="0" fillId="0" borderId="0" xfId="0" applyNumberFormat="1">
      <alignment vertical="center"/>
    </xf>
    <xf numFmtId="177" fontId="2" fillId="2" borderId="22" xfId="0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>
      <alignment vertical="center"/>
    </xf>
    <xf numFmtId="177" fontId="0" fillId="2" borderId="4" xfId="0" applyNumberForma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0" fillId="40" borderId="4" xfId="0" applyNumberFormat="1" applyFill="1" applyBorder="1">
      <alignment vertical="center"/>
    </xf>
    <xf numFmtId="177" fontId="0" fillId="2" borderId="0" xfId="0" applyNumberFormat="1" applyFill="1">
      <alignment vertical="center"/>
    </xf>
    <xf numFmtId="0" fontId="24" fillId="2" borderId="23" xfId="0" applyFont="1" applyFill="1" applyBorder="1" applyAlignment="1">
      <alignment horizontal="center" vertical="center"/>
    </xf>
    <xf numFmtId="176" fontId="2" fillId="2" borderId="5" xfId="0" applyNumberFormat="1" applyFont="1" applyFill="1" applyBorder="1">
      <alignment vertical="center"/>
    </xf>
    <xf numFmtId="176" fontId="2" fillId="2" borderId="56" xfId="0" applyNumberFormat="1" applyFont="1" applyFill="1" applyBorder="1">
      <alignment vertical="center"/>
    </xf>
    <xf numFmtId="176" fontId="2" fillId="43" borderId="56" xfId="0" applyNumberFormat="1" applyFont="1" applyFill="1" applyBorder="1">
      <alignment vertical="center"/>
    </xf>
    <xf numFmtId="0" fontId="2" fillId="2" borderId="30" xfId="0" applyFont="1" applyFill="1" applyBorder="1">
      <alignment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39" borderId="23" xfId="0" applyNumberFormat="1" applyFont="1" applyFill="1" applyBorder="1" applyAlignment="1">
      <alignment horizontal="center" vertical="center"/>
    </xf>
    <xf numFmtId="177" fontId="2" fillId="5" borderId="5" xfId="0" applyNumberFormat="1" applyFont="1" applyFill="1" applyBorder="1">
      <alignment vertical="center"/>
    </xf>
    <xf numFmtId="177" fontId="0" fillId="40" borderId="5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177" fontId="0" fillId="4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0" fillId="40" borderId="1" xfId="0" applyNumberFormat="1" applyFill="1" applyBorder="1">
      <alignment vertical="center"/>
    </xf>
    <xf numFmtId="0" fontId="2" fillId="41" borderId="1" xfId="0" applyFont="1" applyFill="1" applyBorder="1">
      <alignment vertical="center"/>
    </xf>
    <xf numFmtId="176" fontId="2" fillId="41" borderId="1" xfId="0" applyNumberFormat="1" applyFont="1" applyFill="1" applyBorder="1">
      <alignment vertical="center"/>
    </xf>
    <xf numFmtId="180" fontId="0" fillId="0" borderId="0" xfId="0" applyNumberFormat="1">
      <alignment vertical="center"/>
    </xf>
    <xf numFmtId="0" fontId="0" fillId="42" borderId="1" xfId="0" applyFill="1" applyBorder="1">
      <alignment vertical="center"/>
    </xf>
    <xf numFmtId="176" fontId="0" fillId="42" borderId="1" xfId="0" applyNumberFormat="1" applyFill="1" applyBorder="1">
      <alignment vertical="center"/>
    </xf>
    <xf numFmtId="0" fontId="26" fillId="42" borderId="1" xfId="0" applyFont="1" applyFill="1" applyBorder="1">
      <alignment vertical="center"/>
    </xf>
    <xf numFmtId="176" fontId="26" fillId="42" borderId="1" xfId="0" applyNumberFormat="1" applyFont="1" applyFill="1" applyBorder="1">
      <alignment vertical="center"/>
    </xf>
    <xf numFmtId="176" fontId="0" fillId="41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39" borderId="1" xfId="0" applyNumberFormat="1" applyFill="1" applyBorder="1">
      <alignment vertical="center"/>
    </xf>
    <xf numFmtId="0" fontId="26" fillId="2" borderId="1" xfId="0" applyFont="1" applyFill="1" applyBorder="1">
      <alignment vertical="center"/>
    </xf>
    <xf numFmtId="176" fontId="26" fillId="2" borderId="1" xfId="0" applyNumberFormat="1" applyFont="1" applyFill="1" applyBorder="1">
      <alignment vertical="center"/>
    </xf>
    <xf numFmtId="0" fontId="0" fillId="39" borderId="1" xfId="0" applyFill="1" applyBorder="1">
      <alignment vertical="center"/>
    </xf>
    <xf numFmtId="0" fontId="0" fillId="40" borderId="38" xfId="0" applyFill="1" applyBorder="1">
      <alignment vertical="center"/>
    </xf>
    <xf numFmtId="0" fontId="0" fillId="40" borderId="37" xfId="0" applyFill="1" applyBorder="1">
      <alignment vertical="center"/>
    </xf>
    <xf numFmtId="0" fontId="0" fillId="44" borderId="1" xfId="0" applyFill="1" applyBorder="1">
      <alignment vertical="center"/>
    </xf>
    <xf numFmtId="0" fontId="0" fillId="44" borderId="4" xfId="0" applyFill="1" applyBorder="1">
      <alignment vertical="center"/>
    </xf>
    <xf numFmtId="177" fontId="0" fillId="44" borderId="5" xfId="0" applyNumberFormat="1" applyFill="1" applyBorder="1">
      <alignment vertical="center"/>
    </xf>
    <xf numFmtId="177" fontId="0" fillId="44" borderId="1" xfId="0" applyNumberFormat="1" applyFill="1" applyBorder="1">
      <alignment vertical="center"/>
    </xf>
    <xf numFmtId="176" fontId="2" fillId="44" borderId="56" xfId="0" applyNumberFormat="1" applyFont="1" applyFill="1" applyBorder="1">
      <alignment vertical="center"/>
    </xf>
    <xf numFmtId="182" fontId="2" fillId="44" borderId="3" xfId="0" applyNumberFormat="1" applyFont="1" applyFill="1" applyBorder="1">
      <alignment vertical="center"/>
    </xf>
    <xf numFmtId="177" fontId="2" fillId="44" borderId="1" xfId="0" applyNumberFormat="1" applyFont="1" applyFill="1" applyBorder="1">
      <alignment vertical="center"/>
    </xf>
    <xf numFmtId="176" fontId="2" fillId="44" borderId="5" xfId="0" applyNumberFormat="1" applyFont="1" applyFill="1" applyBorder="1">
      <alignment vertical="center"/>
    </xf>
    <xf numFmtId="176" fontId="2" fillId="44" borderId="1" xfId="0" applyNumberFormat="1" applyFont="1" applyFill="1" applyBorder="1">
      <alignment vertical="center"/>
    </xf>
    <xf numFmtId="0" fontId="0" fillId="44" borderId="5" xfId="0" applyFill="1" applyBorder="1">
      <alignment vertical="center"/>
    </xf>
    <xf numFmtId="0" fontId="18" fillId="42" borderId="57" xfId="41" applyFill="1" applyBorder="1">
      <alignment vertical="center"/>
    </xf>
    <xf numFmtId="0" fontId="0" fillId="42" borderId="21" xfId="0" applyFill="1" applyBorder="1">
      <alignment vertical="center"/>
    </xf>
    <xf numFmtId="0" fontId="0" fillId="40" borderId="24" xfId="0" applyFill="1" applyBorder="1">
      <alignment vertical="center"/>
    </xf>
    <xf numFmtId="176" fontId="2" fillId="40" borderId="55" xfId="0" applyNumberFormat="1" applyFont="1" applyFill="1" applyBorder="1">
      <alignment vertical="center"/>
    </xf>
    <xf numFmtId="182" fontId="2" fillId="40" borderId="3" xfId="0" applyNumberFormat="1" applyFont="1" applyFill="1" applyBorder="1">
      <alignment vertical="center"/>
    </xf>
    <xf numFmtId="176" fontId="2" fillId="40" borderId="56" xfId="0" applyNumberFormat="1" applyFont="1" applyFill="1" applyBorder="1">
      <alignment vertical="center"/>
    </xf>
    <xf numFmtId="176" fontId="2" fillId="3" borderId="56" xfId="0" applyNumberFormat="1" applyFont="1" applyFill="1" applyBorder="1">
      <alignment vertical="center"/>
    </xf>
    <xf numFmtId="182" fontId="2" fillId="3" borderId="3" xfId="0" applyNumberFormat="1" applyFont="1" applyFill="1" applyBorder="1">
      <alignment vertical="center"/>
    </xf>
    <xf numFmtId="177" fontId="2" fillId="3" borderId="1" xfId="0" applyNumberFormat="1" applyFon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0" fontId="0" fillId="3" borderId="5" xfId="0" applyFill="1" applyBorder="1">
      <alignment vertical="center"/>
    </xf>
    <xf numFmtId="0" fontId="2" fillId="45" borderId="2" xfId="0" applyFont="1" applyFill="1" applyBorder="1" applyAlignment="1">
      <alignment horizontal="center" vertical="center"/>
    </xf>
    <xf numFmtId="177" fontId="2" fillId="45" borderId="1" xfId="0" applyNumberFormat="1" applyFont="1" applyFill="1" applyBorder="1">
      <alignment vertical="center"/>
    </xf>
    <xf numFmtId="0" fontId="2" fillId="45" borderId="1" xfId="0" applyFont="1" applyFill="1" applyBorder="1">
      <alignment vertical="center"/>
    </xf>
    <xf numFmtId="0" fontId="2" fillId="45" borderId="52" xfId="0" applyFont="1" applyFill="1" applyBorder="1">
      <alignment vertical="center"/>
    </xf>
    <xf numFmtId="0" fontId="0" fillId="46" borderId="21" xfId="0" applyFill="1" applyBorder="1">
      <alignment vertical="center"/>
    </xf>
    <xf numFmtId="176" fontId="0" fillId="46" borderId="1" xfId="0" applyNumberFormat="1" applyFill="1" applyBorder="1">
      <alignment vertical="center"/>
    </xf>
    <xf numFmtId="176" fontId="0" fillId="47" borderId="1" xfId="0" applyNumberFormat="1" applyFill="1" applyBorder="1">
      <alignment vertical="center"/>
    </xf>
    <xf numFmtId="0" fontId="0" fillId="46" borderId="1" xfId="0" applyFill="1" applyBorder="1">
      <alignment vertical="center"/>
    </xf>
    <xf numFmtId="176" fontId="26" fillId="40" borderId="1" xfId="0" applyNumberFormat="1" applyFont="1" applyFill="1" applyBorder="1">
      <alignment vertical="center"/>
    </xf>
    <xf numFmtId="0" fontId="26" fillId="40" borderId="1" xfId="0" applyFont="1" applyFill="1" applyBorder="1">
      <alignment vertical="center"/>
    </xf>
    <xf numFmtId="0" fontId="4" fillId="42" borderId="1" xfId="41" applyFont="1" applyFill="1" applyBorder="1">
      <alignment vertical="center"/>
    </xf>
    <xf numFmtId="176" fontId="26" fillId="42" borderId="1" xfId="41" applyNumberFormat="1" applyFont="1" applyFill="1" applyBorder="1">
      <alignment vertical="center"/>
    </xf>
    <xf numFmtId="176" fontId="26" fillId="40" borderId="1" xfId="41" applyNumberFormat="1" applyFont="1" applyFill="1" applyBorder="1">
      <alignment vertical="center"/>
    </xf>
    <xf numFmtId="3" fontId="0" fillId="0" borderId="21" xfId="0" applyNumberFormat="1" applyBorder="1" applyAlignment="1">
      <alignment horizontal="center" vertical="center" wrapText="1"/>
    </xf>
    <xf numFmtId="179" fontId="0" fillId="40" borderId="1" xfId="0" applyNumberFormat="1" applyFill="1" applyBorder="1">
      <alignment vertical="center"/>
    </xf>
    <xf numFmtId="179" fontId="26" fillId="40" borderId="1" xfId="0" applyNumberFormat="1" applyFont="1" applyFill="1" applyBorder="1">
      <alignment vertical="center"/>
    </xf>
    <xf numFmtId="179" fontId="26" fillId="40" borderId="57" xfId="41" applyNumberFormat="1" applyFont="1" applyFill="1" applyBorder="1">
      <alignment vertical="center"/>
    </xf>
    <xf numFmtId="179" fontId="0" fillId="40" borderId="21" xfId="0" applyNumberFormat="1" applyFill="1" applyBorder="1">
      <alignment vertical="center"/>
    </xf>
    <xf numFmtId="179" fontId="0" fillId="0" borderId="1" xfId="0" applyNumberFormat="1" applyBorder="1">
      <alignment vertical="center"/>
    </xf>
    <xf numFmtId="179" fontId="0" fillId="42" borderId="1" xfId="0" applyNumberFormat="1" applyFill="1" applyBorder="1">
      <alignment vertical="center"/>
    </xf>
    <xf numFmtId="0" fontId="0" fillId="48" borderId="33" xfId="0" applyFill="1" applyBorder="1">
      <alignment vertical="center"/>
    </xf>
    <xf numFmtId="0" fontId="0" fillId="48" borderId="34" xfId="0" applyFill="1" applyBorder="1">
      <alignment vertical="center"/>
    </xf>
    <xf numFmtId="177" fontId="0" fillId="48" borderId="5" xfId="0" applyNumberFormat="1" applyFill="1" applyBorder="1">
      <alignment vertical="center"/>
    </xf>
    <xf numFmtId="177" fontId="0" fillId="48" borderId="4" xfId="0" applyNumberFormat="1" applyFill="1" applyBorder="1">
      <alignment vertical="center"/>
    </xf>
    <xf numFmtId="177" fontId="0" fillId="48" borderId="1" xfId="0" applyNumberFormat="1" applyFill="1" applyBorder="1">
      <alignment vertical="center"/>
    </xf>
    <xf numFmtId="176" fontId="2" fillId="48" borderId="56" xfId="0" applyNumberFormat="1" applyFont="1" applyFill="1" applyBorder="1">
      <alignment vertical="center"/>
    </xf>
    <xf numFmtId="182" fontId="2" fillId="48" borderId="3" xfId="0" applyNumberFormat="1" applyFont="1" applyFill="1" applyBorder="1">
      <alignment vertical="center"/>
    </xf>
    <xf numFmtId="177" fontId="2" fillId="48" borderId="1" xfId="0" applyNumberFormat="1" applyFont="1" applyFill="1" applyBorder="1">
      <alignment vertical="center"/>
    </xf>
    <xf numFmtId="176" fontId="2" fillId="48" borderId="5" xfId="0" applyNumberFormat="1" applyFont="1" applyFill="1" applyBorder="1">
      <alignment vertical="center"/>
    </xf>
    <xf numFmtId="176" fontId="2" fillId="48" borderId="1" xfId="0" applyNumberFormat="1" applyFont="1" applyFill="1" applyBorder="1">
      <alignment vertical="center"/>
    </xf>
    <xf numFmtId="0" fontId="0" fillId="48" borderId="38" xfId="0" applyFill="1" applyBorder="1">
      <alignment vertical="center"/>
    </xf>
    <xf numFmtId="0" fontId="0" fillId="48" borderId="37" xfId="0" applyFill="1" applyBorder="1">
      <alignment vertical="center"/>
    </xf>
    <xf numFmtId="0" fontId="0" fillId="42" borderId="4" xfId="0" applyFill="1" applyBorder="1">
      <alignment vertical="center"/>
    </xf>
    <xf numFmtId="177" fontId="0" fillId="42" borderId="5" xfId="0" applyNumberFormat="1" applyFill="1" applyBorder="1">
      <alignment vertical="center"/>
    </xf>
    <xf numFmtId="177" fontId="0" fillId="42" borderId="4" xfId="0" applyNumberFormat="1" applyFill="1" applyBorder="1">
      <alignment vertical="center"/>
    </xf>
    <xf numFmtId="177" fontId="0" fillId="42" borderId="1" xfId="0" applyNumberFormat="1" applyFill="1" applyBorder="1">
      <alignment vertical="center"/>
    </xf>
    <xf numFmtId="176" fontId="2" fillId="42" borderId="56" xfId="0" applyNumberFormat="1" applyFont="1" applyFill="1" applyBorder="1">
      <alignment vertical="center"/>
    </xf>
    <xf numFmtId="182" fontId="2" fillId="42" borderId="3" xfId="0" applyNumberFormat="1" applyFont="1" applyFill="1" applyBorder="1">
      <alignment vertical="center"/>
    </xf>
    <xf numFmtId="177" fontId="2" fillId="42" borderId="1" xfId="0" applyNumberFormat="1" applyFont="1" applyFill="1" applyBorder="1">
      <alignment vertical="center"/>
    </xf>
    <xf numFmtId="176" fontId="2" fillId="42" borderId="5" xfId="0" applyNumberFormat="1" applyFont="1" applyFill="1" applyBorder="1">
      <alignment vertical="center"/>
    </xf>
    <xf numFmtId="0" fontId="2" fillId="42" borderId="4" xfId="0" applyFont="1" applyFill="1" applyBorder="1">
      <alignment vertical="center"/>
    </xf>
    <xf numFmtId="176" fontId="2" fillId="42" borderId="1" xfId="0" applyNumberFormat="1" applyFont="1" applyFill="1" applyBorder="1">
      <alignment vertical="center"/>
    </xf>
    <xf numFmtId="0" fontId="0" fillId="42" borderId="5" xfId="0" applyFill="1" applyBorder="1">
      <alignment vertical="center"/>
    </xf>
    <xf numFmtId="0" fontId="0" fillId="47" borderId="1" xfId="0" applyFill="1" applyBorder="1">
      <alignment vertical="center"/>
    </xf>
    <xf numFmtId="176" fontId="0" fillId="49" borderId="1" xfId="0" applyNumberFormat="1" applyFill="1" applyBorder="1">
      <alignment vertical="center"/>
    </xf>
    <xf numFmtId="0" fontId="0" fillId="50" borderId="33" xfId="0" applyFill="1" applyBorder="1">
      <alignment vertical="center"/>
    </xf>
    <xf numFmtId="0" fontId="0" fillId="50" borderId="34" xfId="0" applyFill="1" applyBorder="1">
      <alignment vertical="center"/>
    </xf>
    <xf numFmtId="177" fontId="0" fillId="50" borderId="5" xfId="0" applyNumberFormat="1" applyFill="1" applyBorder="1">
      <alignment vertical="center"/>
    </xf>
    <xf numFmtId="177" fontId="0" fillId="50" borderId="1" xfId="0" applyNumberFormat="1" applyFill="1" applyBorder="1">
      <alignment vertical="center"/>
    </xf>
    <xf numFmtId="176" fontId="2" fillId="50" borderId="56" xfId="0" applyNumberFormat="1" applyFont="1" applyFill="1" applyBorder="1">
      <alignment vertical="center"/>
    </xf>
    <xf numFmtId="182" fontId="2" fillId="50" borderId="3" xfId="0" applyNumberFormat="1" applyFont="1" applyFill="1" applyBorder="1">
      <alignment vertical="center"/>
    </xf>
    <xf numFmtId="177" fontId="2" fillId="50" borderId="1" xfId="0" applyNumberFormat="1" applyFont="1" applyFill="1" applyBorder="1">
      <alignment vertical="center"/>
    </xf>
    <xf numFmtId="176" fontId="2" fillId="50" borderId="5" xfId="0" applyNumberFormat="1" applyFont="1" applyFill="1" applyBorder="1">
      <alignment vertical="center"/>
    </xf>
    <xf numFmtId="176" fontId="2" fillId="50" borderId="1" xfId="0" applyNumberFormat="1" applyFont="1" applyFill="1" applyBorder="1">
      <alignment vertical="center"/>
    </xf>
    <xf numFmtId="0" fontId="0" fillId="50" borderId="38" xfId="0" applyFill="1" applyBorder="1">
      <alignment vertical="center"/>
    </xf>
    <xf numFmtId="0" fontId="0" fillId="50" borderId="37" xfId="0" applyFill="1" applyBorder="1">
      <alignment vertical="center"/>
    </xf>
    <xf numFmtId="0" fontId="0" fillId="42" borderId="0" xfId="0" applyFill="1" applyAlignment="1">
      <alignment horizontal="center" vertical="center"/>
    </xf>
    <xf numFmtId="0" fontId="0" fillId="42" borderId="2" xfId="0" applyFill="1" applyBorder="1">
      <alignment vertical="center"/>
    </xf>
    <xf numFmtId="0" fontId="0" fillId="42" borderId="22" xfId="0" applyFill="1" applyBorder="1">
      <alignment vertical="center"/>
    </xf>
    <xf numFmtId="0" fontId="2" fillId="42" borderId="22" xfId="0" applyFont="1" applyFill="1" applyBorder="1">
      <alignment vertical="center"/>
    </xf>
    <xf numFmtId="0" fontId="0" fillId="42" borderId="23" xfId="0" applyFill="1" applyBorder="1">
      <alignment vertical="center"/>
    </xf>
    <xf numFmtId="176" fontId="4" fillId="5" borderId="1" xfId="41" applyNumberFormat="1" applyFont="1" applyFill="1" applyBorder="1">
      <alignment vertical="center"/>
    </xf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183" fontId="0" fillId="0" borderId="1" xfId="0" applyNumberFormat="1" applyBorder="1">
      <alignment vertical="center"/>
    </xf>
    <xf numFmtId="184" fontId="0" fillId="0" borderId="0" xfId="0" applyNumberFormat="1" applyAlignment="1">
      <alignment horizontal="center" vertical="center"/>
    </xf>
    <xf numFmtId="184" fontId="0" fillId="0" borderId="0" xfId="0" applyNumberFormat="1">
      <alignment vertical="center"/>
    </xf>
    <xf numFmtId="0" fontId="2" fillId="38" borderId="0" xfId="0" applyFont="1" applyFill="1">
      <alignment vertical="center"/>
    </xf>
    <xf numFmtId="179" fontId="0" fillId="0" borderId="0" xfId="0" applyNumberFormat="1" applyAlignment="1">
      <alignment horizontal="center" vertical="center"/>
    </xf>
    <xf numFmtId="176" fontId="4" fillId="42" borderId="1" xfId="41" applyNumberFormat="1" applyFont="1" applyFill="1" applyBorder="1">
      <alignment vertical="center"/>
    </xf>
    <xf numFmtId="0" fontId="26" fillId="42" borderId="1" xfId="41" applyFont="1" applyFill="1" applyBorder="1">
      <alignment vertical="center"/>
    </xf>
    <xf numFmtId="179" fontId="26" fillId="42" borderId="1" xfId="0" applyNumberFormat="1" applyFont="1" applyFill="1" applyBorder="1">
      <alignment vertical="center"/>
    </xf>
    <xf numFmtId="0" fontId="26" fillId="42" borderId="57" xfId="41" applyFont="1" applyFill="1" applyBorder="1">
      <alignment vertical="center"/>
    </xf>
    <xf numFmtId="176" fontId="4" fillId="2" borderId="1" xfId="41" applyNumberFormat="1" applyFont="1" applyFill="1" applyBorder="1">
      <alignment vertical="center"/>
    </xf>
    <xf numFmtId="176" fontId="4" fillId="47" borderId="1" xfId="41" applyNumberFormat="1" applyFont="1" applyFill="1" applyBorder="1">
      <alignment vertical="center"/>
    </xf>
    <xf numFmtId="0" fontId="2" fillId="42" borderId="24" xfId="0" applyFont="1" applyFill="1" applyBorder="1">
      <alignment vertical="center"/>
    </xf>
    <xf numFmtId="179" fontId="26" fillId="50" borderId="1" xfId="0" applyNumberFormat="1" applyFont="1" applyFill="1" applyBorder="1">
      <alignment vertical="center"/>
    </xf>
    <xf numFmtId="0" fontId="18" fillId="51" borderId="1" xfId="41" applyFill="1" applyBorder="1">
      <alignment vertical="center"/>
    </xf>
    <xf numFmtId="176" fontId="0" fillId="51" borderId="1" xfId="0" applyNumberFormat="1" applyFill="1" applyBorder="1">
      <alignment vertical="center"/>
    </xf>
    <xf numFmtId="176" fontId="18" fillId="51" borderId="1" xfId="41" applyNumberFormat="1" applyFill="1" applyBorder="1">
      <alignment vertical="center"/>
    </xf>
    <xf numFmtId="176" fontId="4" fillId="51" borderId="1" xfId="41" applyNumberFormat="1" applyFont="1" applyFill="1" applyBorder="1">
      <alignment vertical="center"/>
    </xf>
    <xf numFmtId="0" fontId="0" fillId="51" borderId="1" xfId="0" applyFill="1" applyBorder="1">
      <alignment vertical="center"/>
    </xf>
    <xf numFmtId="0" fontId="18" fillId="51" borderId="57" xfId="41" applyFill="1" applyBorder="1">
      <alignment vertical="center"/>
    </xf>
    <xf numFmtId="0" fontId="26" fillId="51" borderId="1" xfId="41" applyFont="1" applyFill="1" applyBorder="1">
      <alignment vertical="center"/>
    </xf>
    <xf numFmtId="176" fontId="26" fillId="51" borderId="1" xfId="0" applyNumberFormat="1" applyFont="1" applyFill="1" applyBorder="1">
      <alignment vertical="center"/>
    </xf>
    <xf numFmtId="176" fontId="26" fillId="51" borderId="1" xfId="41" applyNumberFormat="1" applyFont="1" applyFill="1" applyBorder="1">
      <alignment vertical="center"/>
    </xf>
    <xf numFmtId="0" fontId="26" fillId="51" borderId="57" xfId="41" applyFont="1" applyFill="1" applyBorder="1">
      <alignment vertical="center"/>
    </xf>
    <xf numFmtId="0" fontId="0" fillId="49" borderId="1" xfId="0" applyFill="1" applyBorder="1">
      <alignment vertical="center"/>
    </xf>
    <xf numFmtId="0" fontId="0" fillId="49" borderId="4" xfId="0" applyFill="1" applyBorder="1">
      <alignment vertical="center"/>
    </xf>
    <xf numFmtId="177" fontId="0" fillId="49" borderId="5" xfId="0" applyNumberFormat="1" applyFill="1" applyBorder="1">
      <alignment vertical="center"/>
    </xf>
    <xf numFmtId="177" fontId="0" fillId="49" borderId="4" xfId="0" applyNumberFormat="1" applyFill="1" applyBorder="1">
      <alignment vertical="center"/>
    </xf>
    <xf numFmtId="177" fontId="0" fillId="49" borderId="1" xfId="0" applyNumberFormat="1" applyFill="1" applyBorder="1">
      <alignment vertical="center"/>
    </xf>
    <xf numFmtId="176" fontId="2" fillId="49" borderId="56" xfId="0" applyNumberFormat="1" applyFont="1" applyFill="1" applyBorder="1">
      <alignment vertical="center"/>
    </xf>
    <xf numFmtId="182" fontId="2" fillId="49" borderId="3" xfId="0" applyNumberFormat="1" applyFont="1" applyFill="1" applyBorder="1">
      <alignment vertical="center"/>
    </xf>
    <xf numFmtId="177" fontId="2" fillId="49" borderId="1" xfId="0" applyNumberFormat="1" applyFont="1" applyFill="1" applyBorder="1">
      <alignment vertical="center"/>
    </xf>
    <xf numFmtId="176" fontId="2" fillId="49" borderId="5" xfId="0" applyNumberFormat="1" applyFont="1" applyFill="1" applyBorder="1">
      <alignment vertical="center"/>
    </xf>
    <xf numFmtId="0" fontId="2" fillId="49" borderId="24" xfId="0" applyFont="1" applyFill="1" applyBorder="1">
      <alignment vertical="center"/>
    </xf>
    <xf numFmtId="176" fontId="2" fillId="49" borderId="1" xfId="0" applyNumberFormat="1" applyFont="1" applyFill="1" applyBorder="1">
      <alignment vertical="center"/>
    </xf>
    <xf numFmtId="0" fontId="0" fillId="49" borderId="5" xfId="0" applyFill="1" applyBorder="1">
      <alignment vertical="center"/>
    </xf>
    <xf numFmtId="177" fontId="0" fillId="5" borderId="4" xfId="0" applyNumberFormat="1" applyFill="1" applyBorder="1">
      <alignment vertical="center"/>
    </xf>
    <xf numFmtId="176" fontId="2" fillId="5" borderId="56" xfId="0" applyNumberFormat="1" applyFont="1" applyFill="1" applyBorder="1">
      <alignment vertical="center"/>
    </xf>
    <xf numFmtId="176" fontId="2" fillId="5" borderId="5" xfId="0" applyNumberFormat="1" applyFont="1" applyFill="1" applyBorder="1">
      <alignment vertical="center"/>
    </xf>
    <xf numFmtId="176" fontId="2" fillId="5" borderId="1" xfId="0" applyNumberFormat="1" applyFont="1" applyFill="1" applyBorder="1">
      <alignment vertical="center"/>
    </xf>
    <xf numFmtId="0" fontId="2" fillId="48" borderId="24" xfId="0" applyFont="1" applyFill="1" applyBorder="1">
      <alignment vertical="center"/>
    </xf>
    <xf numFmtId="0" fontId="2" fillId="49" borderId="1" xfId="0" applyFont="1" applyFill="1" applyBorder="1">
      <alignment vertical="center"/>
    </xf>
    <xf numFmtId="0" fontId="0" fillId="52" borderId="1" xfId="0" applyFill="1" applyBorder="1">
      <alignment vertical="center"/>
    </xf>
    <xf numFmtId="176" fontId="0" fillId="52" borderId="1" xfId="0" applyNumberFormat="1" applyFill="1" applyBorder="1">
      <alignment vertical="center"/>
    </xf>
    <xf numFmtId="176" fontId="4" fillId="52" borderId="1" xfId="41" applyNumberFormat="1" applyFont="1" applyFill="1" applyBorder="1">
      <alignment vertical="center"/>
    </xf>
    <xf numFmtId="0" fontId="0" fillId="42" borderId="33" xfId="0" applyFill="1" applyBorder="1">
      <alignment vertical="center"/>
    </xf>
    <xf numFmtId="0" fontId="0" fillId="42" borderId="34" xfId="0" applyFill="1" applyBorder="1">
      <alignment vertical="center"/>
    </xf>
    <xf numFmtId="0" fontId="2" fillId="42" borderId="34" xfId="0" applyFont="1" applyFill="1" applyBorder="1">
      <alignment vertical="center"/>
    </xf>
    <xf numFmtId="0" fontId="0" fillId="42" borderId="38" xfId="0" applyFill="1" applyBorder="1">
      <alignment vertical="center"/>
    </xf>
    <xf numFmtId="0" fontId="0" fillId="42" borderId="37" xfId="0" applyFill="1" applyBorder="1">
      <alignment vertical="center"/>
    </xf>
    <xf numFmtId="0" fontId="0" fillId="42" borderId="24" xfId="0" applyFill="1" applyBorder="1">
      <alignment vertical="center"/>
    </xf>
    <xf numFmtId="0" fontId="0" fillId="42" borderId="25" xfId="0" applyFill="1" applyBorder="1">
      <alignment vertical="center"/>
    </xf>
    <xf numFmtId="0" fontId="26" fillId="42" borderId="4" xfId="0" applyFont="1" applyFill="1" applyBorder="1">
      <alignment vertical="center"/>
    </xf>
    <xf numFmtId="177" fontId="26" fillId="42" borderId="5" xfId="0" applyNumberFormat="1" applyFont="1" applyFill="1" applyBorder="1">
      <alignment vertical="center"/>
    </xf>
    <xf numFmtId="177" fontId="26" fillId="42" borderId="4" xfId="0" applyNumberFormat="1" applyFont="1" applyFill="1" applyBorder="1">
      <alignment vertical="center"/>
    </xf>
    <xf numFmtId="177" fontId="26" fillId="42" borderId="1" xfId="0" applyNumberFormat="1" applyFont="1" applyFill="1" applyBorder="1">
      <alignment vertical="center"/>
    </xf>
    <xf numFmtId="0" fontId="26" fillId="42" borderId="5" xfId="0" applyFont="1" applyFill="1" applyBorder="1">
      <alignment vertical="center"/>
    </xf>
    <xf numFmtId="0" fontId="0" fillId="49" borderId="33" xfId="0" applyFill="1" applyBorder="1">
      <alignment vertical="center"/>
    </xf>
    <xf numFmtId="0" fontId="0" fillId="49" borderId="34" xfId="0" applyFill="1" applyBorder="1">
      <alignment vertical="center"/>
    </xf>
    <xf numFmtId="0" fontId="0" fillId="49" borderId="38" xfId="0" applyFill="1" applyBorder="1">
      <alignment vertical="center"/>
    </xf>
    <xf numFmtId="0" fontId="0" fillId="49" borderId="37" xfId="0" applyFill="1" applyBorder="1">
      <alignment vertical="center"/>
    </xf>
    <xf numFmtId="176" fontId="4" fillId="49" borderId="1" xfId="41" applyNumberFormat="1" applyFont="1" applyFill="1" applyBorder="1">
      <alignment vertical="center"/>
    </xf>
    <xf numFmtId="0" fontId="0" fillId="0" borderId="0" xfId="0" applyAlignment="1">
      <alignment horizontal="center" vertical="center"/>
    </xf>
    <xf numFmtId="177" fontId="0" fillId="39" borderId="1" xfId="0" applyNumberFormat="1" applyFill="1" applyBorder="1">
      <alignment vertical="center"/>
    </xf>
    <xf numFmtId="176" fontId="0" fillId="0" borderId="0" xfId="0" applyNumberFormat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185" fontId="0" fillId="0" borderId="0" xfId="0" applyNumberFormat="1" applyAlignment="1">
      <alignment horizontal="center" vertical="center"/>
    </xf>
    <xf numFmtId="176" fontId="0" fillId="38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0" fontId="0" fillId="5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41" borderId="1" xfId="0" applyFont="1" applyFill="1" applyBorder="1" applyAlignment="1">
      <alignment horizontal="center" vertical="center"/>
    </xf>
    <xf numFmtId="0" fontId="0" fillId="5" borderId="21" xfId="0" applyFill="1" applyBorder="1" applyAlignment="1">
      <alignment horizontal="left" vertical="top"/>
    </xf>
    <xf numFmtId="179" fontId="2" fillId="39" borderId="24" xfId="0" applyNumberFormat="1" applyFont="1" applyFill="1" applyBorder="1" applyAlignment="1">
      <alignment horizontal="center" vertical="center"/>
    </xf>
    <xf numFmtId="179" fontId="2" fillId="39" borderId="3" xfId="0" applyNumberFormat="1" applyFont="1" applyFill="1" applyBorder="1" applyAlignment="1">
      <alignment horizontal="center" vertical="center"/>
    </xf>
    <xf numFmtId="179" fontId="2" fillId="39" borderId="25" xfId="0" applyNumberFormat="1" applyFont="1" applyFill="1" applyBorder="1" applyAlignment="1">
      <alignment horizontal="center" vertical="center"/>
    </xf>
    <xf numFmtId="0" fontId="0" fillId="42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2" fillId="39" borderId="27" xfId="0" applyFont="1" applyFill="1" applyBorder="1" applyAlignment="1">
      <alignment horizontal="center" vertical="center"/>
    </xf>
    <xf numFmtId="0" fontId="2" fillId="39" borderId="31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0" fontId="0" fillId="43" borderId="4" xfId="0" applyNumberFormat="1" applyFill="1" applyBorder="1" applyAlignment="1">
      <alignment horizontal="center" vertical="center"/>
    </xf>
    <xf numFmtId="180" fontId="0" fillId="43" borderId="32" xfId="0" applyNumberFormat="1" applyFill="1" applyBorder="1" applyAlignment="1">
      <alignment horizontal="center" vertical="center"/>
    </xf>
    <xf numFmtId="180" fontId="0" fillId="43" borderId="5" xfId="0" applyNumberForma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180" fontId="0" fillId="0" borderId="17" xfId="0" applyNumberFormat="1" applyBorder="1" applyAlignment="1">
      <alignment horizontal="center" vertical="center"/>
    </xf>
    <xf numFmtId="180" fontId="0" fillId="0" borderId="19" xfId="0" applyNumberFormat="1" applyBorder="1" applyAlignment="1">
      <alignment horizontal="center" vertical="center"/>
    </xf>
    <xf numFmtId="3" fontId="0" fillId="0" borderId="47" xfId="0" applyNumberFormat="1" applyBorder="1" applyAlignment="1">
      <alignment horizontal="center" vertical="center"/>
    </xf>
    <xf numFmtId="3" fontId="0" fillId="0" borderId="50" xfId="0" applyNumberFormat="1" applyBorder="1" applyAlignment="1">
      <alignment horizontal="center" vertical="center"/>
    </xf>
    <xf numFmtId="3" fontId="0" fillId="0" borderId="48" xfId="0" applyNumberFormat="1" applyBorder="1" applyAlignment="1">
      <alignment horizontal="center"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756285</xdr:colOff>
      <xdr:row>85</xdr:row>
      <xdr:rowOff>0</xdr:rowOff>
    </xdr:from>
    <xdr:to>
      <xdr:col>13</xdr:col>
      <xdr:colOff>416144</xdr:colOff>
      <xdr:row>117</xdr:row>
      <xdr:rowOff>41061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83365" y="18547080"/>
          <a:ext cx="8438099" cy="6872391"/>
        </a:xfrm>
        <a:prstGeom prst="rect">
          <a:avLst/>
        </a:prstGeom>
      </xdr:spPr>
    </xdr:pic>
    <xdr:clientData/>
  </xdr:twoCellAnchor>
  <xdr:twoCellAnchor editAs="oneCell">
    <xdr:from>
      <xdr:col>2</xdr:col>
      <xdr:colOff>1251585</xdr:colOff>
      <xdr:row>85</xdr:row>
      <xdr:rowOff>207645</xdr:rowOff>
    </xdr:from>
    <xdr:to>
      <xdr:col>7</xdr:col>
      <xdr:colOff>225707</xdr:colOff>
      <xdr:row>115</xdr:row>
      <xdr:rowOff>185892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25165" y="18754725"/>
          <a:ext cx="7918097" cy="6371427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110</xdr:row>
      <xdr:rowOff>49530</xdr:rowOff>
    </xdr:from>
    <xdr:to>
      <xdr:col>7</xdr:col>
      <xdr:colOff>1063887</xdr:colOff>
      <xdr:row>125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126</xdr:row>
      <xdr:rowOff>198120</xdr:rowOff>
    </xdr:from>
    <xdr:to>
      <xdr:col>5</xdr:col>
      <xdr:colOff>1444896</xdr:colOff>
      <xdr:row>154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60128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2422384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1885240</xdr:colOff>
      <xdr:row>78</xdr:row>
      <xdr:rowOff>163303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250780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117608</xdr:colOff>
      <xdr:row>84</xdr:row>
      <xdr:rowOff>18779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183960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117</xdr:row>
      <xdr:rowOff>5715</xdr:rowOff>
    </xdr:from>
    <xdr:to>
      <xdr:col>5</xdr:col>
      <xdr:colOff>564684</xdr:colOff>
      <xdr:row>147</xdr:row>
      <xdr:rowOff>41106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585AAD9-BFD9-4352-8F95-EB2A5653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4976455"/>
          <a:ext cx="8813334" cy="643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kisrating.com/ratingsStatistics/statics_spread.do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houstat.hf.go.kr/research/portal/theme/indexStatPage.do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AC06-64D1-4C19-A492-4A1709E48BF9}">
  <dimension ref="A1:U171"/>
  <sheetViews>
    <sheetView topLeftCell="A139" workbookViewId="0">
      <selection activeCell="F164" sqref="F164"/>
    </sheetView>
  </sheetViews>
  <sheetFormatPr defaultRowHeight="16.5" x14ac:dyDescent="0.3"/>
  <cols>
    <col min="1" max="1" width="16.375" bestFit="1" customWidth="1"/>
    <col min="2" max="2" width="5.625" bestFit="1" customWidth="1"/>
    <col min="3" max="3" width="3.75" bestFit="1" customWidth="1"/>
    <col min="4" max="4" width="14.125" style="39" customWidth="1"/>
    <col min="5" max="5" width="12.625" style="19" bestFit="1" customWidth="1"/>
    <col min="6" max="6" width="11.25" style="77" customWidth="1"/>
    <col min="7" max="7" width="14.25" style="126" customWidth="1"/>
    <col min="8" max="8" width="12.625" style="95" bestFit="1" customWidth="1"/>
    <col min="9" max="9" width="13.75" style="95" bestFit="1" customWidth="1"/>
    <col min="10" max="10" width="13.625" style="95" bestFit="1" customWidth="1"/>
    <col min="11" max="11" width="15" style="131" bestFit="1" customWidth="1"/>
    <col min="12" max="12" width="11.375" style="99" bestFit="1" customWidth="1"/>
    <col min="13" max="13" width="10" style="110" customWidth="1"/>
    <col min="14" max="14" width="16.75" style="109" bestFit="1" customWidth="1"/>
    <col min="15" max="15" width="9.25" style="79" bestFit="1" customWidth="1"/>
    <col min="16" max="16" width="14.375" style="182" bestFit="1" customWidth="1"/>
    <col min="17" max="17" width="16.75" style="142" bestFit="1" customWidth="1"/>
    <col min="18" max="18" width="13.625" style="1" bestFit="1" customWidth="1"/>
    <col min="19" max="19" width="15.25" style="1" bestFit="1" customWidth="1"/>
  </cols>
  <sheetData>
    <row r="1" spans="1:20" x14ac:dyDescent="0.3">
      <c r="A1" s="320"/>
      <c r="B1" s="320"/>
      <c r="C1" s="320"/>
      <c r="D1" s="321" t="s">
        <v>84</v>
      </c>
      <c r="E1" s="322"/>
      <c r="F1" s="322"/>
      <c r="G1" s="322"/>
      <c r="H1" s="326" t="s">
        <v>170</v>
      </c>
      <c r="I1" s="326"/>
      <c r="J1" s="323" t="s">
        <v>161</v>
      </c>
      <c r="K1" s="324"/>
      <c r="L1" s="325"/>
      <c r="M1" s="316" t="s">
        <v>162</v>
      </c>
      <c r="N1" s="317"/>
      <c r="O1" s="317"/>
      <c r="P1" s="318"/>
      <c r="Q1" s="314" t="s">
        <v>183</v>
      </c>
      <c r="R1" s="312" t="s">
        <v>173</v>
      </c>
      <c r="S1" s="313" t="s">
        <v>174</v>
      </c>
    </row>
    <row r="2" spans="1:20" ht="33" x14ac:dyDescent="0.3">
      <c r="A2" s="320"/>
      <c r="B2" s="320"/>
      <c r="C2" s="320"/>
      <c r="D2" s="139" t="s">
        <v>159</v>
      </c>
      <c r="E2" s="133" t="s">
        <v>158</v>
      </c>
      <c r="F2" s="91" t="s">
        <v>163</v>
      </c>
      <c r="G2" s="121" t="s">
        <v>164</v>
      </c>
      <c r="H2" s="132" t="s">
        <v>171</v>
      </c>
      <c r="I2" s="132" t="s">
        <v>172</v>
      </c>
      <c r="J2" s="132" t="s">
        <v>169</v>
      </c>
      <c r="K2" s="127" t="s">
        <v>85</v>
      </c>
      <c r="L2" s="105" t="s">
        <v>11</v>
      </c>
      <c r="M2" s="111" t="s">
        <v>166</v>
      </c>
      <c r="N2" s="107" t="s">
        <v>86</v>
      </c>
      <c r="O2" s="92" t="s">
        <v>11</v>
      </c>
      <c r="P2" s="179" t="s">
        <v>167</v>
      </c>
      <c r="Q2" s="314"/>
      <c r="R2" s="312"/>
      <c r="S2" s="313"/>
    </row>
    <row r="3" spans="1:20" s="17" customFormat="1" x14ac:dyDescent="0.3">
      <c r="A3" s="24" t="s">
        <v>12</v>
      </c>
      <c r="B3" s="24"/>
      <c r="C3" s="25"/>
      <c r="D3" s="78">
        <v>0</v>
      </c>
      <c r="E3" s="134"/>
      <c r="F3" s="93"/>
      <c r="G3" s="122"/>
      <c r="H3" s="93"/>
      <c r="I3" s="93"/>
      <c r="J3" s="93"/>
      <c r="K3" s="128">
        <v>800000</v>
      </c>
      <c r="L3" s="106"/>
      <c r="M3" s="38">
        <v>0</v>
      </c>
      <c r="N3" s="108">
        <v>0</v>
      </c>
      <c r="O3" s="25"/>
      <c r="P3" s="180">
        <v>0</v>
      </c>
      <c r="Q3" s="142"/>
      <c r="R3" s="18"/>
      <c r="S3" s="18"/>
    </row>
    <row r="4" spans="1:20" s="22" customFormat="1" hidden="1" x14ac:dyDescent="0.3">
      <c r="A4" s="22">
        <v>1</v>
      </c>
      <c r="B4" s="319">
        <v>2022</v>
      </c>
      <c r="C4" s="103">
        <v>1</v>
      </c>
      <c r="D4" s="140">
        <v>2500000</v>
      </c>
      <c r="E4" s="135">
        <v>0</v>
      </c>
      <c r="F4" s="95"/>
      <c r="G4" s="123">
        <v>400000</v>
      </c>
      <c r="H4" s="95"/>
      <c r="I4" s="95"/>
      <c r="J4" s="95"/>
      <c r="K4" s="128">
        <f t="shared" ref="K4:K15" si="0" xml:space="preserve"> (K3 + G4) + ((K3 + G4) * O4 )</f>
        <v>1212000</v>
      </c>
      <c r="L4" s="106"/>
      <c r="M4" s="38"/>
      <c r="N4" s="108">
        <v>0</v>
      </c>
      <c r="O4" s="25">
        <v>0.01</v>
      </c>
      <c r="P4" s="181"/>
      <c r="Q4" s="142"/>
      <c r="T4" s="81"/>
    </row>
    <row r="5" spans="1:20" s="22" customFormat="1" hidden="1" x14ac:dyDescent="0.3">
      <c r="B5" s="319"/>
      <c r="C5" s="103">
        <v>2</v>
      </c>
      <c r="D5" s="140">
        <v>2500000</v>
      </c>
      <c r="E5" s="135">
        <v>0</v>
      </c>
      <c r="F5" s="95"/>
      <c r="G5" s="123">
        <v>400000</v>
      </c>
      <c r="H5" s="95"/>
      <c r="I5" s="95"/>
      <c r="J5" s="95"/>
      <c r="K5" s="128">
        <f t="shared" si="0"/>
        <v>1628120</v>
      </c>
      <c r="L5" s="106"/>
      <c r="M5" s="38"/>
      <c r="N5" s="108">
        <v>0</v>
      </c>
      <c r="O5" s="25">
        <v>0.01</v>
      </c>
      <c r="P5" s="181"/>
      <c r="Q5" s="142"/>
      <c r="T5" s="81"/>
    </row>
    <row r="6" spans="1:20" s="22" customFormat="1" hidden="1" x14ac:dyDescent="0.3">
      <c r="B6" s="319"/>
      <c r="C6" s="103">
        <v>3</v>
      </c>
      <c r="D6" s="140">
        <v>2500000</v>
      </c>
      <c r="E6" s="135">
        <v>0</v>
      </c>
      <c r="F6" s="95"/>
      <c r="G6" s="123">
        <v>400000</v>
      </c>
      <c r="H6" s="95"/>
      <c r="I6" s="95"/>
      <c r="J6" s="95"/>
      <c r="K6" s="128">
        <f t="shared" si="0"/>
        <v>2048401.2</v>
      </c>
      <c r="L6" s="106"/>
      <c r="M6" s="38"/>
      <c r="N6" s="108">
        <v>0</v>
      </c>
      <c r="O6" s="25">
        <v>0.01</v>
      </c>
      <c r="P6" s="181"/>
      <c r="Q6" s="142"/>
      <c r="T6" s="81"/>
    </row>
    <row r="7" spans="1:20" s="22" customFormat="1" hidden="1" x14ac:dyDescent="0.3">
      <c r="B7" s="319"/>
      <c r="C7" s="103">
        <v>4</v>
      </c>
      <c r="D7" s="140">
        <v>2500000</v>
      </c>
      <c r="E7" s="135">
        <v>0</v>
      </c>
      <c r="F7" s="95"/>
      <c r="G7" s="123">
        <v>400000</v>
      </c>
      <c r="H7" s="95"/>
      <c r="I7" s="95"/>
      <c r="J7" s="95"/>
      <c r="K7" s="128">
        <f t="shared" si="0"/>
        <v>2472885.2120000003</v>
      </c>
      <c r="L7" s="106"/>
      <c r="M7" s="38"/>
      <c r="N7" s="108">
        <v>0</v>
      </c>
      <c r="O7" s="25">
        <v>0.01</v>
      </c>
      <c r="P7" s="181"/>
      <c r="Q7" s="142"/>
      <c r="T7" s="81"/>
    </row>
    <row r="8" spans="1:20" s="22" customFormat="1" hidden="1" x14ac:dyDescent="0.3">
      <c r="B8" s="319"/>
      <c r="C8" s="103">
        <v>5</v>
      </c>
      <c r="D8" s="140">
        <v>2500000</v>
      </c>
      <c r="E8" s="135">
        <v>1000000</v>
      </c>
      <c r="F8" s="95"/>
      <c r="G8" s="123">
        <v>400000</v>
      </c>
      <c r="H8" s="95"/>
      <c r="I8" s="95"/>
      <c r="J8" s="95"/>
      <c r="K8" s="128">
        <f t="shared" si="0"/>
        <v>2901614.0641200002</v>
      </c>
      <c r="L8" s="106"/>
      <c r="M8" s="38"/>
      <c r="N8" s="108">
        <v>0</v>
      </c>
      <c r="O8" s="25">
        <v>0.01</v>
      </c>
      <c r="P8" s="181"/>
      <c r="Q8" s="142"/>
      <c r="T8" s="81"/>
    </row>
    <row r="9" spans="1:20" s="22" customFormat="1" hidden="1" x14ac:dyDescent="0.3">
      <c r="B9" s="319"/>
      <c r="C9" s="103">
        <v>6</v>
      </c>
      <c r="D9" s="140">
        <v>2500000</v>
      </c>
      <c r="E9" s="135">
        <v>0</v>
      </c>
      <c r="F9" s="95"/>
      <c r="G9" s="123">
        <v>400000</v>
      </c>
      <c r="H9" s="95"/>
      <c r="I9" s="95"/>
      <c r="J9" s="95"/>
      <c r="K9" s="128">
        <f t="shared" si="0"/>
        <v>3334630.2047612001</v>
      </c>
      <c r="L9" s="106"/>
      <c r="M9" s="38"/>
      <c r="N9" s="108">
        <v>0</v>
      </c>
      <c r="O9" s="25">
        <v>0.01</v>
      </c>
      <c r="P9" s="181"/>
      <c r="Q9" s="142"/>
      <c r="T9" s="81"/>
    </row>
    <row r="10" spans="1:20" s="22" customFormat="1" hidden="1" x14ac:dyDescent="0.3">
      <c r="B10" s="319"/>
      <c r="C10" s="103">
        <v>7</v>
      </c>
      <c r="D10" s="140">
        <v>2500000</v>
      </c>
      <c r="E10" s="135">
        <v>600000</v>
      </c>
      <c r="F10" s="95"/>
      <c r="G10" s="123">
        <v>400000</v>
      </c>
      <c r="H10" s="95"/>
      <c r="I10" s="95"/>
      <c r="J10" s="95"/>
      <c r="K10" s="128">
        <f t="shared" si="0"/>
        <v>3771976.5068088123</v>
      </c>
      <c r="L10" s="106"/>
      <c r="M10" s="38"/>
      <c r="N10" s="108">
        <v>0</v>
      </c>
      <c r="O10" s="25">
        <v>0.01</v>
      </c>
      <c r="P10" s="181"/>
      <c r="Q10" s="142"/>
      <c r="T10" s="81"/>
    </row>
    <row r="11" spans="1:20" s="22" customFormat="1" hidden="1" x14ac:dyDescent="0.3">
      <c r="B11" s="319"/>
      <c r="C11" s="103">
        <v>8</v>
      </c>
      <c r="D11" s="140">
        <v>2500000</v>
      </c>
      <c r="E11" s="135">
        <v>5056544</v>
      </c>
      <c r="F11" s="95"/>
      <c r="G11" s="123">
        <v>400000</v>
      </c>
      <c r="H11" s="95"/>
      <c r="I11" s="95"/>
      <c r="J11" s="95"/>
      <c r="K11" s="128">
        <f t="shared" si="0"/>
        <v>4213696.2718769005</v>
      </c>
      <c r="L11" s="106"/>
      <c r="M11" s="38"/>
      <c r="N11" s="108">
        <v>0</v>
      </c>
      <c r="O11" s="25">
        <v>0.01</v>
      </c>
      <c r="P11" s="181"/>
      <c r="Q11" s="142"/>
      <c r="T11" s="81"/>
    </row>
    <row r="12" spans="1:20" s="22" customFormat="1" hidden="1" x14ac:dyDescent="0.3">
      <c r="B12" s="319"/>
      <c r="C12" s="103">
        <v>9</v>
      </c>
      <c r="D12" s="140">
        <v>1800000</v>
      </c>
      <c r="E12" s="135">
        <v>1600000</v>
      </c>
      <c r="F12" s="95"/>
      <c r="G12" s="123">
        <v>400000</v>
      </c>
      <c r="H12" s="95"/>
      <c r="I12" s="95"/>
      <c r="J12" s="95"/>
      <c r="K12" s="128">
        <f t="shared" si="0"/>
        <v>4696742.8047706848</v>
      </c>
      <c r="L12" s="106"/>
      <c r="M12" s="38"/>
      <c r="N12" s="108">
        <v>0</v>
      </c>
      <c r="O12" s="25">
        <v>1.7999999999999999E-2</v>
      </c>
      <c r="P12" s="181"/>
      <c r="Q12" s="142"/>
      <c r="T12" s="81"/>
    </row>
    <row r="13" spans="1:20" s="22" customFormat="1" hidden="1" x14ac:dyDescent="0.3">
      <c r="B13" s="319"/>
      <c r="C13" s="103">
        <v>10</v>
      </c>
      <c r="D13" s="140">
        <v>4500000</v>
      </c>
      <c r="E13" s="135">
        <v>3700000</v>
      </c>
      <c r="F13" s="95"/>
      <c r="G13" s="123">
        <v>400000</v>
      </c>
      <c r="H13" s="95"/>
      <c r="I13" s="95"/>
      <c r="J13" s="95"/>
      <c r="K13" s="128">
        <f t="shared" si="0"/>
        <v>4638035.9523413228</v>
      </c>
      <c r="L13" s="106"/>
      <c r="M13" s="38"/>
      <c r="N13" s="108">
        <v>0</v>
      </c>
      <c r="O13" s="25">
        <v>-0.09</v>
      </c>
      <c r="P13" s="181"/>
      <c r="Q13" s="142"/>
      <c r="T13" s="81"/>
    </row>
    <row r="14" spans="1:20" s="23" customFormat="1" ht="15.75" hidden="1" customHeight="1" thickBot="1" x14ac:dyDescent="0.3">
      <c r="A14" s="22"/>
      <c r="B14" s="319"/>
      <c r="C14" s="103">
        <v>11</v>
      </c>
      <c r="D14" s="140">
        <v>3500000</v>
      </c>
      <c r="E14" s="135">
        <v>0</v>
      </c>
      <c r="F14" s="95"/>
      <c r="G14" s="123">
        <v>400000</v>
      </c>
      <c r="H14" s="95"/>
      <c r="I14" s="95"/>
      <c r="J14" s="95"/>
      <c r="K14" s="128">
        <f t="shared" si="0"/>
        <v>5128720.5994834667</v>
      </c>
      <c r="L14" s="106"/>
      <c r="M14" s="38"/>
      <c r="N14" s="108">
        <v>0</v>
      </c>
      <c r="O14" s="25">
        <v>1.7999999999999999E-2</v>
      </c>
      <c r="P14" s="181"/>
      <c r="Q14" s="142"/>
      <c r="R14" s="22"/>
      <c r="S14" s="22"/>
      <c r="T14" s="82"/>
    </row>
    <row r="15" spans="1:20" s="21" customFormat="1" ht="17.25" hidden="1" thickBot="1" x14ac:dyDescent="0.35">
      <c r="A15" s="39"/>
      <c r="B15" s="319"/>
      <c r="C15" s="104">
        <v>12</v>
      </c>
      <c r="D15" s="140">
        <v>2500000</v>
      </c>
      <c r="E15" s="136">
        <v>1000000</v>
      </c>
      <c r="F15" s="96"/>
      <c r="G15" s="124">
        <v>400000</v>
      </c>
      <c r="H15" s="96"/>
      <c r="I15" s="96"/>
      <c r="J15" s="96"/>
      <c r="K15" s="108">
        <f t="shared" si="0"/>
        <v>5241227.1283103265</v>
      </c>
      <c r="L15" s="106"/>
      <c r="M15" s="38"/>
      <c r="N15" s="108">
        <v>0</v>
      </c>
      <c r="O15" s="112">
        <v>-5.1999999999999998E-2</v>
      </c>
      <c r="P15" s="181"/>
      <c r="Q15" s="142"/>
      <c r="R15" s="39"/>
      <c r="S15" s="39"/>
      <c r="T15" s="37"/>
    </row>
    <row r="16" spans="1:20" s="34" customFormat="1" x14ac:dyDescent="0.3">
      <c r="A16" s="22">
        <v>2</v>
      </c>
      <c r="B16" s="311">
        <v>2023</v>
      </c>
      <c r="C16" s="103">
        <v>1</v>
      </c>
      <c r="D16" s="141">
        <v>2500000</v>
      </c>
      <c r="E16" s="135">
        <v>0</v>
      </c>
      <c r="F16" s="94"/>
      <c r="G16" s="125">
        <v>400000</v>
      </c>
      <c r="H16" s="94"/>
      <c r="I16" s="94"/>
      <c r="J16" s="94"/>
      <c r="K16" s="116">
        <f xml:space="preserve"> (K15 + 400000) + ((K15 + 400000) * O16 )</f>
        <v>5906364.8033409119</v>
      </c>
      <c r="L16" s="118"/>
      <c r="M16" s="115">
        <v>0</v>
      </c>
      <c r="N16" s="116">
        <v>0</v>
      </c>
      <c r="O16" s="117">
        <v>4.7E-2</v>
      </c>
      <c r="P16" s="181"/>
      <c r="Q16" s="119"/>
      <c r="R16" s="22"/>
      <c r="S16" s="22"/>
      <c r="T16" s="83"/>
    </row>
    <row r="17" spans="1:20" s="22" customFormat="1" x14ac:dyDescent="0.3">
      <c r="B17" s="311"/>
      <c r="C17" s="103">
        <v>2</v>
      </c>
      <c r="D17" s="141">
        <v>2500000</v>
      </c>
      <c r="E17" s="135">
        <v>0</v>
      </c>
      <c r="F17" s="94"/>
      <c r="G17" s="125">
        <v>400000</v>
      </c>
      <c r="H17" s="94"/>
      <c r="I17" s="94"/>
      <c r="J17" s="94"/>
      <c r="K17" s="116">
        <f xml:space="preserve"> (K16 + 400000) + ((K16 + 400000) * O17 )</f>
        <v>6325283.8977509346</v>
      </c>
      <c r="L17" s="118"/>
      <c r="M17" s="115">
        <v>0</v>
      </c>
      <c r="N17" s="116">
        <v>0</v>
      </c>
      <c r="O17" s="117">
        <v>3.0000000000000001E-3</v>
      </c>
      <c r="P17" s="181"/>
      <c r="Q17" s="119"/>
      <c r="T17" s="81"/>
    </row>
    <row r="18" spans="1:20" s="22" customFormat="1" x14ac:dyDescent="0.3">
      <c r="B18" s="311"/>
      <c r="C18" s="103">
        <v>3</v>
      </c>
      <c r="D18" s="141">
        <v>2500000</v>
      </c>
      <c r="E18" s="135">
        <v>0</v>
      </c>
      <c r="F18" s="94"/>
      <c r="G18" s="125">
        <v>400000</v>
      </c>
      <c r="H18" s="94"/>
      <c r="I18" s="94"/>
      <c r="J18" s="94"/>
      <c r="K18" s="116">
        <f xml:space="preserve"> (K17 + 400000) + ((K17 + 400000) * O18 )</f>
        <v>6557151.8003071612</v>
      </c>
      <c r="L18" s="118"/>
      <c r="M18" s="115">
        <v>0</v>
      </c>
      <c r="N18" s="116">
        <v>7000000</v>
      </c>
      <c r="O18" s="117">
        <v>-2.5000000000000001E-2</v>
      </c>
      <c r="P18" s="181"/>
      <c r="Q18" s="119"/>
      <c r="T18" s="81"/>
    </row>
    <row r="19" spans="1:20" s="22" customFormat="1" x14ac:dyDescent="0.3">
      <c r="B19" s="311"/>
      <c r="C19" s="103">
        <v>4</v>
      </c>
      <c r="D19" s="141">
        <v>500000</v>
      </c>
      <c r="E19" s="135">
        <v>0</v>
      </c>
      <c r="F19" s="94"/>
      <c r="G19" s="125">
        <v>400000</v>
      </c>
      <c r="H19" s="94"/>
      <c r="I19" s="94"/>
      <c r="J19" s="94"/>
      <c r="K19" s="116">
        <f xml:space="preserve"> (K18 + 400000) + ((K18 + 400000) * O19 )</f>
        <v>6365793.8972810525</v>
      </c>
      <c r="L19" s="118"/>
      <c r="M19" s="115">
        <v>0</v>
      </c>
      <c r="N19" s="116">
        <f xml:space="preserve"> (N18 + D19 - E19 - M19) + ((N18 + D19 - E19 - M19) * O19)</f>
        <v>6862500</v>
      </c>
      <c r="O19" s="117">
        <v>-8.5000000000000006E-2</v>
      </c>
      <c r="P19" s="181"/>
      <c r="Q19" s="119"/>
      <c r="T19" s="81"/>
    </row>
    <row r="20" spans="1:20" s="22" customFormat="1" x14ac:dyDescent="0.3">
      <c r="B20" s="311"/>
      <c r="C20" s="103">
        <v>5</v>
      </c>
      <c r="D20" s="141">
        <v>100000</v>
      </c>
      <c r="E20" s="135">
        <v>0</v>
      </c>
      <c r="F20" s="94">
        <v>100000</v>
      </c>
      <c r="G20" s="125">
        <v>400000</v>
      </c>
      <c r="H20" s="94"/>
      <c r="I20" s="94"/>
      <c r="J20" s="94"/>
      <c r="K20" s="116">
        <f xml:space="preserve"> (K19 + G20 + F20) + ((K19 + G20 + F20) * L20 )</f>
        <v>7957455.1269487403</v>
      </c>
      <c r="L20" s="114">
        <v>0.159</v>
      </c>
      <c r="M20" s="115">
        <v>0</v>
      </c>
      <c r="N20" s="116">
        <f xml:space="preserve"> (N19 + D20 - E20 - M20) + ((N19 + D20 - E20 - M20) * O20)</f>
        <v>6266250</v>
      </c>
      <c r="O20" s="117">
        <v>-0.1</v>
      </c>
      <c r="P20" s="180">
        <f xml:space="preserve"> M20 + N20</f>
        <v>6266250</v>
      </c>
      <c r="Q20" s="113">
        <f xml:space="preserve"> K20 + P20</f>
        <v>14223705.12694874</v>
      </c>
      <c r="T20" s="81"/>
    </row>
    <row r="21" spans="1:20" s="22" customFormat="1" x14ac:dyDescent="0.3">
      <c r="B21" s="311"/>
      <c r="C21" s="103">
        <v>6</v>
      </c>
      <c r="D21" s="141">
        <v>15000000</v>
      </c>
      <c r="E21" s="135">
        <v>0</v>
      </c>
      <c r="F21" s="94">
        <v>750000</v>
      </c>
      <c r="G21" s="125">
        <v>500000</v>
      </c>
      <c r="H21" s="94"/>
      <c r="I21" s="94"/>
      <c r="J21" s="94"/>
      <c r="K21" s="116">
        <f xml:space="preserve"> (K20 + G21 + F21) + ((K20 + G21 + F21) * L21 )</f>
        <v>9373189.319233818</v>
      </c>
      <c r="L21" s="114">
        <v>1.7999999999999999E-2</v>
      </c>
      <c r="M21" s="115">
        <v>50000</v>
      </c>
      <c r="N21" s="116">
        <f xml:space="preserve"> (N20 + D21 - E21 - M21) + ((N20 + D21 - E21 - M21) * O21)</f>
        <v>24610850</v>
      </c>
      <c r="O21" s="117">
        <v>0.16</v>
      </c>
      <c r="P21" s="180">
        <f xml:space="preserve"> M21 + N21</f>
        <v>24660850</v>
      </c>
      <c r="Q21" s="113">
        <f xml:space="preserve"> K21 + P21</f>
        <v>34034039.31923382</v>
      </c>
      <c r="T21" s="81"/>
    </row>
    <row r="22" spans="1:20" s="22" customFormat="1" x14ac:dyDescent="0.3">
      <c r="B22" s="311"/>
      <c r="C22" s="103">
        <v>7</v>
      </c>
      <c r="D22" s="141">
        <v>700000</v>
      </c>
      <c r="E22" s="135">
        <v>0</v>
      </c>
      <c r="F22" s="94">
        <v>300000</v>
      </c>
      <c r="G22" s="125">
        <v>500000</v>
      </c>
      <c r="H22" s="94"/>
      <c r="I22" s="94"/>
      <c r="J22" s="94"/>
      <c r="K22" s="116">
        <f t="shared" ref="K22:K85" si="1" xml:space="preserve"> (K21 + G22 + F22) + ((K21 + G22 + F22) * L22 )</f>
        <v>10356306.726980027</v>
      </c>
      <c r="L22" s="114">
        <v>1.7999999999999999E-2</v>
      </c>
      <c r="M22" s="115">
        <v>100000</v>
      </c>
      <c r="N22" s="116">
        <f xml:space="preserve"> (N21 + D22 - E22 - M22) + ((N21 + D22 - E22 - M22) * O22)</f>
        <v>27227718</v>
      </c>
      <c r="O22" s="117">
        <v>0.08</v>
      </c>
      <c r="P22" s="180">
        <f t="shared" ref="P22:P85" si="2" xml:space="preserve"> M22 + N22</f>
        <v>27327718</v>
      </c>
      <c r="Q22" s="113">
        <f t="shared" ref="Q22:Q85" si="3" xml:space="preserve"> K22 + P22</f>
        <v>37684024.726980031</v>
      </c>
      <c r="T22" s="81"/>
    </row>
    <row r="23" spans="1:20" s="22" customFormat="1" x14ac:dyDescent="0.3">
      <c r="B23" s="311"/>
      <c r="C23" s="103">
        <v>8</v>
      </c>
      <c r="D23" s="141">
        <v>1100000</v>
      </c>
      <c r="E23" s="135">
        <v>17450000</v>
      </c>
      <c r="F23" s="94">
        <v>300000</v>
      </c>
      <c r="G23" s="125">
        <v>100000</v>
      </c>
      <c r="H23" s="94"/>
      <c r="I23" s="94"/>
      <c r="J23" s="94"/>
      <c r="K23" s="116">
        <f t="shared" si="1"/>
        <v>10853113.487522848</v>
      </c>
      <c r="L23" s="114">
        <v>8.9999999999999993E-3</v>
      </c>
      <c r="M23" s="115">
        <v>50000</v>
      </c>
      <c r="N23" s="116">
        <f xml:space="preserve"> (N22 + D23 - E23 - M23) + ((N22 + D23 - E23 - M23) * O23)</f>
        <v>9095283.1199999992</v>
      </c>
      <c r="O23" s="117">
        <v>-0.16</v>
      </c>
      <c r="P23" s="180">
        <f t="shared" si="2"/>
        <v>9145283.1199999992</v>
      </c>
      <c r="Q23" s="113">
        <f t="shared" si="3"/>
        <v>19998396.607522845</v>
      </c>
      <c r="T23" s="81"/>
    </row>
    <row r="24" spans="1:20" s="22" customFormat="1" x14ac:dyDescent="0.3">
      <c r="B24" s="311"/>
      <c r="C24" s="103">
        <v>9</v>
      </c>
      <c r="D24" s="141">
        <v>1100000</v>
      </c>
      <c r="E24" s="135">
        <v>0</v>
      </c>
      <c r="F24" s="94">
        <v>300000</v>
      </c>
      <c r="G24" s="125">
        <v>100000</v>
      </c>
      <c r="H24" s="94"/>
      <c r="I24" s="94"/>
      <c r="J24" s="94"/>
      <c r="K24" s="116">
        <f t="shared" si="1"/>
        <v>11050557.444747437</v>
      </c>
      <c r="L24" s="114">
        <v>-1.7999999999999999E-2</v>
      </c>
      <c r="M24" s="115">
        <v>50000</v>
      </c>
      <c r="N24" s="116">
        <f t="shared" ref="N24:N87" si="4" xml:space="preserve"> (N23 + D24 - E24 - M24) + ((N23 + D24 - E24 - M24) * O24)</f>
        <v>7507509.5088</v>
      </c>
      <c r="O24" s="117">
        <v>-0.26</v>
      </c>
      <c r="P24" s="180">
        <f t="shared" si="2"/>
        <v>7557509.5088</v>
      </c>
      <c r="Q24" s="113">
        <f t="shared" si="3"/>
        <v>18608066.953547437</v>
      </c>
      <c r="T24" s="81"/>
    </row>
    <row r="25" spans="1:20" s="22" customFormat="1" x14ac:dyDescent="0.3">
      <c r="B25" s="311"/>
      <c r="C25" s="103">
        <v>10</v>
      </c>
      <c r="D25" s="141">
        <v>7100000</v>
      </c>
      <c r="E25" s="135">
        <v>0</v>
      </c>
      <c r="F25" s="94">
        <v>300000</v>
      </c>
      <c r="G25" s="125">
        <v>100000</v>
      </c>
      <c r="H25" s="94">
        <v>16000000</v>
      </c>
      <c r="I25" s="94">
        <v>70000000</v>
      </c>
      <c r="J25" s="94">
        <v>54000000</v>
      </c>
      <c r="K25" s="116">
        <f t="shared" si="1"/>
        <v>11656667.478752891</v>
      </c>
      <c r="L25" s="114">
        <v>1.7999999999999999E-2</v>
      </c>
      <c r="M25" s="115">
        <v>50000</v>
      </c>
      <c r="N25" s="116">
        <f t="shared" si="4"/>
        <v>9316806.0856320001</v>
      </c>
      <c r="O25" s="117">
        <v>-0.36</v>
      </c>
      <c r="P25" s="180">
        <f t="shared" si="2"/>
        <v>9366806.0856320001</v>
      </c>
      <c r="Q25" s="113">
        <f t="shared" si="3"/>
        <v>21023473.564384893</v>
      </c>
      <c r="R25" s="94">
        <f xml:space="preserve"> H25 + I25</f>
        <v>86000000</v>
      </c>
      <c r="S25" s="94">
        <f xml:space="preserve"> J25 + Q25</f>
        <v>75023473.564384893</v>
      </c>
      <c r="T25" s="81"/>
    </row>
    <row r="26" spans="1:20" s="23" customFormat="1" ht="17.25" thickBot="1" x14ac:dyDescent="0.35">
      <c r="A26" s="22"/>
      <c r="B26" s="311"/>
      <c r="C26" s="103">
        <v>11</v>
      </c>
      <c r="D26" s="141">
        <v>4000000</v>
      </c>
      <c r="E26" s="135">
        <v>0</v>
      </c>
      <c r="F26" s="94">
        <v>300000</v>
      </c>
      <c r="G26" s="125">
        <v>100000</v>
      </c>
      <c r="H26" s="94">
        <v>10600000</v>
      </c>
      <c r="I26" s="94">
        <v>70000000</v>
      </c>
      <c r="J26" s="94">
        <v>54000000</v>
      </c>
      <c r="K26" s="116">
        <f t="shared" si="1"/>
        <v>11839647.464135339</v>
      </c>
      <c r="L26" s="114">
        <v>-1.7999999999999999E-2</v>
      </c>
      <c r="M26" s="115">
        <v>50000</v>
      </c>
      <c r="N26" s="116">
        <f t="shared" si="4"/>
        <v>8623423.9556608014</v>
      </c>
      <c r="O26" s="117">
        <v>-0.35</v>
      </c>
      <c r="P26" s="180">
        <f t="shared" si="2"/>
        <v>8673423.9556608014</v>
      </c>
      <c r="Q26" s="113">
        <f t="shared" si="3"/>
        <v>20513071.419796139</v>
      </c>
      <c r="R26" s="94">
        <f xml:space="preserve"> H26 + I26</f>
        <v>80600000</v>
      </c>
      <c r="S26" s="94">
        <f xml:space="preserve"> J26 + Q26</f>
        <v>74513071.419796139</v>
      </c>
      <c r="T26" s="82"/>
    </row>
    <row r="27" spans="1:20" s="157" customFormat="1" ht="17.25" thickBot="1" x14ac:dyDescent="0.35">
      <c r="A27" s="22"/>
      <c r="B27" s="311"/>
      <c r="C27" s="103">
        <v>12</v>
      </c>
      <c r="D27" s="141">
        <v>1400000</v>
      </c>
      <c r="E27" s="135">
        <v>0</v>
      </c>
      <c r="F27" s="94">
        <v>0</v>
      </c>
      <c r="G27" s="125">
        <v>100000</v>
      </c>
      <c r="H27" s="94">
        <v>10600000</v>
      </c>
      <c r="I27" s="94">
        <v>70000000</v>
      </c>
      <c r="J27" s="94">
        <v>54000000</v>
      </c>
      <c r="K27" s="116">
        <f t="shared" si="1"/>
        <v>12154561.118489776</v>
      </c>
      <c r="L27" s="114">
        <v>1.7999999999999999E-2</v>
      </c>
      <c r="M27" s="115">
        <v>50000</v>
      </c>
      <c r="N27" s="116">
        <f t="shared" si="4"/>
        <v>8377676.122755073</v>
      </c>
      <c r="O27" s="117">
        <v>-0.16</v>
      </c>
      <c r="P27" s="180">
        <f t="shared" si="2"/>
        <v>8427676.122755073</v>
      </c>
      <c r="Q27" s="113">
        <f t="shared" si="3"/>
        <v>20582237.241244849</v>
      </c>
      <c r="R27" s="94">
        <f t="shared" ref="R27:R90" si="5" xml:space="preserve"> H27 + I27</f>
        <v>80600000</v>
      </c>
      <c r="S27" s="94">
        <f t="shared" ref="S27:S90" si="6" xml:space="preserve"> J27 + Q27</f>
        <v>74582237.241244853</v>
      </c>
      <c r="T27" s="156"/>
    </row>
    <row r="28" spans="1:20" s="34" customFormat="1" x14ac:dyDescent="0.3">
      <c r="A28" s="34">
        <v>3</v>
      </c>
      <c r="B28" s="315">
        <v>2024</v>
      </c>
      <c r="C28" s="170">
        <v>1</v>
      </c>
      <c r="D28" s="135">
        <v>0</v>
      </c>
      <c r="E28" s="135">
        <v>8340000</v>
      </c>
      <c r="F28" s="135">
        <v>300000</v>
      </c>
      <c r="G28" s="125">
        <v>100000</v>
      </c>
      <c r="H28" s="94">
        <v>10600000</v>
      </c>
      <c r="I28" s="94">
        <v>70000000</v>
      </c>
      <c r="J28" s="94">
        <v>54000000</v>
      </c>
      <c r="K28" s="171">
        <f t="shared" si="1"/>
        <v>12680106.729674673</v>
      </c>
      <c r="L28" s="172">
        <v>0.01</v>
      </c>
      <c r="M28" s="115">
        <v>0</v>
      </c>
      <c r="N28" s="116">
        <f t="shared" si="4"/>
        <v>29387.375748956947</v>
      </c>
      <c r="O28" s="117">
        <v>-0.22</v>
      </c>
      <c r="P28" s="180">
        <f t="shared" si="2"/>
        <v>29387.375748956947</v>
      </c>
      <c r="Q28" s="113">
        <f t="shared" si="3"/>
        <v>12709494.105423629</v>
      </c>
      <c r="R28" s="94">
        <f t="shared" si="5"/>
        <v>80600000</v>
      </c>
      <c r="S28" s="94">
        <f t="shared" si="6"/>
        <v>66709494.105423629</v>
      </c>
      <c r="T28" s="83"/>
    </row>
    <row r="29" spans="1:20" s="22" customFormat="1" x14ac:dyDescent="0.3">
      <c r="B29" s="311"/>
      <c r="C29" s="103">
        <v>2</v>
      </c>
      <c r="D29" s="135">
        <v>0</v>
      </c>
      <c r="E29" s="135">
        <v>0</v>
      </c>
      <c r="F29" s="135">
        <v>0</v>
      </c>
      <c r="G29" s="125">
        <v>100000</v>
      </c>
      <c r="H29" s="94">
        <v>10600000</v>
      </c>
      <c r="I29" s="94">
        <v>70000000</v>
      </c>
      <c r="J29" s="94">
        <v>54000000</v>
      </c>
      <c r="K29" s="173">
        <f t="shared" si="1"/>
        <v>13010148.650808817</v>
      </c>
      <c r="L29" s="172">
        <v>1.7999999999999999E-2</v>
      </c>
      <c r="M29" s="115">
        <v>0</v>
      </c>
      <c r="N29" s="116">
        <f t="shared" si="4"/>
        <v>29916.348512438173</v>
      </c>
      <c r="O29" s="117">
        <v>1.7999999999999999E-2</v>
      </c>
      <c r="P29" s="180">
        <f t="shared" si="2"/>
        <v>29916.348512438173</v>
      </c>
      <c r="Q29" s="113">
        <f t="shared" si="3"/>
        <v>13040064.999321256</v>
      </c>
      <c r="R29" s="94">
        <f t="shared" si="5"/>
        <v>80600000</v>
      </c>
      <c r="S29" s="94">
        <f t="shared" si="6"/>
        <v>67040064.999321252</v>
      </c>
      <c r="T29" s="81"/>
    </row>
    <row r="30" spans="1:20" s="22" customFormat="1" x14ac:dyDescent="0.3">
      <c r="B30" s="311"/>
      <c r="C30" s="103">
        <v>3</v>
      </c>
      <c r="D30" s="135">
        <v>350000</v>
      </c>
      <c r="E30" s="135">
        <v>0</v>
      </c>
      <c r="F30" s="135">
        <v>0</v>
      </c>
      <c r="G30" s="125">
        <v>100000</v>
      </c>
      <c r="H30" s="94">
        <v>10600000</v>
      </c>
      <c r="I30" s="94">
        <v>70000000</v>
      </c>
      <c r="J30" s="94">
        <v>54000000</v>
      </c>
      <c r="K30" s="173">
        <f t="shared" si="1"/>
        <v>13346131.326523375</v>
      </c>
      <c r="L30" s="172">
        <v>1.7999999999999999E-2</v>
      </c>
      <c r="M30" s="115">
        <v>0</v>
      </c>
      <c r="N30" s="116">
        <f t="shared" si="4"/>
        <v>386754.8427856621</v>
      </c>
      <c r="O30" s="117">
        <v>1.7999999999999999E-2</v>
      </c>
      <c r="P30" s="115">
        <f t="shared" si="2"/>
        <v>386754.8427856621</v>
      </c>
      <c r="Q30" s="113">
        <f t="shared" si="3"/>
        <v>13732886.169309037</v>
      </c>
      <c r="R30" s="94">
        <f t="shared" si="5"/>
        <v>80600000</v>
      </c>
      <c r="S30" s="94">
        <f t="shared" si="6"/>
        <v>67732886.169309035</v>
      </c>
      <c r="T30" s="81"/>
    </row>
    <row r="31" spans="1:20" s="22" customFormat="1" x14ac:dyDescent="0.3">
      <c r="B31" s="311"/>
      <c r="C31" s="103">
        <v>4</v>
      </c>
      <c r="D31" s="135">
        <v>0</v>
      </c>
      <c r="E31" s="135">
        <v>0</v>
      </c>
      <c r="F31" s="135">
        <v>0</v>
      </c>
      <c r="G31" s="125">
        <v>100000</v>
      </c>
      <c r="H31" s="94">
        <v>5600000</v>
      </c>
      <c r="I31" s="94">
        <v>70000000</v>
      </c>
      <c r="J31" s="94">
        <v>54000000</v>
      </c>
      <c r="K31" s="173">
        <f t="shared" si="1"/>
        <v>13688161.690400796</v>
      </c>
      <c r="L31" s="172">
        <v>1.7999999999999999E-2</v>
      </c>
      <c r="M31" s="115">
        <v>0</v>
      </c>
      <c r="N31" s="116">
        <f t="shared" si="4"/>
        <v>421562.77863637172</v>
      </c>
      <c r="O31" s="117">
        <v>0.09</v>
      </c>
      <c r="P31" s="115">
        <f t="shared" si="2"/>
        <v>421562.77863637172</v>
      </c>
      <c r="Q31" s="113">
        <f t="shared" si="3"/>
        <v>14109724.469037168</v>
      </c>
      <c r="R31" s="94">
        <f t="shared" si="5"/>
        <v>75600000</v>
      </c>
      <c r="S31" s="94">
        <f t="shared" si="6"/>
        <v>68109724.469037175</v>
      </c>
      <c r="T31" s="81"/>
    </row>
    <row r="32" spans="1:20" s="22" customFormat="1" x14ac:dyDescent="0.3">
      <c r="B32" s="311"/>
      <c r="C32" s="103">
        <v>5</v>
      </c>
      <c r="D32" s="135">
        <v>14000000</v>
      </c>
      <c r="E32" s="135">
        <v>420000</v>
      </c>
      <c r="F32" s="135">
        <v>0</v>
      </c>
      <c r="G32" s="125">
        <v>100000</v>
      </c>
      <c r="H32" s="94">
        <v>18700000</v>
      </c>
      <c r="I32" s="94">
        <v>70000000</v>
      </c>
      <c r="J32" s="94">
        <v>54000000</v>
      </c>
      <c r="K32" s="173">
        <f t="shared" si="1"/>
        <v>13788161.690400796</v>
      </c>
      <c r="L32" s="172">
        <v>0</v>
      </c>
      <c r="M32" s="115">
        <v>0</v>
      </c>
      <c r="N32" s="116">
        <f t="shared" si="4"/>
        <v>14841656.545354554</v>
      </c>
      <c r="O32" s="117">
        <v>0.06</v>
      </c>
      <c r="P32" s="115">
        <f t="shared" si="2"/>
        <v>14841656.545354554</v>
      </c>
      <c r="Q32" s="113">
        <f t="shared" si="3"/>
        <v>28629818.23575535</v>
      </c>
      <c r="R32" s="94">
        <f t="shared" si="5"/>
        <v>88700000</v>
      </c>
      <c r="S32" s="94">
        <f t="shared" si="6"/>
        <v>82629818.235755354</v>
      </c>
      <c r="T32" s="81"/>
    </row>
    <row r="33" spans="1:21" s="145" customFormat="1" x14ac:dyDescent="0.3">
      <c r="B33" s="311"/>
      <c r="C33" s="211">
        <v>6</v>
      </c>
      <c r="D33" s="212">
        <v>0</v>
      </c>
      <c r="E33" s="212">
        <v>1500000</v>
      </c>
      <c r="F33" s="212">
        <v>300000</v>
      </c>
      <c r="G33" s="213">
        <v>300000</v>
      </c>
      <c r="H33" s="214">
        <f xml:space="preserve"> 18700000 - 1640000</f>
        <v>17060000</v>
      </c>
      <c r="I33" s="214">
        <v>70000000</v>
      </c>
      <c r="J33" s="214">
        <v>54000000</v>
      </c>
      <c r="K33" s="215">
        <f t="shared" si="1"/>
        <v>14244280.073496789</v>
      </c>
      <c r="L33" s="216">
        <v>-0.01</v>
      </c>
      <c r="M33" s="217">
        <v>0</v>
      </c>
      <c r="N33" s="218">
        <f t="shared" si="4"/>
        <v>12007490.890819099</v>
      </c>
      <c r="O33" s="219">
        <v>-0.1</v>
      </c>
      <c r="P33" s="217">
        <f t="shared" si="2"/>
        <v>12007490.890819099</v>
      </c>
      <c r="Q33" s="220">
        <f t="shared" si="3"/>
        <v>26251770.964315888</v>
      </c>
      <c r="R33" s="214">
        <f t="shared" si="5"/>
        <v>87060000</v>
      </c>
      <c r="S33" s="214">
        <f t="shared" si="6"/>
        <v>80251770.964315891</v>
      </c>
      <c r="T33" s="221"/>
    </row>
    <row r="34" spans="1:21" s="145" customFormat="1" x14ac:dyDescent="0.3">
      <c r="B34" s="311"/>
      <c r="C34" s="211">
        <v>7</v>
      </c>
      <c r="D34" s="212">
        <v>0</v>
      </c>
      <c r="E34" s="212">
        <v>12000000</v>
      </c>
      <c r="F34" s="212">
        <v>300000</v>
      </c>
      <c r="G34" s="213">
        <v>300000</v>
      </c>
      <c r="H34" s="214">
        <f t="shared" ref="H34:H35" si="7" xml:space="preserve"> H33 - 1640000</f>
        <v>15420000</v>
      </c>
      <c r="I34" s="214">
        <v>70000000</v>
      </c>
      <c r="J34" s="214">
        <v>54000000</v>
      </c>
      <c r="K34" s="215">
        <f t="shared" si="1"/>
        <v>14725525.832908815</v>
      </c>
      <c r="L34" s="216">
        <v>-8.0000000000000002E-3</v>
      </c>
      <c r="M34" s="217">
        <v>0</v>
      </c>
      <c r="N34" s="218">
        <f t="shared" si="4"/>
        <v>7625.7268538425787</v>
      </c>
      <c r="O34" s="219">
        <v>1.7999999999999999E-2</v>
      </c>
      <c r="P34" s="217">
        <f t="shared" si="2"/>
        <v>7625.7268538425787</v>
      </c>
      <c r="Q34" s="220">
        <f t="shared" si="3"/>
        <v>14733151.559762657</v>
      </c>
      <c r="R34" s="214">
        <f t="shared" si="5"/>
        <v>85420000</v>
      </c>
      <c r="S34" s="214">
        <f t="shared" si="6"/>
        <v>68733151.559762657</v>
      </c>
      <c r="T34" s="221"/>
    </row>
    <row r="35" spans="1:21" s="145" customFormat="1" x14ac:dyDescent="0.3">
      <c r="B35" s="311"/>
      <c r="C35" s="211">
        <v>8</v>
      </c>
      <c r="D35" s="212">
        <v>0</v>
      </c>
      <c r="E35" s="212">
        <v>0</v>
      </c>
      <c r="F35" s="212">
        <v>300000</v>
      </c>
      <c r="G35" s="213">
        <v>300000</v>
      </c>
      <c r="H35" s="214">
        <f t="shared" si="7"/>
        <v>13780000</v>
      </c>
      <c r="I35" s="214">
        <v>70000000</v>
      </c>
      <c r="J35" s="214">
        <v>54000000</v>
      </c>
      <c r="K35" s="215">
        <f t="shared" si="1"/>
        <v>15785291.607896078</v>
      </c>
      <c r="L35" s="216">
        <v>0.03</v>
      </c>
      <c r="M35" s="217">
        <v>0</v>
      </c>
      <c r="N35" s="218">
        <f t="shared" si="4"/>
        <v>7762.9899372117452</v>
      </c>
      <c r="O35" s="219">
        <v>1.7999999999999999E-2</v>
      </c>
      <c r="P35" s="217">
        <f t="shared" si="2"/>
        <v>7762.9899372117452</v>
      </c>
      <c r="Q35" s="220">
        <f t="shared" si="3"/>
        <v>15793054.597833291</v>
      </c>
      <c r="R35" s="214">
        <f t="shared" si="5"/>
        <v>83780000</v>
      </c>
      <c r="S35" s="214">
        <f t="shared" si="6"/>
        <v>69793054.597833291</v>
      </c>
      <c r="T35" s="221"/>
    </row>
    <row r="36" spans="1:21" s="145" customFormat="1" x14ac:dyDescent="0.3">
      <c r="B36" s="311"/>
      <c r="C36" s="211">
        <v>9</v>
      </c>
      <c r="D36" s="212">
        <v>0</v>
      </c>
      <c r="E36" s="212">
        <v>0</v>
      </c>
      <c r="F36" s="212">
        <v>0</v>
      </c>
      <c r="G36" s="213">
        <v>0</v>
      </c>
      <c r="H36" s="214">
        <v>0</v>
      </c>
      <c r="I36" s="214">
        <v>70000000</v>
      </c>
      <c r="J36" s="214">
        <v>54000000</v>
      </c>
      <c r="K36" s="215">
        <f xml:space="preserve"> (K35 + G36 + F36) + ((K35 + G36 + F36) * L36 ) - 12500000</f>
        <v>3569426.8568382077</v>
      </c>
      <c r="L36" s="216">
        <v>1.7999999999999999E-2</v>
      </c>
      <c r="M36" s="217">
        <v>0</v>
      </c>
      <c r="N36" s="218">
        <f t="shared" si="4"/>
        <v>7902.7237560815565</v>
      </c>
      <c r="O36" s="219">
        <v>1.7999999999999999E-2</v>
      </c>
      <c r="P36" s="217">
        <f t="shared" si="2"/>
        <v>7902.7237560815565</v>
      </c>
      <c r="Q36" s="220">
        <f t="shared" si="3"/>
        <v>3577329.5805942891</v>
      </c>
      <c r="R36" s="214">
        <f t="shared" si="5"/>
        <v>70000000</v>
      </c>
      <c r="S36" s="214">
        <f t="shared" si="6"/>
        <v>57577329.580594286</v>
      </c>
      <c r="T36" s="221"/>
    </row>
    <row r="37" spans="1:21" s="145" customFormat="1" x14ac:dyDescent="0.3">
      <c r="B37" s="311"/>
      <c r="C37" s="211">
        <v>10</v>
      </c>
      <c r="D37" s="212">
        <v>0</v>
      </c>
      <c r="E37" s="212">
        <v>0</v>
      </c>
      <c r="F37" s="212">
        <v>0</v>
      </c>
      <c r="G37" s="213">
        <v>0</v>
      </c>
      <c r="H37" s="214">
        <v>0</v>
      </c>
      <c r="I37" s="214">
        <v>70000000</v>
      </c>
      <c r="J37" s="214">
        <v>54000000</v>
      </c>
      <c r="K37" s="215">
        <f t="shared" si="1"/>
        <v>3633676.5402612956</v>
      </c>
      <c r="L37" s="216">
        <v>1.7999999999999999E-2</v>
      </c>
      <c r="M37" s="217">
        <v>0</v>
      </c>
      <c r="N37" s="218">
        <f t="shared" si="4"/>
        <v>8044.9727836910242</v>
      </c>
      <c r="O37" s="219">
        <v>1.7999999999999999E-2</v>
      </c>
      <c r="P37" s="217">
        <f t="shared" si="2"/>
        <v>8044.9727836910242</v>
      </c>
      <c r="Q37" s="220">
        <f t="shared" si="3"/>
        <v>3641721.5130449869</v>
      </c>
      <c r="R37" s="214">
        <f t="shared" si="5"/>
        <v>70000000</v>
      </c>
      <c r="S37" s="214">
        <f t="shared" si="6"/>
        <v>57641721.513044983</v>
      </c>
      <c r="T37" s="221"/>
    </row>
    <row r="38" spans="1:21" s="236" customFormat="1" ht="17.25" thickBot="1" x14ac:dyDescent="0.35">
      <c r="B38" s="311"/>
      <c r="C38" s="237">
        <v>11</v>
      </c>
      <c r="D38" s="212">
        <v>5000000</v>
      </c>
      <c r="E38" s="212">
        <v>0</v>
      </c>
      <c r="F38" s="212">
        <v>0</v>
      </c>
      <c r="G38" s="213">
        <v>0</v>
      </c>
      <c r="H38" s="214">
        <v>0</v>
      </c>
      <c r="I38" s="214">
        <v>70000000</v>
      </c>
      <c r="J38" s="214">
        <v>54000000</v>
      </c>
      <c r="K38" s="215">
        <f t="shared" si="1"/>
        <v>3699082.7179859988</v>
      </c>
      <c r="L38" s="216">
        <v>1.7999999999999999E-2</v>
      </c>
      <c r="M38" s="217">
        <v>0</v>
      </c>
      <c r="N38" s="218">
        <f t="shared" si="4"/>
        <v>5098189.7822937975</v>
      </c>
      <c r="O38" s="238">
        <v>1.7999999999999999E-2</v>
      </c>
      <c r="P38" s="217">
        <f t="shared" si="2"/>
        <v>5098189.7822937975</v>
      </c>
      <c r="Q38" s="220">
        <f t="shared" si="3"/>
        <v>8797272.5002797954</v>
      </c>
      <c r="R38" s="214">
        <f t="shared" si="5"/>
        <v>70000000</v>
      </c>
      <c r="S38" s="214">
        <f t="shared" si="6"/>
        <v>62797272.500279799</v>
      </c>
      <c r="T38" s="239"/>
    </row>
    <row r="39" spans="1:21" s="291" customFormat="1" ht="17.25" thickBot="1" x14ac:dyDescent="0.35">
      <c r="A39" s="287"/>
      <c r="B39" s="311"/>
      <c r="C39" s="288">
        <v>12</v>
      </c>
      <c r="D39" s="212">
        <v>60000000</v>
      </c>
      <c r="E39" s="212">
        <v>6400000</v>
      </c>
      <c r="F39" s="212">
        <v>0</v>
      </c>
      <c r="G39" s="213">
        <v>0</v>
      </c>
      <c r="H39" s="214">
        <v>60000000</v>
      </c>
      <c r="I39" s="214">
        <v>70000000</v>
      </c>
      <c r="J39" s="214">
        <v>54000000</v>
      </c>
      <c r="K39" s="215">
        <f t="shared" si="1"/>
        <v>3765666.2069097469</v>
      </c>
      <c r="L39" s="216">
        <v>1.7999999999999999E-2</v>
      </c>
      <c r="M39" s="217">
        <v>0</v>
      </c>
      <c r="N39" s="218">
        <f t="shared" si="4"/>
        <v>60576531.855327196</v>
      </c>
      <c r="O39" s="289">
        <v>3.2000000000000001E-2</v>
      </c>
      <c r="P39" s="217">
        <f t="shared" si="2"/>
        <v>60576531.855327196</v>
      </c>
      <c r="Q39" s="220">
        <f t="shared" si="3"/>
        <v>64342198.062236942</v>
      </c>
      <c r="R39" s="214">
        <f t="shared" si="5"/>
        <v>130000000</v>
      </c>
      <c r="S39" s="214">
        <f t="shared" si="6"/>
        <v>118342198.06223693</v>
      </c>
      <c r="T39" s="290" t="s">
        <v>187</v>
      </c>
      <c r="U39" s="291" t="s">
        <v>189</v>
      </c>
    </row>
    <row r="40" spans="1:21" s="169" customFormat="1" x14ac:dyDescent="0.3">
      <c r="A40" s="169">
        <v>4</v>
      </c>
      <c r="B40" s="311">
        <v>2025</v>
      </c>
      <c r="C40" s="292">
        <v>1</v>
      </c>
      <c r="D40" s="212">
        <v>0</v>
      </c>
      <c r="E40" s="212">
        <v>0</v>
      </c>
      <c r="F40" s="212">
        <v>0</v>
      </c>
      <c r="G40" s="213">
        <v>0</v>
      </c>
      <c r="H40" s="214">
        <v>60000000</v>
      </c>
      <c r="I40" s="214">
        <v>70000000</v>
      </c>
      <c r="J40" s="214">
        <v>54000000</v>
      </c>
      <c r="K40" s="215">
        <f t="shared" si="1"/>
        <v>3833448.1986341225</v>
      </c>
      <c r="L40" s="216">
        <v>1.7999999999999999E-2</v>
      </c>
      <c r="M40" s="217">
        <v>0</v>
      </c>
      <c r="N40" s="218">
        <f t="shared" si="4"/>
        <v>62393827.810987011</v>
      </c>
      <c r="O40" s="254">
        <v>0.03</v>
      </c>
      <c r="P40" s="217">
        <f t="shared" si="2"/>
        <v>62393827.810987011</v>
      </c>
      <c r="Q40" s="220">
        <f t="shared" si="3"/>
        <v>66227276.009621136</v>
      </c>
      <c r="R40" s="214">
        <f t="shared" si="5"/>
        <v>130000000</v>
      </c>
      <c r="S40" s="214">
        <f t="shared" si="6"/>
        <v>120227276.00962114</v>
      </c>
      <c r="T40" s="293"/>
    </row>
    <row r="41" spans="1:21" s="145" customFormat="1" x14ac:dyDescent="0.3">
      <c r="B41" s="311"/>
      <c r="C41" s="211">
        <v>2</v>
      </c>
      <c r="D41" s="212">
        <v>0</v>
      </c>
      <c r="E41" s="212">
        <v>0</v>
      </c>
      <c r="F41" s="212">
        <v>0</v>
      </c>
      <c r="G41" s="213">
        <v>0</v>
      </c>
      <c r="H41" s="214">
        <v>60000000</v>
      </c>
      <c r="I41" s="214">
        <v>70000000</v>
      </c>
      <c r="J41" s="214">
        <v>54000000</v>
      </c>
      <c r="K41" s="215">
        <v>0</v>
      </c>
      <c r="L41" s="216">
        <v>1.7999999999999999E-2</v>
      </c>
      <c r="M41" s="217">
        <v>0</v>
      </c>
      <c r="N41" s="218">
        <f t="shared" si="4"/>
        <v>40555988.077141553</v>
      </c>
      <c r="O41" s="216">
        <v>-0.35</v>
      </c>
      <c r="P41" s="217">
        <f t="shared" si="2"/>
        <v>40555988.077141553</v>
      </c>
      <c r="Q41" s="220">
        <f t="shared" si="3"/>
        <v>40555988.077141553</v>
      </c>
      <c r="R41" s="214">
        <f t="shared" si="5"/>
        <v>130000000</v>
      </c>
      <c r="S41" s="214">
        <f t="shared" si="6"/>
        <v>94555988.077141553</v>
      </c>
      <c r="T41" s="221"/>
    </row>
    <row r="42" spans="1:21" s="145" customFormat="1" x14ac:dyDescent="0.3">
      <c r="B42" s="311"/>
      <c r="C42" s="211">
        <v>3</v>
      </c>
      <c r="D42" s="212">
        <v>0</v>
      </c>
      <c r="E42" s="212">
        <v>0</v>
      </c>
      <c r="F42" s="212">
        <v>0</v>
      </c>
      <c r="G42" s="213">
        <v>0</v>
      </c>
      <c r="H42" s="214">
        <v>60000000</v>
      </c>
      <c r="I42" s="214">
        <v>70000000</v>
      </c>
      <c r="J42" s="214">
        <v>54000000</v>
      </c>
      <c r="K42" s="215">
        <v>0</v>
      </c>
      <c r="L42" s="216">
        <v>1.7999999999999999E-2</v>
      </c>
      <c r="M42" s="217">
        <v>0</v>
      </c>
      <c r="N42" s="218">
        <f t="shared" si="4"/>
        <v>20277994.038570777</v>
      </c>
      <c r="O42" s="254">
        <v>-0.5</v>
      </c>
      <c r="P42" s="217">
        <f t="shared" si="2"/>
        <v>20277994.038570777</v>
      </c>
      <c r="Q42" s="220">
        <f t="shared" si="3"/>
        <v>20277994.038570777</v>
      </c>
      <c r="R42" s="214">
        <f t="shared" si="5"/>
        <v>130000000</v>
      </c>
      <c r="S42" s="214">
        <f t="shared" si="6"/>
        <v>74277994.038570777</v>
      </c>
      <c r="T42" s="221"/>
    </row>
    <row r="43" spans="1:21" s="145" customFormat="1" x14ac:dyDescent="0.3">
      <c r="B43" s="311"/>
      <c r="C43" s="211">
        <v>4</v>
      </c>
      <c r="D43" s="212">
        <v>20000000</v>
      </c>
      <c r="E43" s="212">
        <v>0</v>
      </c>
      <c r="F43" s="212">
        <v>0</v>
      </c>
      <c r="G43" s="213">
        <v>0</v>
      </c>
      <c r="H43" s="214">
        <v>60000000</v>
      </c>
      <c r="I43" s="214">
        <v>70000000</v>
      </c>
      <c r="J43" s="214">
        <v>54000000</v>
      </c>
      <c r="K43" s="215">
        <f t="shared" si="1"/>
        <v>0</v>
      </c>
      <c r="L43" s="216">
        <v>1.7999999999999999E-2</v>
      </c>
      <c r="M43" s="217">
        <v>0</v>
      </c>
      <c r="N43" s="218">
        <f t="shared" si="4"/>
        <v>41083553.91934219</v>
      </c>
      <c r="O43" s="254">
        <v>0.02</v>
      </c>
      <c r="P43" s="217">
        <f t="shared" si="2"/>
        <v>41083553.91934219</v>
      </c>
      <c r="Q43" s="220">
        <f t="shared" si="3"/>
        <v>41083553.91934219</v>
      </c>
      <c r="R43" s="214">
        <f t="shared" si="5"/>
        <v>130000000</v>
      </c>
      <c r="S43" s="214">
        <f t="shared" si="6"/>
        <v>95083553.91934219</v>
      </c>
      <c r="T43" s="221"/>
    </row>
    <row r="44" spans="1:21" s="147" customFormat="1" x14ac:dyDescent="0.3">
      <c r="B44" s="311"/>
      <c r="C44" s="294">
        <v>5</v>
      </c>
      <c r="D44" s="295">
        <v>20000000</v>
      </c>
      <c r="E44" s="295">
        <v>0</v>
      </c>
      <c r="F44" s="295">
        <v>0</v>
      </c>
      <c r="G44" s="296">
        <v>0</v>
      </c>
      <c r="H44" s="297">
        <v>60000000</v>
      </c>
      <c r="I44" s="297">
        <v>70000000</v>
      </c>
      <c r="J44" s="297">
        <v>54000000</v>
      </c>
      <c r="K44" s="215">
        <f t="shared" si="1"/>
        <v>0</v>
      </c>
      <c r="L44" s="216">
        <v>1.7999999999999999E-2</v>
      </c>
      <c r="M44" s="217">
        <v>0</v>
      </c>
      <c r="N44" s="218">
        <f t="shared" si="4"/>
        <v>64137731.615309298</v>
      </c>
      <c r="O44" s="254">
        <v>0.05</v>
      </c>
      <c r="P44" s="217">
        <f t="shared" si="2"/>
        <v>64137731.615309298</v>
      </c>
      <c r="Q44" s="220">
        <f t="shared" si="3"/>
        <v>64137731.615309298</v>
      </c>
      <c r="R44" s="297">
        <f t="shared" si="5"/>
        <v>130000000</v>
      </c>
      <c r="S44" s="297">
        <f t="shared" si="6"/>
        <v>118137731.6153093</v>
      </c>
      <c r="T44" s="298"/>
    </row>
    <row r="45" spans="1:21" s="18" customFormat="1" x14ac:dyDescent="0.3">
      <c r="B45" s="311"/>
      <c r="C45" s="28">
        <v>6</v>
      </c>
      <c r="D45" s="137">
        <v>0</v>
      </c>
      <c r="E45" s="137">
        <v>30000000</v>
      </c>
      <c r="F45" s="137">
        <v>0</v>
      </c>
      <c r="G45" s="123">
        <v>0</v>
      </c>
      <c r="H45" s="95">
        <v>60000000</v>
      </c>
      <c r="I45" s="95">
        <v>0</v>
      </c>
      <c r="J45" s="95">
        <v>15000000</v>
      </c>
      <c r="K45" s="129">
        <f t="shared" si="1"/>
        <v>0</v>
      </c>
      <c r="L45" s="98">
        <v>1.7999999999999999E-2</v>
      </c>
      <c r="M45" s="38">
        <v>0</v>
      </c>
      <c r="N45" s="108">
        <f t="shared" si="4"/>
        <v>36868750.144534044</v>
      </c>
      <c r="O45" s="80">
        <v>0.08</v>
      </c>
      <c r="P45" s="180">
        <f t="shared" si="2"/>
        <v>36868750.144534044</v>
      </c>
      <c r="Q45" s="143">
        <f t="shared" si="3"/>
        <v>36868750.144534044</v>
      </c>
      <c r="R45" s="97">
        <f t="shared" si="5"/>
        <v>60000000</v>
      </c>
      <c r="S45" s="97">
        <f t="shared" si="6"/>
        <v>51868750.144534044</v>
      </c>
      <c r="T45" s="84"/>
    </row>
    <row r="46" spans="1:21" s="18" customFormat="1" x14ac:dyDescent="0.3">
      <c r="B46" s="311"/>
      <c r="C46" s="28">
        <v>7</v>
      </c>
      <c r="D46" s="137">
        <v>0</v>
      </c>
      <c r="E46" s="137">
        <v>0</v>
      </c>
      <c r="F46" s="137">
        <v>0</v>
      </c>
      <c r="G46" s="123">
        <v>0</v>
      </c>
      <c r="H46" s="95">
        <v>60000000</v>
      </c>
      <c r="I46" s="95">
        <v>0</v>
      </c>
      <c r="J46" s="95">
        <v>15000000</v>
      </c>
      <c r="K46" s="129">
        <f t="shared" si="1"/>
        <v>0</v>
      </c>
      <c r="L46" s="98">
        <v>1.7999999999999999E-2</v>
      </c>
      <c r="M46" s="38">
        <v>0</v>
      </c>
      <c r="N46" s="108">
        <f t="shared" si="4"/>
        <v>37606125.147424728</v>
      </c>
      <c r="O46" s="80">
        <v>0.02</v>
      </c>
      <c r="P46" s="180">
        <f t="shared" si="2"/>
        <v>37606125.147424728</v>
      </c>
      <c r="Q46" s="143">
        <f t="shared" si="3"/>
        <v>37606125.147424728</v>
      </c>
      <c r="R46" s="97">
        <f t="shared" si="5"/>
        <v>60000000</v>
      </c>
      <c r="S46" s="97">
        <f t="shared" si="6"/>
        <v>52606125.147424728</v>
      </c>
      <c r="T46" s="84"/>
    </row>
    <row r="47" spans="1:21" s="266" customFormat="1" x14ac:dyDescent="0.3">
      <c r="A47" s="283" t="s">
        <v>213</v>
      </c>
      <c r="B47" s="311"/>
      <c r="C47" s="267">
        <v>8</v>
      </c>
      <c r="D47" s="137">
        <v>0</v>
      </c>
      <c r="E47" s="137">
        <v>0</v>
      </c>
      <c r="F47" s="268">
        <v>0</v>
      </c>
      <c r="G47" s="269">
        <v>0</v>
      </c>
      <c r="H47" s="270">
        <v>0</v>
      </c>
      <c r="I47" s="305">
        <v>256000000</v>
      </c>
      <c r="J47" s="270">
        <v>380000000</v>
      </c>
      <c r="K47" s="271">
        <f t="shared" si="1"/>
        <v>0</v>
      </c>
      <c r="L47" s="272">
        <v>1.7999999999999999E-2</v>
      </c>
      <c r="M47" s="273">
        <v>0</v>
      </c>
      <c r="N47" s="274">
        <f t="shared" si="4"/>
        <v>38358247.65037322</v>
      </c>
      <c r="O47" s="275">
        <v>0.02</v>
      </c>
      <c r="P47" s="273">
        <f t="shared" si="2"/>
        <v>38358247.65037322</v>
      </c>
      <c r="Q47" s="276">
        <f t="shared" si="3"/>
        <v>38358247.65037322</v>
      </c>
      <c r="R47" s="270">
        <f t="shared" si="5"/>
        <v>256000000</v>
      </c>
      <c r="S47" s="270">
        <f t="shared" si="6"/>
        <v>418358247.65037322</v>
      </c>
      <c r="T47" s="277"/>
    </row>
    <row r="48" spans="1:21" s="18" customFormat="1" x14ac:dyDescent="0.3">
      <c r="B48" s="311"/>
      <c r="C48" s="28">
        <v>9</v>
      </c>
      <c r="D48" s="137">
        <v>500000</v>
      </c>
      <c r="E48" s="137">
        <v>0</v>
      </c>
      <c r="F48" s="137">
        <v>0</v>
      </c>
      <c r="G48" s="278">
        <v>0</v>
      </c>
      <c r="H48" s="97">
        <v>0</v>
      </c>
      <c r="I48" s="305">
        <f xml:space="preserve"> I47 - 700000</f>
        <v>255300000</v>
      </c>
      <c r="J48" s="97">
        <v>380000000</v>
      </c>
      <c r="K48" s="279">
        <f t="shared" si="1"/>
        <v>0</v>
      </c>
      <c r="L48" s="98">
        <v>1.7999999999999999E-2</v>
      </c>
      <c r="M48" s="38">
        <v>0</v>
      </c>
      <c r="N48" s="280">
        <f t="shared" si="4"/>
        <v>39635412.603380688</v>
      </c>
      <c r="O48" s="80">
        <v>0.02</v>
      </c>
      <c r="P48" s="38">
        <f t="shared" si="2"/>
        <v>39635412.603380688</v>
      </c>
      <c r="Q48" s="281">
        <f t="shared" si="3"/>
        <v>39635412.603380688</v>
      </c>
      <c r="R48" s="97">
        <f t="shared" si="5"/>
        <v>255300000</v>
      </c>
      <c r="S48" s="97">
        <f t="shared" si="6"/>
        <v>419635412.60338068</v>
      </c>
      <c r="T48" s="84"/>
    </row>
    <row r="49" spans="1:20" s="18" customFormat="1" x14ac:dyDescent="0.3">
      <c r="B49" s="311"/>
      <c r="C49" s="28">
        <v>10</v>
      </c>
      <c r="D49" s="137">
        <v>500000</v>
      </c>
      <c r="E49" s="137">
        <v>0</v>
      </c>
      <c r="F49" s="137">
        <v>0</v>
      </c>
      <c r="G49" s="278">
        <v>0</v>
      </c>
      <c r="H49" s="97">
        <v>0</v>
      </c>
      <c r="I49" s="305">
        <f xml:space="preserve"> I48 - 700000</f>
        <v>254600000</v>
      </c>
      <c r="J49" s="97">
        <v>380000000</v>
      </c>
      <c r="K49" s="279">
        <f t="shared" si="1"/>
        <v>0</v>
      </c>
      <c r="L49" s="98">
        <v>1.7999999999999999E-2</v>
      </c>
      <c r="M49" s="38">
        <v>0</v>
      </c>
      <c r="N49" s="280">
        <f t="shared" si="4"/>
        <v>40938120.855448298</v>
      </c>
      <c r="O49" s="80">
        <v>0.02</v>
      </c>
      <c r="P49" s="38">
        <f t="shared" si="2"/>
        <v>40938120.855448298</v>
      </c>
      <c r="Q49" s="281">
        <f t="shared" si="3"/>
        <v>40938120.855448298</v>
      </c>
      <c r="R49" s="97">
        <f t="shared" si="5"/>
        <v>254600000</v>
      </c>
      <c r="S49" s="97">
        <f t="shared" si="6"/>
        <v>420938120.85544831</v>
      </c>
      <c r="T49" s="84"/>
    </row>
    <row r="50" spans="1:20" s="29" customFormat="1" ht="17.25" thickBot="1" x14ac:dyDescent="0.35">
      <c r="B50" s="311"/>
      <c r="C50" s="30">
        <v>11</v>
      </c>
      <c r="D50" s="137">
        <v>500000</v>
      </c>
      <c r="E50" s="137">
        <v>0</v>
      </c>
      <c r="F50" s="137">
        <v>0</v>
      </c>
      <c r="G50" s="278">
        <v>0</v>
      </c>
      <c r="H50" s="97">
        <v>0</v>
      </c>
      <c r="I50" s="305">
        <f t="shared" ref="I50:I113" si="8" xml:space="preserve"> I49 - 700000</f>
        <v>253900000</v>
      </c>
      <c r="J50" s="97">
        <v>380000000</v>
      </c>
      <c r="K50" s="279">
        <f t="shared" si="1"/>
        <v>0</v>
      </c>
      <c r="L50" s="98">
        <v>1.7999999999999999E-2</v>
      </c>
      <c r="M50" s="38">
        <v>0</v>
      </c>
      <c r="N50" s="280">
        <f t="shared" si="4"/>
        <v>42266883.272557266</v>
      </c>
      <c r="O50" s="80">
        <v>0.02</v>
      </c>
      <c r="P50" s="38">
        <f t="shared" si="2"/>
        <v>42266883.272557266</v>
      </c>
      <c r="Q50" s="281">
        <f t="shared" si="3"/>
        <v>42266883.272557266</v>
      </c>
      <c r="R50" s="97">
        <f t="shared" si="5"/>
        <v>253900000</v>
      </c>
      <c r="S50" s="97">
        <f t="shared" si="6"/>
        <v>422266883.27255726</v>
      </c>
      <c r="T50" s="85"/>
    </row>
    <row r="51" spans="1:20" s="210" customFormat="1" ht="17.25" thickBot="1" x14ac:dyDescent="0.35">
      <c r="A51" s="199"/>
      <c r="B51" s="311"/>
      <c r="C51" s="200">
        <v>12</v>
      </c>
      <c r="D51" s="137">
        <v>500000</v>
      </c>
      <c r="E51" s="201">
        <v>0</v>
      </c>
      <c r="F51" s="201">
        <v>0</v>
      </c>
      <c r="G51" s="202">
        <v>0</v>
      </c>
      <c r="H51" s="97">
        <v>0</v>
      </c>
      <c r="I51" s="305">
        <f t="shared" si="8"/>
        <v>253200000</v>
      </c>
      <c r="J51" s="97">
        <v>380000000</v>
      </c>
      <c r="K51" s="204">
        <f t="shared" si="1"/>
        <v>0</v>
      </c>
      <c r="L51" s="205">
        <v>1.7999999999999999E-2</v>
      </c>
      <c r="M51" s="206">
        <v>0</v>
      </c>
      <c r="N51" s="207">
        <f t="shared" si="4"/>
        <v>43622220.938008413</v>
      </c>
      <c r="O51" s="282">
        <v>0.02</v>
      </c>
      <c r="P51" s="206">
        <f t="shared" si="2"/>
        <v>43622220.938008413</v>
      </c>
      <c r="Q51" s="208">
        <f t="shared" si="3"/>
        <v>43622220.938008413</v>
      </c>
      <c r="R51" s="203">
        <f t="shared" si="5"/>
        <v>253200000</v>
      </c>
      <c r="S51" s="203">
        <f t="shared" si="6"/>
        <v>423622220.93800843</v>
      </c>
      <c r="T51" s="209"/>
    </row>
    <row r="52" spans="1:20" s="26" customFormat="1" x14ac:dyDescent="0.3">
      <c r="A52" s="26">
        <v>4</v>
      </c>
      <c r="B52" s="311">
        <v>2026</v>
      </c>
      <c r="C52" s="27">
        <v>1</v>
      </c>
      <c r="D52" s="137">
        <v>500000</v>
      </c>
      <c r="E52" s="137">
        <v>0</v>
      </c>
      <c r="F52" s="137">
        <v>0</v>
      </c>
      <c r="G52" s="123">
        <v>0</v>
      </c>
      <c r="H52" s="97">
        <v>0</v>
      </c>
      <c r="I52" s="305">
        <f t="shared" si="8"/>
        <v>252500000</v>
      </c>
      <c r="J52" s="97">
        <v>380000000</v>
      </c>
      <c r="K52" s="129">
        <f t="shared" si="1"/>
        <v>0</v>
      </c>
      <c r="L52" s="98">
        <v>1.7999999999999999E-2</v>
      </c>
      <c r="M52" s="38">
        <v>0</v>
      </c>
      <c r="N52" s="108">
        <f t="shared" si="4"/>
        <v>45004665.356768578</v>
      </c>
      <c r="O52" s="80">
        <v>0.02</v>
      </c>
      <c r="P52" s="180">
        <f t="shared" si="2"/>
        <v>45004665.356768578</v>
      </c>
      <c r="Q52" s="143">
        <f t="shared" si="3"/>
        <v>45004665.356768578</v>
      </c>
      <c r="R52" s="97">
        <f t="shared" si="5"/>
        <v>252500000</v>
      </c>
      <c r="S52" s="97">
        <f t="shared" si="6"/>
        <v>425004665.35676861</v>
      </c>
      <c r="T52" s="86"/>
    </row>
    <row r="53" spans="1:20" s="31" customFormat="1" x14ac:dyDescent="0.3">
      <c r="B53" s="311"/>
      <c r="C53" s="32">
        <v>2</v>
      </c>
      <c r="D53" s="137">
        <v>500000</v>
      </c>
      <c r="E53" s="137">
        <v>0</v>
      </c>
      <c r="F53" s="137">
        <v>0</v>
      </c>
      <c r="G53" s="123">
        <v>0</v>
      </c>
      <c r="H53" s="97">
        <v>0</v>
      </c>
      <c r="I53" s="305">
        <f t="shared" si="8"/>
        <v>251800000</v>
      </c>
      <c r="J53" s="97">
        <v>380000000</v>
      </c>
      <c r="K53" s="129">
        <f t="shared" si="1"/>
        <v>0</v>
      </c>
      <c r="L53" s="98">
        <v>1.7999999999999999E-2</v>
      </c>
      <c r="M53" s="38">
        <v>0</v>
      </c>
      <c r="N53" s="108">
        <f t="shared" si="4"/>
        <v>46414758.663903952</v>
      </c>
      <c r="O53" s="80">
        <v>0.02</v>
      </c>
      <c r="P53" s="180">
        <f t="shared" si="2"/>
        <v>46414758.663903952</v>
      </c>
      <c r="Q53" s="143">
        <f t="shared" si="3"/>
        <v>46414758.663903952</v>
      </c>
      <c r="R53" s="97">
        <f t="shared" si="5"/>
        <v>251800000</v>
      </c>
      <c r="S53" s="97">
        <f t="shared" si="6"/>
        <v>426414758.66390395</v>
      </c>
      <c r="T53" s="87"/>
    </row>
    <row r="54" spans="1:20" s="18" customFormat="1" x14ac:dyDescent="0.3">
      <c r="B54" s="311"/>
      <c r="C54" s="28">
        <v>3</v>
      </c>
      <c r="D54" s="137">
        <v>500000</v>
      </c>
      <c r="E54" s="137">
        <v>0</v>
      </c>
      <c r="F54" s="137">
        <v>0</v>
      </c>
      <c r="G54" s="123">
        <v>0</v>
      </c>
      <c r="H54" s="97">
        <v>0</v>
      </c>
      <c r="I54" s="305">
        <f t="shared" si="8"/>
        <v>251100000</v>
      </c>
      <c r="J54" s="97">
        <v>380000000</v>
      </c>
      <c r="K54" s="129">
        <f t="shared" si="1"/>
        <v>0</v>
      </c>
      <c r="L54" s="98">
        <v>1.7999999999999999E-2</v>
      </c>
      <c r="M54" s="38">
        <v>0</v>
      </c>
      <c r="N54" s="108">
        <f t="shared" si="4"/>
        <v>47853053.83718203</v>
      </c>
      <c r="O54" s="80">
        <v>0.02</v>
      </c>
      <c r="P54" s="180">
        <f t="shared" si="2"/>
        <v>47853053.83718203</v>
      </c>
      <c r="Q54" s="143">
        <f t="shared" si="3"/>
        <v>47853053.83718203</v>
      </c>
      <c r="R54" s="97">
        <f t="shared" si="5"/>
        <v>251100000</v>
      </c>
      <c r="S54" s="97">
        <f t="shared" si="6"/>
        <v>427853053.83718204</v>
      </c>
      <c r="T54" s="84"/>
    </row>
    <row r="55" spans="1:20" s="18" customFormat="1" x14ac:dyDescent="0.3">
      <c r="B55" s="311"/>
      <c r="C55" s="28">
        <v>4</v>
      </c>
      <c r="D55" s="137">
        <v>500000</v>
      </c>
      <c r="E55" s="137">
        <v>0</v>
      </c>
      <c r="F55" s="137">
        <v>0</v>
      </c>
      <c r="G55" s="123">
        <v>0</v>
      </c>
      <c r="H55" s="97">
        <v>0</v>
      </c>
      <c r="I55" s="305">
        <f t="shared" si="8"/>
        <v>250400000</v>
      </c>
      <c r="J55" s="97">
        <v>380000000</v>
      </c>
      <c r="K55" s="129">
        <f t="shared" si="1"/>
        <v>0</v>
      </c>
      <c r="L55" s="98">
        <v>1.7999999999999999E-2</v>
      </c>
      <c r="M55" s="38">
        <v>0</v>
      </c>
      <c r="N55" s="108">
        <f t="shared" si="4"/>
        <v>49320114.91392567</v>
      </c>
      <c r="O55" s="80">
        <v>0.02</v>
      </c>
      <c r="P55" s="180">
        <f t="shared" si="2"/>
        <v>49320114.91392567</v>
      </c>
      <c r="Q55" s="143">
        <f t="shared" si="3"/>
        <v>49320114.91392567</v>
      </c>
      <c r="R55" s="97">
        <f t="shared" si="5"/>
        <v>250400000</v>
      </c>
      <c r="S55" s="97">
        <f t="shared" si="6"/>
        <v>429320114.91392565</v>
      </c>
      <c r="T55" s="84"/>
    </row>
    <row r="56" spans="1:20" s="18" customFormat="1" x14ac:dyDescent="0.3">
      <c r="B56" s="311"/>
      <c r="C56" s="28">
        <v>5</v>
      </c>
      <c r="D56" s="137">
        <v>500000</v>
      </c>
      <c r="E56" s="137">
        <v>0</v>
      </c>
      <c r="F56" s="137">
        <v>0</v>
      </c>
      <c r="G56" s="123">
        <v>0</v>
      </c>
      <c r="H56" s="97">
        <v>0</v>
      </c>
      <c r="I56" s="305">
        <f t="shared" si="8"/>
        <v>249700000</v>
      </c>
      <c r="J56" s="97">
        <v>380000000</v>
      </c>
      <c r="K56" s="129">
        <f t="shared" si="1"/>
        <v>0</v>
      </c>
      <c r="L56" s="98">
        <v>1.7999999999999999E-2</v>
      </c>
      <c r="M56" s="38">
        <v>0</v>
      </c>
      <c r="N56" s="108">
        <f t="shared" si="4"/>
        <v>50816517.212204181</v>
      </c>
      <c r="O56" s="80">
        <v>0.02</v>
      </c>
      <c r="P56" s="180">
        <f t="shared" si="2"/>
        <v>50816517.212204181</v>
      </c>
      <c r="Q56" s="143">
        <f t="shared" si="3"/>
        <v>50816517.212204181</v>
      </c>
      <c r="R56" s="97">
        <f t="shared" si="5"/>
        <v>249700000</v>
      </c>
      <c r="S56" s="97">
        <f t="shared" si="6"/>
        <v>430816517.21220416</v>
      </c>
      <c r="T56" s="84"/>
    </row>
    <row r="57" spans="1:20" s="18" customFormat="1" x14ac:dyDescent="0.3">
      <c r="B57" s="311"/>
      <c r="C57" s="28">
        <v>6</v>
      </c>
      <c r="D57" s="137">
        <v>500000</v>
      </c>
      <c r="E57" s="137">
        <v>0</v>
      </c>
      <c r="F57" s="137">
        <v>0</v>
      </c>
      <c r="G57" s="123">
        <v>0</v>
      </c>
      <c r="H57" s="97">
        <v>0</v>
      </c>
      <c r="I57" s="305">
        <f t="shared" si="8"/>
        <v>249000000</v>
      </c>
      <c r="J57" s="97">
        <v>380000000</v>
      </c>
      <c r="K57" s="129">
        <f t="shared" si="1"/>
        <v>0</v>
      </c>
      <c r="L57" s="98">
        <v>1.7999999999999999E-2</v>
      </c>
      <c r="M57" s="38">
        <v>0</v>
      </c>
      <c r="N57" s="108">
        <f t="shared" si="4"/>
        <v>52342847.556448266</v>
      </c>
      <c r="O57" s="80">
        <v>0.02</v>
      </c>
      <c r="P57" s="180">
        <f t="shared" si="2"/>
        <v>52342847.556448266</v>
      </c>
      <c r="Q57" s="143">
        <f t="shared" si="3"/>
        <v>52342847.556448266</v>
      </c>
      <c r="R57" s="97">
        <f t="shared" si="5"/>
        <v>249000000</v>
      </c>
      <c r="S57" s="97">
        <f t="shared" si="6"/>
        <v>432342847.55644828</v>
      </c>
      <c r="T57" s="84"/>
    </row>
    <row r="58" spans="1:20" s="18" customFormat="1" x14ac:dyDescent="0.3">
      <c r="B58" s="311"/>
      <c r="C58" s="28">
        <v>7</v>
      </c>
      <c r="D58" s="137">
        <v>500000</v>
      </c>
      <c r="E58" s="137">
        <v>0</v>
      </c>
      <c r="F58" s="137">
        <v>0</v>
      </c>
      <c r="G58" s="123">
        <v>0</v>
      </c>
      <c r="H58" s="97">
        <v>0</v>
      </c>
      <c r="I58" s="305">
        <f t="shared" si="8"/>
        <v>248300000</v>
      </c>
      <c r="J58" s="97">
        <v>380000000</v>
      </c>
      <c r="K58" s="129">
        <f t="shared" si="1"/>
        <v>0</v>
      </c>
      <c r="L58" s="98">
        <v>1.7999999999999999E-2</v>
      </c>
      <c r="M58" s="38">
        <v>0</v>
      </c>
      <c r="N58" s="108">
        <f t="shared" si="4"/>
        <v>53899704.507577233</v>
      </c>
      <c r="O58" s="80">
        <v>0.02</v>
      </c>
      <c r="P58" s="180">
        <f t="shared" si="2"/>
        <v>53899704.507577233</v>
      </c>
      <c r="Q58" s="143">
        <f t="shared" si="3"/>
        <v>53899704.507577233</v>
      </c>
      <c r="R58" s="97">
        <f t="shared" si="5"/>
        <v>248300000</v>
      </c>
      <c r="S58" s="97">
        <f t="shared" si="6"/>
        <v>433899704.50757724</v>
      </c>
      <c r="T58" s="84"/>
    </row>
    <row r="59" spans="1:20" s="18" customFormat="1" x14ac:dyDescent="0.3">
      <c r="B59" s="311"/>
      <c r="C59" s="28">
        <v>8</v>
      </c>
      <c r="D59" s="137">
        <v>500000</v>
      </c>
      <c r="E59" s="137">
        <v>0</v>
      </c>
      <c r="F59" s="137">
        <v>0</v>
      </c>
      <c r="G59" s="123">
        <v>0</v>
      </c>
      <c r="H59" s="97">
        <v>0</v>
      </c>
      <c r="I59" s="305">
        <f t="shared" si="8"/>
        <v>247600000</v>
      </c>
      <c r="J59" s="97">
        <v>380000000</v>
      </c>
      <c r="K59" s="129">
        <f t="shared" si="1"/>
        <v>0</v>
      </c>
      <c r="L59" s="98">
        <v>1.7999999999999999E-2</v>
      </c>
      <c r="M59" s="38">
        <v>0</v>
      </c>
      <c r="N59" s="108">
        <f t="shared" si="4"/>
        <v>55487698.597728774</v>
      </c>
      <c r="O59" s="80">
        <v>0.02</v>
      </c>
      <c r="P59" s="180">
        <f t="shared" si="2"/>
        <v>55487698.597728774</v>
      </c>
      <c r="Q59" s="143">
        <f t="shared" si="3"/>
        <v>55487698.597728774</v>
      </c>
      <c r="R59" s="97">
        <f t="shared" si="5"/>
        <v>247600000</v>
      </c>
      <c r="S59" s="97">
        <f t="shared" si="6"/>
        <v>435487698.59772879</v>
      </c>
      <c r="T59" s="84"/>
    </row>
    <row r="60" spans="1:20" s="18" customFormat="1" x14ac:dyDescent="0.3">
      <c r="B60" s="311"/>
      <c r="C60" s="28">
        <v>9</v>
      </c>
      <c r="D60" s="137">
        <v>500000</v>
      </c>
      <c r="E60" s="137">
        <v>0</v>
      </c>
      <c r="F60" s="137">
        <v>0</v>
      </c>
      <c r="G60" s="123">
        <v>0</v>
      </c>
      <c r="H60" s="97">
        <v>0</v>
      </c>
      <c r="I60" s="305">
        <f t="shared" si="8"/>
        <v>246900000</v>
      </c>
      <c r="J60" s="97">
        <v>380000000</v>
      </c>
      <c r="K60" s="129">
        <f t="shared" si="1"/>
        <v>0</v>
      </c>
      <c r="L60" s="98">
        <v>1.7999999999999999E-2</v>
      </c>
      <c r="M60" s="38">
        <v>0</v>
      </c>
      <c r="N60" s="108">
        <f t="shared" si="4"/>
        <v>57107452.569683351</v>
      </c>
      <c r="O60" s="80">
        <v>0.02</v>
      </c>
      <c r="P60" s="180">
        <f t="shared" si="2"/>
        <v>57107452.569683351</v>
      </c>
      <c r="Q60" s="143">
        <f t="shared" si="3"/>
        <v>57107452.569683351</v>
      </c>
      <c r="R60" s="97">
        <f t="shared" si="5"/>
        <v>246900000</v>
      </c>
      <c r="S60" s="97">
        <f t="shared" si="6"/>
        <v>437107452.56968337</v>
      </c>
      <c r="T60" s="84"/>
    </row>
    <row r="61" spans="1:20" s="18" customFormat="1" x14ac:dyDescent="0.3">
      <c r="B61" s="311"/>
      <c r="C61" s="28">
        <v>10</v>
      </c>
      <c r="D61" s="137">
        <v>500000</v>
      </c>
      <c r="E61" s="137">
        <v>0</v>
      </c>
      <c r="F61" s="137">
        <v>0</v>
      </c>
      <c r="G61" s="123">
        <v>0</v>
      </c>
      <c r="H61" s="97">
        <v>0</v>
      </c>
      <c r="I61" s="305">
        <f t="shared" si="8"/>
        <v>246200000</v>
      </c>
      <c r="J61" s="97">
        <v>380000000</v>
      </c>
      <c r="K61" s="129">
        <f t="shared" si="1"/>
        <v>0</v>
      </c>
      <c r="L61" s="98">
        <v>1.7999999999999999E-2</v>
      </c>
      <c r="M61" s="38">
        <v>0</v>
      </c>
      <c r="N61" s="108">
        <f t="shared" si="4"/>
        <v>58759601.621077016</v>
      </c>
      <c r="O61" s="80">
        <v>0.02</v>
      </c>
      <c r="P61" s="180">
        <f t="shared" si="2"/>
        <v>58759601.621077016</v>
      </c>
      <c r="Q61" s="143">
        <f t="shared" si="3"/>
        <v>58759601.621077016</v>
      </c>
      <c r="R61" s="97">
        <f t="shared" si="5"/>
        <v>246200000</v>
      </c>
      <c r="S61" s="97">
        <f t="shared" si="6"/>
        <v>438759601.621077</v>
      </c>
      <c r="T61" s="84"/>
    </row>
    <row r="62" spans="1:20" s="29" customFormat="1" ht="17.25" thickBot="1" x14ac:dyDescent="0.35">
      <c r="B62" s="311"/>
      <c r="C62" s="30">
        <v>11</v>
      </c>
      <c r="D62" s="137">
        <v>500000</v>
      </c>
      <c r="E62" s="137">
        <v>0</v>
      </c>
      <c r="F62" s="137">
        <v>0</v>
      </c>
      <c r="G62" s="123">
        <v>0</v>
      </c>
      <c r="H62" s="97">
        <v>0</v>
      </c>
      <c r="I62" s="305">
        <f t="shared" si="8"/>
        <v>245500000</v>
      </c>
      <c r="J62" s="97">
        <v>380000000</v>
      </c>
      <c r="K62" s="129">
        <f t="shared" si="1"/>
        <v>0</v>
      </c>
      <c r="L62" s="98">
        <v>1.7999999999999999E-2</v>
      </c>
      <c r="M62" s="38">
        <v>0</v>
      </c>
      <c r="N62" s="108">
        <f t="shared" si="4"/>
        <v>60444793.653498553</v>
      </c>
      <c r="O62" s="80">
        <v>0.02</v>
      </c>
      <c r="P62" s="180">
        <f t="shared" si="2"/>
        <v>60444793.653498553</v>
      </c>
      <c r="Q62" s="143">
        <f t="shared" si="3"/>
        <v>60444793.653498553</v>
      </c>
      <c r="R62" s="97">
        <f t="shared" si="5"/>
        <v>245500000</v>
      </c>
      <c r="S62" s="97">
        <f t="shared" si="6"/>
        <v>440444793.65349853</v>
      </c>
      <c r="T62" s="85"/>
    </row>
    <row r="63" spans="1:20" s="234" customFormat="1" ht="17.25" thickBot="1" x14ac:dyDescent="0.35">
      <c r="A63" s="224"/>
      <c r="B63" s="311"/>
      <c r="C63" s="225">
        <v>12</v>
      </c>
      <c r="D63" s="137">
        <v>500000</v>
      </c>
      <c r="E63" s="226">
        <v>0</v>
      </c>
      <c r="F63" s="137">
        <v>0</v>
      </c>
      <c r="G63" s="123">
        <v>0</v>
      </c>
      <c r="H63" s="97">
        <v>0</v>
      </c>
      <c r="I63" s="305">
        <f t="shared" si="8"/>
        <v>244800000</v>
      </c>
      <c r="J63" s="97">
        <v>380000000</v>
      </c>
      <c r="K63" s="228">
        <f t="shared" si="1"/>
        <v>0</v>
      </c>
      <c r="L63" s="229">
        <v>1.7999999999999999E-2</v>
      </c>
      <c r="M63" s="230">
        <v>0</v>
      </c>
      <c r="N63" s="231">
        <f t="shared" si="4"/>
        <v>62163689.526568525</v>
      </c>
      <c r="O63" s="80">
        <v>0.02</v>
      </c>
      <c r="P63" s="230">
        <f t="shared" si="2"/>
        <v>62163689.526568525</v>
      </c>
      <c r="Q63" s="232">
        <f t="shared" si="3"/>
        <v>62163689.526568525</v>
      </c>
      <c r="R63" s="227">
        <f t="shared" si="5"/>
        <v>244800000</v>
      </c>
      <c r="S63" s="227">
        <f t="shared" si="6"/>
        <v>442163689.52656853</v>
      </c>
      <c r="T63" s="233"/>
    </row>
    <row r="64" spans="1:20" s="26" customFormat="1" x14ac:dyDescent="0.3">
      <c r="A64" s="26">
        <v>6</v>
      </c>
      <c r="B64" s="311">
        <v>2027</v>
      </c>
      <c r="C64" s="27">
        <v>1</v>
      </c>
      <c r="D64" s="137">
        <v>500000</v>
      </c>
      <c r="E64" s="137">
        <v>0</v>
      </c>
      <c r="F64" s="137">
        <v>0</v>
      </c>
      <c r="G64" s="123">
        <v>0</v>
      </c>
      <c r="H64" s="97">
        <v>0</v>
      </c>
      <c r="I64" s="305">
        <f t="shared" si="8"/>
        <v>244100000</v>
      </c>
      <c r="J64" s="97">
        <v>380000000</v>
      </c>
      <c r="K64" s="129">
        <f t="shared" si="1"/>
        <v>0</v>
      </c>
      <c r="L64" s="98">
        <v>1.7999999999999999E-2</v>
      </c>
      <c r="M64" s="38">
        <v>0</v>
      </c>
      <c r="N64" s="108">
        <f t="shared" si="4"/>
        <v>63916963.317099892</v>
      </c>
      <c r="O64" s="80">
        <v>0.02</v>
      </c>
      <c r="P64" s="180">
        <f t="shared" si="2"/>
        <v>63916963.317099892</v>
      </c>
      <c r="Q64" s="143">
        <f t="shared" si="3"/>
        <v>63916963.317099892</v>
      </c>
      <c r="R64" s="97">
        <f t="shared" si="5"/>
        <v>244100000</v>
      </c>
      <c r="S64" s="97">
        <f t="shared" si="6"/>
        <v>443916963.31709987</v>
      </c>
      <c r="T64" s="86"/>
    </row>
    <row r="65" spans="1:20" s="18" customFormat="1" x14ac:dyDescent="0.3">
      <c r="B65" s="311"/>
      <c r="C65" s="28">
        <v>2</v>
      </c>
      <c r="D65" s="137">
        <v>500000</v>
      </c>
      <c r="E65" s="137">
        <v>0</v>
      </c>
      <c r="F65" s="137">
        <v>0</v>
      </c>
      <c r="G65" s="123">
        <v>0</v>
      </c>
      <c r="H65" s="97">
        <v>0</v>
      </c>
      <c r="I65" s="305">
        <f t="shared" si="8"/>
        <v>243400000</v>
      </c>
      <c r="J65" s="97">
        <v>380000000</v>
      </c>
      <c r="K65" s="129">
        <f t="shared" si="1"/>
        <v>0</v>
      </c>
      <c r="L65" s="98">
        <v>1.7999999999999999E-2</v>
      </c>
      <c r="M65" s="38">
        <v>0</v>
      </c>
      <c r="N65" s="108">
        <f t="shared" si="4"/>
        <v>65705302.583441891</v>
      </c>
      <c r="O65" s="80">
        <v>0.02</v>
      </c>
      <c r="P65" s="180">
        <f t="shared" si="2"/>
        <v>65705302.583441891</v>
      </c>
      <c r="Q65" s="143">
        <f t="shared" si="3"/>
        <v>65705302.583441891</v>
      </c>
      <c r="R65" s="97">
        <f t="shared" si="5"/>
        <v>243400000</v>
      </c>
      <c r="S65" s="97">
        <f t="shared" si="6"/>
        <v>445705302.58344191</v>
      </c>
      <c r="T65" s="84"/>
    </row>
    <row r="66" spans="1:20" s="18" customFormat="1" x14ac:dyDescent="0.3">
      <c r="B66" s="311"/>
      <c r="C66" s="28">
        <v>3</v>
      </c>
      <c r="D66" s="137">
        <v>500000</v>
      </c>
      <c r="E66" s="137">
        <v>0</v>
      </c>
      <c r="F66" s="137">
        <v>0</v>
      </c>
      <c r="G66" s="123">
        <v>0</v>
      </c>
      <c r="H66" s="97">
        <v>0</v>
      </c>
      <c r="I66" s="305">
        <f t="shared" si="8"/>
        <v>242700000</v>
      </c>
      <c r="J66" s="97">
        <v>380000000</v>
      </c>
      <c r="K66" s="129">
        <f t="shared" si="1"/>
        <v>0</v>
      </c>
      <c r="L66" s="98">
        <v>1.7999999999999999E-2</v>
      </c>
      <c r="M66" s="38">
        <v>0</v>
      </c>
      <c r="N66" s="108">
        <f t="shared" si="4"/>
        <v>67529408.635110736</v>
      </c>
      <c r="O66" s="80">
        <v>0.02</v>
      </c>
      <c r="P66" s="180">
        <f t="shared" si="2"/>
        <v>67529408.635110736</v>
      </c>
      <c r="Q66" s="143">
        <f t="shared" si="3"/>
        <v>67529408.635110736</v>
      </c>
      <c r="R66" s="97">
        <f t="shared" si="5"/>
        <v>242700000</v>
      </c>
      <c r="S66" s="97">
        <f t="shared" si="6"/>
        <v>447529408.63511074</v>
      </c>
      <c r="T66" s="84"/>
    </row>
    <row r="67" spans="1:20" s="18" customFormat="1" x14ac:dyDescent="0.3">
      <c r="B67" s="311"/>
      <c r="C67" s="28">
        <v>4</v>
      </c>
      <c r="D67" s="137">
        <v>500000</v>
      </c>
      <c r="E67" s="137">
        <v>0</v>
      </c>
      <c r="F67" s="137">
        <v>0</v>
      </c>
      <c r="G67" s="123">
        <v>0</v>
      </c>
      <c r="H67" s="97">
        <v>0</v>
      </c>
      <c r="I67" s="305">
        <f t="shared" si="8"/>
        <v>242000000</v>
      </c>
      <c r="J67" s="97">
        <v>380000000</v>
      </c>
      <c r="K67" s="129">
        <f t="shared" si="1"/>
        <v>0</v>
      </c>
      <c r="L67" s="98">
        <v>1.7999999999999999E-2</v>
      </c>
      <c r="M67" s="38">
        <v>0</v>
      </c>
      <c r="N67" s="108">
        <f t="shared" si="4"/>
        <v>69389996.807812944</v>
      </c>
      <c r="O67" s="80">
        <v>0.02</v>
      </c>
      <c r="P67" s="180">
        <f t="shared" si="2"/>
        <v>69389996.807812944</v>
      </c>
      <c r="Q67" s="143">
        <f t="shared" si="3"/>
        <v>69389996.807812944</v>
      </c>
      <c r="R67" s="97">
        <f t="shared" si="5"/>
        <v>242000000</v>
      </c>
      <c r="S67" s="97">
        <f t="shared" si="6"/>
        <v>449389996.80781293</v>
      </c>
      <c r="T67" s="84"/>
    </row>
    <row r="68" spans="1:20" s="18" customFormat="1" x14ac:dyDescent="0.3">
      <c r="B68" s="311"/>
      <c r="C68" s="28">
        <v>5</v>
      </c>
      <c r="D68" s="137">
        <v>500000</v>
      </c>
      <c r="E68" s="137">
        <v>0</v>
      </c>
      <c r="F68" s="137">
        <v>0</v>
      </c>
      <c r="G68" s="123">
        <v>0</v>
      </c>
      <c r="H68" s="97">
        <v>0</v>
      </c>
      <c r="I68" s="305">
        <f t="shared" si="8"/>
        <v>241300000</v>
      </c>
      <c r="J68" s="97">
        <v>380000000</v>
      </c>
      <c r="K68" s="129">
        <f t="shared" si="1"/>
        <v>0</v>
      </c>
      <c r="L68" s="98">
        <v>1.7999999999999999E-2</v>
      </c>
      <c r="M68" s="38">
        <v>0</v>
      </c>
      <c r="N68" s="108">
        <f t="shared" si="4"/>
        <v>71287796.743969202</v>
      </c>
      <c r="O68" s="80">
        <v>0.02</v>
      </c>
      <c r="P68" s="180">
        <f t="shared" si="2"/>
        <v>71287796.743969202</v>
      </c>
      <c r="Q68" s="143">
        <f t="shared" si="3"/>
        <v>71287796.743969202</v>
      </c>
      <c r="R68" s="97">
        <f t="shared" si="5"/>
        <v>241300000</v>
      </c>
      <c r="S68" s="97">
        <f t="shared" si="6"/>
        <v>451287796.7439692</v>
      </c>
      <c r="T68" s="84"/>
    </row>
    <row r="69" spans="1:20" s="18" customFormat="1" x14ac:dyDescent="0.3">
      <c r="B69" s="311"/>
      <c r="C69" s="28">
        <v>6</v>
      </c>
      <c r="D69" s="137">
        <v>500000</v>
      </c>
      <c r="E69" s="137">
        <v>0</v>
      </c>
      <c r="F69" s="137">
        <v>0</v>
      </c>
      <c r="G69" s="123">
        <v>0</v>
      </c>
      <c r="H69" s="97">
        <v>0</v>
      </c>
      <c r="I69" s="305">
        <f t="shared" si="8"/>
        <v>240600000</v>
      </c>
      <c r="J69" s="97">
        <v>380000000</v>
      </c>
      <c r="K69" s="129">
        <f t="shared" si="1"/>
        <v>0</v>
      </c>
      <c r="L69" s="98">
        <v>1.7999999999999999E-2</v>
      </c>
      <c r="M69" s="38">
        <v>0</v>
      </c>
      <c r="N69" s="108">
        <f t="shared" si="4"/>
        <v>73223552.67884858</v>
      </c>
      <c r="O69" s="80">
        <v>0.02</v>
      </c>
      <c r="P69" s="180">
        <f t="shared" si="2"/>
        <v>73223552.67884858</v>
      </c>
      <c r="Q69" s="143">
        <f t="shared" si="3"/>
        <v>73223552.67884858</v>
      </c>
      <c r="R69" s="97">
        <f t="shared" si="5"/>
        <v>240600000</v>
      </c>
      <c r="S69" s="97">
        <f t="shared" si="6"/>
        <v>453223552.67884856</v>
      </c>
      <c r="T69" s="84"/>
    </row>
    <row r="70" spans="1:20" s="18" customFormat="1" x14ac:dyDescent="0.3">
      <c r="B70" s="311"/>
      <c r="C70" s="28">
        <v>7</v>
      </c>
      <c r="D70" s="137">
        <v>500000</v>
      </c>
      <c r="E70" s="137">
        <v>0</v>
      </c>
      <c r="F70" s="137">
        <v>0</v>
      </c>
      <c r="G70" s="123">
        <v>0</v>
      </c>
      <c r="H70" s="97">
        <v>0</v>
      </c>
      <c r="I70" s="305">
        <f t="shared" si="8"/>
        <v>239900000</v>
      </c>
      <c r="J70" s="97">
        <v>380000000</v>
      </c>
      <c r="K70" s="129">
        <f t="shared" si="1"/>
        <v>0</v>
      </c>
      <c r="L70" s="98">
        <v>1.7999999999999999E-2</v>
      </c>
      <c r="M70" s="38">
        <v>0</v>
      </c>
      <c r="N70" s="108">
        <f t="shared" si="4"/>
        <v>75198023.732425556</v>
      </c>
      <c r="O70" s="80">
        <v>0.02</v>
      </c>
      <c r="P70" s="180">
        <f t="shared" si="2"/>
        <v>75198023.732425556</v>
      </c>
      <c r="Q70" s="143">
        <f t="shared" si="3"/>
        <v>75198023.732425556</v>
      </c>
      <c r="R70" s="97">
        <f t="shared" si="5"/>
        <v>239900000</v>
      </c>
      <c r="S70" s="97">
        <f t="shared" si="6"/>
        <v>455198023.73242557</v>
      </c>
      <c r="T70" s="84"/>
    </row>
    <row r="71" spans="1:20" s="18" customFormat="1" x14ac:dyDescent="0.3">
      <c r="B71" s="311"/>
      <c r="C71" s="28">
        <v>8</v>
      </c>
      <c r="D71" s="137">
        <v>500000</v>
      </c>
      <c r="E71" s="137">
        <v>0</v>
      </c>
      <c r="F71" s="137">
        <v>0</v>
      </c>
      <c r="G71" s="123">
        <v>0</v>
      </c>
      <c r="H71" s="97">
        <v>0</v>
      </c>
      <c r="I71" s="305">
        <f t="shared" si="8"/>
        <v>239200000</v>
      </c>
      <c r="J71" s="97">
        <v>380000000</v>
      </c>
      <c r="K71" s="129">
        <f t="shared" si="1"/>
        <v>0</v>
      </c>
      <c r="L71" s="98">
        <v>1.7999999999999999E-2</v>
      </c>
      <c r="M71" s="38">
        <v>0</v>
      </c>
      <c r="N71" s="108">
        <f t="shared" si="4"/>
        <v>77211984.207074061</v>
      </c>
      <c r="O71" s="80">
        <v>0.02</v>
      </c>
      <c r="P71" s="180">
        <f t="shared" si="2"/>
        <v>77211984.207074061</v>
      </c>
      <c r="Q71" s="143">
        <f t="shared" si="3"/>
        <v>77211984.207074061</v>
      </c>
      <c r="R71" s="97">
        <f t="shared" si="5"/>
        <v>239200000</v>
      </c>
      <c r="S71" s="97">
        <f t="shared" si="6"/>
        <v>457211984.20707405</v>
      </c>
      <c r="T71" s="84"/>
    </row>
    <row r="72" spans="1:20" s="18" customFormat="1" x14ac:dyDescent="0.3">
      <c r="B72" s="311"/>
      <c r="C72" s="28">
        <v>9</v>
      </c>
      <c r="D72" s="137">
        <v>500000</v>
      </c>
      <c r="E72" s="137">
        <v>0</v>
      </c>
      <c r="F72" s="137">
        <v>0</v>
      </c>
      <c r="G72" s="123">
        <v>0</v>
      </c>
      <c r="H72" s="97">
        <v>0</v>
      </c>
      <c r="I72" s="305">
        <f t="shared" si="8"/>
        <v>238500000</v>
      </c>
      <c r="J72" s="97">
        <v>380000000</v>
      </c>
      <c r="K72" s="129">
        <f t="shared" si="1"/>
        <v>0</v>
      </c>
      <c r="L72" s="98">
        <v>1.7999999999999999E-2</v>
      </c>
      <c r="M72" s="38">
        <v>0</v>
      </c>
      <c r="N72" s="108">
        <f t="shared" si="4"/>
        <v>79266223.891215548</v>
      </c>
      <c r="O72" s="80">
        <v>0.02</v>
      </c>
      <c r="P72" s="180">
        <f t="shared" si="2"/>
        <v>79266223.891215548</v>
      </c>
      <c r="Q72" s="143">
        <f t="shared" si="3"/>
        <v>79266223.891215548</v>
      </c>
      <c r="R72" s="97">
        <f t="shared" si="5"/>
        <v>238500000</v>
      </c>
      <c r="S72" s="97">
        <f t="shared" si="6"/>
        <v>459266223.89121556</v>
      </c>
      <c r="T72" s="84"/>
    </row>
    <row r="73" spans="1:20" s="158" customFormat="1" x14ac:dyDescent="0.3">
      <c r="B73" s="311"/>
      <c r="C73" s="159">
        <v>10</v>
      </c>
      <c r="D73" s="137">
        <v>500000</v>
      </c>
      <c r="E73" s="160">
        <v>0</v>
      </c>
      <c r="F73" s="137">
        <v>0</v>
      </c>
      <c r="G73" s="123">
        <v>0</v>
      </c>
      <c r="H73" s="97">
        <v>0</v>
      </c>
      <c r="I73" s="305">
        <f t="shared" si="8"/>
        <v>237800000</v>
      </c>
      <c r="J73" s="97">
        <v>380000000</v>
      </c>
      <c r="K73" s="162">
        <f t="shared" si="1"/>
        <v>0</v>
      </c>
      <c r="L73" s="163">
        <v>1.7999999999999999E-2</v>
      </c>
      <c r="M73" s="164">
        <v>0</v>
      </c>
      <c r="N73" s="165">
        <f t="shared" si="4"/>
        <v>81361548.369039863</v>
      </c>
      <c r="O73" s="80">
        <v>0.02</v>
      </c>
      <c r="P73" s="180">
        <f t="shared" si="2"/>
        <v>81361548.369039863</v>
      </c>
      <c r="Q73" s="166">
        <f t="shared" si="3"/>
        <v>81361548.369039863</v>
      </c>
      <c r="R73" s="161">
        <f t="shared" si="5"/>
        <v>237800000</v>
      </c>
      <c r="S73" s="161">
        <f t="shared" si="6"/>
        <v>461361548.36903989</v>
      </c>
      <c r="T73" s="167"/>
    </row>
    <row r="74" spans="1:20" s="29" customFormat="1" ht="17.25" thickBot="1" x14ac:dyDescent="0.35">
      <c r="B74" s="311"/>
      <c r="C74" s="30">
        <v>11</v>
      </c>
      <c r="D74" s="137">
        <v>500000</v>
      </c>
      <c r="E74" s="137">
        <v>0</v>
      </c>
      <c r="F74" s="137">
        <v>0</v>
      </c>
      <c r="G74" s="123">
        <v>0</v>
      </c>
      <c r="H74" s="97">
        <v>0</v>
      </c>
      <c r="I74" s="305">
        <f t="shared" si="8"/>
        <v>237100000</v>
      </c>
      <c r="J74" s="97">
        <v>380000000</v>
      </c>
      <c r="K74" s="129">
        <f t="shared" si="1"/>
        <v>0</v>
      </c>
      <c r="L74" s="98">
        <v>1.7999999999999999E-2</v>
      </c>
      <c r="M74" s="38">
        <v>0</v>
      </c>
      <c r="N74" s="108">
        <f t="shared" si="4"/>
        <v>83498779.336420655</v>
      </c>
      <c r="O74" s="80">
        <v>0.02</v>
      </c>
      <c r="P74" s="180">
        <f t="shared" si="2"/>
        <v>83498779.336420655</v>
      </c>
      <c r="Q74" s="143">
        <f t="shared" si="3"/>
        <v>83498779.336420655</v>
      </c>
      <c r="R74" s="97">
        <f t="shared" si="5"/>
        <v>237100000</v>
      </c>
      <c r="S74" s="97">
        <f t="shared" si="6"/>
        <v>463498779.33642066</v>
      </c>
      <c r="T74" s="85"/>
    </row>
    <row r="75" spans="1:20" s="302" customFormat="1" ht="17.25" thickBot="1" x14ac:dyDescent="0.35">
      <c r="A75" s="299"/>
      <c r="B75" s="311"/>
      <c r="C75" s="300">
        <v>12</v>
      </c>
      <c r="D75" s="268">
        <v>500000</v>
      </c>
      <c r="E75" s="268">
        <v>10000000</v>
      </c>
      <c r="F75" s="268">
        <v>0</v>
      </c>
      <c r="G75" s="269">
        <v>0</v>
      </c>
      <c r="H75" s="97">
        <v>0</v>
      </c>
      <c r="I75" s="305">
        <f t="shared" si="8"/>
        <v>236400000</v>
      </c>
      <c r="J75" s="97">
        <v>380000000</v>
      </c>
      <c r="K75" s="271">
        <f t="shared" si="1"/>
        <v>0</v>
      </c>
      <c r="L75" s="272">
        <v>1.7999999999999999E-2</v>
      </c>
      <c r="M75" s="273">
        <v>0</v>
      </c>
      <c r="N75" s="274">
        <f t="shared" si="4"/>
        <v>75478754.923149064</v>
      </c>
      <c r="O75" s="275">
        <v>0.02</v>
      </c>
      <c r="P75" s="273">
        <f t="shared" si="2"/>
        <v>75478754.923149064</v>
      </c>
      <c r="Q75" s="276">
        <f t="shared" si="3"/>
        <v>75478754.923149064</v>
      </c>
      <c r="R75" s="270">
        <f t="shared" si="5"/>
        <v>236400000</v>
      </c>
      <c r="S75" s="270">
        <f t="shared" si="6"/>
        <v>455478754.92314905</v>
      </c>
      <c r="T75" s="301"/>
    </row>
    <row r="76" spans="1:20" s="26" customFormat="1" x14ac:dyDescent="0.3">
      <c r="A76" s="26">
        <v>7</v>
      </c>
      <c r="B76" s="311">
        <v>2028</v>
      </c>
      <c r="C76" s="27">
        <v>1</v>
      </c>
      <c r="D76" s="137">
        <v>500000</v>
      </c>
      <c r="E76" s="137">
        <v>0</v>
      </c>
      <c r="F76" s="137">
        <v>0</v>
      </c>
      <c r="G76" s="123">
        <v>0</v>
      </c>
      <c r="H76" s="97">
        <v>0</v>
      </c>
      <c r="I76" s="305">
        <f t="shared" si="8"/>
        <v>235700000</v>
      </c>
      <c r="J76" s="97">
        <v>380000000</v>
      </c>
      <c r="K76" s="129">
        <f t="shared" si="1"/>
        <v>0</v>
      </c>
      <c r="L76" s="98">
        <v>1.7999999999999999E-2</v>
      </c>
      <c r="M76" s="38">
        <v>0</v>
      </c>
      <c r="N76" s="108">
        <f t="shared" si="4"/>
        <v>77498330.021612048</v>
      </c>
      <c r="O76" s="80">
        <v>0.02</v>
      </c>
      <c r="P76" s="180">
        <f t="shared" si="2"/>
        <v>77498330.021612048</v>
      </c>
      <c r="Q76" s="143">
        <f t="shared" si="3"/>
        <v>77498330.021612048</v>
      </c>
      <c r="R76" s="97">
        <f t="shared" si="5"/>
        <v>235700000</v>
      </c>
      <c r="S76" s="97">
        <f t="shared" si="6"/>
        <v>457498330.02161205</v>
      </c>
      <c r="T76" s="86"/>
    </row>
    <row r="77" spans="1:20" s="18" customFormat="1" x14ac:dyDescent="0.3">
      <c r="B77" s="311"/>
      <c r="C77" s="28">
        <v>2</v>
      </c>
      <c r="D77" s="137">
        <v>500000</v>
      </c>
      <c r="E77" s="137">
        <v>0</v>
      </c>
      <c r="F77" s="137">
        <v>0</v>
      </c>
      <c r="G77" s="123">
        <v>0</v>
      </c>
      <c r="H77" s="97">
        <v>0</v>
      </c>
      <c r="I77" s="305">
        <f t="shared" si="8"/>
        <v>235000000</v>
      </c>
      <c r="J77" s="97">
        <v>380000000</v>
      </c>
      <c r="K77" s="129">
        <f t="shared" si="1"/>
        <v>0</v>
      </c>
      <c r="L77" s="98">
        <v>1.7999999999999999E-2</v>
      </c>
      <c r="M77" s="38">
        <v>0</v>
      </c>
      <c r="N77" s="108">
        <f t="shared" si="4"/>
        <v>79558296.622044295</v>
      </c>
      <c r="O77" s="80">
        <v>0.02</v>
      </c>
      <c r="P77" s="180">
        <f t="shared" si="2"/>
        <v>79558296.622044295</v>
      </c>
      <c r="Q77" s="143">
        <f t="shared" si="3"/>
        <v>79558296.622044295</v>
      </c>
      <c r="R77" s="97">
        <f t="shared" si="5"/>
        <v>235000000</v>
      </c>
      <c r="S77" s="97">
        <f t="shared" si="6"/>
        <v>459558296.62204432</v>
      </c>
      <c r="T77" s="84"/>
    </row>
    <row r="78" spans="1:20" s="18" customFormat="1" x14ac:dyDescent="0.3">
      <c r="B78" s="311"/>
      <c r="C78" s="28">
        <v>3</v>
      </c>
      <c r="D78" s="137">
        <v>500000</v>
      </c>
      <c r="E78" s="137">
        <v>0</v>
      </c>
      <c r="F78" s="137">
        <v>0</v>
      </c>
      <c r="G78" s="123">
        <v>0</v>
      </c>
      <c r="H78" s="97">
        <v>0</v>
      </c>
      <c r="I78" s="305">
        <f t="shared" si="8"/>
        <v>234300000</v>
      </c>
      <c r="J78" s="97">
        <v>380000000</v>
      </c>
      <c r="K78" s="129">
        <f t="shared" si="1"/>
        <v>0</v>
      </c>
      <c r="L78" s="98">
        <v>1.7999999999999999E-2</v>
      </c>
      <c r="M78" s="38">
        <v>0</v>
      </c>
      <c r="N78" s="108">
        <f t="shared" si="4"/>
        <v>81659462.554485187</v>
      </c>
      <c r="O78" s="80">
        <v>0.02</v>
      </c>
      <c r="P78" s="180">
        <f t="shared" si="2"/>
        <v>81659462.554485187</v>
      </c>
      <c r="Q78" s="143">
        <f t="shared" si="3"/>
        <v>81659462.554485187</v>
      </c>
      <c r="R78" s="97">
        <f t="shared" si="5"/>
        <v>234300000</v>
      </c>
      <c r="S78" s="97">
        <f t="shared" si="6"/>
        <v>461659462.5544852</v>
      </c>
      <c r="T78" s="84"/>
    </row>
    <row r="79" spans="1:20" s="18" customFormat="1" x14ac:dyDescent="0.3">
      <c r="B79" s="311"/>
      <c r="C79" s="28">
        <v>4</v>
      </c>
      <c r="D79" s="137">
        <v>500000</v>
      </c>
      <c r="E79" s="137">
        <v>0</v>
      </c>
      <c r="F79" s="137">
        <v>0</v>
      </c>
      <c r="G79" s="123">
        <v>0</v>
      </c>
      <c r="H79" s="97">
        <v>0</v>
      </c>
      <c r="I79" s="305">
        <f t="shared" si="8"/>
        <v>233600000</v>
      </c>
      <c r="J79" s="97">
        <v>380000000</v>
      </c>
      <c r="K79" s="129">
        <f t="shared" si="1"/>
        <v>0</v>
      </c>
      <c r="L79" s="98">
        <v>1.7999999999999999E-2</v>
      </c>
      <c r="M79" s="38">
        <v>0</v>
      </c>
      <c r="N79" s="108">
        <f t="shared" si="4"/>
        <v>83802651.805574894</v>
      </c>
      <c r="O79" s="80">
        <v>0.02</v>
      </c>
      <c r="P79" s="180">
        <f t="shared" si="2"/>
        <v>83802651.805574894</v>
      </c>
      <c r="Q79" s="143">
        <f t="shared" si="3"/>
        <v>83802651.805574894</v>
      </c>
      <c r="R79" s="97">
        <f t="shared" si="5"/>
        <v>233600000</v>
      </c>
      <c r="S79" s="97">
        <f t="shared" si="6"/>
        <v>463802651.80557489</v>
      </c>
      <c r="T79" s="84"/>
    </row>
    <row r="80" spans="1:20" s="18" customFormat="1" x14ac:dyDescent="0.3">
      <c r="B80" s="311"/>
      <c r="C80" s="28">
        <v>5</v>
      </c>
      <c r="D80" s="137">
        <v>500000</v>
      </c>
      <c r="E80" s="137">
        <v>0</v>
      </c>
      <c r="F80" s="137">
        <v>0</v>
      </c>
      <c r="G80" s="123">
        <v>0</v>
      </c>
      <c r="H80" s="97">
        <v>0</v>
      </c>
      <c r="I80" s="305">
        <f t="shared" si="8"/>
        <v>232900000</v>
      </c>
      <c r="J80" s="97">
        <v>380000000</v>
      </c>
      <c r="K80" s="129">
        <f t="shared" si="1"/>
        <v>0</v>
      </c>
      <c r="L80" s="98">
        <v>1.7999999999999999E-2</v>
      </c>
      <c r="M80" s="38">
        <v>0</v>
      </c>
      <c r="N80" s="108">
        <f t="shared" si="4"/>
        <v>85988704.841686398</v>
      </c>
      <c r="O80" s="80">
        <v>0.02</v>
      </c>
      <c r="P80" s="180">
        <f t="shared" si="2"/>
        <v>85988704.841686398</v>
      </c>
      <c r="Q80" s="143">
        <f t="shared" si="3"/>
        <v>85988704.841686398</v>
      </c>
      <c r="R80" s="97">
        <f t="shared" si="5"/>
        <v>232900000</v>
      </c>
      <c r="S80" s="97">
        <f t="shared" si="6"/>
        <v>465988704.84168637</v>
      </c>
      <c r="T80" s="84"/>
    </row>
    <row r="81" spans="1:20" s="18" customFormat="1" x14ac:dyDescent="0.3">
      <c r="B81" s="311"/>
      <c r="C81" s="28">
        <v>6</v>
      </c>
      <c r="D81" s="137">
        <v>500000</v>
      </c>
      <c r="E81" s="137">
        <v>0</v>
      </c>
      <c r="F81" s="137">
        <v>0</v>
      </c>
      <c r="G81" s="123">
        <v>0</v>
      </c>
      <c r="H81" s="97">
        <v>0</v>
      </c>
      <c r="I81" s="305">
        <f t="shared" si="8"/>
        <v>232200000</v>
      </c>
      <c r="J81" s="97">
        <v>380000000</v>
      </c>
      <c r="K81" s="129">
        <f t="shared" si="1"/>
        <v>0</v>
      </c>
      <c r="L81" s="98">
        <v>1.7999999999999999E-2</v>
      </c>
      <c r="M81" s="38">
        <v>0</v>
      </c>
      <c r="N81" s="108">
        <f t="shared" si="4"/>
        <v>88218478.938520119</v>
      </c>
      <c r="O81" s="80">
        <v>0.02</v>
      </c>
      <c r="P81" s="180">
        <f t="shared" si="2"/>
        <v>88218478.938520119</v>
      </c>
      <c r="Q81" s="143">
        <f t="shared" si="3"/>
        <v>88218478.938520119</v>
      </c>
      <c r="R81" s="97">
        <f t="shared" si="5"/>
        <v>232200000</v>
      </c>
      <c r="S81" s="97">
        <f t="shared" si="6"/>
        <v>468218478.93852013</v>
      </c>
      <c r="T81" s="84"/>
    </row>
    <row r="82" spans="1:20" s="18" customFormat="1" x14ac:dyDescent="0.3">
      <c r="B82" s="311"/>
      <c r="C82" s="28">
        <v>7</v>
      </c>
      <c r="D82" s="137">
        <v>500000</v>
      </c>
      <c r="E82" s="137">
        <v>0</v>
      </c>
      <c r="F82" s="137">
        <v>0</v>
      </c>
      <c r="G82" s="123">
        <v>0</v>
      </c>
      <c r="H82" s="97">
        <v>0</v>
      </c>
      <c r="I82" s="305">
        <f t="shared" si="8"/>
        <v>231500000</v>
      </c>
      <c r="J82" s="97">
        <v>380000000</v>
      </c>
      <c r="K82" s="129">
        <f t="shared" si="1"/>
        <v>0</v>
      </c>
      <c r="L82" s="98">
        <v>1.7999999999999999E-2</v>
      </c>
      <c r="M82" s="38">
        <v>0</v>
      </c>
      <c r="N82" s="108">
        <f t="shared" si="4"/>
        <v>90492848.517290518</v>
      </c>
      <c r="O82" s="80">
        <v>0.02</v>
      </c>
      <c r="P82" s="180">
        <f t="shared" si="2"/>
        <v>90492848.517290518</v>
      </c>
      <c r="Q82" s="143">
        <f t="shared" si="3"/>
        <v>90492848.517290518</v>
      </c>
      <c r="R82" s="97">
        <f t="shared" si="5"/>
        <v>231500000</v>
      </c>
      <c r="S82" s="97">
        <f t="shared" si="6"/>
        <v>470492848.51729053</v>
      </c>
      <c r="T82" s="84"/>
    </row>
    <row r="83" spans="1:20" s="18" customFormat="1" x14ac:dyDescent="0.3">
      <c r="B83" s="311"/>
      <c r="C83" s="28">
        <v>8</v>
      </c>
      <c r="D83" s="137">
        <v>500000</v>
      </c>
      <c r="E83" s="137">
        <v>0</v>
      </c>
      <c r="F83" s="137">
        <v>0</v>
      </c>
      <c r="G83" s="123">
        <v>0</v>
      </c>
      <c r="H83" s="97">
        <v>0</v>
      </c>
      <c r="I83" s="305">
        <f t="shared" si="8"/>
        <v>230800000</v>
      </c>
      <c r="J83" s="97">
        <v>380000000</v>
      </c>
      <c r="K83" s="129">
        <f t="shared" si="1"/>
        <v>0</v>
      </c>
      <c r="L83" s="98">
        <v>1.7999999999999999E-2</v>
      </c>
      <c r="M83" s="38">
        <v>0</v>
      </c>
      <c r="N83" s="108">
        <f t="shared" si="4"/>
        <v>92812705.487636328</v>
      </c>
      <c r="O83" s="80">
        <v>0.02</v>
      </c>
      <c r="P83" s="180">
        <f t="shared" si="2"/>
        <v>92812705.487636328</v>
      </c>
      <c r="Q83" s="143">
        <f t="shared" si="3"/>
        <v>92812705.487636328</v>
      </c>
      <c r="R83" s="97">
        <f t="shared" si="5"/>
        <v>230800000</v>
      </c>
      <c r="S83" s="97">
        <f t="shared" si="6"/>
        <v>472812705.48763633</v>
      </c>
      <c r="T83" s="84"/>
    </row>
    <row r="84" spans="1:20" s="18" customFormat="1" x14ac:dyDescent="0.3">
      <c r="B84" s="311"/>
      <c r="C84" s="28">
        <v>9</v>
      </c>
      <c r="D84" s="137">
        <v>500000</v>
      </c>
      <c r="E84" s="137">
        <v>0</v>
      </c>
      <c r="F84" s="137">
        <v>0</v>
      </c>
      <c r="G84" s="123">
        <v>0</v>
      </c>
      <c r="H84" s="97">
        <v>0</v>
      </c>
      <c r="I84" s="305">
        <f t="shared" si="8"/>
        <v>230100000</v>
      </c>
      <c r="J84" s="97">
        <v>380000000</v>
      </c>
      <c r="K84" s="129">
        <f t="shared" si="1"/>
        <v>0</v>
      </c>
      <c r="L84" s="98">
        <v>1.7999999999999999E-2</v>
      </c>
      <c r="M84" s="38">
        <v>0</v>
      </c>
      <c r="N84" s="108">
        <f t="shared" si="4"/>
        <v>95178959.597389057</v>
      </c>
      <c r="O84" s="80">
        <v>0.02</v>
      </c>
      <c r="P84" s="180">
        <f t="shared" si="2"/>
        <v>95178959.597389057</v>
      </c>
      <c r="Q84" s="143">
        <f t="shared" si="3"/>
        <v>95178959.597389057</v>
      </c>
      <c r="R84" s="97">
        <f t="shared" si="5"/>
        <v>230100000</v>
      </c>
      <c r="S84" s="97">
        <f t="shared" si="6"/>
        <v>475178959.59738904</v>
      </c>
      <c r="T84" s="84"/>
    </row>
    <row r="85" spans="1:20" s="18" customFormat="1" x14ac:dyDescent="0.3">
      <c r="B85" s="311"/>
      <c r="C85" s="28">
        <v>10</v>
      </c>
      <c r="D85" s="137">
        <v>500000</v>
      </c>
      <c r="E85" s="137">
        <v>0</v>
      </c>
      <c r="F85" s="137">
        <v>0</v>
      </c>
      <c r="G85" s="123">
        <v>0</v>
      </c>
      <c r="H85" s="97">
        <v>0</v>
      </c>
      <c r="I85" s="305">
        <f t="shared" si="8"/>
        <v>229400000</v>
      </c>
      <c r="J85" s="97">
        <v>380000000</v>
      </c>
      <c r="K85" s="129">
        <f t="shared" si="1"/>
        <v>0</v>
      </c>
      <c r="L85" s="98">
        <v>1.7999999999999999E-2</v>
      </c>
      <c r="M85" s="38">
        <v>0</v>
      </c>
      <c r="N85" s="108">
        <f t="shared" si="4"/>
        <v>97592538.789336845</v>
      </c>
      <c r="O85" s="80">
        <v>0.02</v>
      </c>
      <c r="P85" s="180">
        <f t="shared" si="2"/>
        <v>97592538.789336845</v>
      </c>
      <c r="Q85" s="143">
        <f t="shared" si="3"/>
        <v>97592538.789336845</v>
      </c>
      <c r="R85" s="97">
        <f t="shared" si="5"/>
        <v>229400000</v>
      </c>
      <c r="S85" s="97">
        <f t="shared" si="6"/>
        <v>477592538.78933686</v>
      </c>
      <c r="T85" s="84"/>
    </row>
    <row r="86" spans="1:20" s="18" customFormat="1" ht="17.25" thickBot="1" x14ac:dyDescent="0.35">
      <c r="B86" s="311"/>
      <c r="C86" s="30">
        <v>11</v>
      </c>
      <c r="D86" s="137">
        <v>500000</v>
      </c>
      <c r="E86" s="137">
        <v>0</v>
      </c>
      <c r="F86" s="137">
        <v>0</v>
      </c>
      <c r="G86" s="123">
        <v>0</v>
      </c>
      <c r="H86" s="97">
        <v>0</v>
      </c>
      <c r="I86" s="305">
        <f t="shared" si="8"/>
        <v>228700000</v>
      </c>
      <c r="J86" s="97">
        <v>380000000</v>
      </c>
      <c r="K86" s="129">
        <f t="shared" ref="K86:K147" si="9" xml:space="preserve"> (K85 + G86 + F86) + ((K85 + G86 + F86) * L86 )</f>
        <v>0</v>
      </c>
      <c r="L86" s="98">
        <v>1.7999999999999999E-2</v>
      </c>
      <c r="M86" s="38">
        <v>0</v>
      </c>
      <c r="N86" s="108">
        <f t="shared" si="4"/>
        <v>100054389.56512359</v>
      </c>
      <c r="O86" s="80">
        <v>0.02</v>
      </c>
      <c r="P86" s="180">
        <f t="shared" ref="P86:P147" si="10" xml:space="preserve"> M86 + N86</f>
        <v>100054389.56512359</v>
      </c>
      <c r="Q86" s="143">
        <f t="shared" ref="Q86:Q147" si="11" xml:space="preserve"> K86 + P86</f>
        <v>100054389.56512359</v>
      </c>
      <c r="R86" s="97">
        <f t="shared" si="5"/>
        <v>228700000</v>
      </c>
      <c r="S86" s="97">
        <f t="shared" si="6"/>
        <v>480054389.56512356</v>
      </c>
      <c r="T86" s="84"/>
    </row>
    <row r="87" spans="1:20" s="90" customFormat="1" ht="17.25" thickBot="1" x14ac:dyDescent="0.35">
      <c r="B87" s="311"/>
      <c r="C87" s="88">
        <v>12</v>
      </c>
      <c r="D87" s="137">
        <v>500000</v>
      </c>
      <c r="E87" s="138">
        <v>0</v>
      </c>
      <c r="F87" s="137">
        <v>0</v>
      </c>
      <c r="G87" s="123">
        <v>0</v>
      </c>
      <c r="H87" s="97">
        <v>0</v>
      </c>
      <c r="I87" s="305">
        <f t="shared" si="8"/>
        <v>228000000</v>
      </c>
      <c r="J87" s="97">
        <v>380000000</v>
      </c>
      <c r="K87" s="130">
        <f t="shared" si="9"/>
        <v>0</v>
      </c>
      <c r="L87" s="89">
        <v>1.7999999999999999E-2</v>
      </c>
      <c r="M87" s="38">
        <v>0</v>
      </c>
      <c r="N87" s="108">
        <f t="shared" si="4"/>
        <v>102565477.35642606</v>
      </c>
      <c r="O87" s="80">
        <v>0.02</v>
      </c>
      <c r="P87" s="180">
        <f t="shared" si="10"/>
        <v>102565477.35642606</v>
      </c>
      <c r="Q87" s="143">
        <f t="shared" si="11"/>
        <v>102565477.35642606</v>
      </c>
      <c r="R87" s="97">
        <f t="shared" si="5"/>
        <v>228000000</v>
      </c>
      <c r="S87" s="97">
        <f t="shared" si="6"/>
        <v>482565477.35642606</v>
      </c>
      <c r="T87" s="100"/>
    </row>
    <row r="88" spans="1:20" s="18" customFormat="1" x14ac:dyDescent="0.3">
      <c r="A88" s="18">
        <v>8</v>
      </c>
      <c r="B88" s="311">
        <v>2029</v>
      </c>
      <c r="C88" s="27">
        <v>1</v>
      </c>
      <c r="D88" s="137">
        <v>500000</v>
      </c>
      <c r="E88" s="137">
        <v>0</v>
      </c>
      <c r="F88" s="137">
        <v>0</v>
      </c>
      <c r="G88" s="123">
        <v>0</v>
      </c>
      <c r="H88" s="97">
        <v>0</v>
      </c>
      <c r="I88" s="305">
        <f t="shared" si="8"/>
        <v>227300000</v>
      </c>
      <c r="J88" s="97">
        <v>380000000</v>
      </c>
      <c r="K88" s="129">
        <f t="shared" si="9"/>
        <v>0</v>
      </c>
      <c r="L88" s="98">
        <v>1.7999999999999999E-2</v>
      </c>
      <c r="M88" s="38">
        <v>0</v>
      </c>
      <c r="N88" s="108">
        <f t="shared" ref="N88:N147" si="12" xml:space="preserve"> (N87 + D88 - E88 - M88) + ((N87 + D88 - E88 - M88) * O88)</f>
        <v>105126786.90355459</v>
      </c>
      <c r="O88" s="80">
        <v>0.02</v>
      </c>
      <c r="P88" s="180">
        <f t="shared" si="10"/>
        <v>105126786.90355459</v>
      </c>
      <c r="Q88" s="143">
        <f t="shared" si="11"/>
        <v>105126786.90355459</v>
      </c>
      <c r="R88" s="97">
        <f t="shared" si="5"/>
        <v>227300000</v>
      </c>
      <c r="S88" s="97">
        <f t="shared" si="6"/>
        <v>485126786.90355456</v>
      </c>
      <c r="T88" s="84"/>
    </row>
    <row r="89" spans="1:20" s="18" customFormat="1" x14ac:dyDescent="0.3">
      <c r="B89" s="311"/>
      <c r="C89" s="28">
        <v>2</v>
      </c>
      <c r="D89" s="137">
        <v>500000</v>
      </c>
      <c r="E89" s="137">
        <v>0</v>
      </c>
      <c r="F89" s="137">
        <v>0</v>
      </c>
      <c r="G89" s="123">
        <v>0</v>
      </c>
      <c r="H89" s="97">
        <v>0</v>
      </c>
      <c r="I89" s="305">
        <f t="shared" si="8"/>
        <v>226600000</v>
      </c>
      <c r="J89" s="97">
        <v>380000000</v>
      </c>
      <c r="K89" s="129">
        <f t="shared" si="9"/>
        <v>0</v>
      </c>
      <c r="L89" s="98">
        <v>1.7999999999999999E-2</v>
      </c>
      <c r="M89" s="38">
        <v>0</v>
      </c>
      <c r="N89" s="108">
        <f t="shared" si="12"/>
        <v>107739322.64162569</v>
      </c>
      <c r="O89" s="80">
        <v>0.02</v>
      </c>
      <c r="P89" s="180">
        <f t="shared" si="10"/>
        <v>107739322.64162569</v>
      </c>
      <c r="Q89" s="143">
        <f t="shared" si="11"/>
        <v>107739322.64162569</v>
      </c>
      <c r="R89" s="97">
        <f t="shared" si="5"/>
        <v>226600000</v>
      </c>
      <c r="S89" s="97">
        <f t="shared" si="6"/>
        <v>487739322.6416257</v>
      </c>
      <c r="T89" s="84"/>
    </row>
    <row r="90" spans="1:20" s="18" customFormat="1" x14ac:dyDescent="0.3">
      <c r="B90" s="311"/>
      <c r="C90" s="28">
        <v>3</v>
      </c>
      <c r="D90" s="137">
        <v>500000</v>
      </c>
      <c r="E90" s="137">
        <v>0</v>
      </c>
      <c r="F90" s="137">
        <v>0</v>
      </c>
      <c r="G90" s="123">
        <v>0</v>
      </c>
      <c r="H90" s="97">
        <v>0</v>
      </c>
      <c r="I90" s="305">
        <f t="shared" si="8"/>
        <v>225900000</v>
      </c>
      <c r="J90" s="97">
        <v>380000000</v>
      </c>
      <c r="K90" s="129">
        <f t="shared" si="9"/>
        <v>0</v>
      </c>
      <c r="L90" s="98">
        <v>1.7999999999999999E-2</v>
      </c>
      <c r="M90" s="38">
        <v>0</v>
      </c>
      <c r="N90" s="108">
        <f t="shared" si="12"/>
        <v>110404109.09445821</v>
      </c>
      <c r="O90" s="80">
        <v>0.02</v>
      </c>
      <c r="P90" s="180">
        <f t="shared" si="10"/>
        <v>110404109.09445821</v>
      </c>
      <c r="Q90" s="143">
        <f t="shared" si="11"/>
        <v>110404109.09445821</v>
      </c>
      <c r="R90" s="97">
        <f t="shared" si="5"/>
        <v>225900000</v>
      </c>
      <c r="S90" s="97">
        <f t="shared" si="6"/>
        <v>490404109.09445822</v>
      </c>
      <c r="T90" s="84"/>
    </row>
    <row r="91" spans="1:20" s="18" customFormat="1" x14ac:dyDescent="0.3">
      <c r="B91" s="311"/>
      <c r="C91" s="28">
        <v>4</v>
      </c>
      <c r="D91" s="137">
        <v>500000</v>
      </c>
      <c r="E91" s="137">
        <v>0</v>
      </c>
      <c r="F91" s="137">
        <v>0</v>
      </c>
      <c r="G91" s="123">
        <v>0</v>
      </c>
      <c r="H91" s="97">
        <v>0</v>
      </c>
      <c r="I91" s="305">
        <f t="shared" si="8"/>
        <v>225200000</v>
      </c>
      <c r="J91" s="97">
        <v>380000000</v>
      </c>
      <c r="K91" s="129">
        <f t="shared" si="9"/>
        <v>0</v>
      </c>
      <c r="L91" s="98">
        <v>1.7999999999999999E-2</v>
      </c>
      <c r="M91" s="38">
        <v>0</v>
      </c>
      <c r="N91" s="108">
        <f t="shared" si="12"/>
        <v>113122191.27634737</v>
      </c>
      <c r="O91" s="80">
        <v>0.02</v>
      </c>
      <c r="P91" s="180">
        <f t="shared" si="10"/>
        <v>113122191.27634737</v>
      </c>
      <c r="Q91" s="143">
        <f t="shared" si="11"/>
        <v>113122191.27634737</v>
      </c>
      <c r="R91" s="97">
        <f t="shared" ref="R91:R147" si="13" xml:space="preserve"> H91 + I91</f>
        <v>225200000</v>
      </c>
      <c r="S91" s="97">
        <f t="shared" ref="S91:S147" si="14" xml:space="preserve"> J91 + Q91</f>
        <v>493122191.2763474</v>
      </c>
      <c r="T91" s="84"/>
    </row>
    <row r="92" spans="1:20" s="18" customFormat="1" x14ac:dyDescent="0.3">
      <c r="B92" s="311"/>
      <c r="C92" s="28">
        <v>5</v>
      </c>
      <c r="D92" s="137">
        <v>500000</v>
      </c>
      <c r="E92" s="137">
        <v>0</v>
      </c>
      <c r="F92" s="137">
        <v>0</v>
      </c>
      <c r="G92" s="123">
        <v>0</v>
      </c>
      <c r="H92" s="97">
        <v>0</v>
      </c>
      <c r="I92" s="305">
        <f t="shared" si="8"/>
        <v>224500000</v>
      </c>
      <c r="J92" s="97">
        <v>380000000</v>
      </c>
      <c r="K92" s="129">
        <f t="shared" si="9"/>
        <v>0</v>
      </c>
      <c r="L92" s="98">
        <v>1.7999999999999999E-2</v>
      </c>
      <c r="M92" s="38">
        <v>0</v>
      </c>
      <c r="N92" s="108">
        <f t="shared" si="12"/>
        <v>115894635.10187432</v>
      </c>
      <c r="O92" s="80">
        <v>0.02</v>
      </c>
      <c r="P92" s="180">
        <f t="shared" si="10"/>
        <v>115894635.10187432</v>
      </c>
      <c r="Q92" s="143">
        <f t="shared" si="11"/>
        <v>115894635.10187432</v>
      </c>
      <c r="R92" s="97">
        <f t="shared" si="13"/>
        <v>224500000</v>
      </c>
      <c r="S92" s="97">
        <f t="shared" si="14"/>
        <v>495894635.10187435</v>
      </c>
      <c r="T92" s="84"/>
    </row>
    <row r="93" spans="1:20" s="18" customFormat="1" x14ac:dyDescent="0.3">
      <c r="B93" s="311"/>
      <c r="C93" s="28">
        <v>6</v>
      </c>
      <c r="D93" s="137">
        <v>500000</v>
      </c>
      <c r="E93" s="137">
        <v>0</v>
      </c>
      <c r="F93" s="137">
        <v>0</v>
      </c>
      <c r="G93" s="123">
        <v>0</v>
      </c>
      <c r="H93" s="97">
        <v>0</v>
      </c>
      <c r="I93" s="305">
        <f t="shared" si="8"/>
        <v>223800000</v>
      </c>
      <c r="J93" s="97">
        <v>380000000</v>
      </c>
      <c r="K93" s="129">
        <f t="shared" si="9"/>
        <v>0</v>
      </c>
      <c r="L93" s="98">
        <v>1.7999999999999999E-2</v>
      </c>
      <c r="M93" s="38">
        <v>0</v>
      </c>
      <c r="N93" s="108">
        <f t="shared" si="12"/>
        <v>118722527.80391181</v>
      </c>
      <c r="O93" s="80">
        <v>0.02</v>
      </c>
      <c r="P93" s="180">
        <f t="shared" si="10"/>
        <v>118722527.80391181</v>
      </c>
      <c r="Q93" s="143">
        <f t="shared" si="11"/>
        <v>118722527.80391181</v>
      </c>
      <c r="R93" s="97">
        <f t="shared" si="13"/>
        <v>223800000</v>
      </c>
      <c r="S93" s="97">
        <f t="shared" si="14"/>
        <v>498722527.80391181</v>
      </c>
      <c r="T93" s="84"/>
    </row>
    <row r="94" spans="1:20" s="18" customFormat="1" x14ac:dyDescent="0.3">
      <c r="B94" s="311"/>
      <c r="C94" s="28">
        <v>7</v>
      </c>
      <c r="D94" s="137">
        <v>500000</v>
      </c>
      <c r="E94" s="137">
        <v>0</v>
      </c>
      <c r="F94" s="137">
        <v>0</v>
      </c>
      <c r="G94" s="123">
        <v>0</v>
      </c>
      <c r="H94" s="97">
        <v>0</v>
      </c>
      <c r="I94" s="305">
        <f t="shared" si="8"/>
        <v>223100000</v>
      </c>
      <c r="J94" s="97">
        <v>380000000</v>
      </c>
      <c r="K94" s="129">
        <f t="shared" si="9"/>
        <v>0</v>
      </c>
      <c r="L94" s="98">
        <v>1.7999999999999999E-2</v>
      </c>
      <c r="M94" s="38">
        <v>0</v>
      </c>
      <c r="N94" s="108">
        <f t="shared" si="12"/>
        <v>121606978.35999005</v>
      </c>
      <c r="O94" s="80">
        <v>0.02</v>
      </c>
      <c r="P94" s="180">
        <f t="shared" si="10"/>
        <v>121606978.35999005</v>
      </c>
      <c r="Q94" s="143">
        <f t="shared" si="11"/>
        <v>121606978.35999005</v>
      </c>
      <c r="R94" s="97">
        <f t="shared" si="13"/>
        <v>223100000</v>
      </c>
      <c r="S94" s="97">
        <f t="shared" si="14"/>
        <v>501606978.35999006</v>
      </c>
      <c r="T94" s="84"/>
    </row>
    <row r="95" spans="1:20" s="18" customFormat="1" x14ac:dyDescent="0.3">
      <c r="B95" s="311"/>
      <c r="C95" s="28">
        <v>8</v>
      </c>
      <c r="D95" s="137">
        <v>500000</v>
      </c>
      <c r="E95" s="137">
        <v>0</v>
      </c>
      <c r="F95" s="137">
        <v>0</v>
      </c>
      <c r="G95" s="123">
        <v>0</v>
      </c>
      <c r="H95" s="97">
        <v>0</v>
      </c>
      <c r="I95" s="305">
        <f t="shared" si="8"/>
        <v>222400000</v>
      </c>
      <c r="J95" s="97">
        <v>380000000</v>
      </c>
      <c r="K95" s="129">
        <f t="shared" si="9"/>
        <v>0</v>
      </c>
      <c r="L95" s="98">
        <v>1.7999999999999999E-2</v>
      </c>
      <c r="M95" s="38">
        <v>0</v>
      </c>
      <c r="N95" s="108">
        <f t="shared" si="12"/>
        <v>124549117.92718984</v>
      </c>
      <c r="O95" s="80">
        <v>0.02</v>
      </c>
      <c r="P95" s="180">
        <f t="shared" si="10"/>
        <v>124549117.92718984</v>
      </c>
      <c r="Q95" s="143">
        <f t="shared" si="11"/>
        <v>124549117.92718984</v>
      </c>
      <c r="R95" s="97">
        <f t="shared" si="13"/>
        <v>222400000</v>
      </c>
      <c r="S95" s="97">
        <f t="shared" si="14"/>
        <v>504549117.92718983</v>
      </c>
      <c r="T95" s="84"/>
    </row>
    <row r="96" spans="1:20" s="18" customFormat="1" x14ac:dyDescent="0.3">
      <c r="B96" s="311"/>
      <c r="C96" s="28">
        <v>9</v>
      </c>
      <c r="D96" s="137">
        <v>500000</v>
      </c>
      <c r="E96" s="137">
        <v>0</v>
      </c>
      <c r="F96" s="137">
        <v>0</v>
      </c>
      <c r="G96" s="123">
        <v>0</v>
      </c>
      <c r="H96" s="97">
        <v>0</v>
      </c>
      <c r="I96" s="305">
        <f t="shared" si="8"/>
        <v>221700000</v>
      </c>
      <c r="J96" s="97">
        <v>380000000</v>
      </c>
      <c r="K96" s="129">
        <f t="shared" si="9"/>
        <v>0</v>
      </c>
      <c r="L96" s="98">
        <v>1.7999999999999999E-2</v>
      </c>
      <c r="M96" s="38">
        <v>0</v>
      </c>
      <c r="N96" s="108">
        <f t="shared" si="12"/>
        <v>127550100.28573364</v>
      </c>
      <c r="O96" s="80">
        <v>0.02</v>
      </c>
      <c r="P96" s="180">
        <f t="shared" si="10"/>
        <v>127550100.28573364</v>
      </c>
      <c r="Q96" s="143">
        <f t="shared" si="11"/>
        <v>127550100.28573364</v>
      </c>
      <c r="R96" s="97">
        <f t="shared" si="13"/>
        <v>221700000</v>
      </c>
      <c r="S96" s="97">
        <f t="shared" si="14"/>
        <v>507550100.28573364</v>
      </c>
      <c r="T96" s="84"/>
    </row>
    <row r="97" spans="1:20" s="18" customFormat="1" x14ac:dyDescent="0.3">
      <c r="B97" s="311"/>
      <c r="C97" s="28">
        <v>10</v>
      </c>
      <c r="D97" s="137">
        <v>500000</v>
      </c>
      <c r="E97" s="137">
        <v>0</v>
      </c>
      <c r="F97" s="137">
        <v>0</v>
      </c>
      <c r="G97" s="123">
        <v>0</v>
      </c>
      <c r="H97" s="97">
        <v>0</v>
      </c>
      <c r="I97" s="305">
        <f t="shared" si="8"/>
        <v>221000000</v>
      </c>
      <c r="J97" s="97">
        <v>380000000</v>
      </c>
      <c r="K97" s="129">
        <f t="shared" si="9"/>
        <v>0</v>
      </c>
      <c r="L97" s="98">
        <v>1.7999999999999999E-2</v>
      </c>
      <c r="M97" s="38">
        <v>0</v>
      </c>
      <c r="N97" s="108">
        <f t="shared" si="12"/>
        <v>130611102.29144831</v>
      </c>
      <c r="O97" s="80">
        <v>0.02</v>
      </c>
      <c r="P97" s="180">
        <f t="shared" si="10"/>
        <v>130611102.29144831</v>
      </c>
      <c r="Q97" s="143">
        <f t="shared" si="11"/>
        <v>130611102.29144831</v>
      </c>
      <c r="R97" s="97">
        <f t="shared" si="13"/>
        <v>221000000</v>
      </c>
      <c r="S97" s="97">
        <f t="shared" si="14"/>
        <v>510611102.2914483</v>
      </c>
      <c r="T97" s="84"/>
    </row>
    <row r="98" spans="1:20" s="18" customFormat="1" ht="17.25" thickBot="1" x14ac:dyDescent="0.35">
      <c r="B98" s="311"/>
      <c r="C98" s="30">
        <v>11</v>
      </c>
      <c r="D98" s="137">
        <v>500000</v>
      </c>
      <c r="E98" s="137">
        <v>0</v>
      </c>
      <c r="F98" s="137">
        <v>0</v>
      </c>
      <c r="G98" s="123">
        <v>0</v>
      </c>
      <c r="H98" s="97">
        <v>0</v>
      </c>
      <c r="I98" s="305">
        <f t="shared" si="8"/>
        <v>220300000</v>
      </c>
      <c r="J98" s="97">
        <v>380000000</v>
      </c>
      <c r="K98" s="129">
        <f t="shared" si="9"/>
        <v>0</v>
      </c>
      <c r="L98" s="98">
        <v>1.7999999999999999E-2</v>
      </c>
      <c r="M98" s="38">
        <v>0</v>
      </c>
      <c r="N98" s="108">
        <f t="shared" si="12"/>
        <v>133733324.33727728</v>
      </c>
      <c r="O98" s="80">
        <v>0.02</v>
      </c>
      <c r="P98" s="180">
        <f t="shared" si="10"/>
        <v>133733324.33727728</v>
      </c>
      <c r="Q98" s="143">
        <f t="shared" si="11"/>
        <v>133733324.33727728</v>
      </c>
      <c r="R98" s="97">
        <f t="shared" si="13"/>
        <v>220300000</v>
      </c>
      <c r="S98" s="97">
        <f t="shared" si="14"/>
        <v>513733324.33727729</v>
      </c>
      <c r="T98" s="84"/>
    </row>
    <row r="99" spans="1:20" s="266" customFormat="1" ht="17.25" thickBot="1" x14ac:dyDescent="0.35">
      <c r="B99" s="311"/>
      <c r="C99" s="300">
        <v>12</v>
      </c>
      <c r="D99" s="268">
        <v>500000</v>
      </c>
      <c r="E99" s="268">
        <v>10000000</v>
      </c>
      <c r="F99" s="268">
        <v>0</v>
      </c>
      <c r="G99" s="269">
        <v>0</v>
      </c>
      <c r="H99" s="270">
        <v>0</v>
      </c>
      <c r="I99" s="305">
        <f xml:space="preserve"> I98 - 700000 - 25000000</f>
        <v>194600000</v>
      </c>
      <c r="J99" s="97">
        <v>380000000</v>
      </c>
      <c r="K99" s="271">
        <f t="shared" si="9"/>
        <v>0</v>
      </c>
      <c r="L99" s="272">
        <v>1.7999999999999999E-2</v>
      </c>
      <c r="M99" s="273">
        <v>0</v>
      </c>
      <c r="N99" s="274">
        <f t="shared" si="12"/>
        <v>126717990.82402284</v>
      </c>
      <c r="O99" s="275">
        <v>0.02</v>
      </c>
      <c r="P99" s="273">
        <f t="shared" si="10"/>
        <v>126717990.82402284</v>
      </c>
      <c r="Q99" s="276">
        <f t="shared" si="11"/>
        <v>126717990.82402284</v>
      </c>
      <c r="R99" s="270">
        <f t="shared" si="13"/>
        <v>194600000</v>
      </c>
      <c r="S99" s="270">
        <f t="shared" si="14"/>
        <v>506717990.82402283</v>
      </c>
      <c r="T99" s="277"/>
    </row>
    <row r="100" spans="1:20" s="18" customFormat="1" x14ac:dyDescent="0.3">
      <c r="A100" s="18">
        <v>9</v>
      </c>
      <c r="B100" s="311">
        <v>2030</v>
      </c>
      <c r="C100" s="27">
        <v>1</v>
      </c>
      <c r="D100" s="137">
        <v>500000</v>
      </c>
      <c r="E100" s="137">
        <v>0</v>
      </c>
      <c r="F100" s="137">
        <v>0</v>
      </c>
      <c r="G100" s="123">
        <v>0</v>
      </c>
      <c r="H100" s="97">
        <v>0</v>
      </c>
      <c r="I100" s="305">
        <f t="shared" si="8"/>
        <v>193900000</v>
      </c>
      <c r="J100" s="97">
        <v>380000000</v>
      </c>
      <c r="K100" s="129">
        <f t="shared" si="9"/>
        <v>0</v>
      </c>
      <c r="L100" s="98">
        <v>1.7999999999999999E-2</v>
      </c>
      <c r="M100" s="38">
        <v>0</v>
      </c>
      <c r="N100" s="108">
        <f t="shared" si="12"/>
        <v>129762350.6405033</v>
      </c>
      <c r="O100" s="80">
        <v>0.02</v>
      </c>
      <c r="P100" s="180">
        <f t="shared" si="10"/>
        <v>129762350.6405033</v>
      </c>
      <c r="Q100" s="143">
        <f t="shared" si="11"/>
        <v>129762350.6405033</v>
      </c>
      <c r="R100" s="97">
        <f t="shared" si="13"/>
        <v>193900000</v>
      </c>
      <c r="S100" s="97">
        <f t="shared" si="14"/>
        <v>509762350.64050329</v>
      </c>
      <c r="T100" s="84"/>
    </row>
    <row r="101" spans="1:20" s="18" customFormat="1" x14ac:dyDescent="0.3">
      <c r="B101" s="311"/>
      <c r="C101" s="28">
        <v>2</v>
      </c>
      <c r="D101" s="137">
        <v>500000</v>
      </c>
      <c r="E101" s="137">
        <v>0</v>
      </c>
      <c r="F101" s="137">
        <v>0</v>
      </c>
      <c r="G101" s="123">
        <v>0</v>
      </c>
      <c r="H101" s="97">
        <v>0</v>
      </c>
      <c r="I101" s="305">
        <f t="shared" si="8"/>
        <v>193200000</v>
      </c>
      <c r="J101" s="97">
        <v>380000000</v>
      </c>
      <c r="K101" s="129">
        <f t="shared" si="9"/>
        <v>0</v>
      </c>
      <c r="L101" s="98">
        <v>1.7999999999999999E-2</v>
      </c>
      <c r="M101" s="38">
        <v>0</v>
      </c>
      <c r="N101" s="108">
        <f t="shared" si="12"/>
        <v>132867597.65331337</v>
      </c>
      <c r="O101" s="80">
        <v>0.02</v>
      </c>
      <c r="P101" s="180">
        <f t="shared" si="10"/>
        <v>132867597.65331337</v>
      </c>
      <c r="Q101" s="143">
        <f t="shared" si="11"/>
        <v>132867597.65331337</v>
      </c>
      <c r="R101" s="97">
        <f t="shared" si="13"/>
        <v>193200000</v>
      </c>
      <c r="S101" s="97">
        <f t="shared" si="14"/>
        <v>512867597.6533134</v>
      </c>
      <c r="T101" s="84"/>
    </row>
    <row r="102" spans="1:20" s="18" customFormat="1" x14ac:dyDescent="0.3">
      <c r="B102" s="311"/>
      <c r="C102" s="28">
        <v>3</v>
      </c>
      <c r="D102" s="137">
        <v>500000</v>
      </c>
      <c r="E102" s="137">
        <v>0</v>
      </c>
      <c r="F102" s="137">
        <v>0</v>
      </c>
      <c r="G102" s="123">
        <v>0</v>
      </c>
      <c r="H102" s="97">
        <v>0</v>
      </c>
      <c r="I102" s="305">
        <f t="shared" si="8"/>
        <v>192500000</v>
      </c>
      <c r="J102" s="97">
        <v>380000000</v>
      </c>
      <c r="K102" s="129">
        <f t="shared" si="9"/>
        <v>0</v>
      </c>
      <c r="L102" s="98">
        <v>1.7999999999999999E-2</v>
      </c>
      <c r="M102" s="38">
        <v>0</v>
      </c>
      <c r="N102" s="108">
        <f t="shared" si="12"/>
        <v>136034949.60637963</v>
      </c>
      <c r="O102" s="80">
        <v>0.02</v>
      </c>
      <c r="P102" s="180">
        <f t="shared" si="10"/>
        <v>136034949.60637963</v>
      </c>
      <c r="Q102" s="143">
        <f t="shared" si="11"/>
        <v>136034949.60637963</v>
      </c>
      <c r="R102" s="97">
        <f t="shared" si="13"/>
        <v>192500000</v>
      </c>
      <c r="S102" s="97">
        <f t="shared" si="14"/>
        <v>516034949.60637963</v>
      </c>
      <c r="T102" s="84"/>
    </row>
    <row r="103" spans="1:20" s="18" customFormat="1" x14ac:dyDescent="0.3">
      <c r="B103" s="311"/>
      <c r="C103" s="28">
        <v>4</v>
      </c>
      <c r="D103" s="137">
        <v>500000</v>
      </c>
      <c r="E103" s="137">
        <v>0</v>
      </c>
      <c r="F103" s="137">
        <v>0</v>
      </c>
      <c r="G103" s="123">
        <v>0</v>
      </c>
      <c r="H103" s="97">
        <v>0</v>
      </c>
      <c r="I103" s="305">
        <f t="shared" si="8"/>
        <v>191800000</v>
      </c>
      <c r="J103" s="97">
        <v>380000000</v>
      </c>
      <c r="K103" s="129">
        <f t="shared" si="9"/>
        <v>0</v>
      </c>
      <c r="L103" s="98">
        <v>1.7999999999999999E-2</v>
      </c>
      <c r="M103" s="38">
        <v>0</v>
      </c>
      <c r="N103" s="108">
        <f t="shared" si="12"/>
        <v>139265648.59850723</v>
      </c>
      <c r="O103" s="80">
        <v>0.02</v>
      </c>
      <c r="P103" s="180">
        <f t="shared" si="10"/>
        <v>139265648.59850723</v>
      </c>
      <c r="Q103" s="143">
        <f t="shared" si="11"/>
        <v>139265648.59850723</v>
      </c>
      <c r="R103" s="97">
        <f t="shared" si="13"/>
        <v>191800000</v>
      </c>
      <c r="S103" s="97">
        <f t="shared" si="14"/>
        <v>519265648.59850723</v>
      </c>
      <c r="T103" s="84"/>
    </row>
    <row r="104" spans="1:20" s="18" customFormat="1" x14ac:dyDescent="0.3">
      <c r="B104" s="311"/>
      <c r="C104" s="28">
        <v>5</v>
      </c>
      <c r="D104" s="137">
        <v>500000</v>
      </c>
      <c r="E104" s="137">
        <v>0</v>
      </c>
      <c r="F104" s="137">
        <v>0</v>
      </c>
      <c r="G104" s="123">
        <v>0</v>
      </c>
      <c r="H104" s="97">
        <v>0</v>
      </c>
      <c r="I104" s="305">
        <f t="shared" si="8"/>
        <v>191100000</v>
      </c>
      <c r="J104" s="97">
        <v>380000000</v>
      </c>
      <c r="K104" s="129">
        <f t="shared" si="9"/>
        <v>0</v>
      </c>
      <c r="L104" s="98">
        <v>1.7999999999999999E-2</v>
      </c>
      <c r="M104" s="38">
        <v>0</v>
      </c>
      <c r="N104" s="108">
        <f t="shared" si="12"/>
        <v>142560961.57047737</v>
      </c>
      <c r="O104" s="80">
        <v>0.02</v>
      </c>
      <c r="P104" s="180">
        <f t="shared" si="10"/>
        <v>142560961.57047737</v>
      </c>
      <c r="Q104" s="143">
        <f t="shared" si="11"/>
        <v>142560961.57047737</v>
      </c>
      <c r="R104" s="97">
        <f t="shared" si="13"/>
        <v>191100000</v>
      </c>
      <c r="S104" s="97">
        <f t="shared" si="14"/>
        <v>522560961.57047737</v>
      </c>
      <c r="T104" s="84"/>
    </row>
    <row r="105" spans="1:20" s="18" customFormat="1" x14ac:dyDescent="0.3">
      <c r="B105" s="311"/>
      <c r="C105" s="28">
        <v>6</v>
      </c>
      <c r="D105" s="137">
        <v>500000</v>
      </c>
      <c r="E105" s="137">
        <v>0</v>
      </c>
      <c r="F105" s="137">
        <v>0</v>
      </c>
      <c r="G105" s="123">
        <v>0</v>
      </c>
      <c r="H105" s="97">
        <v>0</v>
      </c>
      <c r="I105" s="305">
        <f t="shared" si="8"/>
        <v>190400000</v>
      </c>
      <c r="J105" s="97">
        <v>380000000</v>
      </c>
      <c r="K105" s="129">
        <f t="shared" si="9"/>
        <v>0</v>
      </c>
      <c r="L105" s="98">
        <v>1.7999999999999999E-2</v>
      </c>
      <c r="M105" s="38">
        <v>0</v>
      </c>
      <c r="N105" s="108">
        <f t="shared" si="12"/>
        <v>145922180.80188692</v>
      </c>
      <c r="O105" s="80">
        <v>0.02</v>
      </c>
      <c r="P105" s="180">
        <f t="shared" si="10"/>
        <v>145922180.80188692</v>
      </c>
      <c r="Q105" s="143">
        <f t="shared" si="11"/>
        <v>145922180.80188692</v>
      </c>
      <c r="R105" s="97">
        <f t="shared" si="13"/>
        <v>190400000</v>
      </c>
      <c r="S105" s="97">
        <f t="shared" si="14"/>
        <v>525922180.80188692</v>
      </c>
      <c r="T105" s="84"/>
    </row>
    <row r="106" spans="1:20" s="18" customFormat="1" x14ac:dyDescent="0.3">
      <c r="B106" s="311"/>
      <c r="C106" s="28">
        <v>7</v>
      </c>
      <c r="D106" s="137">
        <v>500000</v>
      </c>
      <c r="E106" s="137">
        <v>0</v>
      </c>
      <c r="F106" s="137">
        <v>0</v>
      </c>
      <c r="G106" s="123">
        <v>0</v>
      </c>
      <c r="H106" s="97">
        <v>0</v>
      </c>
      <c r="I106" s="305">
        <f t="shared" si="8"/>
        <v>189700000</v>
      </c>
      <c r="J106" s="97">
        <v>380000000</v>
      </c>
      <c r="K106" s="129">
        <f t="shared" si="9"/>
        <v>0</v>
      </c>
      <c r="L106" s="98">
        <v>1.7999999999999999E-2</v>
      </c>
      <c r="M106" s="38">
        <v>0</v>
      </c>
      <c r="N106" s="108">
        <f t="shared" si="12"/>
        <v>149350624.41792464</v>
      </c>
      <c r="O106" s="80">
        <v>0.02</v>
      </c>
      <c r="P106" s="180">
        <f t="shared" si="10"/>
        <v>149350624.41792464</v>
      </c>
      <c r="Q106" s="143">
        <f t="shared" si="11"/>
        <v>149350624.41792464</v>
      </c>
      <c r="R106" s="97">
        <f t="shared" si="13"/>
        <v>189700000</v>
      </c>
      <c r="S106" s="97">
        <f t="shared" si="14"/>
        <v>529350624.41792464</v>
      </c>
      <c r="T106" s="84"/>
    </row>
    <row r="107" spans="1:20" s="18" customFormat="1" x14ac:dyDescent="0.3">
      <c r="B107" s="311"/>
      <c r="C107" s="28">
        <v>8</v>
      </c>
      <c r="D107" s="137">
        <v>500000</v>
      </c>
      <c r="E107" s="137">
        <v>0</v>
      </c>
      <c r="F107" s="137">
        <v>0</v>
      </c>
      <c r="G107" s="123">
        <v>0</v>
      </c>
      <c r="H107" s="97">
        <v>0</v>
      </c>
      <c r="I107" s="305">
        <f t="shared" si="8"/>
        <v>189000000</v>
      </c>
      <c r="J107" s="97">
        <v>380000000</v>
      </c>
      <c r="K107" s="129">
        <f t="shared" si="9"/>
        <v>0</v>
      </c>
      <c r="L107" s="98">
        <v>1.7999999999999999E-2</v>
      </c>
      <c r="M107" s="38">
        <v>0</v>
      </c>
      <c r="N107" s="108">
        <f t="shared" si="12"/>
        <v>152847636.90628314</v>
      </c>
      <c r="O107" s="80">
        <v>0.02</v>
      </c>
      <c r="P107" s="180">
        <f t="shared" si="10"/>
        <v>152847636.90628314</v>
      </c>
      <c r="Q107" s="143">
        <f t="shared" si="11"/>
        <v>152847636.90628314</v>
      </c>
      <c r="R107" s="97">
        <f t="shared" si="13"/>
        <v>189000000</v>
      </c>
      <c r="S107" s="97">
        <f t="shared" si="14"/>
        <v>532847636.90628314</v>
      </c>
      <c r="T107" s="84"/>
    </row>
    <row r="108" spans="1:20" s="18" customFormat="1" x14ac:dyDescent="0.3">
      <c r="B108" s="311"/>
      <c r="C108" s="28">
        <v>9</v>
      </c>
      <c r="D108" s="137">
        <v>500000</v>
      </c>
      <c r="E108" s="137">
        <v>0</v>
      </c>
      <c r="F108" s="137">
        <v>0</v>
      </c>
      <c r="G108" s="123">
        <v>0</v>
      </c>
      <c r="H108" s="97">
        <v>0</v>
      </c>
      <c r="I108" s="305">
        <f t="shared" si="8"/>
        <v>188300000</v>
      </c>
      <c r="J108" s="97">
        <v>380000000</v>
      </c>
      <c r="K108" s="129">
        <f t="shared" si="9"/>
        <v>0</v>
      </c>
      <c r="L108" s="98">
        <v>1.7999999999999999E-2</v>
      </c>
      <c r="M108" s="38">
        <v>0</v>
      </c>
      <c r="N108" s="108">
        <f t="shared" si="12"/>
        <v>156414589.64440879</v>
      </c>
      <c r="O108" s="80">
        <v>0.02</v>
      </c>
      <c r="P108" s="180">
        <f t="shared" si="10"/>
        <v>156414589.64440879</v>
      </c>
      <c r="Q108" s="143">
        <f t="shared" si="11"/>
        <v>156414589.64440879</v>
      </c>
      <c r="R108" s="97">
        <f t="shared" si="13"/>
        <v>188300000</v>
      </c>
      <c r="S108" s="97">
        <f t="shared" si="14"/>
        <v>536414589.64440882</v>
      </c>
      <c r="T108" s="84"/>
    </row>
    <row r="109" spans="1:20" s="18" customFormat="1" x14ac:dyDescent="0.3">
      <c r="B109" s="311"/>
      <c r="C109" s="28">
        <v>10</v>
      </c>
      <c r="D109" s="137">
        <v>500000</v>
      </c>
      <c r="E109" s="137">
        <v>0</v>
      </c>
      <c r="F109" s="137">
        <v>0</v>
      </c>
      <c r="G109" s="123">
        <v>0</v>
      </c>
      <c r="H109" s="97">
        <v>0</v>
      </c>
      <c r="I109" s="305">
        <f t="shared" si="8"/>
        <v>187600000</v>
      </c>
      <c r="J109" s="97">
        <v>380000000</v>
      </c>
      <c r="K109" s="129">
        <f t="shared" si="9"/>
        <v>0</v>
      </c>
      <c r="L109" s="98">
        <v>1.7999999999999999E-2</v>
      </c>
      <c r="M109" s="38">
        <v>0</v>
      </c>
      <c r="N109" s="108">
        <f t="shared" si="12"/>
        <v>160052881.43729696</v>
      </c>
      <c r="O109" s="80">
        <v>0.02</v>
      </c>
      <c r="P109" s="180">
        <f t="shared" si="10"/>
        <v>160052881.43729696</v>
      </c>
      <c r="Q109" s="143">
        <f t="shared" si="11"/>
        <v>160052881.43729696</v>
      </c>
      <c r="R109" s="97">
        <f t="shared" si="13"/>
        <v>187600000</v>
      </c>
      <c r="S109" s="97">
        <f t="shared" si="14"/>
        <v>540052881.43729699</v>
      </c>
      <c r="T109" s="84"/>
    </row>
    <row r="110" spans="1:20" s="18" customFormat="1" ht="17.25" thickBot="1" x14ac:dyDescent="0.35">
      <c r="B110" s="311"/>
      <c r="C110" s="30">
        <v>11</v>
      </c>
      <c r="D110" s="137">
        <v>500000</v>
      </c>
      <c r="E110" s="137">
        <v>0</v>
      </c>
      <c r="F110" s="137">
        <v>0</v>
      </c>
      <c r="G110" s="123">
        <v>0</v>
      </c>
      <c r="H110" s="97">
        <v>0</v>
      </c>
      <c r="I110" s="305">
        <f t="shared" si="8"/>
        <v>186900000</v>
      </c>
      <c r="J110" s="97">
        <v>380000000</v>
      </c>
      <c r="K110" s="129">
        <f t="shared" si="9"/>
        <v>0</v>
      </c>
      <c r="L110" s="98">
        <v>1.7999999999999999E-2</v>
      </c>
      <c r="M110" s="38">
        <v>0</v>
      </c>
      <c r="N110" s="108">
        <f t="shared" si="12"/>
        <v>163763939.0660429</v>
      </c>
      <c r="O110" s="80">
        <v>0.02</v>
      </c>
      <c r="P110" s="180">
        <f t="shared" si="10"/>
        <v>163763939.0660429</v>
      </c>
      <c r="Q110" s="143">
        <f t="shared" si="11"/>
        <v>163763939.0660429</v>
      </c>
      <c r="R110" s="97">
        <f t="shared" si="13"/>
        <v>186900000</v>
      </c>
      <c r="S110" s="97">
        <f t="shared" si="14"/>
        <v>543763939.0660429</v>
      </c>
      <c r="T110" s="84"/>
    </row>
    <row r="111" spans="1:20" s="90" customFormat="1" ht="17.25" thickBot="1" x14ac:dyDescent="0.35">
      <c r="B111" s="311"/>
      <c r="C111" s="88">
        <v>12</v>
      </c>
      <c r="D111" s="137">
        <v>500000</v>
      </c>
      <c r="E111" s="138">
        <v>0</v>
      </c>
      <c r="F111" s="137">
        <v>0</v>
      </c>
      <c r="G111" s="123">
        <v>0</v>
      </c>
      <c r="H111" s="97">
        <v>0</v>
      </c>
      <c r="I111" s="305">
        <f t="shared" si="8"/>
        <v>186200000</v>
      </c>
      <c r="J111" s="97">
        <v>380000000</v>
      </c>
      <c r="K111" s="130">
        <f t="shared" si="9"/>
        <v>0</v>
      </c>
      <c r="L111" s="89">
        <v>1.7999999999999999E-2</v>
      </c>
      <c r="M111" s="38">
        <v>0</v>
      </c>
      <c r="N111" s="108">
        <f t="shared" si="12"/>
        <v>167549217.84736377</v>
      </c>
      <c r="O111" s="80">
        <v>0.02</v>
      </c>
      <c r="P111" s="180">
        <f t="shared" si="10"/>
        <v>167549217.84736377</v>
      </c>
      <c r="Q111" s="143">
        <f t="shared" si="11"/>
        <v>167549217.84736377</v>
      </c>
      <c r="R111" s="97">
        <f t="shared" si="13"/>
        <v>186200000</v>
      </c>
      <c r="S111" s="97">
        <f t="shared" si="14"/>
        <v>547549217.84736371</v>
      </c>
      <c r="T111" s="100"/>
    </row>
    <row r="112" spans="1:20" s="18" customFormat="1" x14ac:dyDescent="0.3">
      <c r="A112" s="18">
        <v>10</v>
      </c>
      <c r="B112" s="311">
        <v>2031</v>
      </c>
      <c r="C112" s="27">
        <v>1</v>
      </c>
      <c r="D112" s="137">
        <v>500000</v>
      </c>
      <c r="E112" s="137">
        <v>0</v>
      </c>
      <c r="F112" s="137">
        <v>0</v>
      </c>
      <c r="G112" s="123">
        <v>0</v>
      </c>
      <c r="H112" s="97">
        <v>0</v>
      </c>
      <c r="I112" s="305">
        <f t="shared" si="8"/>
        <v>185500000</v>
      </c>
      <c r="J112" s="97">
        <v>380000000</v>
      </c>
      <c r="K112" s="129">
        <f t="shared" si="9"/>
        <v>0</v>
      </c>
      <c r="L112" s="98">
        <v>1.7999999999999999E-2</v>
      </c>
      <c r="M112" s="38">
        <v>0</v>
      </c>
      <c r="N112" s="108">
        <f t="shared" si="12"/>
        <v>171410202.20431104</v>
      </c>
      <c r="O112" s="80">
        <v>0.02</v>
      </c>
      <c r="P112" s="180">
        <f t="shared" si="10"/>
        <v>171410202.20431104</v>
      </c>
      <c r="Q112" s="143">
        <f t="shared" si="11"/>
        <v>171410202.20431104</v>
      </c>
      <c r="R112" s="97">
        <f t="shared" si="13"/>
        <v>185500000</v>
      </c>
      <c r="S112" s="97">
        <f t="shared" si="14"/>
        <v>551410202.20431101</v>
      </c>
      <c r="T112" s="84"/>
    </row>
    <row r="113" spans="1:20" s="18" customFormat="1" x14ac:dyDescent="0.3">
      <c r="B113" s="311"/>
      <c r="C113" s="28">
        <v>2</v>
      </c>
      <c r="D113" s="137">
        <v>500000</v>
      </c>
      <c r="E113" s="137">
        <v>0</v>
      </c>
      <c r="F113" s="137">
        <v>0</v>
      </c>
      <c r="G113" s="123">
        <v>0</v>
      </c>
      <c r="H113" s="97">
        <v>0</v>
      </c>
      <c r="I113" s="305">
        <f t="shared" si="8"/>
        <v>184800000</v>
      </c>
      <c r="J113" s="97">
        <v>380000000</v>
      </c>
      <c r="K113" s="129">
        <f t="shared" si="9"/>
        <v>0</v>
      </c>
      <c r="L113" s="98">
        <v>1.7999999999999999E-2</v>
      </c>
      <c r="M113" s="38">
        <v>0</v>
      </c>
      <c r="N113" s="108">
        <f t="shared" si="12"/>
        <v>175348406.24839726</v>
      </c>
      <c r="O113" s="80">
        <v>0.02</v>
      </c>
      <c r="P113" s="180">
        <f t="shared" si="10"/>
        <v>175348406.24839726</v>
      </c>
      <c r="Q113" s="143">
        <f t="shared" si="11"/>
        <v>175348406.24839726</v>
      </c>
      <c r="R113" s="97">
        <f t="shared" si="13"/>
        <v>184800000</v>
      </c>
      <c r="S113" s="97">
        <f t="shared" si="14"/>
        <v>555348406.24839723</v>
      </c>
      <c r="T113" s="84"/>
    </row>
    <row r="114" spans="1:20" s="18" customFormat="1" x14ac:dyDescent="0.3">
      <c r="B114" s="311"/>
      <c r="C114" s="28">
        <v>3</v>
      </c>
      <c r="D114" s="137">
        <v>500000</v>
      </c>
      <c r="E114" s="137">
        <v>0</v>
      </c>
      <c r="F114" s="137">
        <v>0</v>
      </c>
      <c r="G114" s="123">
        <v>0</v>
      </c>
      <c r="H114" s="97">
        <v>0</v>
      </c>
      <c r="I114" s="305">
        <f t="shared" ref="I114:I170" si="15" xml:space="preserve"> I113 - 700000</f>
        <v>184100000</v>
      </c>
      <c r="J114" s="97">
        <v>380000000</v>
      </c>
      <c r="K114" s="129">
        <f t="shared" si="9"/>
        <v>0</v>
      </c>
      <c r="L114" s="98">
        <v>1.7999999999999999E-2</v>
      </c>
      <c r="M114" s="38">
        <v>0</v>
      </c>
      <c r="N114" s="108">
        <f t="shared" si="12"/>
        <v>179365374.37336519</v>
      </c>
      <c r="O114" s="80">
        <v>0.02</v>
      </c>
      <c r="P114" s="180">
        <f t="shared" si="10"/>
        <v>179365374.37336519</v>
      </c>
      <c r="Q114" s="143">
        <f t="shared" si="11"/>
        <v>179365374.37336519</v>
      </c>
      <c r="R114" s="97">
        <f t="shared" si="13"/>
        <v>184100000</v>
      </c>
      <c r="S114" s="97">
        <f t="shared" si="14"/>
        <v>559365374.37336516</v>
      </c>
      <c r="T114" s="84"/>
    </row>
    <row r="115" spans="1:20" s="18" customFormat="1" x14ac:dyDescent="0.3">
      <c r="B115" s="311"/>
      <c r="C115" s="28">
        <v>4</v>
      </c>
      <c r="D115" s="137">
        <v>500000</v>
      </c>
      <c r="E115" s="137">
        <v>0</v>
      </c>
      <c r="F115" s="137">
        <v>0</v>
      </c>
      <c r="G115" s="123">
        <v>0</v>
      </c>
      <c r="H115" s="97">
        <v>0</v>
      </c>
      <c r="I115" s="305">
        <f t="shared" si="15"/>
        <v>183400000</v>
      </c>
      <c r="J115" s="97">
        <v>380000000</v>
      </c>
      <c r="K115" s="129">
        <f t="shared" si="9"/>
        <v>0</v>
      </c>
      <c r="L115" s="98">
        <v>1.7999999999999999E-2</v>
      </c>
      <c r="M115" s="38">
        <v>0</v>
      </c>
      <c r="N115" s="108">
        <f t="shared" si="12"/>
        <v>183462681.86083251</v>
      </c>
      <c r="O115" s="80">
        <v>0.02</v>
      </c>
      <c r="P115" s="180">
        <f t="shared" si="10"/>
        <v>183462681.86083251</v>
      </c>
      <c r="Q115" s="143">
        <f t="shared" si="11"/>
        <v>183462681.86083251</v>
      </c>
      <c r="R115" s="97">
        <f t="shared" si="13"/>
        <v>183400000</v>
      </c>
      <c r="S115" s="97">
        <f t="shared" si="14"/>
        <v>563462681.86083245</v>
      </c>
      <c r="T115" s="84"/>
    </row>
    <row r="116" spans="1:20" s="18" customFormat="1" x14ac:dyDescent="0.3">
      <c r="B116" s="311"/>
      <c r="C116" s="28">
        <v>5</v>
      </c>
      <c r="D116" s="137">
        <v>500000</v>
      </c>
      <c r="E116" s="137">
        <v>0</v>
      </c>
      <c r="F116" s="137">
        <v>0</v>
      </c>
      <c r="G116" s="123">
        <v>0</v>
      </c>
      <c r="H116" s="97">
        <v>0</v>
      </c>
      <c r="I116" s="305">
        <f t="shared" si="15"/>
        <v>182700000</v>
      </c>
      <c r="J116" s="97">
        <v>380000000</v>
      </c>
      <c r="K116" s="129">
        <f t="shared" si="9"/>
        <v>0</v>
      </c>
      <c r="L116" s="98">
        <v>1.7999999999999999E-2</v>
      </c>
      <c r="M116" s="38">
        <v>0</v>
      </c>
      <c r="N116" s="108">
        <f t="shared" si="12"/>
        <v>187641935.49804917</v>
      </c>
      <c r="O116" s="80">
        <v>0.02</v>
      </c>
      <c r="P116" s="180">
        <f t="shared" si="10"/>
        <v>187641935.49804917</v>
      </c>
      <c r="Q116" s="143">
        <f t="shared" si="11"/>
        <v>187641935.49804917</v>
      </c>
      <c r="R116" s="97">
        <f t="shared" si="13"/>
        <v>182700000</v>
      </c>
      <c r="S116" s="97">
        <f t="shared" si="14"/>
        <v>567641935.49804914</v>
      </c>
      <c r="T116" s="84"/>
    </row>
    <row r="117" spans="1:20" s="18" customFormat="1" x14ac:dyDescent="0.3">
      <c r="B117" s="311"/>
      <c r="C117" s="28">
        <v>6</v>
      </c>
      <c r="D117" s="137">
        <v>500000</v>
      </c>
      <c r="E117" s="137">
        <v>0</v>
      </c>
      <c r="F117" s="137">
        <v>0</v>
      </c>
      <c r="G117" s="123">
        <v>0</v>
      </c>
      <c r="H117" s="97">
        <v>0</v>
      </c>
      <c r="I117" s="305">
        <f t="shared" si="15"/>
        <v>182000000</v>
      </c>
      <c r="J117" s="97">
        <v>380000000</v>
      </c>
      <c r="K117" s="129">
        <f t="shared" si="9"/>
        <v>0</v>
      </c>
      <c r="L117" s="98">
        <v>1.7999999999999999E-2</v>
      </c>
      <c r="M117" s="38">
        <v>0</v>
      </c>
      <c r="N117" s="108">
        <f t="shared" si="12"/>
        <v>191904774.20801017</v>
      </c>
      <c r="O117" s="80">
        <v>0.02</v>
      </c>
      <c r="P117" s="180">
        <f t="shared" si="10"/>
        <v>191904774.20801017</v>
      </c>
      <c r="Q117" s="143">
        <f t="shared" si="11"/>
        <v>191904774.20801017</v>
      </c>
      <c r="R117" s="97">
        <f t="shared" si="13"/>
        <v>182000000</v>
      </c>
      <c r="S117" s="97">
        <f t="shared" si="14"/>
        <v>571904774.2080102</v>
      </c>
      <c r="T117" s="84"/>
    </row>
    <row r="118" spans="1:20" s="18" customFormat="1" x14ac:dyDescent="0.3">
      <c r="B118" s="311"/>
      <c r="C118" s="28">
        <v>7</v>
      </c>
      <c r="D118" s="137">
        <v>500000</v>
      </c>
      <c r="E118" s="137">
        <v>0</v>
      </c>
      <c r="F118" s="137">
        <v>0</v>
      </c>
      <c r="G118" s="123">
        <v>0</v>
      </c>
      <c r="H118" s="97">
        <v>0</v>
      </c>
      <c r="I118" s="305">
        <f t="shared" si="15"/>
        <v>181300000</v>
      </c>
      <c r="J118" s="97">
        <v>380000000</v>
      </c>
      <c r="K118" s="129">
        <f t="shared" si="9"/>
        <v>0</v>
      </c>
      <c r="L118" s="98">
        <v>1.7999999999999999E-2</v>
      </c>
      <c r="M118" s="38">
        <v>0</v>
      </c>
      <c r="N118" s="108">
        <f t="shared" si="12"/>
        <v>196252869.69217038</v>
      </c>
      <c r="O118" s="80">
        <v>0.02</v>
      </c>
      <c r="P118" s="180">
        <f t="shared" si="10"/>
        <v>196252869.69217038</v>
      </c>
      <c r="Q118" s="143">
        <f t="shared" si="11"/>
        <v>196252869.69217038</v>
      </c>
      <c r="R118" s="97">
        <f t="shared" si="13"/>
        <v>181300000</v>
      </c>
      <c r="S118" s="97">
        <f t="shared" si="14"/>
        <v>576252869.69217038</v>
      </c>
      <c r="T118" s="84"/>
    </row>
    <row r="119" spans="1:20" s="18" customFormat="1" x14ac:dyDescent="0.3">
      <c r="B119" s="311"/>
      <c r="C119" s="28">
        <v>8</v>
      </c>
      <c r="D119" s="137">
        <v>500000</v>
      </c>
      <c r="E119" s="137">
        <v>0</v>
      </c>
      <c r="F119" s="137">
        <v>0</v>
      </c>
      <c r="G119" s="123">
        <v>0</v>
      </c>
      <c r="H119" s="97">
        <v>0</v>
      </c>
      <c r="I119" s="305">
        <f t="shared" si="15"/>
        <v>180600000</v>
      </c>
      <c r="J119" s="97">
        <v>380000000</v>
      </c>
      <c r="K119" s="129">
        <f t="shared" si="9"/>
        <v>0</v>
      </c>
      <c r="L119" s="98">
        <v>1.7999999999999999E-2</v>
      </c>
      <c r="M119" s="38">
        <v>0</v>
      </c>
      <c r="N119" s="108">
        <f t="shared" si="12"/>
        <v>200687927.08601379</v>
      </c>
      <c r="O119" s="80">
        <v>0.02</v>
      </c>
      <c r="P119" s="180">
        <f t="shared" si="10"/>
        <v>200687927.08601379</v>
      </c>
      <c r="Q119" s="143">
        <f t="shared" si="11"/>
        <v>200687927.08601379</v>
      </c>
      <c r="R119" s="97">
        <f t="shared" si="13"/>
        <v>180600000</v>
      </c>
      <c r="S119" s="97">
        <f t="shared" si="14"/>
        <v>580687927.08601379</v>
      </c>
      <c r="T119" s="84"/>
    </row>
    <row r="120" spans="1:20" s="18" customFormat="1" x14ac:dyDescent="0.3">
      <c r="B120" s="311"/>
      <c r="C120" s="28">
        <v>9</v>
      </c>
      <c r="D120" s="137">
        <v>500000</v>
      </c>
      <c r="E120" s="137">
        <v>0</v>
      </c>
      <c r="F120" s="137">
        <v>0</v>
      </c>
      <c r="G120" s="123">
        <v>0</v>
      </c>
      <c r="H120" s="97">
        <v>0</v>
      </c>
      <c r="I120" s="305">
        <f t="shared" si="15"/>
        <v>179900000</v>
      </c>
      <c r="J120" s="97">
        <v>380000000</v>
      </c>
      <c r="K120" s="129">
        <f t="shared" si="9"/>
        <v>0</v>
      </c>
      <c r="L120" s="98">
        <v>1.7999999999999999E-2</v>
      </c>
      <c r="M120" s="38">
        <v>0</v>
      </c>
      <c r="N120" s="108">
        <f t="shared" si="12"/>
        <v>205211685.62773407</v>
      </c>
      <c r="O120" s="80">
        <v>0.02</v>
      </c>
      <c r="P120" s="180">
        <f t="shared" si="10"/>
        <v>205211685.62773407</v>
      </c>
      <c r="Q120" s="143">
        <f t="shared" si="11"/>
        <v>205211685.62773407</v>
      </c>
      <c r="R120" s="97">
        <f t="shared" si="13"/>
        <v>179900000</v>
      </c>
      <c r="S120" s="97">
        <f t="shared" si="14"/>
        <v>585211685.62773407</v>
      </c>
      <c r="T120" s="84"/>
    </row>
    <row r="121" spans="1:20" s="18" customFormat="1" x14ac:dyDescent="0.3">
      <c r="B121" s="311"/>
      <c r="C121" s="28">
        <v>10</v>
      </c>
      <c r="D121" s="137">
        <v>500000</v>
      </c>
      <c r="E121" s="137">
        <v>0</v>
      </c>
      <c r="F121" s="137">
        <v>0</v>
      </c>
      <c r="G121" s="123">
        <v>0</v>
      </c>
      <c r="H121" s="97">
        <v>0</v>
      </c>
      <c r="I121" s="305">
        <f t="shared" si="15"/>
        <v>179200000</v>
      </c>
      <c r="J121" s="97">
        <v>380000000</v>
      </c>
      <c r="K121" s="129">
        <f t="shared" si="9"/>
        <v>0</v>
      </c>
      <c r="L121" s="98">
        <v>1.7999999999999999E-2</v>
      </c>
      <c r="M121" s="38">
        <v>0</v>
      </c>
      <c r="N121" s="108">
        <f t="shared" si="12"/>
        <v>209825919.34028876</v>
      </c>
      <c r="O121" s="80">
        <v>0.02</v>
      </c>
      <c r="P121" s="180">
        <f t="shared" si="10"/>
        <v>209825919.34028876</v>
      </c>
      <c r="Q121" s="143">
        <f t="shared" si="11"/>
        <v>209825919.34028876</v>
      </c>
      <c r="R121" s="97">
        <f t="shared" si="13"/>
        <v>179200000</v>
      </c>
      <c r="S121" s="97">
        <f t="shared" si="14"/>
        <v>589825919.34028876</v>
      </c>
      <c r="T121" s="84"/>
    </row>
    <row r="122" spans="1:20" s="18" customFormat="1" ht="17.25" thickBot="1" x14ac:dyDescent="0.35">
      <c r="B122" s="311"/>
      <c r="C122" s="30">
        <v>11</v>
      </c>
      <c r="D122" s="137">
        <v>500000</v>
      </c>
      <c r="E122" s="137">
        <v>0</v>
      </c>
      <c r="F122" s="137">
        <v>0</v>
      </c>
      <c r="G122" s="123">
        <v>0</v>
      </c>
      <c r="H122" s="97">
        <v>0</v>
      </c>
      <c r="I122" s="305">
        <f t="shared" si="15"/>
        <v>178500000</v>
      </c>
      <c r="J122" s="97">
        <v>380000000</v>
      </c>
      <c r="K122" s="129">
        <f t="shared" si="9"/>
        <v>0</v>
      </c>
      <c r="L122" s="98">
        <v>1.7999999999999999E-2</v>
      </c>
      <c r="M122" s="38">
        <v>0</v>
      </c>
      <c r="N122" s="108">
        <f t="shared" si="12"/>
        <v>214532437.72709453</v>
      </c>
      <c r="O122" s="80">
        <v>0.02</v>
      </c>
      <c r="P122" s="180">
        <f t="shared" si="10"/>
        <v>214532437.72709453</v>
      </c>
      <c r="Q122" s="143">
        <f t="shared" si="11"/>
        <v>214532437.72709453</v>
      </c>
      <c r="R122" s="97">
        <f t="shared" si="13"/>
        <v>178500000</v>
      </c>
      <c r="S122" s="97">
        <f t="shared" si="14"/>
        <v>594532437.72709453</v>
      </c>
      <c r="T122" s="84"/>
    </row>
    <row r="123" spans="1:20" s="90" customFormat="1" ht="17.25" thickBot="1" x14ac:dyDescent="0.35">
      <c r="B123" s="311"/>
      <c r="C123" s="88">
        <v>12</v>
      </c>
      <c r="D123" s="137">
        <v>500000</v>
      </c>
      <c r="E123" s="268">
        <v>30000000</v>
      </c>
      <c r="F123" s="137">
        <v>0</v>
      </c>
      <c r="G123" s="123">
        <v>0</v>
      </c>
      <c r="H123" s="97">
        <v>0</v>
      </c>
      <c r="I123" s="305">
        <f xml:space="preserve"> I122 - 700000 - 40000000</f>
        <v>137800000</v>
      </c>
      <c r="J123" s="97">
        <v>380000000</v>
      </c>
      <c r="K123" s="130">
        <f t="shared" si="9"/>
        <v>0</v>
      </c>
      <c r="L123" s="89">
        <v>1.7999999999999999E-2</v>
      </c>
      <c r="M123" s="38">
        <v>0</v>
      </c>
      <c r="N123" s="108">
        <f t="shared" si="12"/>
        <v>188733086.48163643</v>
      </c>
      <c r="O123" s="80">
        <v>0.02</v>
      </c>
      <c r="P123" s="180">
        <f t="shared" si="10"/>
        <v>188733086.48163643</v>
      </c>
      <c r="Q123" s="143">
        <f t="shared" si="11"/>
        <v>188733086.48163643</v>
      </c>
      <c r="R123" s="97">
        <f t="shared" si="13"/>
        <v>137800000</v>
      </c>
      <c r="S123" s="97">
        <f t="shared" si="14"/>
        <v>568733086.4816364</v>
      </c>
      <c r="T123" s="100"/>
    </row>
    <row r="124" spans="1:20" s="18" customFormat="1" x14ac:dyDescent="0.3">
      <c r="A124" s="18">
        <v>11</v>
      </c>
      <c r="B124" s="311">
        <v>2032</v>
      </c>
      <c r="C124" s="27">
        <v>1</v>
      </c>
      <c r="D124" s="137">
        <v>500000</v>
      </c>
      <c r="E124" s="137">
        <v>0</v>
      </c>
      <c r="F124" s="137">
        <v>0</v>
      </c>
      <c r="G124" s="123">
        <v>0</v>
      </c>
      <c r="H124" s="97">
        <v>0</v>
      </c>
      <c r="I124" s="305">
        <f t="shared" si="15"/>
        <v>137100000</v>
      </c>
      <c r="J124" s="97">
        <v>380000000</v>
      </c>
      <c r="K124" s="129">
        <f t="shared" si="9"/>
        <v>0</v>
      </c>
      <c r="L124" s="98">
        <v>1.7999999999999999E-2</v>
      </c>
      <c r="M124" s="38">
        <v>0</v>
      </c>
      <c r="N124" s="108">
        <f t="shared" si="12"/>
        <v>193017748.21126917</v>
      </c>
      <c r="O124" s="80">
        <v>0.02</v>
      </c>
      <c r="P124" s="180">
        <f t="shared" si="10"/>
        <v>193017748.21126917</v>
      </c>
      <c r="Q124" s="143">
        <f t="shared" si="11"/>
        <v>193017748.21126917</v>
      </c>
      <c r="R124" s="97">
        <f t="shared" si="13"/>
        <v>137100000</v>
      </c>
      <c r="S124" s="97">
        <f t="shared" si="14"/>
        <v>573017748.21126914</v>
      </c>
      <c r="T124" s="84"/>
    </row>
    <row r="125" spans="1:20" s="18" customFormat="1" x14ac:dyDescent="0.3">
      <c r="B125" s="311"/>
      <c r="C125" s="28">
        <v>2</v>
      </c>
      <c r="D125" s="137">
        <v>500000</v>
      </c>
      <c r="E125" s="137">
        <v>0</v>
      </c>
      <c r="F125" s="137">
        <v>0</v>
      </c>
      <c r="G125" s="123">
        <v>0</v>
      </c>
      <c r="H125" s="97">
        <v>0</v>
      </c>
      <c r="I125" s="305">
        <f t="shared" si="15"/>
        <v>136400000</v>
      </c>
      <c r="J125" s="97">
        <v>380000000</v>
      </c>
      <c r="K125" s="129">
        <f t="shared" si="9"/>
        <v>0</v>
      </c>
      <c r="L125" s="98">
        <v>1.7999999999999999E-2</v>
      </c>
      <c r="M125" s="38">
        <v>0</v>
      </c>
      <c r="N125" s="108">
        <f t="shared" si="12"/>
        <v>197388103.17549455</v>
      </c>
      <c r="O125" s="80">
        <v>0.02</v>
      </c>
      <c r="P125" s="180">
        <f t="shared" si="10"/>
        <v>197388103.17549455</v>
      </c>
      <c r="Q125" s="143">
        <f t="shared" si="11"/>
        <v>197388103.17549455</v>
      </c>
      <c r="R125" s="97">
        <f t="shared" si="13"/>
        <v>136400000</v>
      </c>
      <c r="S125" s="97">
        <f t="shared" si="14"/>
        <v>577388103.17549455</v>
      </c>
      <c r="T125" s="84"/>
    </row>
    <row r="126" spans="1:20" s="18" customFormat="1" x14ac:dyDescent="0.3">
      <c r="B126" s="311"/>
      <c r="C126" s="28">
        <v>3</v>
      </c>
      <c r="D126" s="137">
        <v>500000</v>
      </c>
      <c r="E126" s="137">
        <v>0</v>
      </c>
      <c r="F126" s="137">
        <v>0</v>
      </c>
      <c r="G126" s="123">
        <v>0</v>
      </c>
      <c r="H126" s="97">
        <v>0</v>
      </c>
      <c r="I126" s="305">
        <f t="shared" si="15"/>
        <v>135700000</v>
      </c>
      <c r="J126" s="97">
        <v>380000000</v>
      </c>
      <c r="K126" s="129">
        <f t="shared" si="9"/>
        <v>0</v>
      </c>
      <c r="L126" s="98">
        <v>1.7999999999999999E-2</v>
      </c>
      <c r="M126" s="38">
        <v>0</v>
      </c>
      <c r="N126" s="108">
        <f t="shared" si="12"/>
        <v>201845865.23900443</v>
      </c>
      <c r="O126" s="80">
        <v>0.02</v>
      </c>
      <c r="P126" s="180">
        <f t="shared" si="10"/>
        <v>201845865.23900443</v>
      </c>
      <c r="Q126" s="143">
        <f t="shared" si="11"/>
        <v>201845865.23900443</v>
      </c>
      <c r="R126" s="97">
        <f t="shared" si="13"/>
        <v>135700000</v>
      </c>
      <c r="S126" s="97">
        <f t="shared" si="14"/>
        <v>581845865.23900437</v>
      </c>
      <c r="T126" s="84"/>
    </row>
    <row r="127" spans="1:20" s="18" customFormat="1" x14ac:dyDescent="0.3">
      <c r="B127" s="311"/>
      <c r="C127" s="28">
        <v>4</v>
      </c>
      <c r="D127" s="137">
        <v>500000</v>
      </c>
      <c r="E127" s="137">
        <v>0</v>
      </c>
      <c r="F127" s="137">
        <v>0</v>
      </c>
      <c r="G127" s="123">
        <v>0</v>
      </c>
      <c r="H127" s="97">
        <v>0</v>
      </c>
      <c r="I127" s="305">
        <f t="shared" si="15"/>
        <v>135000000</v>
      </c>
      <c r="J127" s="97">
        <v>380000000</v>
      </c>
      <c r="K127" s="129">
        <f t="shared" si="9"/>
        <v>0</v>
      </c>
      <c r="L127" s="98">
        <v>1.7999999999999999E-2</v>
      </c>
      <c r="M127" s="38">
        <v>0</v>
      </c>
      <c r="N127" s="108">
        <f t="shared" si="12"/>
        <v>206392782.54378453</v>
      </c>
      <c r="O127" s="80">
        <v>0.02</v>
      </c>
      <c r="P127" s="180">
        <f t="shared" si="10"/>
        <v>206392782.54378453</v>
      </c>
      <c r="Q127" s="143">
        <f t="shared" si="11"/>
        <v>206392782.54378453</v>
      </c>
      <c r="R127" s="97">
        <f t="shared" si="13"/>
        <v>135000000</v>
      </c>
      <c r="S127" s="97">
        <f t="shared" si="14"/>
        <v>586392782.5437845</v>
      </c>
      <c r="T127" s="84"/>
    </row>
    <row r="128" spans="1:20" s="18" customFormat="1" x14ac:dyDescent="0.3">
      <c r="B128" s="311"/>
      <c r="C128" s="28">
        <v>5</v>
      </c>
      <c r="D128" s="137">
        <v>500000</v>
      </c>
      <c r="E128" s="137">
        <v>0</v>
      </c>
      <c r="F128" s="137">
        <v>0</v>
      </c>
      <c r="G128" s="123">
        <v>0</v>
      </c>
      <c r="H128" s="97">
        <v>0</v>
      </c>
      <c r="I128" s="305">
        <f t="shared" si="15"/>
        <v>134300000</v>
      </c>
      <c r="J128" s="97">
        <v>380000000</v>
      </c>
      <c r="K128" s="129">
        <f t="shared" si="9"/>
        <v>0</v>
      </c>
      <c r="L128" s="98">
        <v>1.7999999999999999E-2</v>
      </c>
      <c r="M128" s="38">
        <v>0</v>
      </c>
      <c r="N128" s="108">
        <f t="shared" si="12"/>
        <v>211030638.19466022</v>
      </c>
      <c r="O128" s="80">
        <v>0.02</v>
      </c>
      <c r="P128" s="180">
        <f t="shared" si="10"/>
        <v>211030638.19466022</v>
      </c>
      <c r="Q128" s="143">
        <f t="shared" si="11"/>
        <v>211030638.19466022</v>
      </c>
      <c r="R128" s="97">
        <f t="shared" si="13"/>
        <v>134300000</v>
      </c>
      <c r="S128" s="97">
        <f t="shared" si="14"/>
        <v>591030638.19466019</v>
      </c>
      <c r="T128" s="84"/>
    </row>
    <row r="129" spans="1:20" s="18" customFormat="1" x14ac:dyDescent="0.3">
      <c r="B129" s="311"/>
      <c r="C129" s="28">
        <v>6</v>
      </c>
      <c r="D129" s="137">
        <v>500000</v>
      </c>
      <c r="E129" s="137">
        <v>0</v>
      </c>
      <c r="F129" s="137">
        <v>0</v>
      </c>
      <c r="G129" s="123">
        <v>0</v>
      </c>
      <c r="H129" s="97">
        <v>0</v>
      </c>
      <c r="I129" s="305">
        <f t="shared" si="15"/>
        <v>133600000</v>
      </c>
      <c r="J129" s="97">
        <v>380000000</v>
      </c>
      <c r="K129" s="129">
        <f t="shared" si="9"/>
        <v>0</v>
      </c>
      <c r="L129" s="98">
        <v>1.7999999999999999E-2</v>
      </c>
      <c r="M129" s="38">
        <v>0</v>
      </c>
      <c r="N129" s="108">
        <f t="shared" si="12"/>
        <v>215761250.95855343</v>
      </c>
      <c r="O129" s="80">
        <v>0.02</v>
      </c>
      <c r="P129" s="180">
        <f t="shared" si="10"/>
        <v>215761250.95855343</v>
      </c>
      <c r="Q129" s="143">
        <f t="shared" si="11"/>
        <v>215761250.95855343</v>
      </c>
      <c r="R129" s="97">
        <f t="shared" si="13"/>
        <v>133600000</v>
      </c>
      <c r="S129" s="97">
        <f t="shared" si="14"/>
        <v>595761250.95855343</v>
      </c>
      <c r="T129" s="84"/>
    </row>
    <row r="130" spans="1:20" s="18" customFormat="1" x14ac:dyDescent="0.3">
      <c r="B130" s="311"/>
      <c r="C130" s="28">
        <v>7</v>
      </c>
      <c r="D130" s="137">
        <v>500000</v>
      </c>
      <c r="E130" s="137">
        <v>0</v>
      </c>
      <c r="F130" s="137">
        <v>0</v>
      </c>
      <c r="G130" s="123">
        <v>0</v>
      </c>
      <c r="H130" s="97">
        <v>0</v>
      </c>
      <c r="I130" s="305">
        <f t="shared" si="15"/>
        <v>132900000</v>
      </c>
      <c r="J130" s="97">
        <v>380000000</v>
      </c>
      <c r="K130" s="129">
        <f t="shared" si="9"/>
        <v>0</v>
      </c>
      <c r="L130" s="98">
        <v>1.7999999999999999E-2</v>
      </c>
      <c r="M130" s="38">
        <v>0</v>
      </c>
      <c r="N130" s="108">
        <f t="shared" si="12"/>
        <v>220586475.97772449</v>
      </c>
      <c r="O130" s="80">
        <v>0.02</v>
      </c>
      <c r="P130" s="180">
        <f t="shared" si="10"/>
        <v>220586475.97772449</v>
      </c>
      <c r="Q130" s="143">
        <f t="shared" si="11"/>
        <v>220586475.97772449</v>
      </c>
      <c r="R130" s="97">
        <f t="shared" si="13"/>
        <v>132900000</v>
      </c>
      <c r="S130" s="97">
        <f t="shared" si="14"/>
        <v>600586475.97772455</v>
      </c>
      <c r="T130" s="84"/>
    </row>
    <row r="131" spans="1:20" s="18" customFormat="1" x14ac:dyDescent="0.3">
      <c r="B131" s="311"/>
      <c r="C131" s="28">
        <v>8</v>
      </c>
      <c r="D131" s="137">
        <v>500000</v>
      </c>
      <c r="E131" s="137">
        <v>0</v>
      </c>
      <c r="F131" s="137">
        <v>0</v>
      </c>
      <c r="G131" s="123">
        <v>0</v>
      </c>
      <c r="H131" s="97">
        <v>0</v>
      </c>
      <c r="I131" s="305">
        <f t="shared" si="15"/>
        <v>132200000</v>
      </c>
      <c r="J131" s="97">
        <v>380000000</v>
      </c>
      <c r="K131" s="129">
        <f t="shared" si="9"/>
        <v>0</v>
      </c>
      <c r="L131" s="98">
        <v>1.7999999999999999E-2</v>
      </c>
      <c r="M131" s="38">
        <v>0</v>
      </c>
      <c r="N131" s="108">
        <f t="shared" si="12"/>
        <v>225508205.49727899</v>
      </c>
      <c r="O131" s="80">
        <v>0.02</v>
      </c>
      <c r="P131" s="180">
        <f t="shared" si="10"/>
        <v>225508205.49727899</v>
      </c>
      <c r="Q131" s="143">
        <f t="shared" si="11"/>
        <v>225508205.49727899</v>
      </c>
      <c r="R131" s="97">
        <f t="shared" si="13"/>
        <v>132200000</v>
      </c>
      <c r="S131" s="97">
        <f t="shared" si="14"/>
        <v>605508205.49727893</v>
      </c>
      <c r="T131" s="84"/>
    </row>
    <row r="132" spans="1:20" s="18" customFormat="1" x14ac:dyDescent="0.3">
      <c r="B132" s="311"/>
      <c r="C132" s="28">
        <v>9</v>
      </c>
      <c r="D132" s="137">
        <v>500000</v>
      </c>
      <c r="E132" s="137">
        <v>0</v>
      </c>
      <c r="F132" s="137">
        <v>0</v>
      </c>
      <c r="G132" s="123">
        <v>0</v>
      </c>
      <c r="H132" s="97">
        <v>0</v>
      </c>
      <c r="I132" s="305">
        <f t="shared" si="15"/>
        <v>131500000</v>
      </c>
      <c r="J132" s="97">
        <v>380000000</v>
      </c>
      <c r="K132" s="129">
        <f t="shared" si="9"/>
        <v>0</v>
      </c>
      <c r="L132" s="98">
        <v>1.7999999999999999E-2</v>
      </c>
      <c r="M132" s="38">
        <v>0</v>
      </c>
      <c r="N132" s="108">
        <f t="shared" si="12"/>
        <v>230528369.60722455</v>
      </c>
      <c r="O132" s="80">
        <v>0.02</v>
      </c>
      <c r="P132" s="180">
        <f t="shared" si="10"/>
        <v>230528369.60722455</v>
      </c>
      <c r="Q132" s="143">
        <f t="shared" si="11"/>
        <v>230528369.60722455</v>
      </c>
      <c r="R132" s="97">
        <f t="shared" si="13"/>
        <v>131500000</v>
      </c>
      <c r="S132" s="97">
        <f t="shared" si="14"/>
        <v>610528369.60722458</v>
      </c>
      <c r="T132" s="84"/>
    </row>
    <row r="133" spans="1:20" s="18" customFormat="1" x14ac:dyDescent="0.3">
      <c r="B133" s="311"/>
      <c r="C133" s="28">
        <v>10</v>
      </c>
      <c r="D133" s="137">
        <v>500000</v>
      </c>
      <c r="E133" s="137">
        <v>0</v>
      </c>
      <c r="F133" s="137">
        <v>0</v>
      </c>
      <c r="G133" s="123">
        <v>0</v>
      </c>
      <c r="H133" s="97">
        <v>0</v>
      </c>
      <c r="I133" s="305">
        <f t="shared" si="15"/>
        <v>130800000</v>
      </c>
      <c r="J133" s="97">
        <v>380000000</v>
      </c>
      <c r="K133" s="129">
        <f t="shared" si="9"/>
        <v>0</v>
      </c>
      <c r="L133" s="98">
        <v>1.7999999999999999E-2</v>
      </c>
      <c r="M133" s="38">
        <v>0</v>
      </c>
      <c r="N133" s="108">
        <f t="shared" si="12"/>
        <v>235648936.99936906</v>
      </c>
      <c r="O133" s="80">
        <v>0.02</v>
      </c>
      <c r="P133" s="180">
        <f t="shared" si="10"/>
        <v>235648936.99936906</v>
      </c>
      <c r="Q133" s="143">
        <f t="shared" si="11"/>
        <v>235648936.99936906</v>
      </c>
      <c r="R133" s="97">
        <f t="shared" si="13"/>
        <v>130800000</v>
      </c>
      <c r="S133" s="97">
        <f t="shared" si="14"/>
        <v>615648936.99936903</v>
      </c>
      <c r="T133" s="84"/>
    </row>
    <row r="134" spans="1:20" s="18" customFormat="1" ht="18" customHeight="1" thickBot="1" x14ac:dyDescent="0.35">
      <c r="B134" s="311"/>
      <c r="C134" s="30">
        <v>11</v>
      </c>
      <c r="D134" s="137">
        <v>500000</v>
      </c>
      <c r="E134" s="137">
        <v>0</v>
      </c>
      <c r="F134" s="137">
        <v>0</v>
      </c>
      <c r="G134" s="123">
        <v>0</v>
      </c>
      <c r="H134" s="97">
        <v>0</v>
      </c>
      <c r="I134" s="305">
        <f t="shared" si="15"/>
        <v>130100000</v>
      </c>
      <c r="J134" s="97">
        <v>380000000</v>
      </c>
      <c r="K134" s="129">
        <f t="shared" si="9"/>
        <v>0</v>
      </c>
      <c r="L134" s="98">
        <v>1.7999999999999999E-2</v>
      </c>
      <c r="M134" s="38">
        <v>0</v>
      </c>
      <c r="N134" s="108">
        <f t="shared" si="12"/>
        <v>240871915.73935643</v>
      </c>
      <c r="O134" s="80">
        <v>0.02</v>
      </c>
      <c r="P134" s="180">
        <f t="shared" si="10"/>
        <v>240871915.73935643</v>
      </c>
      <c r="Q134" s="143">
        <f t="shared" si="11"/>
        <v>240871915.73935643</v>
      </c>
      <c r="R134" s="97">
        <f t="shared" si="13"/>
        <v>130100000</v>
      </c>
      <c r="S134" s="97">
        <f t="shared" si="14"/>
        <v>620871915.7393564</v>
      </c>
      <c r="T134" s="84"/>
    </row>
    <row r="135" spans="1:20" s="39" customFormat="1" ht="17.25" thickBot="1" x14ac:dyDescent="0.35">
      <c r="B135" s="311"/>
      <c r="C135" s="20">
        <v>12</v>
      </c>
      <c r="D135" s="137">
        <v>500000</v>
      </c>
      <c r="E135" s="268">
        <v>30000000</v>
      </c>
      <c r="F135" s="137">
        <v>0</v>
      </c>
      <c r="G135" s="123">
        <v>0</v>
      </c>
      <c r="H135" s="97">
        <v>0</v>
      </c>
      <c r="I135" s="305">
        <f xml:space="preserve"> I134 - 700000 - 40000000</f>
        <v>89400000</v>
      </c>
      <c r="J135" s="97">
        <v>380000000</v>
      </c>
      <c r="K135" s="174">
        <f t="shared" si="9"/>
        <v>0</v>
      </c>
      <c r="L135" s="175">
        <v>1.7999999999999999E-2</v>
      </c>
      <c r="M135" s="176">
        <v>0</v>
      </c>
      <c r="N135" s="108">
        <f t="shared" si="12"/>
        <v>215599354.05414355</v>
      </c>
      <c r="O135" s="80">
        <v>0.02</v>
      </c>
      <c r="P135" s="180">
        <f t="shared" si="10"/>
        <v>215599354.05414355</v>
      </c>
      <c r="Q135" s="177">
        <f t="shared" si="11"/>
        <v>215599354.05414355</v>
      </c>
      <c r="R135" s="96">
        <f t="shared" si="13"/>
        <v>89400000</v>
      </c>
      <c r="S135" s="96">
        <f t="shared" si="14"/>
        <v>595599354.05414355</v>
      </c>
      <c r="T135" s="178"/>
    </row>
    <row r="136" spans="1:20" s="36" customFormat="1" x14ac:dyDescent="0.3">
      <c r="A136" s="31">
        <v>12</v>
      </c>
      <c r="B136" s="311">
        <v>2033</v>
      </c>
      <c r="C136" s="35">
        <v>1</v>
      </c>
      <c r="D136" s="137">
        <v>500000</v>
      </c>
      <c r="E136" s="137">
        <v>0</v>
      </c>
      <c r="F136" s="137">
        <v>0</v>
      </c>
      <c r="G136" s="123">
        <v>0</v>
      </c>
      <c r="H136" s="97">
        <v>0</v>
      </c>
      <c r="I136" s="305">
        <f t="shared" si="15"/>
        <v>88700000</v>
      </c>
      <c r="J136" s="97">
        <v>380000000</v>
      </c>
      <c r="K136" s="129">
        <f t="shared" si="9"/>
        <v>0</v>
      </c>
      <c r="L136" s="98">
        <v>1.7999999999999999E-2</v>
      </c>
      <c r="M136" s="38">
        <v>0</v>
      </c>
      <c r="N136" s="108">
        <f t="shared" si="12"/>
        <v>220421341.13522643</v>
      </c>
      <c r="O136" s="80">
        <v>0.02</v>
      </c>
      <c r="P136" s="180">
        <f t="shared" si="10"/>
        <v>220421341.13522643</v>
      </c>
      <c r="Q136" s="143">
        <f t="shared" si="11"/>
        <v>220421341.13522643</v>
      </c>
      <c r="R136" s="97">
        <f t="shared" si="13"/>
        <v>88700000</v>
      </c>
      <c r="S136" s="97">
        <f t="shared" si="14"/>
        <v>600421341.13522649</v>
      </c>
    </row>
    <row r="137" spans="1:20" x14ac:dyDescent="0.3">
      <c r="A137" s="18"/>
      <c r="B137" s="311"/>
      <c r="C137" s="28">
        <v>2</v>
      </c>
      <c r="D137" s="137">
        <v>500000</v>
      </c>
      <c r="E137" s="137">
        <v>0</v>
      </c>
      <c r="F137" s="137">
        <v>0</v>
      </c>
      <c r="G137" s="123">
        <v>0</v>
      </c>
      <c r="H137" s="97">
        <v>0</v>
      </c>
      <c r="I137" s="305">
        <f t="shared" si="15"/>
        <v>88000000</v>
      </c>
      <c r="J137" s="97">
        <v>380000000</v>
      </c>
      <c r="K137" s="129">
        <f t="shared" si="9"/>
        <v>0</v>
      </c>
      <c r="L137" s="98">
        <v>1.7999999999999999E-2</v>
      </c>
      <c r="M137" s="38">
        <v>0</v>
      </c>
      <c r="N137" s="108">
        <f t="shared" si="12"/>
        <v>225339767.95793095</v>
      </c>
      <c r="O137" s="80">
        <v>0.02</v>
      </c>
      <c r="P137" s="180">
        <f t="shared" si="10"/>
        <v>225339767.95793095</v>
      </c>
      <c r="Q137" s="143">
        <f t="shared" si="11"/>
        <v>225339767.95793095</v>
      </c>
      <c r="R137" s="97">
        <f t="shared" si="13"/>
        <v>88000000</v>
      </c>
      <c r="S137" s="97">
        <f t="shared" si="14"/>
        <v>605339767.95793092</v>
      </c>
    </row>
    <row r="138" spans="1:20" x14ac:dyDescent="0.3">
      <c r="A138" s="18"/>
      <c r="B138" s="311"/>
      <c r="C138" s="28">
        <v>3</v>
      </c>
      <c r="D138" s="137">
        <v>500000</v>
      </c>
      <c r="E138" s="137">
        <v>0</v>
      </c>
      <c r="F138" s="137">
        <v>0</v>
      </c>
      <c r="G138" s="123">
        <v>0</v>
      </c>
      <c r="H138" s="97">
        <v>0</v>
      </c>
      <c r="I138" s="305">
        <f t="shared" si="15"/>
        <v>87300000</v>
      </c>
      <c r="J138" s="97">
        <v>380000000</v>
      </c>
      <c r="K138" s="129">
        <f t="shared" si="9"/>
        <v>0</v>
      </c>
      <c r="L138" s="98">
        <v>1.7999999999999999E-2</v>
      </c>
      <c r="M138" s="38">
        <v>0</v>
      </c>
      <c r="N138" s="108">
        <f t="shared" si="12"/>
        <v>230356563.31708956</v>
      </c>
      <c r="O138" s="80">
        <v>0.02</v>
      </c>
      <c r="P138" s="180">
        <f t="shared" si="10"/>
        <v>230356563.31708956</v>
      </c>
      <c r="Q138" s="143">
        <f t="shared" si="11"/>
        <v>230356563.31708956</v>
      </c>
      <c r="R138" s="97">
        <f t="shared" si="13"/>
        <v>87300000</v>
      </c>
      <c r="S138" s="97">
        <f t="shared" si="14"/>
        <v>610356563.31708956</v>
      </c>
    </row>
    <row r="139" spans="1:20" x14ac:dyDescent="0.3">
      <c r="A139" s="18"/>
      <c r="B139" s="311"/>
      <c r="C139" s="28">
        <v>4</v>
      </c>
      <c r="D139" s="137">
        <v>500000</v>
      </c>
      <c r="E139" s="137">
        <v>0</v>
      </c>
      <c r="F139" s="137">
        <v>0</v>
      </c>
      <c r="G139" s="123">
        <v>0</v>
      </c>
      <c r="H139" s="97">
        <v>0</v>
      </c>
      <c r="I139" s="305">
        <f t="shared" si="15"/>
        <v>86600000</v>
      </c>
      <c r="J139" s="97">
        <v>380000000</v>
      </c>
      <c r="K139" s="129">
        <f t="shared" si="9"/>
        <v>0</v>
      </c>
      <c r="L139" s="98">
        <v>1.7999999999999999E-2</v>
      </c>
      <c r="M139" s="38">
        <v>0</v>
      </c>
      <c r="N139" s="108">
        <f t="shared" si="12"/>
        <v>235473694.58343136</v>
      </c>
      <c r="O139" s="80">
        <v>0.02</v>
      </c>
      <c r="P139" s="180">
        <f t="shared" si="10"/>
        <v>235473694.58343136</v>
      </c>
      <c r="Q139" s="143">
        <f t="shared" si="11"/>
        <v>235473694.58343136</v>
      </c>
      <c r="R139" s="97">
        <f t="shared" si="13"/>
        <v>86600000</v>
      </c>
      <c r="S139" s="97">
        <f t="shared" si="14"/>
        <v>615473694.58343136</v>
      </c>
    </row>
    <row r="140" spans="1:20" x14ac:dyDescent="0.3">
      <c r="A140" s="18"/>
      <c r="B140" s="311"/>
      <c r="C140" s="28">
        <v>5</v>
      </c>
      <c r="D140" s="137">
        <v>500000</v>
      </c>
      <c r="E140" s="137">
        <v>0</v>
      </c>
      <c r="F140" s="137">
        <v>0</v>
      </c>
      <c r="G140" s="123">
        <v>0</v>
      </c>
      <c r="H140" s="97">
        <v>0</v>
      </c>
      <c r="I140" s="305">
        <f t="shared" si="15"/>
        <v>85900000</v>
      </c>
      <c r="J140" s="97">
        <v>380000000</v>
      </c>
      <c r="K140" s="129">
        <f t="shared" si="9"/>
        <v>0</v>
      </c>
      <c r="L140" s="98">
        <v>1.7999999999999999E-2</v>
      </c>
      <c r="M140" s="38">
        <v>0</v>
      </c>
      <c r="N140" s="108">
        <f t="shared" si="12"/>
        <v>240693168.47509998</v>
      </c>
      <c r="O140" s="80">
        <v>0.02</v>
      </c>
      <c r="P140" s="180">
        <f t="shared" si="10"/>
        <v>240693168.47509998</v>
      </c>
      <c r="Q140" s="143">
        <f t="shared" si="11"/>
        <v>240693168.47509998</v>
      </c>
      <c r="R140" s="97">
        <f t="shared" si="13"/>
        <v>85900000</v>
      </c>
      <c r="S140" s="97">
        <f t="shared" si="14"/>
        <v>620693168.47510004</v>
      </c>
    </row>
    <row r="141" spans="1:20" x14ac:dyDescent="0.3">
      <c r="A141" s="18"/>
      <c r="B141" s="311"/>
      <c r="C141" s="28">
        <v>6</v>
      </c>
      <c r="D141" s="137">
        <v>500000</v>
      </c>
      <c r="E141" s="137">
        <v>0</v>
      </c>
      <c r="F141" s="137">
        <v>0</v>
      </c>
      <c r="G141" s="123">
        <v>0</v>
      </c>
      <c r="H141" s="97">
        <v>0</v>
      </c>
      <c r="I141" s="305">
        <f t="shared" si="15"/>
        <v>85200000</v>
      </c>
      <c r="J141" s="97">
        <v>380000000</v>
      </c>
      <c r="K141" s="129">
        <f t="shared" si="9"/>
        <v>0</v>
      </c>
      <c r="L141" s="98">
        <v>1.7999999999999999E-2</v>
      </c>
      <c r="M141" s="38">
        <v>0</v>
      </c>
      <c r="N141" s="108">
        <f t="shared" si="12"/>
        <v>246017031.84460199</v>
      </c>
      <c r="O141" s="80">
        <v>0.02</v>
      </c>
      <c r="P141" s="180">
        <f t="shared" si="10"/>
        <v>246017031.84460199</v>
      </c>
      <c r="Q141" s="143">
        <f t="shared" si="11"/>
        <v>246017031.84460199</v>
      </c>
      <c r="R141" s="97">
        <f t="shared" si="13"/>
        <v>85200000</v>
      </c>
      <c r="S141" s="97">
        <f t="shared" si="14"/>
        <v>626017031.84460199</v>
      </c>
    </row>
    <row r="142" spans="1:20" x14ac:dyDescent="0.3">
      <c r="A142" s="18"/>
      <c r="B142" s="311"/>
      <c r="C142" s="28">
        <v>7</v>
      </c>
      <c r="D142" s="137">
        <v>500000</v>
      </c>
      <c r="E142" s="137">
        <v>0</v>
      </c>
      <c r="F142" s="137">
        <v>0</v>
      </c>
      <c r="G142" s="123">
        <v>0</v>
      </c>
      <c r="H142" s="97">
        <v>0</v>
      </c>
      <c r="I142" s="305">
        <f t="shared" si="15"/>
        <v>84500000</v>
      </c>
      <c r="J142" s="97">
        <v>380000000</v>
      </c>
      <c r="K142" s="129">
        <f t="shared" si="9"/>
        <v>0</v>
      </c>
      <c r="L142" s="98">
        <v>1.7999999999999999E-2</v>
      </c>
      <c r="M142" s="38">
        <v>0</v>
      </c>
      <c r="N142" s="108">
        <f t="shared" si="12"/>
        <v>251447372.48149404</v>
      </c>
      <c r="O142" s="80">
        <v>0.02</v>
      </c>
      <c r="P142" s="180">
        <f t="shared" si="10"/>
        <v>251447372.48149404</v>
      </c>
      <c r="Q142" s="143">
        <f t="shared" si="11"/>
        <v>251447372.48149404</v>
      </c>
      <c r="R142" s="97">
        <f t="shared" si="13"/>
        <v>84500000</v>
      </c>
      <c r="S142" s="97">
        <f t="shared" si="14"/>
        <v>631447372.48149407</v>
      </c>
    </row>
    <row r="143" spans="1:20" x14ac:dyDescent="0.3">
      <c r="A143" s="18"/>
      <c r="B143" s="311"/>
      <c r="C143" s="28">
        <v>8</v>
      </c>
      <c r="D143" s="137">
        <v>500000</v>
      </c>
      <c r="E143" s="137">
        <v>0</v>
      </c>
      <c r="F143" s="137">
        <v>0</v>
      </c>
      <c r="G143" s="123">
        <v>0</v>
      </c>
      <c r="H143" s="97">
        <v>0</v>
      </c>
      <c r="I143" s="305">
        <f t="shared" si="15"/>
        <v>83800000</v>
      </c>
      <c r="J143" s="97">
        <v>380000000</v>
      </c>
      <c r="K143" s="129">
        <f t="shared" si="9"/>
        <v>0</v>
      </c>
      <c r="L143" s="98">
        <v>1.7999999999999999E-2</v>
      </c>
      <c r="M143" s="38">
        <v>0</v>
      </c>
      <c r="N143" s="108">
        <f t="shared" si="12"/>
        <v>256986319.93112391</v>
      </c>
      <c r="O143" s="80">
        <v>0.02</v>
      </c>
      <c r="P143" s="180">
        <f t="shared" si="10"/>
        <v>256986319.93112391</v>
      </c>
      <c r="Q143" s="143">
        <f t="shared" si="11"/>
        <v>256986319.93112391</v>
      </c>
      <c r="R143" s="97">
        <f t="shared" si="13"/>
        <v>83800000</v>
      </c>
      <c r="S143" s="97">
        <f t="shared" si="14"/>
        <v>636986319.93112397</v>
      </c>
    </row>
    <row r="144" spans="1:20" x14ac:dyDescent="0.3">
      <c r="A144" s="18"/>
      <c r="B144" s="311"/>
      <c r="C144" s="28">
        <v>9</v>
      </c>
      <c r="D144" s="137">
        <v>500000</v>
      </c>
      <c r="E144" s="137">
        <v>0</v>
      </c>
      <c r="F144" s="137">
        <v>0</v>
      </c>
      <c r="G144" s="123">
        <v>0</v>
      </c>
      <c r="H144" s="97">
        <v>0</v>
      </c>
      <c r="I144" s="305">
        <f t="shared" si="15"/>
        <v>83100000</v>
      </c>
      <c r="J144" s="97">
        <v>380000000</v>
      </c>
      <c r="K144" s="129">
        <f t="shared" si="9"/>
        <v>0</v>
      </c>
      <c r="L144" s="98">
        <v>1.7999999999999999E-2</v>
      </c>
      <c r="M144" s="38">
        <v>0</v>
      </c>
      <c r="N144" s="108">
        <f t="shared" si="12"/>
        <v>262636046.3297464</v>
      </c>
      <c r="O144" s="80">
        <v>0.02</v>
      </c>
      <c r="P144" s="180">
        <f t="shared" si="10"/>
        <v>262636046.3297464</v>
      </c>
      <c r="Q144" s="143">
        <f t="shared" si="11"/>
        <v>262636046.3297464</v>
      </c>
      <c r="R144" s="97">
        <f t="shared" si="13"/>
        <v>83100000</v>
      </c>
      <c r="S144" s="97">
        <f t="shared" si="14"/>
        <v>642636046.32974637</v>
      </c>
    </row>
    <row r="145" spans="1:19" x14ac:dyDescent="0.3">
      <c r="A145" s="18"/>
      <c r="B145" s="311"/>
      <c r="C145" s="28">
        <v>10</v>
      </c>
      <c r="D145" s="137">
        <v>500000</v>
      </c>
      <c r="E145" s="137">
        <v>0</v>
      </c>
      <c r="F145" s="137">
        <v>0</v>
      </c>
      <c r="G145" s="123">
        <v>0</v>
      </c>
      <c r="H145" s="97">
        <v>0</v>
      </c>
      <c r="I145" s="305">
        <f t="shared" si="15"/>
        <v>82400000</v>
      </c>
      <c r="J145" s="97">
        <v>380000000</v>
      </c>
      <c r="K145" s="129">
        <f t="shared" si="9"/>
        <v>0</v>
      </c>
      <c r="L145" s="98">
        <v>1.7999999999999999E-2</v>
      </c>
      <c r="M145" s="38">
        <v>0</v>
      </c>
      <c r="N145" s="108">
        <f t="shared" si="12"/>
        <v>268398767.25634134</v>
      </c>
      <c r="O145" s="80">
        <v>0.02</v>
      </c>
      <c r="P145" s="180">
        <f t="shared" si="10"/>
        <v>268398767.25634134</v>
      </c>
      <c r="Q145" s="143">
        <f t="shared" si="11"/>
        <v>268398767.25634134</v>
      </c>
      <c r="R145" s="97">
        <f t="shared" si="13"/>
        <v>82400000</v>
      </c>
      <c r="S145" s="97">
        <f t="shared" si="14"/>
        <v>648398767.25634134</v>
      </c>
    </row>
    <row r="146" spans="1:19" ht="17.25" thickBot="1" x14ac:dyDescent="0.35">
      <c r="A146" s="18"/>
      <c r="B146" s="311"/>
      <c r="C146" s="30">
        <v>11</v>
      </c>
      <c r="D146" s="137">
        <v>500000</v>
      </c>
      <c r="E146" s="137">
        <v>0</v>
      </c>
      <c r="F146" s="137">
        <v>0</v>
      </c>
      <c r="G146" s="123">
        <v>0</v>
      </c>
      <c r="H146" s="97">
        <v>0</v>
      </c>
      <c r="I146" s="305">
        <f t="shared" si="15"/>
        <v>81700000</v>
      </c>
      <c r="J146" s="97">
        <v>380000000</v>
      </c>
      <c r="K146" s="129">
        <f t="shared" si="9"/>
        <v>0</v>
      </c>
      <c r="L146" s="98">
        <v>1.7999999999999999E-2</v>
      </c>
      <c r="M146" s="38">
        <v>0</v>
      </c>
      <c r="N146" s="108">
        <f t="shared" si="12"/>
        <v>274276742.60146815</v>
      </c>
      <c r="O146" s="80">
        <v>0.02</v>
      </c>
      <c r="P146" s="180">
        <f t="shared" si="10"/>
        <v>274276742.60146815</v>
      </c>
      <c r="Q146" s="143">
        <f t="shared" si="11"/>
        <v>274276742.60146815</v>
      </c>
      <c r="R146" s="97">
        <f t="shared" si="13"/>
        <v>81700000</v>
      </c>
      <c r="S146" s="97">
        <f t="shared" si="14"/>
        <v>654276742.60146809</v>
      </c>
    </row>
    <row r="147" spans="1:19" s="101" customFormat="1" ht="17.25" thickBot="1" x14ac:dyDescent="0.35">
      <c r="A147" s="90"/>
      <c r="B147" s="311"/>
      <c r="C147" s="88">
        <v>12</v>
      </c>
      <c r="D147" s="137">
        <v>500000</v>
      </c>
      <c r="E147" s="268">
        <v>30000000</v>
      </c>
      <c r="F147" s="137">
        <v>0</v>
      </c>
      <c r="G147" s="123">
        <v>0</v>
      </c>
      <c r="H147" s="97">
        <v>0</v>
      </c>
      <c r="I147" s="305">
        <f xml:space="preserve"> I146 - 700000 - 40000000</f>
        <v>41000000</v>
      </c>
      <c r="J147" s="97">
        <v>380000000</v>
      </c>
      <c r="K147" s="130">
        <f t="shared" si="9"/>
        <v>0</v>
      </c>
      <c r="L147" s="89">
        <v>1.7999999999999999E-2</v>
      </c>
      <c r="M147" s="38">
        <v>0</v>
      </c>
      <c r="N147" s="108">
        <f t="shared" si="12"/>
        <v>249672277.4534975</v>
      </c>
      <c r="O147" s="80">
        <v>0.02</v>
      </c>
      <c r="P147" s="180">
        <f t="shared" si="10"/>
        <v>249672277.4534975</v>
      </c>
      <c r="Q147" s="143">
        <f t="shared" si="11"/>
        <v>249672277.4534975</v>
      </c>
      <c r="R147" s="97">
        <f t="shared" si="13"/>
        <v>41000000</v>
      </c>
      <c r="S147" s="97">
        <f t="shared" si="14"/>
        <v>629672277.45349753</v>
      </c>
    </row>
    <row r="148" spans="1:19" x14ac:dyDescent="0.3">
      <c r="A148" s="31">
        <v>13</v>
      </c>
      <c r="B148" s="311">
        <v>2034</v>
      </c>
      <c r="C148" s="35">
        <v>1</v>
      </c>
      <c r="D148" s="137">
        <v>500000</v>
      </c>
      <c r="E148" s="137">
        <v>0</v>
      </c>
      <c r="F148" s="137">
        <v>0</v>
      </c>
      <c r="G148" s="123">
        <v>0</v>
      </c>
      <c r="H148" s="97">
        <v>0</v>
      </c>
      <c r="I148" s="305">
        <f t="shared" si="15"/>
        <v>40300000</v>
      </c>
      <c r="J148" s="97">
        <v>380000000</v>
      </c>
      <c r="K148" s="129">
        <f t="shared" ref="K148:K159" si="16" xml:space="preserve"> (K147 + G148 + F148) + ((K147 + G148 + F148) * L148 )</f>
        <v>0</v>
      </c>
      <c r="L148" s="98">
        <v>1.7999999999999999E-2</v>
      </c>
      <c r="M148" s="38">
        <v>0</v>
      </c>
      <c r="N148" s="108">
        <f t="shared" ref="N148:N159" si="17" xml:space="preserve"> (N147 + D148 - E148 - M148) + ((N147 + D148 - E148 - M148) * O148)</f>
        <v>255175723.00256744</v>
      </c>
      <c r="O148" s="80">
        <v>0.02</v>
      </c>
      <c r="P148" s="180">
        <f t="shared" ref="P148:P159" si="18" xml:space="preserve"> M148 + N148</f>
        <v>255175723.00256744</v>
      </c>
      <c r="Q148" s="143">
        <f t="shared" ref="Q148:Q159" si="19" xml:space="preserve"> K148 + P148</f>
        <v>255175723.00256744</v>
      </c>
      <c r="R148" s="97">
        <f t="shared" ref="R148:R159" si="20" xml:space="preserve"> H148 + I148</f>
        <v>40300000</v>
      </c>
      <c r="S148" s="97">
        <f t="shared" ref="S148:S159" si="21" xml:space="preserve"> J148 + Q148</f>
        <v>635175723.00256741</v>
      </c>
    </row>
    <row r="149" spans="1:19" x14ac:dyDescent="0.3">
      <c r="A149" s="18"/>
      <c r="B149" s="311"/>
      <c r="C149" s="28">
        <v>2</v>
      </c>
      <c r="D149" s="137">
        <v>500000</v>
      </c>
      <c r="E149" s="137">
        <v>0</v>
      </c>
      <c r="F149" s="137">
        <v>0</v>
      </c>
      <c r="G149" s="123">
        <v>0</v>
      </c>
      <c r="H149" s="97">
        <v>0</v>
      </c>
      <c r="I149" s="305">
        <f t="shared" si="15"/>
        <v>39600000</v>
      </c>
      <c r="J149" s="97">
        <v>380000000</v>
      </c>
      <c r="K149" s="129">
        <f t="shared" si="16"/>
        <v>0</v>
      </c>
      <c r="L149" s="98">
        <v>1.7999999999999999E-2</v>
      </c>
      <c r="M149" s="38">
        <v>0</v>
      </c>
      <c r="N149" s="108">
        <f t="shared" si="17"/>
        <v>260789237.4626188</v>
      </c>
      <c r="O149" s="80">
        <v>0.02</v>
      </c>
      <c r="P149" s="180">
        <f t="shared" si="18"/>
        <v>260789237.4626188</v>
      </c>
      <c r="Q149" s="143">
        <f t="shared" si="19"/>
        <v>260789237.4626188</v>
      </c>
      <c r="R149" s="97">
        <f t="shared" si="20"/>
        <v>39600000</v>
      </c>
      <c r="S149" s="97">
        <f t="shared" si="21"/>
        <v>640789237.46261883</v>
      </c>
    </row>
    <row r="150" spans="1:19" x14ac:dyDescent="0.3">
      <c r="A150" s="18"/>
      <c r="B150" s="311"/>
      <c r="C150" s="28">
        <v>3</v>
      </c>
      <c r="D150" s="137">
        <v>500000</v>
      </c>
      <c r="E150" s="137">
        <v>0</v>
      </c>
      <c r="F150" s="137">
        <v>0</v>
      </c>
      <c r="G150" s="123">
        <v>0</v>
      </c>
      <c r="H150" s="97">
        <v>0</v>
      </c>
      <c r="I150" s="305">
        <f t="shared" si="15"/>
        <v>38900000</v>
      </c>
      <c r="J150" s="97">
        <v>380000000</v>
      </c>
      <c r="K150" s="129">
        <f t="shared" si="16"/>
        <v>0</v>
      </c>
      <c r="L150" s="98">
        <v>1.7999999999999999E-2</v>
      </c>
      <c r="M150" s="38">
        <v>0</v>
      </c>
      <c r="N150" s="108">
        <f t="shared" si="17"/>
        <v>266515022.21187118</v>
      </c>
      <c r="O150" s="80">
        <v>0.02</v>
      </c>
      <c r="P150" s="180">
        <f t="shared" si="18"/>
        <v>266515022.21187118</v>
      </c>
      <c r="Q150" s="143">
        <f t="shared" si="19"/>
        <v>266515022.21187118</v>
      </c>
      <c r="R150" s="97">
        <f t="shared" si="20"/>
        <v>38900000</v>
      </c>
      <c r="S150" s="97">
        <f t="shared" si="21"/>
        <v>646515022.21187115</v>
      </c>
    </row>
    <row r="151" spans="1:19" x14ac:dyDescent="0.3">
      <c r="A151" s="18"/>
      <c r="B151" s="311"/>
      <c r="C151" s="28">
        <v>4</v>
      </c>
      <c r="D151" s="137">
        <v>500000</v>
      </c>
      <c r="E151" s="137">
        <v>0</v>
      </c>
      <c r="F151" s="137">
        <v>0</v>
      </c>
      <c r="G151" s="123">
        <v>0</v>
      </c>
      <c r="H151" s="97">
        <v>0</v>
      </c>
      <c r="I151" s="305">
        <f t="shared" si="15"/>
        <v>38200000</v>
      </c>
      <c r="J151" s="97">
        <v>380000000</v>
      </c>
      <c r="K151" s="129">
        <f t="shared" si="16"/>
        <v>0</v>
      </c>
      <c r="L151" s="98">
        <v>1.7999999999999999E-2</v>
      </c>
      <c r="M151" s="38">
        <v>0</v>
      </c>
      <c r="N151" s="108">
        <f t="shared" si="17"/>
        <v>272355322.65610862</v>
      </c>
      <c r="O151" s="80">
        <v>0.02</v>
      </c>
      <c r="P151" s="180">
        <f t="shared" si="18"/>
        <v>272355322.65610862</v>
      </c>
      <c r="Q151" s="143">
        <f t="shared" si="19"/>
        <v>272355322.65610862</v>
      </c>
      <c r="R151" s="97">
        <f t="shared" si="20"/>
        <v>38200000</v>
      </c>
      <c r="S151" s="97">
        <f t="shared" si="21"/>
        <v>652355322.65610862</v>
      </c>
    </row>
    <row r="152" spans="1:19" x14ac:dyDescent="0.3">
      <c r="A152" s="18"/>
      <c r="B152" s="311"/>
      <c r="C152" s="28">
        <v>5</v>
      </c>
      <c r="D152" s="137">
        <v>500000</v>
      </c>
      <c r="E152" s="137">
        <v>0</v>
      </c>
      <c r="F152" s="137">
        <v>0</v>
      </c>
      <c r="G152" s="123">
        <v>0</v>
      </c>
      <c r="H152" s="97">
        <v>0</v>
      </c>
      <c r="I152" s="305">
        <f t="shared" si="15"/>
        <v>37500000</v>
      </c>
      <c r="J152" s="97">
        <v>380000000</v>
      </c>
      <c r="K152" s="129">
        <f t="shared" si="16"/>
        <v>0</v>
      </c>
      <c r="L152" s="98">
        <v>1.7999999999999999E-2</v>
      </c>
      <c r="M152" s="38">
        <v>0</v>
      </c>
      <c r="N152" s="108">
        <f t="shared" si="17"/>
        <v>278312429.10923082</v>
      </c>
      <c r="O152" s="80">
        <v>0.02</v>
      </c>
      <c r="P152" s="180">
        <f t="shared" si="18"/>
        <v>278312429.10923082</v>
      </c>
      <c r="Q152" s="143">
        <f t="shared" si="19"/>
        <v>278312429.10923082</v>
      </c>
      <c r="R152" s="97">
        <f t="shared" si="20"/>
        <v>37500000</v>
      </c>
      <c r="S152" s="97">
        <f t="shared" si="21"/>
        <v>658312429.10923076</v>
      </c>
    </row>
    <row r="153" spans="1:19" x14ac:dyDescent="0.3">
      <c r="A153" s="18"/>
      <c r="B153" s="311"/>
      <c r="C153" s="28">
        <v>6</v>
      </c>
      <c r="D153" s="137">
        <v>500000</v>
      </c>
      <c r="E153" s="137">
        <v>0</v>
      </c>
      <c r="F153" s="137">
        <v>0</v>
      </c>
      <c r="G153" s="123">
        <v>0</v>
      </c>
      <c r="H153" s="97">
        <v>0</v>
      </c>
      <c r="I153" s="305">
        <f t="shared" si="15"/>
        <v>36800000</v>
      </c>
      <c r="J153" s="97">
        <v>380000000</v>
      </c>
      <c r="K153" s="129">
        <f t="shared" si="16"/>
        <v>0</v>
      </c>
      <c r="L153" s="98">
        <v>1.7999999999999999E-2</v>
      </c>
      <c r="M153" s="38">
        <v>0</v>
      </c>
      <c r="N153" s="108">
        <f t="shared" si="17"/>
        <v>284388677.69141543</v>
      </c>
      <c r="O153" s="80">
        <v>0.02</v>
      </c>
      <c r="P153" s="180">
        <f t="shared" si="18"/>
        <v>284388677.69141543</v>
      </c>
      <c r="Q153" s="143">
        <f t="shared" si="19"/>
        <v>284388677.69141543</v>
      </c>
      <c r="R153" s="97">
        <f t="shared" si="20"/>
        <v>36800000</v>
      </c>
      <c r="S153" s="97">
        <f t="shared" si="21"/>
        <v>664388677.69141543</v>
      </c>
    </row>
    <row r="154" spans="1:19" x14ac:dyDescent="0.3">
      <c r="A154" s="18"/>
      <c r="B154" s="311"/>
      <c r="C154" s="28">
        <v>7</v>
      </c>
      <c r="D154" s="137">
        <v>500000</v>
      </c>
      <c r="E154" s="137">
        <v>0</v>
      </c>
      <c r="F154" s="137">
        <v>0</v>
      </c>
      <c r="G154" s="123">
        <v>0</v>
      </c>
      <c r="H154" s="97">
        <v>0</v>
      </c>
      <c r="I154" s="305">
        <f t="shared" si="15"/>
        <v>36100000</v>
      </c>
      <c r="J154" s="97">
        <v>380000000</v>
      </c>
      <c r="K154" s="129">
        <f t="shared" si="16"/>
        <v>0</v>
      </c>
      <c r="L154" s="98">
        <v>1.7999999999999999E-2</v>
      </c>
      <c r="M154" s="38">
        <v>0</v>
      </c>
      <c r="N154" s="108">
        <f t="shared" si="17"/>
        <v>290586451.24524373</v>
      </c>
      <c r="O154" s="80">
        <v>0.02</v>
      </c>
      <c r="P154" s="180">
        <f t="shared" si="18"/>
        <v>290586451.24524373</v>
      </c>
      <c r="Q154" s="143">
        <f t="shared" si="19"/>
        <v>290586451.24524373</v>
      </c>
      <c r="R154" s="97">
        <f t="shared" si="20"/>
        <v>36100000</v>
      </c>
      <c r="S154" s="97">
        <f t="shared" si="21"/>
        <v>670586451.24524379</v>
      </c>
    </row>
    <row r="155" spans="1:19" x14ac:dyDescent="0.3">
      <c r="A155" s="18"/>
      <c r="B155" s="311"/>
      <c r="C155" s="28">
        <v>8</v>
      </c>
      <c r="D155" s="137">
        <v>500000</v>
      </c>
      <c r="E155" s="137">
        <v>0</v>
      </c>
      <c r="F155" s="137">
        <v>0</v>
      </c>
      <c r="G155" s="123">
        <v>0</v>
      </c>
      <c r="H155" s="97">
        <v>0</v>
      </c>
      <c r="I155" s="305">
        <f t="shared" si="15"/>
        <v>35400000</v>
      </c>
      <c r="J155" s="97">
        <v>380000000</v>
      </c>
      <c r="K155" s="129">
        <f t="shared" si="16"/>
        <v>0</v>
      </c>
      <c r="L155" s="98">
        <v>1.7999999999999999E-2</v>
      </c>
      <c r="M155" s="38">
        <v>0</v>
      </c>
      <c r="N155" s="108">
        <f t="shared" si="17"/>
        <v>296908180.27014858</v>
      </c>
      <c r="O155" s="80">
        <v>0.02</v>
      </c>
      <c r="P155" s="180">
        <f t="shared" si="18"/>
        <v>296908180.27014858</v>
      </c>
      <c r="Q155" s="143">
        <f t="shared" si="19"/>
        <v>296908180.27014858</v>
      </c>
      <c r="R155" s="97">
        <f t="shared" si="20"/>
        <v>35400000</v>
      </c>
      <c r="S155" s="97">
        <f t="shared" si="21"/>
        <v>676908180.27014852</v>
      </c>
    </row>
    <row r="156" spans="1:19" x14ac:dyDescent="0.3">
      <c r="A156" s="18"/>
      <c r="B156" s="311"/>
      <c r="C156" s="28">
        <v>9</v>
      </c>
      <c r="D156" s="137">
        <v>500000</v>
      </c>
      <c r="E156" s="137">
        <v>0</v>
      </c>
      <c r="F156" s="137">
        <v>0</v>
      </c>
      <c r="G156" s="123">
        <v>0</v>
      </c>
      <c r="H156" s="97">
        <v>0</v>
      </c>
      <c r="I156" s="305">
        <f t="shared" si="15"/>
        <v>34700000</v>
      </c>
      <c r="J156" s="97">
        <v>380000000</v>
      </c>
      <c r="K156" s="129">
        <f t="shared" si="16"/>
        <v>0</v>
      </c>
      <c r="L156" s="98">
        <v>1.7999999999999999E-2</v>
      </c>
      <c r="M156" s="38">
        <v>0</v>
      </c>
      <c r="N156" s="108">
        <f t="shared" si="17"/>
        <v>303356343.87555152</v>
      </c>
      <c r="O156" s="80">
        <v>0.02</v>
      </c>
      <c r="P156" s="180">
        <f t="shared" si="18"/>
        <v>303356343.87555152</v>
      </c>
      <c r="Q156" s="143">
        <f t="shared" si="19"/>
        <v>303356343.87555152</v>
      </c>
      <c r="R156" s="97">
        <f t="shared" si="20"/>
        <v>34700000</v>
      </c>
      <c r="S156" s="97">
        <f t="shared" si="21"/>
        <v>683356343.87555146</v>
      </c>
    </row>
    <row r="157" spans="1:19" x14ac:dyDescent="0.3">
      <c r="A157" s="18"/>
      <c r="B157" s="311"/>
      <c r="C157" s="28">
        <v>10</v>
      </c>
      <c r="D157" s="137">
        <v>500000</v>
      </c>
      <c r="E157" s="137">
        <v>0</v>
      </c>
      <c r="F157" s="137">
        <v>0</v>
      </c>
      <c r="G157" s="123">
        <v>0</v>
      </c>
      <c r="H157" s="97">
        <v>0</v>
      </c>
      <c r="I157" s="305">
        <f t="shared" si="15"/>
        <v>34000000</v>
      </c>
      <c r="J157" s="97">
        <v>380000000</v>
      </c>
      <c r="K157" s="129">
        <f t="shared" si="16"/>
        <v>0</v>
      </c>
      <c r="L157" s="98">
        <v>1.7999999999999999E-2</v>
      </c>
      <c r="M157" s="38">
        <v>0</v>
      </c>
      <c r="N157" s="108">
        <f t="shared" si="17"/>
        <v>309933470.75306255</v>
      </c>
      <c r="O157" s="80">
        <v>0.02</v>
      </c>
      <c r="P157" s="180">
        <f t="shared" si="18"/>
        <v>309933470.75306255</v>
      </c>
      <c r="Q157" s="143">
        <f t="shared" si="19"/>
        <v>309933470.75306255</v>
      </c>
      <c r="R157" s="97">
        <f t="shared" si="20"/>
        <v>34000000</v>
      </c>
      <c r="S157" s="97">
        <f t="shared" si="21"/>
        <v>689933470.75306249</v>
      </c>
    </row>
    <row r="158" spans="1:19" ht="17.25" thickBot="1" x14ac:dyDescent="0.35">
      <c r="A158" s="18"/>
      <c r="B158" s="311"/>
      <c r="C158" s="30">
        <v>11</v>
      </c>
      <c r="D158" s="137">
        <v>500000</v>
      </c>
      <c r="E158" s="137">
        <v>0</v>
      </c>
      <c r="F158" s="137">
        <v>0</v>
      </c>
      <c r="G158" s="123">
        <v>0</v>
      </c>
      <c r="H158" s="97">
        <v>0</v>
      </c>
      <c r="I158" s="305">
        <f t="shared" si="15"/>
        <v>33300000</v>
      </c>
      <c r="J158" s="97">
        <v>380000000</v>
      </c>
      <c r="K158" s="129">
        <f t="shared" si="16"/>
        <v>0</v>
      </c>
      <c r="L158" s="98">
        <v>1.7999999999999999E-2</v>
      </c>
      <c r="M158" s="38">
        <v>0</v>
      </c>
      <c r="N158" s="108">
        <f t="shared" si="17"/>
        <v>316642140.16812378</v>
      </c>
      <c r="O158" s="80">
        <v>0.02</v>
      </c>
      <c r="P158" s="180">
        <f t="shared" si="18"/>
        <v>316642140.16812378</v>
      </c>
      <c r="Q158" s="143">
        <f t="shared" si="19"/>
        <v>316642140.16812378</v>
      </c>
      <c r="R158" s="97">
        <f t="shared" si="20"/>
        <v>33300000</v>
      </c>
      <c r="S158" s="97">
        <f t="shared" si="21"/>
        <v>696642140.16812372</v>
      </c>
    </row>
    <row r="159" spans="1:19" ht="17.25" thickBot="1" x14ac:dyDescent="0.35">
      <c r="A159" s="90"/>
      <c r="B159" s="311"/>
      <c r="C159" s="88">
        <v>12</v>
      </c>
      <c r="D159" s="137">
        <v>500000</v>
      </c>
      <c r="E159" s="268">
        <v>32600000</v>
      </c>
      <c r="F159" s="137">
        <v>0</v>
      </c>
      <c r="G159" s="123">
        <v>0</v>
      </c>
      <c r="H159" s="97">
        <v>0</v>
      </c>
      <c r="I159" s="305">
        <f xml:space="preserve"> I158 - 700000 -32600000</f>
        <v>0</v>
      </c>
      <c r="J159" s="97">
        <v>380000000</v>
      </c>
      <c r="K159" s="130">
        <f t="shared" si="16"/>
        <v>0</v>
      </c>
      <c r="L159" s="89">
        <v>1.7999999999999999E-2</v>
      </c>
      <c r="M159" s="38">
        <v>0</v>
      </c>
      <c r="N159" s="108">
        <f t="shared" si="17"/>
        <v>290232982.97148627</v>
      </c>
      <c r="O159" s="80">
        <v>0.02</v>
      </c>
      <c r="P159" s="180">
        <f t="shared" si="18"/>
        <v>290232982.97148627</v>
      </c>
      <c r="Q159" s="143">
        <f t="shared" si="19"/>
        <v>290232982.97148627</v>
      </c>
      <c r="R159" s="97">
        <f t="shared" si="20"/>
        <v>0</v>
      </c>
      <c r="S159" s="97">
        <f t="shared" si="21"/>
        <v>670232982.97148633</v>
      </c>
    </row>
    <row r="160" spans="1:19" x14ac:dyDescent="0.3">
      <c r="A160" s="31">
        <v>13</v>
      </c>
      <c r="B160" s="311">
        <v>2035</v>
      </c>
      <c r="C160" s="35">
        <v>1</v>
      </c>
      <c r="D160" s="137">
        <v>500000</v>
      </c>
      <c r="E160" s="137">
        <v>0</v>
      </c>
      <c r="F160" s="137">
        <v>0</v>
      </c>
      <c r="G160" s="123">
        <v>0</v>
      </c>
      <c r="H160" s="97">
        <v>0</v>
      </c>
      <c r="I160" s="305">
        <v>0</v>
      </c>
      <c r="J160" s="97">
        <v>380000000</v>
      </c>
      <c r="K160" s="129">
        <f t="shared" ref="K160:K171" si="22" xml:space="preserve"> (K159 + G160 + F160) + ((K159 + G160 + F160) * L160 )</f>
        <v>0</v>
      </c>
      <c r="L160" s="98">
        <v>1.7999999999999999E-2</v>
      </c>
      <c r="M160" s="38">
        <v>0</v>
      </c>
      <c r="N160" s="108">
        <f t="shared" ref="N160:N171" si="23" xml:space="preserve"> (N159 + D160 - E160 - M160) + ((N159 + D160 - E160 - M160) * O160)</f>
        <v>296547642.630916</v>
      </c>
      <c r="O160" s="80">
        <v>0.02</v>
      </c>
      <c r="P160" s="180">
        <f t="shared" ref="P160:P171" si="24" xml:space="preserve"> M160 + N160</f>
        <v>296547642.630916</v>
      </c>
      <c r="Q160" s="143">
        <f t="shared" ref="Q160:Q171" si="25" xml:space="preserve"> K160 + P160</f>
        <v>296547642.630916</v>
      </c>
      <c r="R160" s="97">
        <f t="shared" ref="R160:R171" si="26" xml:space="preserve"> H160 + I160</f>
        <v>0</v>
      </c>
      <c r="S160" s="97">
        <f t="shared" ref="S160:S171" si="27" xml:space="preserve"> J160 + Q160</f>
        <v>676547642.630916</v>
      </c>
    </row>
    <row r="161" spans="1:19" x14ac:dyDescent="0.3">
      <c r="A161" s="18"/>
      <c r="B161" s="311"/>
      <c r="C161" s="28">
        <v>2</v>
      </c>
      <c r="D161" s="137">
        <v>500000</v>
      </c>
      <c r="E161" s="137">
        <v>0</v>
      </c>
      <c r="F161" s="137">
        <v>0</v>
      </c>
      <c r="G161" s="123">
        <v>0</v>
      </c>
      <c r="H161" s="97">
        <v>0</v>
      </c>
      <c r="I161" s="305">
        <v>0</v>
      </c>
      <c r="J161" s="97">
        <v>380000000</v>
      </c>
      <c r="K161" s="129">
        <f t="shared" si="22"/>
        <v>0</v>
      </c>
      <c r="L161" s="98">
        <v>1.7999999999999999E-2</v>
      </c>
      <c r="M161" s="38">
        <v>0</v>
      </c>
      <c r="N161" s="108">
        <f t="shared" si="23"/>
        <v>302988595.48353434</v>
      </c>
      <c r="O161" s="80">
        <v>0.02</v>
      </c>
      <c r="P161" s="180">
        <f t="shared" si="24"/>
        <v>302988595.48353434</v>
      </c>
      <c r="Q161" s="143">
        <f t="shared" si="25"/>
        <v>302988595.48353434</v>
      </c>
      <c r="R161" s="97">
        <f t="shared" si="26"/>
        <v>0</v>
      </c>
      <c r="S161" s="97">
        <f t="shared" si="27"/>
        <v>682988595.48353434</v>
      </c>
    </row>
    <row r="162" spans="1:19" x14ac:dyDescent="0.3">
      <c r="A162" s="18"/>
      <c r="B162" s="311"/>
      <c r="C162" s="28">
        <v>3</v>
      </c>
      <c r="D162" s="137">
        <v>500000</v>
      </c>
      <c r="E162" s="137">
        <v>0</v>
      </c>
      <c r="F162" s="137">
        <v>0</v>
      </c>
      <c r="G162" s="123">
        <v>0</v>
      </c>
      <c r="H162" s="97">
        <v>0</v>
      </c>
      <c r="I162" s="305">
        <v>0</v>
      </c>
      <c r="J162" s="97">
        <v>380000000</v>
      </c>
      <c r="K162" s="129">
        <f t="shared" si="22"/>
        <v>0</v>
      </c>
      <c r="L162" s="98">
        <v>1.7999999999999999E-2</v>
      </c>
      <c r="M162" s="38">
        <v>0</v>
      </c>
      <c r="N162" s="108">
        <f t="shared" si="23"/>
        <v>309558367.39320505</v>
      </c>
      <c r="O162" s="80">
        <v>0.02</v>
      </c>
      <c r="P162" s="180">
        <f t="shared" si="24"/>
        <v>309558367.39320505</v>
      </c>
      <c r="Q162" s="143">
        <f t="shared" si="25"/>
        <v>309558367.39320505</v>
      </c>
      <c r="R162" s="97">
        <f t="shared" si="26"/>
        <v>0</v>
      </c>
      <c r="S162" s="97">
        <f t="shared" si="27"/>
        <v>689558367.39320505</v>
      </c>
    </row>
    <row r="163" spans="1:19" x14ac:dyDescent="0.3">
      <c r="A163" s="18"/>
      <c r="B163" s="311"/>
      <c r="C163" s="28">
        <v>4</v>
      </c>
      <c r="D163" s="137">
        <v>500000</v>
      </c>
      <c r="E163" s="137">
        <v>0</v>
      </c>
      <c r="F163" s="137">
        <v>0</v>
      </c>
      <c r="G163" s="123">
        <v>0</v>
      </c>
      <c r="H163" s="97">
        <v>0</v>
      </c>
      <c r="I163" s="305">
        <v>0</v>
      </c>
      <c r="J163" s="97">
        <v>380000000</v>
      </c>
      <c r="K163" s="129">
        <f t="shared" si="22"/>
        <v>0</v>
      </c>
      <c r="L163" s="98">
        <v>1.7999999999999999E-2</v>
      </c>
      <c r="M163" s="38">
        <v>0</v>
      </c>
      <c r="N163" s="108">
        <f t="shared" si="23"/>
        <v>316259534.74106914</v>
      </c>
      <c r="O163" s="80">
        <v>0.02</v>
      </c>
      <c r="P163" s="180">
        <f t="shared" si="24"/>
        <v>316259534.74106914</v>
      </c>
      <c r="Q163" s="143">
        <f t="shared" si="25"/>
        <v>316259534.74106914</v>
      </c>
      <c r="R163" s="97">
        <f t="shared" si="26"/>
        <v>0</v>
      </c>
      <c r="S163" s="97">
        <f t="shared" si="27"/>
        <v>696259534.74106908</v>
      </c>
    </row>
    <row r="164" spans="1:19" x14ac:dyDescent="0.3">
      <c r="A164" s="18"/>
      <c r="B164" s="311"/>
      <c r="C164" s="28">
        <v>5</v>
      </c>
      <c r="D164" s="137">
        <v>500000</v>
      </c>
      <c r="E164" s="137">
        <v>0</v>
      </c>
      <c r="F164" s="137">
        <v>0</v>
      </c>
      <c r="G164" s="123">
        <v>0</v>
      </c>
      <c r="H164" s="97">
        <v>0</v>
      </c>
      <c r="I164" s="305">
        <v>0</v>
      </c>
      <c r="J164" s="97">
        <v>380000000</v>
      </c>
      <c r="K164" s="129">
        <f t="shared" si="22"/>
        <v>0</v>
      </c>
      <c r="L164" s="98">
        <v>1.7999999999999999E-2</v>
      </c>
      <c r="M164" s="38">
        <v>0</v>
      </c>
      <c r="N164" s="108">
        <f t="shared" si="23"/>
        <v>323094725.4358905</v>
      </c>
      <c r="O164" s="80">
        <v>0.02</v>
      </c>
      <c r="P164" s="180">
        <f t="shared" si="24"/>
        <v>323094725.4358905</v>
      </c>
      <c r="Q164" s="143">
        <f t="shared" si="25"/>
        <v>323094725.4358905</v>
      </c>
      <c r="R164" s="97">
        <f t="shared" si="26"/>
        <v>0</v>
      </c>
      <c r="S164" s="97">
        <f t="shared" si="27"/>
        <v>703094725.43589044</v>
      </c>
    </row>
    <row r="165" spans="1:19" x14ac:dyDescent="0.3">
      <c r="A165" s="18"/>
      <c r="B165" s="311"/>
      <c r="C165" s="28">
        <v>6</v>
      </c>
      <c r="D165" s="137">
        <v>500000</v>
      </c>
      <c r="E165" s="137">
        <v>0</v>
      </c>
      <c r="F165" s="137">
        <v>0</v>
      </c>
      <c r="G165" s="123">
        <v>0</v>
      </c>
      <c r="H165" s="97">
        <v>0</v>
      </c>
      <c r="I165" s="305">
        <v>0</v>
      </c>
      <c r="J165" s="97">
        <v>380000000</v>
      </c>
      <c r="K165" s="129">
        <f t="shared" si="22"/>
        <v>0</v>
      </c>
      <c r="L165" s="98">
        <v>1.7999999999999999E-2</v>
      </c>
      <c r="M165" s="38">
        <v>0</v>
      </c>
      <c r="N165" s="108">
        <f t="shared" si="23"/>
        <v>330066619.94460833</v>
      </c>
      <c r="O165" s="80">
        <v>0.02</v>
      </c>
      <c r="P165" s="180">
        <f t="shared" si="24"/>
        <v>330066619.94460833</v>
      </c>
      <c r="Q165" s="143">
        <f t="shared" si="25"/>
        <v>330066619.94460833</v>
      </c>
      <c r="R165" s="97">
        <f t="shared" si="26"/>
        <v>0</v>
      </c>
      <c r="S165" s="97">
        <f t="shared" si="27"/>
        <v>710066619.94460833</v>
      </c>
    </row>
    <row r="166" spans="1:19" x14ac:dyDescent="0.3">
      <c r="A166" s="18"/>
      <c r="B166" s="311"/>
      <c r="C166" s="28">
        <v>7</v>
      </c>
      <c r="D166" s="137">
        <v>500000</v>
      </c>
      <c r="E166" s="137">
        <v>0</v>
      </c>
      <c r="F166" s="137">
        <v>0</v>
      </c>
      <c r="G166" s="123">
        <v>0</v>
      </c>
      <c r="H166" s="97">
        <v>0</v>
      </c>
      <c r="I166" s="305">
        <v>0</v>
      </c>
      <c r="J166" s="97">
        <v>380000000</v>
      </c>
      <c r="K166" s="129">
        <f t="shared" si="22"/>
        <v>0</v>
      </c>
      <c r="L166" s="98">
        <v>1.7999999999999999E-2</v>
      </c>
      <c r="M166" s="38">
        <v>0</v>
      </c>
      <c r="N166" s="108">
        <f t="shared" si="23"/>
        <v>337177952.34350049</v>
      </c>
      <c r="O166" s="80">
        <v>0.02</v>
      </c>
      <c r="P166" s="180">
        <f t="shared" si="24"/>
        <v>337177952.34350049</v>
      </c>
      <c r="Q166" s="143">
        <f t="shared" si="25"/>
        <v>337177952.34350049</v>
      </c>
      <c r="R166" s="97">
        <f t="shared" si="26"/>
        <v>0</v>
      </c>
      <c r="S166" s="97">
        <f t="shared" si="27"/>
        <v>717177952.34350049</v>
      </c>
    </row>
    <row r="167" spans="1:19" x14ac:dyDescent="0.3">
      <c r="A167" s="18"/>
      <c r="B167" s="311"/>
      <c r="C167" s="28">
        <v>8</v>
      </c>
      <c r="D167" s="137">
        <v>500000</v>
      </c>
      <c r="E167" s="137">
        <v>0</v>
      </c>
      <c r="F167" s="137">
        <v>0</v>
      </c>
      <c r="G167" s="123">
        <v>0</v>
      </c>
      <c r="H167" s="97">
        <v>0</v>
      </c>
      <c r="I167" s="305">
        <v>0</v>
      </c>
      <c r="J167" s="97">
        <v>380000000</v>
      </c>
      <c r="K167" s="129">
        <f t="shared" si="22"/>
        <v>0</v>
      </c>
      <c r="L167" s="98">
        <v>1.7999999999999999E-2</v>
      </c>
      <c r="M167" s="38">
        <v>0</v>
      </c>
      <c r="N167" s="108">
        <f t="shared" si="23"/>
        <v>344431511.39037049</v>
      </c>
      <c r="O167" s="80">
        <v>0.02</v>
      </c>
      <c r="P167" s="180">
        <f t="shared" si="24"/>
        <v>344431511.39037049</v>
      </c>
      <c r="Q167" s="143">
        <f t="shared" si="25"/>
        <v>344431511.39037049</v>
      </c>
      <c r="R167" s="97">
        <f t="shared" si="26"/>
        <v>0</v>
      </c>
      <c r="S167" s="97">
        <f t="shared" si="27"/>
        <v>724431511.39037049</v>
      </c>
    </row>
    <row r="168" spans="1:19" x14ac:dyDescent="0.3">
      <c r="A168" s="18"/>
      <c r="B168" s="311"/>
      <c r="C168" s="28">
        <v>9</v>
      </c>
      <c r="D168" s="137">
        <v>500000</v>
      </c>
      <c r="E168" s="137">
        <v>0</v>
      </c>
      <c r="F168" s="137">
        <v>0</v>
      </c>
      <c r="G168" s="123">
        <v>0</v>
      </c>
      <c r="H168" s="97">
        <v>0</v>
      </c>
      <c r="I168" s="305">
        <v>0</v>
      </c>
      <c r="J168" s="97">
        <v>380000000</v>
      </c>
      <c r="K168" s="129">
        <f t="shared" si="22"/>
        <v>0</v>
      </c>
      <c r="L168" s="98">
        <v>1.7999999999999999E-2</v>
      </c>
      <c r="M168" s="38">
        <v>0</v>
      </c>
      <c r="N168" s="108">
        <f t="shared" si="23"/>
        <v>351830141.61817789</v>
      </c>
      <c r="O168" s="80">
        <v>0.02</v>
      </c>
      <c r="P168" s="180">
        <f t="shared" si="24"/>
        <v>351830141.61817789</v>
      </c>
      <c r="Q168" s="143">
        <f t="shared" si="25"/>
        <v>351830141.61817789</v>
      </c>
      <c r="R168" s="97">
        <f t="shared" si="26"/>
        <v>0</v>
      </c>
      <c r="S168" s="97">
        <f t="shared" si="27"/>
        <v>731830141.61817789</v>
      </c>
    </row>
    <row r="169" spans="1:19" x14ac:dyDescent="0.3">
      <c r="A169" s="18"/>
      <c r="B169" s="311"/>
      <c r="C169" s="28">
        <v>10</v>
      </c>
      <c r="D169" s="137">
        <v>500000</v>
      </c>
      <c r="E169" s="137">
        <v>0</v>
      </c>
      <c r="F169" s="137">
        <v>0</v>
      </c>
      <c r="G169" s="123">
        <v>0</v>
      </c>
      <c r="H169" s="97">
        <v>0</v>
      </c>
      <c r="I169" s="305">
        <v>0</v>
      </c>
      <c r="J169" s="97">
        <v>380000000</v>
      </c>
      <c r="K169" s="129">
        <f t="shared" si="22"/>
        <v>0</v>
      </c>
      <c r="L169" s="98">
        <v>1.7999999999999999E-2</v>
      </c>
      <c r="M169" s="38">
        <v>0</v>
      </c>
      <c r="N169" s="108">
        <f t="shared" si="23"/>
        <v>359376744.45054144</v>
      </c>
      <c r="O169" s="80">
        <v>0.02</v>
      </c>
      <c r="P169" s="180">
        <f t="shared" si="24"/>
        <v>359376744.45054144</v>
      </c>
      <c r="Q169" s="143">
        <f t="shared" si="25"/>
        <v>359376744.45054144</v>
      </c>
      <c r="R169" s="97">
        <f t="shared" si="26"/>
        <v>0</v>
      </c>
      <c r="S169" s="97">
        <f t="shared" si="27"/>
        <v>739376744.4505415</v>
      </c>
    </row>
    <row r="170" spans="1:19" ht="17.25" thickBot="1" x14ac:dyDescent="0.35">
      <c r="A170" s="18"/>
      <c r="B170" s="311"/>
      <c r="C170" s="30">
        <v>11</v>
      </c>
      <c r="D170" s="137">
        <v>500000</v>
      </c>
      <c r="E170" s="137">
        <v>0</v>
      </c>
      <c r="F170" s="137">
        <v>0</v>
      </c>
      <c r="G170" s="123">
        <v>0</v>
      </c>
      <c r="H170" s="97">
        <v>0</v>
      </c>
      <c r="I170" s="305">
        <v>0</v>
      </c>
      <c r="J170" s="97">
        <v>380000000</v>
      </c>
      <c r="K170" s="129">
        <f t="shared" si="22"/>
        <v>0</v>
      </c>
      <c r="L170" s="98">
        <v>1.7999999999999999E-2</v>
      </c>
      <c r="M170" s="38">
        <v>0</v>
      </c>
      <c r="N170" s="108">
        <f t="shared" si="23"/>
        <v>367074279.33955228</v>
      </c>
      <c r="O170" s="80">
        <v>0.02</v>
      </c>
      <c r="P170" s="180">
        <f t="shared" si="24"/>
        <v>367074279.33955228</v>
      </c>
      <c r="Q170" s="143">
        <f t="shared" si="25"/>
        <v>367074279.33955228</v>
      </c>
      <c r="R170" s="97">
        <f t="shared" si="26"/>
        <v>0</v>
      </c>
      <c r="S170" s="97">
        <f t="shared" si="27"/>
        <v>747074279.33955228</v>
      </c>
    </row>
    <row r="171" spans="1:19" ht="17.25" thickBot="1" x14ac:dyDescent="0.35">
      <c r="A171" s="90"/>
      <c r="B171" s="311"/>
      <c r="C171" s="88">
        <v>12</v>
      </c>
      <c r="D171" s="137">
        <v>500000</v>
      </c>
      <c r="E171" s="268"/>
      <c r="F171" s="137">
        <v>0</v>
      </c>
      <c r="G171" s="123">
        <v>0</v>
      </c>
      <c r="H171" s="97">
        <v>0</v>
      </c>
      <c r="I171" s="305">
        <v>0</v>
      </c>
      <c r="J171" s="97">
        <v>380000000</v>
      </c>
      <c r="K171" s="130">
        <f t="shared" si="22"/>
        <v>0</v>
      </c>
      <c r="L171" s="89">
        <v>1.7999999999999999E-2</v>
      </c>
      <c r="M171" s="38">
        <v>0</v>
      </c>
      <c r="N171" s="108">
        <f t="shared" si="23"/>
        <v>374925764.92634332</v>
      </c>
      <c r="O171" s="80">
        <v>0.02</v>
      </c>
      <c r="P171" s="180">
        <f t="shared" si="24"/>
        <v>374925764.92634332</v>
      </c>
      <c r="Q171" s="143">
        <f t="shared" si="25"/>
        <v>374925764.92634332</v>
      </c>
      <c r="R171" s="97">
        <f t="shared" si="26"/>
        <v>0</v>
      </c>
      <c r="S171" s="97">
        <f t="shared" si="27"/>
        <v>754925764.92634332</v>
      </c>
    </row>
  </sheetData>
  <mergeCells count="22">
    <mergeCell ref="B148:B159"/>
    <mergeCell ref="B160:B171"/>
    <mergeCell ref="R1:R2"/>
    <mergeCell ref="S1:S2"/>
    <mergeCell ref="Q1:Q2"/>
    <mergeCell ref="B88:B99"/>
    <mergeCell ref="B16:B27"/>
    <mergeCell ref="B28:B39"/>
    <mergeCell ref="B40:B51"/>
    <mergeCell ref="B52:B63"/>
    <mergeCell ref="B64:B75"/>
    <mergeCell ref="M1:P1"/>
    <mergeCell ref="B4:B15"/>
    <mergeCell ref="A1:C2"/>
    <mergeCell ref="D1:G1"/>
    <mergeCell ref="J1:L1"/>
    <mergeCell ref="H1:I1"/>
    <mergeCell ref="B100:B111"/>
    <mergeCell ref="B112:B123"/>
    <mergeCell ref="B124:B135"/>
    <mergeCell ref="B136:B147"/>
    <mergeCell ref="B76:B8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Y158"/>
  <sheetViews>
    <sheetView tabSelected="1" topLeftCell="K142" zoomScale="110" zoomScaleNormal="110" workbookViewId="0">
      <selection activeCell="V155" sqref="V155"/>
    </sheetView>
  </sheetViews>
  <sheetFormatPr defaultRowHeight="16.5" x14ac:dyDescent="0.3"/>
  <cols>
    <col min="1" max="1" width="5.5" style="1" bestFit="1" customWidth="1"/>
    <col min="2" max="2" width="11.125" style="1" bestFit="1" customWidth="1"/>
    <col min="3" max="4" width="12.875" style="1" bestFit="1" customWidth="1"/>
    <col min="5" max="5" width="11" style="18" customWidth="1"/>
    <col min="6" max="6" width="13.125" style="76" bestFit="1" customWidth="1"/>
    <col min="7" max="7" width="18.875" style="1" bestFit="1" customWidth="1"/>
    <col min="8" max="8" width="11.75" style="1" bestFit="1" customWidth="1"/>
    <col min="9" max="9" width="11.375" style="1" bestFit="1" customWidth="1"/>
    <col min="10" max="10" width="10.625" style="1" bestFit="1" customWidth="1"/>
    <col min="11" max="11" width="14.75" style="1" customWidth="1"/>
    <col min="12" max="12" width="10.75" style="1" bestFit="1" customWidth="1"/>
    <col min="13" max="13" width="7" style="1" customWidth="1"/>
    <col min="14" max="14" width="11.5" style="1" bestFit="1" customWidth="1"/>
    <col min="15" max="15" width="10.75" style="1" bestFit="1" customWidth="1"/>
    <col min="16" max="16" width="16.75" style="1" customWidth="1"/>
    <col min="17" max="17" width="12.875" style="18" bestFit="1" customWidth="1"/>
    <col min="18" max="18" width="12.625" style="18" customWidth="1"/>
    <col min="19" max="19" width="12.875" style="1" bestFit="1" customWidth="1"/>
    <col min="20" max="20" width="13.125" style="1" bestFit="1" customWidth="1"/>
    <col min="21" max="21" width="12.875" style="1" bestFit="1" customWidth="1"/>
    <col min="22" max="22" width="9.75" style="1" customWidth="1"/>
    <col min="23" max="23" width="9.375" style="1" bestFit="1" customWidth="1"/>
    <col min="24" max="24" width="9" style="1"/>
    <col min="25" max="25" width="12.875" style="1" bestFit="1" customWidth="1"/>
    <col min="26" max="16384" width="9" style="1"/>
  </cols>
  <sheetData>
    <row r="2" spans="1:22" s="111" customFormat="1" x14ac:dyDescent="0.3">
      <c r="C2" s="111" t="s">
        <v>175</v>
      </c>
      <c r="D2" s="111" t="s">
        <v>208</v>
      </c>
      <c r="E2" s="111" t="s">
        <v>0</v>
      </c>
      <c r="F2" s="111" t="s">
        <v>1</v>
      </c>
      <c r="G2" s="111" t="s">
        <v>160</v>
      </c>
      <c r="H2" s="111" t="s">
        <v>2</v>
      </c>
      <c r="I2" s="111" t="s">
        <v>177</v>
      </c>
      <c r="J2" s="111" t="s">
        <v>3</v>
      </c>
      <c r="K2" s="111" t="s">
        <v>178</v>
      </c>
      <c r="L2" s="111" t="s">
        <v>4</v>
      </c>
      <c r="M2" s="111" t="s">
        <v>5</v>
      </c>
      <c r="N2" s="111" t="s">
        <v>8</v>
      </c>
      <c r="O2" s="111" t="s">
        <v>6</v>
      </c>
      <c r="P2" s="111" t="s">
        <v>179</v>
      </c>
      <c r="Q2" s="111" t="s">
        <v>180</v>
      </c>
      <c r="R2" s="111" t="s">
        <v>184</v>
      </c>
      <c r="S2" s="111" t="s">
        <v>192</v>
      </c>
      <c r="T2" s="111" t="s">
        <v>9</v>
      </c>
      <c r="U2" s="111" t="s">
        <v>7</v>
      </c>
      <c r="V2" s="111" t="s">
        <v>182</v>
      </c>
    </row>
    <row r="3" spans="1:22" s="145" customFormat="1" x14ac:dyDescent="0.3">
      <c r="A3" s="327">
        <v>2023</v>
      </c>
      <c r="B3" s="145" t="s">
        <v>72</v>
      </c>
      <c r="C3" s="146">
        <v>8340000</v>
      </c>
      <c r="D3" s="146">
        <v>0</v>
      </c>
      <c r="E3" s="146">
        <v>0</v>
      </c>
      <c r="F3" s="146">
        <v>2500000</v>
      </c>
      <c r="G3" s="146"/>
      <c r="H3" s="141">
        <v>300000</v>
      </c>
      <c r="I3" s="141">
        <v>100000</v>
      </c>
      <c r="J3" s="141">
        <v>450000</v>
      </c>
      <c r="K3" s="141">
        <v>100000</v>
      </c>
      <c r="L3" s="141">
        <v>170000</v>
      </c>
      <c r="M3" s="141">
        <v>0</v>
      </c>
      <c r="N3" s="141">
        <v>100000</v>
      </c>
      <c r="O3" s="141">
        <v>0</v>
      </c>
      <c r="P3" s="141">
        <v>3300000</v>
      </c>
      <c r="Q3" s="141">
        <v>0</v>
      </c>
      <c r="R3" s="141"/>
      <c r="S3" s="141">
        <v>1300000</v>
      </c>
      <c r="T3" s="141">
        <f t="shared" ref="T3:T34" si="0">SUM(E3:S3)</f>
        <v>8320000</v>
      </c>
      <c r="U3" s="141">
        <f xml:space="preserve"> C3 - T3</f>
        <v>20000</v>
      </c>
      <c r="V3" s="193"/>
    </row>
    <row r="4" spans="1:22" s="145" customFormat="1" x14ac:dyDescent="0.3">
      <c r="A4" s="327"/>
      <c r="B4" s="145" t="s">
        <v>73</v>
      </c>
      <c r="C4" s="146"/>
      <c r="D4" s="146">
        <v>0</v>
      </c>
      <c r="E4" s="146">
        <v>0</v>
      </c>
      <c r="F4" s="146">
        <v>2500000</v>
      </c>
      <c r="G4" s="146"/>
      <c r="H4" s="141">
        <v>300000</v>
      </c>
      <c r="I4" s="141">
        <v>100000</v>
      </c>
      <c r="J4" s="141">
        <v>450000</v>
      </c>
      <c r="K4" s="141">
        <v>100000</v>
      </c>
      <c r="L4" s="141">
        <v>170000</v>
      </c>
      <c r="M4" s="141">
        <v>0</v>
      </c>
      <c r="N4" s="141">
        <v>100000</v>
      </c>
      <c r="O4" s="141">
        <v>0</v>
      </c>
      <c r="P4" s="141">
        <v>3500000</v>
      </c>
      <c r="Q4" s="141">
        <v>0</v>
      </c>
      <c r="R4" s="141"/>
      <c r="S4" s="141">
        <v>0</v>
      </c>
      <c r="T4" s="141">
        <f t="shared" si="0"/>
        <v>7220000</v>
      </c>
      <c r="U4" s="22"/>
      <c r="V4" s="193"/>
    </row>
    <row r="5" spans="1:22" s="147" customFormat="1" x14ac:dyDescent="0.3">
      <c r="A5" s="327"/>
      <c r="B5" s="147" t="s">
        <v>74</v>
      </c>
      <c r="C5" s="148"/>
      <c r="D5" s="146">
        <v>0</v>
      </c>
      <c r="E5" s="148">
        <v>650000</v>
      </c>
      <c r="F5" s="148">
        <v>2500000</v>
      </c>
      <c r="G5" s="148"/>
      <c r="H5" s="187">
        <v>300000</v>
      </c>
      <c r="I5" s="187">
        <v>100000</v>
      </c>
      <c r="J5" s="187">
        <v>450000</v>
      </c>
      <c r="K5" s="187">
        <v>100000</v>
      </c>
      <c r="L5" s="187">
        <v>170000</v>
      </c>
      <c r="M5" s="187">
        <v>0</v>
      </c>
      <c r="N5" s="187">
        <v>100000</v>
      </c>
      <c r="O5" s="187">
        <v>0</v>
      </c>
      <c r="P5" s="187">
        <v>2500000</v>
      </c>
      <c r="Q5" s="187">
        <v>0</v>
      </c>
      <c r="R5" s="187"/>
      <c r="S5" s="187">
        <v>0</v>
      </c>
      <c r="T5" s="187">
        <f t="shared" si="0"/>
        <v>6870000</v>
      </c>
      <c r="U5" s="188"/>
      <c r="V5" s="194"/>
    </row>
    <row r="6" spans="1:22" s="145" customFormat="1" x14ac:dyDescent="0.3">
      <c r="A6" s="327"/>
      <c r="B6" s="145" t="s">
        <v>75</v>
      </c>
      <c r="C6" s="146"/>
      <c r="D6" s="146">
        <v>0</v>
      </c>
      <c r="E6" s="146">
        <v>1885000</v>
      </c>
      <c r="F6" s="146">
        <v>500000</v>
      </c>
      <c r="G6" s="146"/>
      <c r="H6" s="141">
        <v>500000</v>
      </c>
      <c r="I6" s="141">
        <v>100000</v>
      </c>
      <c r="J6" s="141">
        <v>450000</v>
      </c>
      <c r="K6" s="141">
        <v>100000</v>
      </c>
      <c r="L6" s="141">
        <v>170000</v>
      </c>
      <c r="M6" s="141">
        <v>0</v>
      </c>
      <c r="N6" s="141">
        <v>100000</v>
      </c>
      <c r="O6" s="141">
        <v>0</v>
      </c>
      <c r="P6" s="141">
        <v>2550000</v>
      </c>
      <c r="Q6" s="141">
        <v>0</v>
      </c>
      <c r="R6" s="141"/>
      <c r="S6" s="141">
        <v>0</v>
      </c>
      <c r="T6" s="141">
        <f t="shared" si="0"/>
        <v>6355000</v>
      </c>
      <c r="U6" s="22"/>
      <c r="V6" s="193"/>
    </row>
    <row r="7" spans="1:22" s="145" customFormat="1" x14ac:dyDescent="0.3">
      <c r="A7" s="327"/>
      <c r="B7" s="145" t="s">
        <v>76</v>
      </c>
      <c r="C7" s="146"/>
      <c r="D7" s="146">
        <v>0</v>
      </c>
      <c r="E7" s="146">
        <v>1000000</v>
      </c>
      <c r="F7" s="146">
        <v>100000</v>
      </c>
      <c r="G7" s="146">
        <v>420000</v>
      </c>
      <c r="H7" s="141">
        <v>500000</v>
      </c>
      <c r="I7" s="141">
        <v>100000</v>
      </c>
      <c r="J7" s="141">
        <v>630000</v>
      </c>
      <c r="K7" s="141">
        <v>100000</v>
      </c>
      <c r="L7" s="141">
        <v>170000</v>
      </c>
      <c r="M7" s="141">
        <v>0</v>
      </c>
      <c r="N7" s="141">
        <v>100000</v>
      </c>
      <c r="O7" s="141">
        <v>0</v>
      </c>
      <c r="P7" s="141">
        <v>2800000</v>
      </c>
      <c r="Q7" s="141">
        <v>0</v>
      </c>
      <c r="R7" s="141"/>
      <c r="S7" s="141">
        <v>400000</v>
      </c>
      <c r="T7" s="141">
        <f t="shared" si="0"/>
        <v>6320000</v>
      </c>
      <c r="U7" s="22"/>
      <c r="V7" s="193"/>
    </row>
    <row r="8" spans="1:22" s="145" customFormat="1" x14ac:dyDescent="0.3">
      <c r="A8" s="327"/>
      <c r="B8" s="145" t="s">
        <v>77</v>
      </c>
      <c r="C8" s="146"/>
      <c r="D8" s="146">
        <v>0</v>
      </c>
      <c r="E8" s="146">
        <v>1000000</v>
      </c>
      <c r="F8" s="146">
        <v>1000000</v>
      </c>
      <c r="G8" s="146">
        <v>420000</v>
      </c>
      <c r="H8" s="141">
        <v>500000</v>
      </c>
      <c r="I8" s="141">
        <v>100000</v>
      </c>
      <c r="J8" s="141">
        <v>630000</v>
      </c>
      <c r="K8" s="141">
        <v>100000</v>
      </c>
      <c r="L8" s="141">
        <v>170000</v>
      </c>
      <c r="M8" s="141">
        <v>0</v>
      </c>
      <c r="N8" s="141">
        <v>100000</v>
      </c>
      <c r="O8" s="141">
        <v>0</v>
      </c>
      <c r="P8" s="141">
        <v>2900000</v>
      </c>
      <c r="Q8" s="141">
        <v>0</v>
      </c>
      <c r="R8" s="141"/>
      <c r="S8" s="141">
        <v>0</v>
      </c>
      <c r="T8" s="141">
        <f t="shared" si="0"/>
        <v>6920000</v>
      </c>
      <c r="U8" s="22"/>
      <c r="V8" s="193"/>
    </row>
    <row r="9" spans="1:22" s="145" customFormat="1" x14ac:dyDescent="0.3">
      <c r="A9" s="327"/>
      <c r="B9" s="145" t="s">
        <v>78</v>
      </c>
      <c r="C9" s="146"/>
      <c r="D9" s="146">
        <v>0</v>
      </c>
      <c r="E9" s="146">
        <v>1000000</v>
      </c>
      <c r="F9" s="146">
        <v>1000000</v>
      </c>
      <c r="G9" s="146">
        <v>420000</v>
      </c>
      <c r="H9" s="141">
        <v>500000</v>
      </c>
      <c r="I9" s="141">
        <v>100000</v>
      </c>
      <c r="J9" s="141">
        <v>630000</v>
      </c>
      <c r="K9" s="141">
        <v>100000</v>
      </c>
      <c r="L9" s="141">
        <v>170000</v>
      </c>
      <c r="M9" s="141">
        <v>0</v>
      </c>
      <c r="N9" s="141">
        <v>100000</v>
      </c>
      <c r="O9" s="141">
        <v>0</v>
      </c>
      <c r="P9" s="141">
        <v>2000000</v>
      </c>
      <c r="Q9" s="141">
        <v>0</v>
      </c>
      <c r="R9" s="141"/>
      <c r="S9" s="141">
        <v>0</v>
      </c>
      <c r="T9" s="141">
        <f t="shared" si="0"/>
        <v>6020000</v>
      </c>
      <c r="U9" s="22"/>
      <c r="V9" s="193"/>
    </row>
    <row r="10" spans="1:22" s="145" customFormat="1" x14ac:dyDescent="0.3">
      <c r="A10" s="327"/>
      <c r="B10" s="145" t="s">
        <v>79</v>
      </c>
      <c r="C10" s="146"/>
      <c r="D10" s="146">
        <v>0</v>
      </c>
      <c r="E10" s="146">
        <v>1000000</v>
      </c>
      <c r="F10" s="146">
        <v>1000000</v>
      </c>
      <c r="G10" s="146">
        <v>420000</v>
      </c>
      <c r="H10" s="141">
        <v>500000</v>
      </c>
      <c r="I10" s="141">
        <v>100000</v>
      </c>
      <c r="J10" s="141">
        <v>630000</v>
      </c>
      <c r="K10" s="141">
        <v>100000</v>
      </c>
      <c r="L10" s="141">
        <v>170000</v>
      </c>
      <c r="M10" s="141">
        <v>0</v>
      </c>
      <c r="N10" s="141">
        <v>100000</v>
      </c>
      <c r="O10" s="141">
        <v>0</v>
      </c>
      <c r="P10" s="141">
        <v>2000000</v>
      </c>
      <c r="Q10" s="141">
        <v>0</v>
      </c>
      <c r="R10" s="141"/>
      <c r="S10" s="141">
        <v>0</v>
      </c>
      <c r="T10" s="141">
        <f t="shared" si="0"/>
        <v>6020000</v>
      </c>
      <c r="U10" s="22"/>
      <c r="V10" s="193"/>
    </row>
    <row r="11" spans="1:22" s="145" customFormat="1" x14ac:dyDescent="0.3">
      <c r="A11" s="327"/>
      <c r="B11" s="145" t="s">
        <v>80</v>
      </c>
      <c r="C11" s="146"/>
      <c r="D11" s="146">
        <v>0</v>
      </c>
      <c r="E11" s="146">
        <v>1000000</v>
      </c>
      <c r="F11" s="146">
        <v>1000000</v>
      </c>
      <c r="G11" s="146">
        <v>420000</v>
      </c>
      <c r="H11" s="141">
        <v>400000</v>
      </c>
      <c r="I11" s="141">
        <v>100000</v>
      </c>
      <c r="J11" s="141">
        <v>630000</v>
      </c>
      <c r="K11" s="141">
        <v>100000</v>
      </c>
      <c r="L11" s="141">
        <v>150000</v>
      </c>
      <c r="M11" s="141">
        <v>0</v>
      </c>
      <c r="N11" s="141">
        <v>100000</v>
      </c>
      <c r="O11" s="141">
        <v>0</v>
      </c>
      <c r="P11" s="141">
        <v>3000000</v>
      </c>
      <c r="Q11" s="141">
        <v>0</v>
      </c>
      <c r="R11" s="141"/>
      <c r="S11" s="141">
        <v>3580000</v>
      </c>
      <c r="T11" s="141">
        <f t="shared" si="0"/>
        <v>10480000</v>
      </c>
      <c r="U11" s="22"/>
      <c r="V11" s="193"/>
    </row>
    <row r="12" spans="1:22" s="145" customFormat="1" x14ac:dyDescent="0.3">
      <c r="A12" s="327"/>
      <c r="B12" s="145" t="s">
        <v>81</v>
      </c>
      <c r="C12" s="146"/>
      <c r="D12" s="146">
        <v>0</v>
      </c>
      <c r="E12" s="146">
        <v>0</v>
      </c>
      <c r="F12" s="146">
        <v>7000000</v>
      </c>
      <c r="G12" s="146">
        <v>420000</v>
      </c>
      <c r="H12" s="141">
        <v>400000</v>
      </c>
      <c r="I12" s="141">
        <v>100000</v>
      </c>
      <c r="J12" s="141">
        <v>630000</v>
      </c>
      <c r="K12" s="141">
        <v>100000</v>
      </c>
      <c r="L12" s="141">
        <v>1000000</v>
      </c>
      <c r="M12" s="141">
        <v>0</v>
      </c>
      <c r="N12" s="141">
        <v>100000</v>
      </c>
      <c r="O12" s="141">
        <v>0</v>
      </c>
      <c r="P12" s="141">
        <v>3000000</v>
      </c>
      <c r="Q12" s="141">
        <v>0</v>
      </c>
      <c r="R12" s="141"/>
      <c r="S12" s="141">
        <v>580000</v>
      </c>
      <c r="T12" s="141">
        <f t="shared" si="0"/>
        <v>13330000</v>
      </c>
      <c r="U12" s="141">
        <v>11500000</v>
      </c>
      <c r="V12" s="193"/>
    </row>
    <row r="13" spans="1:22" s="145" customFormat="1" x14ac:dyDescent="0.3">
      <c r="A13" s="327"/>
      <c r="B13" s="145" t="s">
        <v>82</v>
      </c>
      <c r="C13" s="146">
        <f xml:space="preserve"> U12 + 7150000</f>
        <v>18650000</v>
      </c>
      <c r="D13" s="146">
        <v>0</v>
      </c>
      <c r="E13" s="146">
        <v>0</v>
      </c>
      <c r="F13" s="146">
        <v>4000000</v>
      </c>
      <c r="G13" s="146">
        <v>420000</v>
      </c>
      <c r="H13" s="141">
        <v>200000</v>
      </c>
      <c r="I13" s="141">
        <v>100000</v>
      </c>
      <c r="J13" s="141">
        <v>630000</v>
      </c>
      <c r="K13" s="141">
        <v>100000</v>
      </c>
      <c r="L13" s="141">
        <v>1000000</v>
      </c>
      <c r="M13" s="141">
        <v>0</v>
      </c>
      <c r="N13" s="141">
        <v>100000</v>
      </c>
      <c r="O13" s="141">
        <v>750000</v>
      </c>
      <c r="P13" s="141">
        <v>3000000</v>
      </c>
      <c r="Q13" s="187">
        <v>0</v>
      </c>
      <c r="R13" s="187"/>
      <c r="S13" s="141">
        <f xml:space="preserve"> 580000 + 5400000 +700000</f>
        <v>6680000</v>
      </c>
      <c r="T13" s="141">
        <f t="shared" si="0"/>
        <v>16980000</v>
      </c>
      <c r="U13" s="141">
        <f xml:space="preserve"> C13 - T13</f>
        <v>1670000</v>
      </c>
      <c r="V13" s="193"/>
    </row>
    <row r="14" spans="1:22" s="168" customFormat="1" ht="17.25" thickBot="1" x14ac:dyDescent="0.35">
      <c r="A14" s="327"/>
      <c r="B14" s="189" t="s">
        <v>83</v>
      </c>
      <c r="C14" s="190">
        <f xml:space="preserve"> U13 + 7150000</f>
        <v>8820000</v>
      </c>
      <c r="D14" s="146">
        <v>0</v>
      </c>
      <c r="E14" s="190">
        <v>0</v>
      </c>
      <c r="F14" s="190">
        <v>1400000</v>
      </c>
      <c r="G14" s="190">
        <v>420000</v>
      </c>
      <c r="H14" s="191">
        <v>200000</v>
      </c>
      <c r="I14" s="191">
        <v>100000</v>
      </c>
      <c r="J14" s="191">
        <v>630000</v>
      </c>
      <c r="K14" s="191">
        <v>100000</v>
      </c>
      <c r="L14" s="191">
        <v>600000</v>
      </c>
      <c r="M14" s="191">
        <v>0</v>
      </c>
      <c r="N14" s="191">
        <v>100000</v>
      </c>
      <c r="O14" s="191">
        <v>300000</v>
      </c>
      <c r="P14" s="191">
        <v>3000000</v>
      </c>
      <c r="Q14" s="187">
        <v>0</v>
      </c>
      <c r="R14" s="187"/>
      <c r="S14" s="191">
        <v>1580000</v>
      </c>
      <c r="T14" s="191">
        <f t="shared" si="0"/>
        <v>8430000</v>
      </c>
      <c r="U14" s="191">
        <f xml:space="preserve"> C14 - T14 +1000000</f>
        <v>1390000</v>
      </c>
      <c r="V14" s="195"/>
    </row>
    <row r="15" spans="1:22" s="169" customFormat="1" x14ac:dyDescent="0.3">
      <c r="A15" s="327">
        <v>2024</v>
      </c>
      <c r="B15" s="145" t="s">
        <v>72</v>
      </c>
      <c r="C15" s="146">
        <f xml:space="preserve"> U14 + 7150000 +340000</f>
        <v>8880000</v>
      </c>
      <c r="D15" s="146">
        <v>0</v>
      </c>
      <c r="E15" s="146">
        <v>0</v>
      </c>
      <c r="F15" s="146">
        <v>0</v>
      </c>
      <c r="G15" s="146">
        <v>420000</v>
      </c>
      <c r="H15" s="141">
        <v>200000</v>
      </c>
      <c r="I15" s="141">
        <v>100000</v>
      </c>
      <c r="J15" s="141">
        <v>630000</v>
      </c>
      <c r="K15" s="141">
        <v>100000</v>
      </c>
      <c r="L15" s="141">
        <v>230000</v>
      </c>
      <c r="M15" s="141">
        <v>0</v>
      </c>
      <c r="N15" s="141">
        <v>100000</v>
      </c>
      <c r="O15" s="141">
        <v>1500000</v>
      </c>
      <c r="P15" s="141">
        <v>3100000</v>
      </c>
      <c r="Q15" s="141">
        <v>0</v>
      </c>
      <c r="R15" s="141"/>
      <c r="S15" s="141">
        <v>890000</v>
      </c>
      <c r="T15" s="141">
        <f t="shared" si="0"/>
        <v>7270000</v>
      </c>
      <c r="U15" s="141">
        <f t="shared" ref="U15:U25" si="1" xml:space="preserve"> C15 - T15</f>
        <v>1610000</v>
      </c>
      <c r="V15" s="196"/>
    </row>
    <row r="16" spans="1:22" s="145" customFormat="1" x14ac:dyDescent="0.3">
      <c r="A16" s="327"/>
      <c r="B16" s="145" t="s">
        <v>73</v>
      </c>
      <c r="C16" s="146">
        <f xml:space="preserve"> U15 + 7370000 + 1800000 + 1500000</f>
        <v>12280000</v>
      </c>
      <c r="D16" s="146">
        <v>0</v>
      </c>
      <c r="E16" s="146">
        <v>0</v>
      </c>
      <c r="F16" s="146">
        <v>0</v>
      </c>
      <c r="G16" s="146">
        <v>420000</v>
      </c>
      <c r="H16" s="141">
        <v>200000</v>
      </c>
      <c r="I16" s="141">
        <v>100000</v>
      </c>
      <c r="J16" s="141">
        <v>630000</v>
      </c>
      <c r="K16" s="141">
        <v>100000</v>
      </c>
      <c r="L16" s="141">
        <v>150000</v>
      </c>
      <c r="M16" s="141">
        <v>0</v>
      </c>
      <c r="N16" s="141">
        <v>100000</v>
      </c>
      <c r="O16" s="141">
        <v>2000000</v>
      </c>
      <c r="P16" s="141">
        <v>3000000</v>
      </c>
      <c r="Q16" s="141">
        <v>0</v>
      </c>
      <c r="R16" s="141"/>
      <c r="S16" s="141">
        <v>0</v>
      </c>
      <c r="T16" s="141">
        <f t="shared" si="0"/>
        <v>6700000</v>
      </c>
      <c r="U16" s="141">
        <f t="shared" si="1"/>
        <v>5580000</v>
      </c>
      <c r="V16" s="193"/>
    </row>
    <row r="17" spans="1:25" s="145" customFormat="1" x14ac:dyDescent="0.3">
      <c r="A17" s="327"/>
      <c r="B17" s="145" t="s">
        <v>74</v>
      </c>
      <c r="C17" s="146">
        <f xml:space="preserve"> U16 + 7370000</f>
        <v>12950000</v>
      </c>
      <c r="D17" s="146">
        <v>0</v>
      </c>
      <c r="E17" s="146">
        <v>0</v>
      </c>
      <c r="F17" s="146">
        <v>350000</v>
      </c>
      <c r="G17" s="146">
        <v>420000</v>
      </c>
      <c r="H17" s="141">
        <v>200000</v>
      </c>
      <c r="I17" s="141">
        <v>100000</v>
      </c>
      <c r="J17" s="141">
        <v>630000</v>
      </c>
      <c r="K17" s="141">
        <v>100000</v>
      </c>
      <c r="L17" s="141">
        <v>190000</v>
      </c>
      <c r="M17" s="141">
        <v>0</v>
      </c>
      <c r="N17" s="141">
        <v>100000</v>
      </c>
      <c r="O17" s="141">
        <v>0</v>
      </c>
      <c r="P17" s="141">
        <v>2000000</v>
      </c>
      <c r="Q17" s="141">
        <v>0</v>
      </c>
      <c r="R17" s="141"/>
      <c r="S17" s="141">
        <f xml:space="preserve"> 5000000</f>
        <v>5000000</v>
      </c>
      <c r="T17" s="141">
        <f t="shared" si="0"/>
        <v>9090000</v>
      </c>
      <c r="U17" s="141">
        <f t="shared" si="1"/>
        <v>3860000</v>
      </c>
      <c r="V17" s="193"/>
    </row>
    <row r="18" spans="1:25" s="145" customFormat="1" ht="17.25" customHeight="1" x14ac:dyDescent="0.3">
      <c r="A18" s="327"/>
      <c r="B18" s="145" t="s">
        <v>75</v>
      </c>
      <c r="C18" s="146">
        <f xml:space="preserve"> U17 + 7370000</f>
        <v>11230000</v>
      </c>
      <c r="D18" s="146">
        <v>0</v>
      </c>
      <c r="E18" s="146">
        <v>0</v>
      </c>
      <c r="F18" s="146">
        <v>0</v>
      </c>
      <c r="G18" s="146">
        <v>420000</v>
      </c>
      <c r="H18" s="141">
        <v>200000</v>
      </c>
      <c r="I18" s="141">
        <v>100000</v>
      </c>
      <c r="J18" s="141">
        <v>630000</v>
      </c>
      <c r="K18" s="141">
        <v>100000</v>
      </c>
      <c r="L18" s="141">
        <v>190000</v>
      </c>
      <c r="M18" s="141">
        <v>0</v>
      </c>
      <c r="N18" s="141">
        <v>100000</v>
      </c>
      <c r="O18" s="141">
        <v>400000</v>
      </c>
      <c r="P18" s="141">
        <v>4500000</v>
      </c>
      <c r="Q18" s="141">
        <v>0</v>
      </c>
      <c r="R18" s="141"/>
      <c r="S18" s="141">
        <v>1500000</v>
      </c>
      <c r="T18" s="141">
        <f t="shared" si="0"/>
        <v>8140000</v>
      </c>
      <c r="U18" s="141">
        <f t="shared" si="1"/>
        <v>3090000</v>
      </c>
      <c r="V18" s="193"/>
    </row>
    <row r="19" spans="1:25" s="145" customFormat="1" x14ac:dyDescent="0.3">
      <c r="A19" s="327"/>
      <c r="B19" s="145" t="s">
        <v>76</v>
      </c>
      <c r="C19" s="146">
        <f xml:space="preserve"> U18 + 7370000 +18700000</f>
        <v>29160000</v>
      </c>
      <c r="D19" s="146">
        <v>0</v>
      </c>
      <c r="E19" s="146">
        <v>1900000</v>
      </c>
      <c r="F19" s="146">
        <v>14000000</v>
      </c>
      <c r="G19" s="146">
        <v>420000</v>
      </c>
      <c r="H19" s="146">
        <v>200000</v>
      </c>
      <c r="I19" s="146">
        <v>100000</v>
      </c>
      <c r="J19" s="146">
        <v>630000</v>
      </c>
      <c r="K19" s="146">
        <v>100000</v>
      </c>
      <c r="L19" s="146">
        <v>190000</v>
      </c>
      <c r="M19" s="146">
        <v>0</v>
      </c>
      <c r="N19" s="146">
        <v>100000</v>
      </c>
      <c r="O19" s="146">
        <v>0</v>
      </c>
      <c r="P19" s="146">
        <v>3100000</v>
      </c>
      <c r="Q19" s="146">
        <v>400000</v>
      </c>
      <c r="R19" s="146"/>
      <c r="S19" s="146">
        <v>5800000</v>
      </c>
      <c r="T19" s="146">
        <f t="shared" si="0"/>
        <v>26940000</v>
      </c>
      <c r="U19" s="146">
        <f t="shared" si="1"/>
        <v>2220000</v>
      </c>
      <c r="V19" s="198"/>
    </row>
    <row r="20" spans="1:25" s="145" customFormat="1" ht="15.75" customHeight="1" x14ac:dyDescent="0.3">
      <c r="A20" s="327"/>
      <c r="B20" s="145" t="s">
        <v>77</v>
      </c>
      <c r="C20" s="146">
        <f xml:space="preserve"> U19 + 7370000 +1000000 + 900000 + 12000000</f>
        <v>23490000</v>
      </c>
      <c r="D20" s="146">
        <v>0</v>
      </c>
      <c r="E20" s="146">
        <v>0</v>
      </c>
      <c r="F20" s="146">
        <v>0</v>
      </c>
      <c r="G20" s="146">
        <v>420000</v>
      </c>
      <c r="H20" s="146">
        <v>200000</v>
      </c>
      <c r="I20" s="146">
        <v>100000</v>
      </c>
      <c r="J20" s="146">
        <v>630000</v>
      </c>
      <c r="K20" s="146">
        <v>100000</v>
      </c>
      <c r="L20" s="146">
        <v>190000</v>
      </c>
      <c r="M20" s="146">
        <v>0</v>
      </c>
      <c r="N20" s="146">
        <v>100000</v>
      </c>
      <c r="O20" s="146">
        <v>500000</v>
      </c>
      <c r="P20" s="146">
        <v>3000000</v>
      </c>
      <c r="Q20" s="146">
        <v>0</v>
      </c>
      <c r="R20" s="146"/>
      <c r="S20" s="146">
        <v>1640000</v>
      </c>
      <c r="T20" s="146">
        <f t="shared" si="0"/>
        <v>6880000</v>
      </c>
      <c r="U20" s="146">
        <f t="shared" si="1"/>
        <v>16610000</v>
      </c>
      <c r="V20" s="198"/>
    </row>
    <row r="21" spans="1:25" s="145" customFormat="1" x14ac:dyDescent="0.3">
      <c r="A21" s="327"/>
      <c r="B21" s="145" t="s">
        <v>78</v>
      </c>
      <c r="C21" s="146">
        <f xml:space="preserve"> U20 + 7370000 + 550000</f>
        <v>24530000</v>
      </c>
      <c r="D21" s="146">
        <v>0</v>
      </c>
      <c r="E21" s="146">
        <v>1800000</v>
      </c>
      <c r="F21" s="146">
        <v>0</v>
      </c>
      <c r="G21" s="146">
        <v>420000</v>
      </c>
      <c r="H21" s="146">
        <v>200000</v>
      </c>
      <c r="I21" s="146">
        <v>100000</v>
      </c>
      <c r="J21" s="146">
        <v>630000</v>
      </c>
      <c r="K21" s="146">
        <v>100000</v>
      </c>
      <c r="L21" s="146">
        <v>190000</v>
      </c>
      <c r="M21" s="146">
        <v>0</v>
      </c>
      <c r="N21" s="146">
        <v>100000</v>
      </c>
      <c r="O21" s="146">
        <v>650000</v>
      </c>
      <c r="P21" s="146">
        <v>6300000</v>
      </c>
      <c r="Q21" s="148">
        <v>3300000</v>
      </c>
      <c r="R21" s="148"/>
      <c r="S21" s="146">
        <v>1640000</v>
      </c>
      <c r="T21" s="146">
        <f t="shared" si="0"/>
        <v>15430000</v>
      </c>
      <c r="U21" s="146">
        <f t="shared" si="1"/>
        <v>9100000</v>
      </c>
      <c r="V21" s="198"/>
    </row>
    <row r="22" spans="1:25" s="145" customFormat="1" x14ac:dyDescent="0.3">
      <c r="A22" s="327"/>
      <c r="B22" s="145" t="s">
        <v>79</v>
      </c>
      <c r="C22" s="146">
        <f xml:space="preserve"> U21 + 7370000 +1400000</f>
        <v>17870000</v>
      </c>
      <c r="D22" s="146">
        <v>0</v>
      </c>
      <c r="E22" s="146">
        <v>0</v>
      </c>
      <c r="F22" s="146">
        <v>0</v>
      </c>
      <c r="G22" s="146">
        <v>420000</v>
      </c>
      <c r="H22" s="146">
        <v>200000</v>
      </c>
      <c r="I22" s="146">
        <v>100000</v>
      </c>
      <c r="J22" s="146">
        <v>630000</v>
      </c>
      <c r="K22" s="146">
        <v>100000</v>
      </c>
      <c r="L22" s="146">
        <v>190000</v>
      </c>
      <c r="M22" s="146">
        <v>0</v>
      </c>
      <c r="N22" s="146">
        <v>100000</v>
      </c>
      <c r="O22" s="146">
        <v>0</v>
      </c>
      <c r="P22" s="146">
        <v>2200000</v>
      </c>
      <c r="Q22" s="146">
        <v>1200000</v>
      </c>
      <c r="R22" s="146"/>
      <c r="S22" s="146">
        <v>1640000</v>
      </c>
      <c r="T22" s="146">
        <f t="shared" si="0"/>
        <v>6780000</v>
      </c>
      <c r="U22" s="146">
        <f t="shared" si="1"/>
        <v>11090000</v>
      </c>
      <c r="V22" s="198"/>
    </row>
    <row r="23" spans="1:25" s="145" customFormat="1" x14ac:dyDescent="0.3">
      <c r="A23" s="327"/>
      <c r="B23" s="145" t="s">
        <v>80</v>
      </c>
      <c r="C23" s="146">
        <f t="shared" ref="C23" si="2" xml:space="preserve"> U22 + 7370000</f>
        <v>18460000</v>
      </c>
      <c r="D23" s="146">
        <v>0</v>
      </c>
      <c r="E23" s="146">
        <v>0</v>
      </c>
      <c r="F23" s="146">
        <v>0</v>
      </c>
      <c r="G23" s="146">
        <v>420000</v>
      </c>
      <c r="H23" s="146">
        <v>200000</v>
      </c>
      <c r="I23" s="146">
        <v>100000</v>
      </c>
      <c r="J23" s="146">
        <v>630000</v>
      </c>
      <c r="K23" s="146">
        <v>100000</v>
      </c>
      <c r="L23" s="146">
        <v>190000</v>
      </c>
      <c r="M23" s="146">
        <v>0</v>
      </c>
      <c r="N23" s="146">
        <v>100000</v>
      </c>
      <c r="O23" s="146">
        <v>0</v>
      </c>
      <c r="P23" s="146">
        <v>1500000</v>
      </c>
      <c r="Q23" s="146">
        <v>400000</v>
      </c>
      <c r="R23" s="146">
        <f xml:space="preserve"> 69000 +45000 +600000</f>
        <v>714000</v>
      </c>
      <c r="S23" s="146">
        <v>1300000</v>
      </c>
      <c r="T23" s="146">
        <f t="shared" si="0"/>
        <v>5654000</v>
      </c>
      <c r="U23" s="146">
        <f t="shared" si="1"/>
        <v>12806000</v>
      </c>
      <c r="V23" s="198"/>
    </row>
    <row r="24" spans="1:25" s="145" customFormat="1" x14ac:dyDescent="0.3">
      <c r="A24" s="327"/>
      <c r="B24" s="145" t="s">
        <v>81</v>
      </c>
      <c r="C24" s="146">
        <f xml:space="preserve"> U23 + 7370000 + 5000000 + 5000000</f>
        <v>30176000</v>
      </c>
      <c r="D24" s="146">
        <v>0</v>
      </c>
      <c r="E24" s="146">
        <v>1459000</v>
      </c>
      <c r="F24" s="146">
        <v>0</v>
      </c>
      <c r="G24" s="146">
        <v>420000</v>
      </c>
      <c r="H24" s="146">
        <v>200000</v>
      </c>
      <c r="I24" s="146">
        <v>100000</v>
      </c>
      <c r="J24" s="146">
        <v>630000</v>
      </c>
      <c r="K24" s="146">
        <v>100000</v>
      </c>
      <c r="L24" s="146">
        <v>190000</v>
      </c>
      <c r="M24" s="146">
        <v>0</v>
      </c>
      <c r="N24" s="146">
        <v>100000</v>
      </c>
      <c r="O24" s="146">
        <v>0</v>
      </c>
      <c r="P24" s="146">
        <v>1700000</v>
      </c>
      <c r="Q24" s="146">
        <v>2800000</v>
      </c>
      <c r="R24" s="146">
        <v>5000000</v>
      </c>
      <c r="S24" s="146">
        <v>12500000</v>
      </c>
      <c r="T24" s="146">
        <f t="shared" si="0"/>
        <v>25199000</v>
      </c>
      <c r="U24" s="146">
        <f t="shared" si="1"/>
        <v>4977000</v>
      </c>
      <c r="V24" s="198"/>
    </row>
    <row r="25" spans="1:25" s="145" customFormat="1" x14ac:dyDescent="0.3">
      <c r="A25" s="327"/>
      <c r="B25" s="145" t="s">
        <v>82</v>
      </c>
      <c r="C25" s="146">
        <f xml:space="preserve"> U24 + 7370000 +10700000 + 1000000 + 1200000</f>
        <v>25247000</v>
      </c>
      <c r="D25" s="146">
        <v>0</v>
      </c>
      <c r="E25" s="146">
        <v>1090000</v>
      </c>
      <c r="F25" s="146">
        <v>5000000</v>
      </c>
      <c r="G25" s="146">
        <v>420000</v>
      </c>
      <c r="H25" s="146">
        <v>200000</v>
      </c>
      <c r="I25" s="146">
        <v>100000</v>
      </c>
      <c r="J25" s="146">
        <v>630000</v>
      </c>
      <c r="K25" s="146">
        <v>100000</v>
      </c>
      <c r="L25" s="146">
        <v>190000</v>
      </c>
      <c r="M25" s="146">
        <v>0</v>
      </c>
      <c r="N25" s="146">
        <v>100000</v>
      </c>
      <c r="O25" s="146">
        <v>0</v>
      </c>
      <c r="P25" s="146">
        <v>0</v>
      </c>
      <c r="Q25" s="146">
        <v>8000000</v>
      </c>
      <c r="R25" s="146">
        <v>0</v>
      </c>
      <c r="S25" s="146">
        <v>5000000</v>
      </c>
      <c r="T25" s="146">
        <f t="shared" si="0"/>
        <v>20830000</v>
      </c>
      <c r="U25" s="146">
        <f t="shared" si="1"/>
        <v>4417000</v>
      </c>
      <c r="V25" s="198"/>
      <c r="W25" s="145" t="s">
        <v>185</v>
      </c>
      <c r="Y25" s="145" t="s">
        <v>191</v>
      </c>
    </row>
    <row r="26" spans="1:25" s="251" customFormat="1" ht="17.25" thickBot="1" x14ac:dyDescent="0.35">
      <c r="A26" s="327"/>
      <c r="B26" s="249" t="s">
        <v>83</v>
      </c>
      <c r="C26" s="190">
        <f xml:space="preserve"> U25 + 7370000 + 10200000 + 60000000 + 1200000 + 300000 +6400000</f>
        <v>89887000</v>
      </c>
      <c r="D26" s="148">
        <v>0</v>
      </c>
      <c r="E26" s="190">
        <v>0</v>
      </c>
      <c r="F26" s="148">
        <v>71000000</v>
      </c>
      <c r="G26" s="190">
        <v>420000</v>
      </c>
      <c r="H26" s="190">
        <v>200000</v>
      </c>
      <c r="I26" s="190">
        <v>100000</v>
      </c>
      <c r="J26" s="148">
        <v>770000</v>
      </c>
      <c r="K26" s="148">
        <v>150000</v>
      </c>
      <c r="L26" s="148">
        <v>250000</v>
      </c>
      <c r="M26" s="190">
        <v>0</v>
      </c>
      <c r="N26" s="148">
        <v>200000</v>
      </c>
      <c r="O26" s="148">
        <v>400000</v>
      </c>
      <c r="P26" s="148">
        <v>2500000</v>
      </c>
      <c r="Q26" s="148">
        <v>1900000</v>
      </c>
      <c r="R26" s="148">
        <v>0</v>
      </c>
      <c r="S26" s="148">
        <v>600000</v>
      </c>
      <c r="T26" s="190">
        <f t="shared" si="0"/>
        <v>78490000</v>
      </c>
      <c r="U26" s="190">
        <f t="shared" ref="U26:U57" si="3" xml:space="preserve"> (C26+D26) - T26</f>
        <v>11397000</v>
      </c>
      <c r="V26" s="250"/>
      <c r="W26" s="251" t="s">
        <v>188</v>
      </c>
    </row>
    <row r="27" spans="1:25" s="169" customFormat="1" x14ac:dyDescent="0.3">
      <c r="A27" s="327">
        <v>2025</v>
      </c>
      <c r="B27" s="145" t="s">
        <v>72</v>
      </c>
      <c r="C27" s="146">
        <f xml:space="preserve"> U26 + 7590000 +600000 + 2000000</f>
        <v>21587000</v>
      </c>
      <c r="D27" s="146">
        <v>1200000</v>
      </c>
      <c r="E27" s="146">
        <v>3240000</v>
      </c>
      <c r="F27" s="146">
        <v>0</v>
      </c>
      <c r="G27" s="146">
        <v>420000</v>
      </c>
      <c r="H27" s="146">
        <v>200000</v>
      </c>
      <c r="I27" s="146">
        <v>100000</v>
      </c>
      <c r="J27" s="146">
        <v>900000</v>
      </c>
      <c r="K27" s="146">
        <v>150000</v>
      </c>
      <c r="L27" s="146">
        <v>250000</v>
      </c>
      <c r="M27" s="146">
        <v>0</v>
      </c>
      <c r="N27" s="146">
        <v>300000</v>
      </c>
      <c r="O27" s="146">
        <v>400000</v>
      </c>
      <c r="P27" s="146">
        <v>2100000</v>
      </c>
      <c r="Q27" s="146">
        <v>1300000</v>
      </c>
      <c r="R27" s="146">
        <v>8000000</v>
      </c>
      <c r="S27" s="146">
        <v>600000</v>
      </c>
      <c r="T27" s="146">
        <f t="shared" si="0"/>
        <v>17960000</v>
      </c>
      <c r="U27" s="248">
        <f t="shared" si="3"/>
        <v>4827000</v>
      </c>
      <c r="V27" s="198"/>
    </row>
    <row r="28" spans="1:25" s="145" customFormat="1" x14ac:dyDescent="0.3">
      <c r="A28" s="327"/>
      <c r="B28" s="145" t="s">
        <v>73</v>
      </c>
      <c r="C28" s="146">
        <f t="shared" ref="C28:C34" si="4" xml:space="preserve"> U27 + 7590000</f>
        <v>12417000</v>
      </c>
      <c r="D28" s="146">
        <v>5700000</v>
      </c>
      <c r="E28" s="146">
        <v>0</v>
      </c>
      <c r="F28" s="146">
        <v>0</v>
      </c>
      <c r="G28" s="146">
        <v>420000</v>
      </c>
      <c r="H28" s="146">
        <v>200000</v>
      </c>
      <c r="I28" s="146">
        <v>100000</v>
      </c>
      <c r="J28" s="146">
        <v>1100000</v>
      </c>
      <c r="K28" s="146">
        <v>150000</v>
      </c>
      <c r="L28" s="146">
        <v>250000</v>
      </c>
      <c r="M28" s="146">
        <v>0</v>
      </c>
      <c r="N28" s="146">
        <v>500000</v>
      </c>
      <c r="O28" s="146">
        <v>0</v>
      </c>
      <c r="P28" s="146">
        <v>3000000</v>
      </c>
      <c r="Q28" s="146">
        <v>450000</v>
      </c>
      <c r="R28" s="146">
        <v>200000</v>
      </c>
      <c r="S28" s="146">
        <v>600000</v>
      </c>
      <c r="T28" s="146">
        <f t="shared" si="0"/>
        <v>6970000</v>
      </c>
      <c r="U28" s="248">
        <f t="shared" si="3"/>
        <v>11147000</v>
      </c>
      <c r="V28" s="198"/>
    </row>
    <row r="29" spans="1:25" s="145" customFormat="1" x14ac:dyDescent="0.3">
      <c r="A29" s="327"/>
      <c r="B29" s="145" t="s">
        <v>74</v>
      </c>
      <c r="C29" s="146">
        <f xml:space="preserve"> U28 + 7590000</f>
        <v>18737000</v>
      </c>
      <c r="D29" s="146">
        <v>12700000</v>
      </c>
      <c r="E29" s="146">
        <v>0</v>
      </c>
      <c r="F29" s="146">
        <v>0</v>
      </c>
      <c r="G29" s="146">
        <v>420000</v>
      </c>
      <c r="H29" s="146">
        <v>200000</v>
      </c>
      <c r="I29" s="146">
        <v>100000</v>
      </c>
      <c r="J29" s="146">
        <v>1100000</v>
      </c>
      <c r="K29" s="146">
        <v>150000</v>
      </c>
      <c r="L29" s="146">
        <v>200000</v>
      </c>
      <c r="M29" s="146">
        <v>0</v>
      </c>
      <c r="N29" s="146">
        <v>500000</v>
      </c>
      <c r="O29" s="146">
        <v>0</v>
      </c>
      <c r="P29" s="146">
        <v>3700000</v>
      </c>
      <c r="Q29" s="146">
        <v>500000</v>
      </c>
      <c r="R29" s="146">
        <v>0</v>
      </c>
      <c r="S29" s="146">
        <v>0</v>
      </c>
      <c r="T29" s="146">
        <f t="shared" si="0"/>
        <v>6870000</v>
      </c>
      <c r="U29" s="248">
        <f t="shared" si="3"/>
        <v>24567000</v>
      </c>
      <c r="V29" s="198"/>
    </row>
    <row r="30" spans="1:25" s="145" customFormat="1" x14ac:dyDescent="0.3">
      <c r="A30" s="327"/>
      <c r="B30" s="145" t="s">
        <v>75</v>
      </c>
      <c r="C30" s="146">
        <f t="shared" si="4"/>
        <v>32157000</v>
      </c>
      <c r="D30" s="146">
        <f xml:space="preserve"> 2500000 + 30000000</f>
        <v>32500000</v>
      </c>
      <c r="E30" s="146">
        <v>1500000</v>
      </c>
      <c r="F30" s="146">
        <v>40000000</v>
      </c>
      <c r="G30" s="146">
        <v>420000</v>
      </c>
      <c r="H30" s="146">
        <v>200000</v>
      </c>
      <c r="I30" s="146">
        <v>100000</v>
      </c>
      <c r="J30" s="146">
        <v>1100000</v>
      </c>
      <c r="K30" s="146">
        <v>150000</v>
      </c>
      <c r="L30" s="146">
        <v>200000</v>
      </c>
      <c r="M30" s="146">
        <v>0</v>
      </c>
      <c r="N30" s="146">
        <v>500000</v>
      </c>
      <c r="O30" s="146">
        <v>0</v>
      </c>
      <c r="P30" s="146">
        <v>2300000</v>
      </c>
      <c r="Q30" s="146">
        <v>3000000</v>
      </c>
      <c r="R30" s="146">
        <v>0</v>
      </c>
      <c r="S30" s="146">
        <v>300000</v>
      </c>
      <c r="T30" s="146">
        <f t="shared" si="0"/>
        <v>49770000</v>
      </c>
      <c r="U30" s="248">
        <f t="shared" si="3"/>
        <v>14887000</v>
      </c>
      <c r="V30" s="198" t="s">
        <v>210</v>
      </c>
    </row>
    <row r="31" spans="1:25" s="145" customFormat="1" x14ac:dyDescent="0.3">
      <c r="A31" s="327"/>
      <c r="B31" s="145" t="s">
        <v>76</v>
      </c>
      <c r="C31" s="146">
        <f t="shared" si="4"/>
        <v>22477000</v>
      </c>
      <c r="D31" s="146">
        <v>0</v>
      </c>
      <c r="E31" s="146">
        <v>1200000</v>
      </c>
      <c r="F31" s="146">
        <v>0</v>
      </c>
      <c r="G31" s="146">
        <v>420000</v>
      </c>
      <c r="H31" s="146">
        <v>200000</v>
      </c>
      <c r="I31" s="146">
        <v>100000</v>
      </c>
      <c r="J31" s="146">
        <v>1100000</v>
      </c>
      <c r="K31" s="146">
        <v>150000</v>
      </c>
      <c r="L31" s="146">
        <v>200000</v>
      </c>
      <c r="M31" s="146">
        <v>0</v>
      </c>
      <c r="N31" s="146">
        <v>500000</v>
      </c>
      <c r="O31" s="146">
        <v>0</v>
      </c>
      <c r="P31" s="146">
        <v>2000000</v>
      </c>
      <c r="Q31" s="146">
        <v>500000</v>
      </c>
      <c r="R31" s="146">
        <v>3000000</v>
      </c>
      <c r="S31" s="146">
        <v>300000</v>
      </c>
      <c r="T31" s="146">
        <f t="shared" si="0"/>
        <v>9670000</v>
      </c>
      <c r="U31" s="248">
        <f t="shared" si="3"/>
        <v>12807000</v>
      </c>
      <c r="V31" s="255" t="s">
        <v>211</v>
      </c>
    </row>
    <row r="32" spans="1:25" x14ac:dyDescent="0.3">
      <c r="A32" s="327"/>
      <c r="B32" s="1" t="s">
        <v>77</v>
      </c>
      <c r="C32" s="149">
        <f t="shared" si="4"/>
        <v>20397000</v>
      </c>
      <c r="D32" s="150">
        <f xml:space="preserve"> 35000000 + 108000000 +30000000 +10000000</f>
        <v>183000000</v>
      </c>
      <c r="E32" s="150">
        <v>0</v>
      </c>
      <c r="F32" s="150">
        <v>0</v>
      </c>
      <c r="G32" s="2">
        <v>420000</v>
      </c>
      <c r="H32" s="2">
        <v>200000</v>
      </c>
      <c r="I32" s="2">
        <v>100000</v>
      </c>
      <c r="J32" s="2">
        <v>1100000</v>
      </c>
      <c r="K32" s="2">
        <v>150000</v>
      </c>
      <c r="L32" s="185">
        <v>150000</v>
      </c>
      <c r="M32" s="2">
        <v>0</v>
      </c>
      <c r="N32" s="2">
        <v>500000</v>
      </c>
      <c r="O32" s="2">
        <v>0</v>
      </c>
      <c r="P32" s="2">
        <v>2150000</v>
      </c>
      <c r="Q32" s="2">
        <v>1260000</v>
      </c>
      <c r="R32" s="2">
        <v>38000000</v>
      </c>
      <c r="S32" s="2">
        <v>70300000</v>
      </c>
      <c r="T32" s="2">
        <f t="shared" si="0"/>
        <v>114330000</v>
      </c>
      <c r="U32" s="240">
        <f t="shared" si="3"/>
        <v>89067000</v>
      </c>
      <c r="V32" s="197" t="s">
        <v>219</v>
      </c>
    </row>
    <row r="33" spans="1:22" x14ac:dyDescent="0.3">
      <c r="A33" s="327"/>
      <c r="B33" s="1" t="s">
        <v>78</v>
      </c>
      <c r="C33" s="149">
        <f t="shared" si="4"/>
        <v>96657000</v>
      </c>
      <c r="D33" s="150">
        <v>40000000</v>
      </c>
      <c r="E33" s="2">
        <v>1500000</v>
      </c>
      <c r="F33" s="150">
        <v>0</v>
      </c>
      <c r="G33" s="2">
        <v>420000</v>
      </c>
      <c r="H33" s="151">
        <v>0</v>
      </c>
      <c r="I33" s="2">
        <v>100000</v>
      </c>
      <c r="J33" s="2">
        <v>1100000</v>
      </c>
      <c r="K33" s="2">
        <v>150000</v>
      </c>
      <c r="L33" s="185">
        <v>150000</v>
      </c>
      <c r="M33" s="2">
        <v>0</v>
      </c>
      <c r="N33" s="2">
        <v>500000</v>
      </c>
      <c r="O33" s="2">
        <v>0</v>
      </c>
      <c r="P33" s="2">
        <v>1500000</v>
      </c>
      <c r="Q33" s="2">
        <v>0</v>
      </c>
      <c r="R33" s="2">
        <v>38000000</v>
      </c>
      <c r="S33" s="2">
        <v>300000</v>
      </c>
      <c r="T33" s="2">
        <f t="shared" si="0"/>
        <v>43720000</v>
      </c>
      <c r="U33" s="240">
        <f t="shared" si="3"/>
        <v>92937000</v>
      </c>
      <c r="V33" s="197"/>
    </row>
    <row r="34" spans="1:22" s="284" customFormat="1" x14ac:dyDescent="0.3">
      <c r="A34" s="327"/>
      <c r="B34" s="284" t="s">
        <v>79</v>
      </c>
      <c r="C34" s="285">
        <f t="shared" si="4"/>
        <v>100527000</v>
      </c>
      <c r="D34" s="285">
        <f xml:space="preserve"> 6800000 + 256000000 + 15000000</f>
        <v>277800000</v>
      </c>
      <c r="E34" s="285">
        <v>0</v>
      </c>
      <c r="F34" s="285">
        <v>0</v>
      </c>
      <c r="G34" s="285">
        <v>420000</v>
      </c>
      <c r="H34" s="285">
        <v>0</v>
      </c>
      <c r="I34" s="285">
        <v>100000</v>
      </c>
      <c r="J34" s="285">
        <v>1100000</v>
      </c>
      <c r="K34" s="285">
        <v>150000</v>
      </c>
      <c r="L34" s="285">
        <v>150000</v>
      </c>
      <c r="M34" s="285">
        <v>0</v>
      </c>
      <c r="N34" s="285">
        <v>500000</v>
      </c>
      <c r="O34" s="285">
        <v>0</v>
      </c>
      <c r="P34" s="285">
        <v>1500000</v>
      </c>
      <c r="Q34" s="285">
        <v>10000000</v>
      </c>
      <c r="R34" s="285">
        <v>304000000</v>
      </c>
      <c r="S34" s="285">
        <v>50300000</v>
      </c>
      <c r="T34" s="285">
        <f t="shared" si="0"/>
        <v>368220000</v>
      </c>
      <c r="U34" s="286">
        <f t="shared" si="3"/>
        <v>10107000</v>
      </c>
      <c r="V34" s="284" t="s">
        <v>233</v>
      </c>
    </row>
    <row r="35" spans="1:22" s="153" customFormat="1" ht="17.25" customHeight="1" x14ac:dyDescent="0.3">
      <c r="A35" s="327"/>
      <c r="B35" s="153" t="s">
        <v>80</v>
      </c>
      <c r="C35" s="149">
        <f t="shared" ref="C35:C42" si="5" xml:space="preserve"> U34 + 7590000</f>
        <v>17697000</v>
      </c>
      <c r="D35" s="150"/>
      <c r="E35" s="150">
        <v>0</v>
      </c>
      <c r="F35" s="150">
        <v>500000</v>
      </c>
      <c r="G35" s="2">
        <v>420000</v>
      </c>
      <c r="H35" s="2">
        <v>1400000</v>
      </c>
      <c r="I35" s="2">
        <v>0</v>
      </c>
      <c r="J35" s="2">
        <v>1100000</v>
      </c>
      <c r="K35" s="2">
        <v>500000</v>
      </c>
      <c r="L35" s="185">
        <v>150000</v>
      </c>
      <c r="M35" s="2">
        <v>0</v>
      </c>
      <c r="N35" s="2">
        <v>500000</v>
      </c>
      <c r="O35" s="2">
        <v>0</v>
      </c>
      <c r="P35" s="2">
        <v>1500000</v>
      </c>
      <c r="Q35" s="2">
        <v>500000</v>
      </c>
      <c r="R35" s="2">
        <v>0</v>
      </c>
      <c r="S35" s="2">
        <v>50000</v>
      </c>
      <c r="T35" s="154">
        <f t="shared" ref="T35:T66" si="6">SUM(E35:S35)</f>
        <v>6620000</v>
      </c>
      <c r="U35" s="240">
        <f t="shared" si="3"/>
        <v>11077000</v>
      </c>
    </row>
    <row r="36" spans="1:22" s="76" customFormat="1" x14ac:dyDescent="0.3">
      <c r="A36" s="327"/>
      <c r="B36" s="76" t="s">
        <v>81</v>
      </c>
      <c r="C36" s="151">
        <f t="shared" si="5"/>
        <v>18667000</v>
      </c>
      <c r="D36" s="151"/>
      <c r="E36" s="151">
        <v>1500000</v>
      </c>
      <c r="F36" s="150">
        <v>500000</v>
      </c>
      <c r="G36" s="151">
        <v>420000</v>
      </c>
      <c r="H36" s="2">
        <v>1400000</v>
      </c>
      <c r="I36" s="2">
        <v>0</v>
      </c>
      <c r="J36" s="151">
        <v>1100000</v>
      </c>
      <c r="K36" s="2">
        <v>500000</v>
      </c>
      <c r="L36" s="185">
        <v>150000</v>
      </c>
      <c r="M36" s="151">
        <v>0</v>
      </c>
      <c r="N36" s="151">
        <v>500000</v>
      </c>
      <c r="O36" s="151">
        <v>0</v>
      </c>
      <c r="P36" s="2">
        <v>1500000</v>
      </c>
      <c r="Q36" s="2">
        <v>0</v>
      </c>
      <c r="R36" s="2">
        <v>0</v>
      </c>
      <c r="S36" s="2">
        <v>50000</v>
      </c>
      <c r="T36" s="151">
        <f t="shared" si="6"/>
        <v>7620000</v>
      </c>
      <c r="U36" s="252">
        <f t="shared" si="3"/>
        <v>11047000</v>
      </c>
    </row>
    <row r="37" spans="1:22" x14ac:dyDescent="0.3">
      <c r="A37" s="327"/>
      <c r="B37" s="1" t="s">
        <v>82</v>
      </c>
      <c r="C37" s="149">
        <f t="shared" si="5"/>
        <v>18637000</v>
      </c>
      <c r="D37" s="150">
        <v>0</v>
      </c>
      <c r="E37" s="150">
        <v>0</v>
      </c>
      <c r="F37" s="150">
        <v>500000</v>
      </c>
      <c r="G37" s="2">
        <v>420000</v>
      </c>
      <c r="H37" s="2">
        <v>1400000</v>
      </c>
      <c r="I37" s="2">
        <v>0</v>
      </c>
      <c r="J37" s="2">
        <v>1100000</v>
      </c>
      <c r="K37" s="2">
        <v>500000</v>
      </c>
      <c r="L37" s="185">
        <v>150000</v>
      </c>
      <c r="M37" s="2">
        <v>0</v>
      </c>
      <c r="N37" s="2">
        <v>500000</v>
      </c>
      <c r="O37" s="2">
        <v>0</v>
      </c>
      <c r="P37" s="2">
        <v>1500000</v>
      </c>
      <c r="Q37" s="2">
        <v>500000</v>
      </c>
      <c r="R37" s="2">
        <v>0</v>
      </c>
      <c r="S37" s="2">
        <v>50000</v>
      </c>
      <c r="T37" s="2">
        <f t="shared" si="6"/>
        <v>6620000</v>
      </c>
      <c r="U37" s="240">
        <f t="shared" si="3"/>
        <v>12017000</v>
      </c>
    </row>
    <row r="38" spans="1:22" s="265" customFormat="1" ht="17.25" thickBot="1" x14ac:dyDescent="0.35">
      <c r="A38" s="327"/>
      <c r="B38" s="262" t="s">
        <v>83</v>
      </c>
      <c r="C38" s="263">
        <f t="shared" si="5"/>
        <v>19607000</v>
      </c>
      <c r="D38" s="257">
        <v>0</v>
      </c>
      <c r="E38" s="264">
        <v>0</v>
      </c>
      <c r="F38" s="150">
        <v>500000</v>
      </c>
      <c r="G38" s="264">
        <v>420000</v>
      </c>
      <c r="H38" s="257">
        <v>1400000</v>
      </c>
      <c r="I38" s="263">
        <v>0</v>
      </c>
      <c r="J38" s="263">
        <v>1100000</v>
      </c>
      <c r="K38" s="257">
        <v>500000</v>
      </c>
      <c r="L38" s="257">
        <v>150000</v>
      </c>
      <c r="M38" s="264">
        <v>0</v>
      </c>
      <c r="N38" s="263">
        <v>500000</v>
      </c>
      <c r="O38" s="263">
        <v>0</v>
      </c>
      <c r="P38" s="263">
        <v>1500000</v>
      </c>
      <c r="Q38" s="257">
        <v>0</v>
      </c>
      <c r="R38" s="263">
        <v>0</v>
      </c>
      <c r="S38" s="257">
        <v>10050000</v>
      </c>
      <c r="T38" s="264">
        <f t="shared" si="6"/>
        <v>16120000</v>
      </c>
      <c r="U38" s="264">
        <f t="shared" si="3"/>
        <v>3487000</v>
      </c>
    </row>
    <row r="39" spans="1:22" s="183" customFormat="1" x14ac:dyDescent="0.3">
      <c r="A39" s="327">
        <v>2026</v>
      </c>
      <c r="B39" s="186" t="s">
        <v>72</v>
      </c>
      <c r="C39" s="184">
        <f t="shared" si="5"/>
        <v>11077000</v>
      </c>
      <c r="D39" s="150">
        <v>0</v>
      </c>
      <c r="E39" s="2">
        <v>1500000</v>
      </c>
      <c r="F39" s="150">
        <v>500000</v>
      </c>
      <c r="G39" s="184">
        <v>420000</v>
      </c>
      <c r="H39" s="2">
        <v>1400000</v>
      </c>
      <c r="I39" s="184">
        <v>0</v>
      </c>
      <c r="J39" s="2">
        <v>1100000</v>
      </c>
      <c r="K39" s="2">
        <v>500000</v>
      </c>
      <c r="L39" s="185">
        <v>150000</v>
      </c>
      <c r="M39" s="184">
        <v>0</v>
      </c>
      <c r="N39" s="2">
        <v>500000</v>
      </c>
      <c r="O39" s="2">
        <v>0</v>
      </c>
      <c r="P39" s="2">
        <v>1500000</v>
      </c>
      <c r="Q39" s="2">
        <v>0</v>
      </c>
      <c r="R39" s="2">
        <v>0</v>
      </c>
      <c r="S39" s="2">
        <v>0</v>
      </c>
      <c r="T39" s="184">
        <f t="shared" si="6"/>
        <v>7570000</v>
      </c>
      <c r="U39" s="240">
        <f t="shared" si="3"/>
        <v>3507000</v>
      </c>
    </row>
    <row r="40" spans="1:22" s="76" customFormat="1" x14ac:dyDescent="0.3">
      <c r="A40" s="327"/>
      <c r="B40" s="76" t="s">
        <v>73</v>
      </c>
      <c r="C40" s="151">
        <f t="shared" si="5"/>
        <v>11097000</v>
      </c>
      <c r="D40" s="150">
        <v>0</v>
      </c>
      <c r="E40" s="150">
        <v>0</v>
      </c>
      <c r="F40" s="150">
        <v>500000</v>
      </c>
      <c r="G40" s="151">
        <v>420000</v>
      </c>
      <c r="H40" s="2">
        <v>1400000</v>
      </c>
      <c r="I40" s="151">
        <v>0</v>
      </c>
      <c r="J40" s="2">
        <v>1100000</v>
      </c>
      <c r="K40" s="2">
        <v>500000</v>
      </c>
      <c r="L40" s="185">
        <v>150000</v>
      </c>
      <c r="M40" s="151">
        <v>0</v>
      </c>
      <c r="N40" s="2">
        <v>500000</v>
      </c>
      <c r="O40" s="2">
        <v>0</v>
      </c>
      <c r="P40" s="2">
        <v>1500000</v>
      </c>
      <c r="Q40" s="2">
        <v>500000</v>
      </c>
      <c r="R40" s="2">
        <v>0</v>
      </c>
      <c r="S40" s="2">
        <v>0</v>
      </c>
      <c r="T40" s="151">
        <f t="shared" si="6"/>
        <v>6570000</v>
      </c>
      <c r="U40" s="240">
        <f t="shared" si="3"/>
        <v>4527000</v>
      </c>
    </row>
    <row r="41" spans="1:22" s="155" customFormat="1" x14ac:dyDescent="0.3">
      <c r="A41" s="327"/>
      <c r="B41" s="155" t="s">
        <v>74</v>
      </c>
      <c r="C41" s="149">
        <f t="shared" si="5"/>
        <v>12117000</v>
      </c>
      <c r="D41" s="150">
        <v>0</v>
      </c>
      <c r="E41" s="150">
        <v>0</v>
      </c>
      <c r="F41" s="150">
        <v>500000</v>
      </c>
      <c r="G41" s="2">
        <v>420000</v>
      </c>
      <c r="H41" s="2">
        <v>1400000</v>
      </c>
      <c r="I41" s="2">
        <v>0</v>
      </c>
      <c r="J41" s="2">
        <v>1100000</v>
      </c>
      <c r="K41" s="2">
        <v>500000</v>
      </c>
      <c r="L41" s="185">
        <v>150000</v>
      </c>
      <c r="M41" s="152">
        <v>0</v>
      </c>
      <c r="N41" s="2">
        <v>500000</v>
      </c>
      <c r="O41" s="2">
        <v>0</v>
      </c>
      <c r="P41" s="2">
        <v>1500000</v>
      </c>
      <c r="Q41" s="2">
        <v>0</v>
      </c>
      <c r="R41" s="2">
        <v>0</v>
      </c>
      <c r="S41" s="2">
        <v>0</v>
      </c>
      <c r="T41" s="152">
        <f t="shared" si="6"/>
        <v>6070000</v>
      </c>
      <c r="U41" s="240">
        <f t="shared" si="3"/>
        <v>6047000</v>
      </c>
    </row>
    <row r="42" spans="1:22" s="155" customFormat="1" x14ac:dyDescent="0.3">
      <c r="A42" s="327"/>
      <c r="B42" s="155" t="s">
        <v>75</v>
      </c>
      <c r="C42" s="149">
        <f t="shared" si="5"/>
        <v>13637000</v>
      </c>
      <c r="D42" s="150">
        <v>0</v>
      </c>
      <c r="E42" s="2">
        <v>1500000</v>
      </c>
      <c r="F42" s="150">
        <v>500000</v>
      </c>
      <c r="G42" s="2">
        <v>420000</v>
      </c>
      <c r="H42" s="2">
        <v>1400000</v>
      </c>
      <c r="I42" s="2">
        <v>0</v>
      </c>
      <c r="J42" s="2">
        <v>1100000</v>
      </c>
      <c r="K42" s="2">
        <v>500000</v>
      </c>
      <c r="L42" s="185">
        <v>150000</v>
      </c>
      <c r="M42" s="152">
        <v>0</v>
      </c>
      <c r="N42" s="2">
        <v>500000</v>
      </c>
      <c r="O42" s="2">
        <v>0</v>
      </c>
      <c r="P42" s="2">
        <v>1500000</v>
      </c>
      <c r="Q42" s="2">
        <v>0</v>
      </c>
      <c r="R42" s="2">
        <v>0</v>
      </c>
      <c r="S42" s="2">
        <v>0</v>
      </c>
      <c r="T42" s="152">
        <f t="shared" si="6"/>
        <v>7570000</v>
      </c>
      <c r="U42" s="240">
        <f t="shared" si="3"/>
        <v>6067000</v>
      </c>
    </row>
    <row r="43" spans="1:22" s="155" customFormat="1" x14ac:dyDescent="0.3">
      <c r="A43" s="327"/>
      <c r="B43" s="155" t="s">
        <v>76</v>
      </c>
      <c r="C43" s="149">
        <f t="shared" ref="C43:C106" si="7" xml:space="preserve"> U42 + 7590000</f>
        <v>13657000</v>
      </c>
      <c r="D43" s="150">
        <v>0</v>
      </c>
      <c r="E43" s="150">
        <v>2000000</v>
      </c>
      <c r="F43" s="150">
        <v>500000</v>
      </c>
      <c r="G43" s="2">
        <v>420000</v>
      </c>
      <c r="H43" s="2">
        <v>1400000</v>
      </c>
      <c r="I43" s="2">
        <v>0</v>
      </c>
      <c r="J43" s="2">
        <v>1100000</v>
      </c>
      <c r="K43" s="2">
        <v>500000</v>
      </c>
      <c r="L43" s="185">
        <v>150000</v>
      </c>
      <c r="M43" s="152">
        <v>0</v>
      </c>
      <c r="N43" s="2">
        <v>500000</v>
      </c>
      <c r="O43" s="2">
        <v>0</v>
      </c>
      <c r="P43" s="2">
        <v>1500000</v>
      </c>
      <c r="Q43" s="2">
        <v>0</v>
      </c>
      <c r="R43" s="2">
        <v>0</v>
      </c>
      <c r="S43" s="2">
        <v>0</v>
      </c>
      <c r="T43" s="152">
        <f t="shared" si="6"/>
        <v>8070000</v>
      </c>
      <c r="U43" s="240">
        <f t="shared" si="3"/>
        <v>5587000</v>
      </c>
    </row>
    <row r="44" spans="1:22" s="155" customFormat="1" x14ac:dyDescent="0.3">
      <c r="A44" s="327"/>
      <c r="B44" s="155" t="s">
        <v>77</v>
      </c>
      <c r="C44" s="149">
        <f t="shared" si="7"/>
        <v>13177000</v>
      </c>
      <c r="D44" s="150">
        <v>0</v>
      </c>
      <c r="E44" s="150">
        <v>0</v>
      </c>
      <c r="F44" s="150">
        <v>500000</v>
      </c>
      <c r="G44" s="2">
        <v>420000</v>
      </c>
      <c r="H44" s="2">
        <v>1400000</v>
      </c>
      <c r="I44" s="2">
        <v>0</v>
      </c>
      <c r="J44" s="2">
        <v>1100000</v>
      </c>
      <c r="K44" s="2">
        <v>500000</v>
      </c>
      <c r="L44" s="185">
        <v>150000</v>
      </c>
      <c r="M44" s="152">
        <v>0</v>
      </c>
      <c r="N44" s="2">
        <v>500000</v>
      </c>
      <c r="O44" s="2">
        <v>0</v>
      </c>
      <c r="P44" s="2">
        <v>1500000</v>
      </c>
      <c r="Q44" s="2">
        <v>500000</v>
      </c>
      <c r="R44" s="2">
        <v>0</v>
      </c>
      <c r="S44" s="2">
        <v>0</v>
      </c>
      <c r="T44" s="152">
        <f t="shared" si="6"/>
        <v>6570000</v>
      </c>
      <c r="U44" s="240">
        <f t="shared" si="3"/>
        <v>6607000</v>
      </c>
    </row>
    <row r="45" spans="1:22" s="155" customFormat="1" x14ac:dyDescent="0.3">
      <c r="A45" s="327"/>
      <c r="B45" s="155" t="s">
        <v>78</v>
      </c>
      <c r="C45" s="149">
        <f t="shared" si="7"/>
        <v>14197000</v>
      </c>
      <c r="D45" s="150">
        <v>0</v>
      </c>
      <c r="E45" s="2">
        <v>1500000</v>
      </c>
      <c r="F45" s="150">
        <v>500000</v>
      </c>
      <c r="G45" s="2">
        <v>420000</v>
      </c>
      <c r="H45" s="2">
        <v>1400000</v>
      </c>
      <c r="I45" s="2">
        <v>0</v>
      </c>
      <c r="J45" s="2">
        <v>1100000</v>
      </c>
      <c r="K45" s="2">
        <v>500000</v>
      </c>
      <c r="L45" s="185">
        <v>150000</v>
      </c>
      <c r="M45" s="152">
        <v>0</v>
      </c>
      <c r="N45" s="2">
        <v>500000</v>
      </c>
      <c r="O45" s="2">
        <v>0</v>
      </c>
      <c r="P45" s="2">
        <v>1500000</v>
      </c>
      <c r="Q45" s="2">
        <v>0</v>
      </c>
      <c r="R45" s="2">
        <v>0</v>
      </c>
      <c r="S45" s="2">
        <v>0</v>
      </c>
      <c r="T45" s="152">
        <f t="shared" si="6"/>
        <v>7570000</v>
      </c>
      <c r="U45" s="240">
        <f t="shared" si="3"/>
        <v>6627000</v>
      </c>
    </row>
    <row r="46" spans="1:22" s="155" customFormat="1" x14ac:dyDescent="0.3">
      <c r="A46" s="327"/>
      <c r="B46" s="155" t="s">
        <v>79</v>
      </c>
      <c r="C46" s="149">
        <f t="shared" si="7"/>
        <v>14217000</v>
      </c>
      <c r="D46" s="150">
        <v>0</v>
      </c>
      <c r="E46" s="150">
        <v>0</v>
      </c>
      <c r="F46" s="150">
        <v>500000</v>
      </c>
      <c r="G46" s="2">
        <v>420000</v>
      </c>
      <c r="H46" s="2">
        <v>1400000</v>
      </c>
      <c r="I46" s="2">
        <v>0</v>
      </c>
      <c r="J46" s="2">
        <v>1100000</v>
      </c>
      <c r="K46" s="2">
        <v>500000</v>
      </c>
      <c r="L46" s="185">
        <v>150000</v>
      </c>
      <c r="M46" s="152">
        <v>0</v>
      </c>
      <c r="N46" s="2">
        <v>500000</v>
      </c>
      <c r="O46" s="2">
        <v>0</v>
      </c>
      <c r="P46" s="2">
        <v>1500000</v>
      </c>
      <c r="Q46" s="2">
        <v>500000</v>
      </c>
      <c r="R46" s="2">
        <v>0</v>
      </c>
      <c r="S46" s="2">
        <v>0</v>
      </c>
      <c r="T46" s="152">
        <f t="shared" si="6"/>
        <v>6570000</v>
      </c>
      <c r="U46" s="240">
        <f t="shared" si="3"/>
        <v>7647000</v>
      </c>
    </row>
    <row r="47" spans="1:22" s="155" customFormat="1" x14ac:dyDescent="0.3">
      <c r="A47" s="327"/>
      <c r="B47" s="155" t="s">
        <v>80</v>
      </c>
      <c r="C47" s="149">
        <f t="shared" si="7"/>
        <v>15237000</v>
      </c>
      <c r="D47" s="150">
        <v>0</v>
      </c>
      <c r="E47" s="150">
        <v>0</v>
      </c>
      <c r="F47" s="150">
        <v>500000</v>
      </c>
      <c r="G47" s="2">
        <v>420000</v>
      </c>
      <c r="H47" s="2">
        <v>1400000</v>
      </c>
      <c r="I47" s="2">
        <v>0</v>
      </c>
      <c r="J47" s="2">
        <v>1100000</v>
      </c>
      <c r="K47" s="2">
        <v>500000</v>
      </c>
      <c r="L47" s="185">
        <v>150000</v>
      </c>
      <c r="M47" s="152">
        <v>0</v>
      </c>
      <c r="N47" s="2">
        <v>500000</v>
      </c>
      <c r="O47" s="2">
        <v>0</v>
      </c>
      <c r="P47" s="2">
        <v>1500000</v>
      </c>
      <c r="Q47" s="2">
        <v>0</v>
      </c>
      <c r="R47" s="2">
        <v>0</v>
      </c>
      <c r="S47" s="2">
        <v>0</v>
      </c>
      <c r="T47" s="152">
        <f t="shared" si="6"/>
        <v>6070000</v>
      </c>
      <c r="U47" s="240">
        <f t="shared" si="3"/>
        <v>9167000</v>
      </c>
    </row>
    <row r="48" spans="1:22" s="155" customFormat="1" x14ac:dyDescent="0.3">
      <c r="A48" s="327"/>
      <c r="B48" s="155" t="s">
        <v>81</v>
      </c>
      <c r="C48" s="149">
        <f t="shared" si="7"/>
        <v>16757000</v>
      </c>
      <c r="D48" s="150">
        <v>0</v>
      </c>
      <c r="E48" s="223">
        <v>1500000</v>
      </c>
      <c r="F48" s="150">
        <v>500000</v>
      </c>
      <c r="G48" s="2">
        <v>420000</v>
      </c>
      <c r="H48" s="2">
        <v>1400000</v>
      </c>
      <c r="I48" s="2">
        <v>0</v>
      </c>
      <c r="J48" s="2">
        <v>1100000</v>
      </c>
      <c r="K48" s="2">
        <v>500000</v>
      </c>
      <c r="L48" s="185">
        <v>150000</v>
      </c>
      <c r="M48" s="152">
        <v>0</v>
      </c>
      <c r="N48" s="2">
        <v>500000</v>
      </c>
      <c r="O48" s="2">
        <v>0</v>
      </c>
      <c r="P48" s="2">
        <v>1500000</v>
      </c>
      <c r="Q48" s="2">
        <v>0</v>
      </c>
      <c r="R48" s="2">
        <v>0</v>
      </c>
      <c r="S48" s="2">
        <v>0</v>
      </c>
      <c r="T48" s="152">
        <f t="shared" si="6"/>
        <v>7570000</v>
      </c>
      <c r="U48" s="240">
        <f t="shared" si="3"/>
        <v>9187000</v>
      </c>
    </row>
    <row r="49" spans="1:22" s="155" customFormat="1" x14ac:dyDescent="0.3">
      <c r="A49" s="327"/>
      <c r="B49" s="155" t="s">
        <v>82</v>
      </c>
      <c r="C49" s="149">
        <f t="shared" si="7"/>
        <v>16777000</v>
      </c>
      <c r="D49" s="150">
        <v>0</v>
      </c>
      <c r="E49" s="150">
        <v>0</v>
      </c>
      <c r="F49" s="150">
        <v>500000</v>
      </c>
      <c r="G49" s="2">
        <v>420000</v>
      </c>
      <c r="H49" s="2">
        <v>1400000</v>
      </c>
      <c r="I49" s="2">
        <v>0</v>
      </c>
      <c r="J49" s="2">
        <v>1100000</v>
      </c>
      <c r="K49" s="2">
        <v>500000</v>
      </c>
      <c r="L49" s="185">
        <v>150000</v>
      </c>
      <c r="M49" s="152">
        <v>0</v>
      </c>
      <c r="N49" s="2">
        <v>500000</v>
      </c>
      <c r="O49" s="2">
        <v>0</v>
      </c>
      <c r="P49" s="2">
        <v>1500000</v>
      </c>
      <c r="Q49" s="2">
        <v>500000</v>
      </c>
      <c r="R49" s="2">
        <v>0</v>
      </c>
      <c r="S49" s="2">
        <v>0</v>
      </c>
      <c r="T49" s="152">
        <f t="shared" si="6"/>
        <v>6570000</v>
      </c>
      <c r="U49" s="240">
        <f t="shared" si="3"/>
        <v>10207000</v>
      </c>
    </row>
    <row r="50" spans="1:22" s="261" customFormat="1" ht="17.25" thickBot="1" x14ac:dyDescent="0.35">
      <c r="A50" s="327"/>
      <c r="B50" s="256" t="s">
        <v>83</v>
      </c>
      <c r="C50" s="257">
        <f t="shared" si="7"/>
        <v>17797000</v>
      </c>
      <c r="D50" s="257">
        <v>0</v>
      </c>
      <c r="E50" s="258">
        <v>500000</v>
      </c>
      <c r="F50" s="150">
        <v>500000</v>
      </c>
      <c r="G50" s="258">
        <v>420000</v>
      </c>
      <c r="H50" s="257">
        <v>1400000</v>
      </c>
      <c r="I50" s="257">
        <v>0</v>
      </c>
      <c r="J50" s="257">
        <v>1100000</v>
      </c>
      <c r="K50" s="257">
        <v>500000</v>
      </c>
      <c r="L50" s="257">
        <v>150000</v>
      </c>
      <c r="M50" s="258">
        <v>0</v>
      </c>
      <c r="N50" s="257">
        <v>500000</v>
      </c>
      <c r="O50" s="257">
        <v>0</v>
      </c>
      <c r="P50" s="257">
        <v>1500000</v>
      </c>
      <c r="Q50" s="257">
        <v>0</v>
      </c>
      <c r="R50" s="257">
        <v>0</v>
      </c>
      <c r="S50" s="257">
        <v>0</v>
      </c>
      <c r="T50" s="258">
        <f t="shared" si="6"/>
        <v>6570000</v>
      </c>
      <c r="U50" s="259">
        <f t="shared" si="3"/>
        <v>11227000</v>
      </c>
      <c r="V50" s="260"/>
    </row>
    <row r="51" spans="1:22" s="183" customFormat="1" x14ac:dyDescent="0.3">
      <c r="A51" s="328">
        <v>2027</v>
      </c>
      <c r="B51" s="186" t="s">
        <v>72</v>
      </c>
      <c r="C51" s="149">
        <f t="shared" si="7"/>
        <v>18817000</v>
      </c>
      <c r="D51" s="150">
        <v>0</v>
      </c>
      <c r="E51" s="2">
        <v>1500000</v>
      </c>
      <c r="F51" s="150">
        <v>500000</v>
      </c>
      <c r="G51" s="184">
        <v>420000</v>
      </c>
      <c r="H51" s="2">
        <v>1400000</v>
      </c>
      <c r="I51" s="184">
        <v>0</v>
      </c>
      <c r="J51" s="2">
        <v>1100000</v>
      </c>
      <c r="K51" s="2">
        <v>500000</v>
      </c>
      <c r="L51" s="185">
        <v>150000</v>
      </c>
      <c r="M51" s="184">
        <v>0</v>
      </c>
      <c r="N51" s="2">
        <v>500000</v>
      </c>
      <c r="O51" s="2">
        <v>0</v>
      </c>
      <c r="P51" s="2">
        <v>1500000</v>
      </c>
      <c r="Q51" s="2">
        <v>0</v>
      </c>
      <c r="R51" s="2">
        <v>0</v>
      </c>
      <c r="S51" s="2">
        <v>0</v>
      </c>
      <c r="T51" s="184">
        <f t="shared" si="6"/>
        <v>7570000</v>
      </c>
      <c r="U51" s="240">
        <f t="shared" si="3"/>
        <v>11247000</v>
      </c>
    </row>
    <row r="52" spans="1:22" s="155" customFormat="1" x14ac:dyDescent="0.3">
      <c r="A52" s="328"/>
      <c r="B52" s="155" t="s">
        <v>73</v>
      </c>
      <c r="C52" s="149">
        <f t="shared" si="7"/>
        <v>18837000</v>
      </c>
      <c r="D52" s="150">
        <v>0</v>
      </c>
      <c r="E52" s="150">
        <v>0</v>
      </c>
      <c r="F52" s="150">
        <v>500000</v>
      </c>
      <c r="G52" s="2">
        <v>420000</v>
      </c>
      <c r="H52" s="2">
        <v>1400000</v>
      </c>
      <c r="I52" s="2">
        <v>0</v>
      </c>
      <c r="J52" s="2">
        <v>1100000</v>
      </c>
      <c r="K52" s="2">
        <v>500000</v>
      </c>
      <c r="L52" s="185">
        <v>150000</v>
      </c>
      <c r="M52" s="152">
        <v>0</v>
      </c>
      <c r="N52" s="2">
        <v>500000</v>
      </c>
      <c r="O52" s="2">
        <v>0</v>
      </c>
      <c r="P52" s="2">
        <v>1500000</v>
      </c>
      <c r="Q52" s="2">
        <v>0</v>
      </c>
      <c r="R52" s="2">
        <v>0</v>
      </c>
      <c r="S52" s="2">
        <v>0</v>
      </c>
      <c r="T52" s="152">
        <f t="shared" si="6"/>
        <v>6070000</v>
      </c>
      <c r="U52" s="240">
        <f t="shared" si="3"/>
        <v>12767000</v>
      </c>
    </row>
    <row r="53" spans="1:22" s="155" customFormat="1" x14ac:dyDescent="0.3">
      <c r="A53" s="328"/>
      <c r="B53" s="155" t="s">
        <v>74</v>
      </c>
      <c r="C53" s="149">
        <f t="shared" si="7"/>
        <v>20357000</v>
      </c>
      <c r="D53" s="150">
        <v>0</v>
      </c>
      <c r="E53" s="150">
        <v>0</v>
      </c>
      <c r="F53" s="150">
        <v>500000</v>
      </c>
      <c r="G53" s="2">
        <v>420000</v>
      </c>
      <c r="H53" s="2">
        <v>1400000</v>
      </c>
      <c r="I53" s="2">
        <v>0</v>
      </c>
      <c r="J53" s="2">
        <v>1100000</v>
      </c>
      <c r="K53" s="2">
        <v>500000</v>
      </c>
      <c r="L53" s="185">
        <v>150000</v>
      </c>
      <c r="M53" s="152">
        <v>0</v>
      </c>
      <c r="N53" s="2">
        <v>500000</v>
      </c>
      <c r="O53" s="2">
        <v>0</v>
      </c>
      <c r="P53" s="2">
        <v>1500000</v>
      </c>
      <c r="Q53" s="2">
        <v>500000</v>
      </c>
      <c r="R53" s="2">
        <v>0</v>
      </c>
      <c r="S53" s="2">
        <v>0</v>
      </c>
      <c r="T53" s="152">
        <f t="shared" si="6"/>
        <v>6570000</v>
      </c>
      <c r="U53" s="240">
        <f t="shared" si="3"/>
        <v>13787000</v>
      </c>
    </row>
    <row r="54" spans="1:22" s="155" customFormat="1" x14ac:dyDescent="0.3">
      <c r="A54" s="328"/>
      <c r="B54" s="155" t="s">
        <v>75</v>
      </c>
      <c r="C54" s="149">
        <f t="shared" si="7"/>
        <v>21377000</v>
      </c>
      <c r="D54" s="150">
        <v>0</v>
      </c>
      <c r="E54" s="2">
        <v>1500000</v>
      </c>
      <c r="F54" s="150">
        <v>500000</v>
      </c>
      <c r="G54" s="2">
        <v>420000</v>
      </c>
      <c r="H54" s="2">
        <v>1400000</v>
      </c>
      <c r="I54" s="2">
        <v>0</v>
      </c>
      <c r="J54" s="2">
        <v>1100000</v>
      </c>
      <c r="K54" s="2">
        <v>500000</v>
      </c>
      <c r="L54" s="185">
        <v>150000</v>
      </c>
      <c r="M54" s="152">
        <v>0</v>
      </c>
      <c r="N54" s="2">
        <v>500000</v>
      </c>
      <c r="O54" s="2">
        <v>0</v>
      </c>
      <c r="P54" s="2">
        <v>1500000</v>
      </c>
      <c r="Q54" s="2">
        <v>0</v>
      </c>
      <c r="R54" s="2">
        <v>0</v>
      </c>
      <c r="S54" s="2">
        <v>0</v>
      </c>
      <c r="T54" s="152">
        <f t="shared" si="6"/>
        <v>7570000</v>
      </c>
      <c r="U54" s="240">
        <f t="shared" si="3"/>
        <v>13807000</v>
      </c>
    </row>
    <row r="55" spans="1:22" s="155" customFormat="1" x14ac:dyDescent="0.3">
      <c r="A55" s="328"/>
      <c r="B55" s="155" t="s">
        <v>76</v>
      </c>
      <c r="C55" s="149">
        <f t="shared" si="7"/>
        <v>21397000</v>
      </c>
      <c r="D55" s="150">
        <v>0</v>
      </c>
      <c r="E55" s="150">
        <v>2000000</v>
      </c>
      <c r="F55" s="150">
        <v>500000</v>
      </c>
      <c r="G55" s="2">
        <v>420000</v>
      </c>
      <c r="H55" s="2">
        <v>1400000</v>
      </c>
      <c r="I55" s="2">
        <v>0</v>
      </c>
      <c r="J55" s="2">
        <v>1100000</v>
      </c>
      <c r="K55" s="2">
        <v>500000</v>
      </c>
      <c r="L55" s="185">
        <v>150000</v>
      </c>
      <c r="M55" s="152">
        <v>0</v>
      </c>
      <c r="N55" s="2">
        <v>500000</v>
      </c>
      <c r="O55" s="2">
        <v>0</v>
      </c>
      <c r="P55" s="2">
        <v>1500000</v>
      </c>
      <c r="Q55" s="2">
        <v>500000</v>
      </c>
      <c r="R55" s="2">
        <v>0</v>
      </c>
      <c r="S55" s="2">
        <v>0</v>
      </c>
      <c r="T55" s="152">
        <f t="shared" si="6"/>
        <v>8570000</v>
      </c>
      <c r="U55" s="240">
        <f t="shared" si="3"/>
        <v>12827000</v>
      </c>
    </row>
    <row r="56" spans="1:22" s="155" customFormat="1" x14ac:dyDescent="0.3">
      <c r="A56" s="328"/>
      <c r="B56" s="155" t="s">
        <v>77</v>
      </c>
      <c r="C56" s="149">
        <f t="shared" si="7"/>
        <v>20417000</v>
      </c>
      <c r="D56" s="150">
        <v>0</v>
      </c>
      <c r="E56" s="150">
        <v>0</v>
      </c>
      <c r="F56" s="150">
        <v>500000</v>
      </c>
      <c r="G56" s="2">
        <v>420000</v>
      </c>
      <c r="H56" s="2">
        <v>1400000</v>
      </c>
      <c r="I56" s="2">
        <v>0</v>
      </c>
      <c r="J56" s="2">
        <v>1100000</v>
      </c>
      <c r="K56" s="2">
        <v>500000</v>
      </c>
      <c r="L56" s="185">
        <v>150000</v>
      </c>
      <c r="M56" s="152">
        <v>0</v>
      </c>
      <c r="N56" s="2">
        <v>500000</v>
      </c>
      <c r="O56" s="2">
        <v>0</v>
      </c>
      <c r="P56" s="2">
        <v>1500000</v>
      </c>
      <c r="Q56" s="2">
        <v>0</v>
      </c>
      <c r="R56" s="2">
        <v>0</v>
      </c>
      <c r="S56" s="2">
        <v>0</v>
      </c>
      <c r="T56" s="152">
        <f t="shared" si="6"/>
        <v>6070000</v>
      </c>
      <c r="U56" s="240">
        <f t="shared" si="3"/>
        <v>14347000</v>
      </c>
    </row>
    <row r="57" spans="1:22" s="155" customFormat="1" x14ac:dyDescent="0.3">
      <c r="A57" s="328"/>
      <c r="B57" s="155" t="s">
        <v>78</v>
      </c>
      <c r="C57" s="149">
        <f t="shared" si="7"/>
        <v>21937000</v>
      </c>
      <c r="D57" s="150">
        <v>0</v>
      </c>
      <c r="E57" s="2">
        <v>1500000</v>
      </c>
      <c r="F57" s="150">
        <v>500000</v>
      </c>
      <c r="G57" s="2">
        <v>420000</v>
      </c>
      <c r="H57" s="2">
        <v>1400000</v>
      </c>
      <c r="I57" s="2">
        <v>0</v>
      </c>
      <c r="J57" s="2">
        <v>1100000</v>
      </c>
      <c r="K57" s="2">
        <v>500000</v>
      </c>
      <c r="L57" s="185">
        <v>150000</v>
      </c>
      <c r="M57" s="152">
        <v>0</v>
      </c>
      <c r="N57" s="2">
        <v>500000</v>
      </c>
      <c r="O57" s="2">
        <v>0</v>
      </c>
      <c r="P57" s="2">
        <v>1500000</v>
      </c>
      <c r="Q57" s="2">
        <v>0</v>
      </c>
      <c r="R57" s="2">
        <v>0</v>
      </c>
      <c r="S57" s="2">
        <v>0</v>
      </c>
      <c r="T57" s="152">
        <f t="shared" si="6"/>
        <v>7570000</v>
      </c>
      <c r="U57" s="240">
        <f t="shared" si="3"/>
        <v>14367000</v>
      </c>
    </row>
    <row r="58" spans="1:22" s="155" customFormat="1" x14ac:dyDescent="0.3">
      <c r="A58" s="328"/>
      <c r="B58" s="155" t="s">
        <v>79</v>
      </c>
      <c r="C58" s="149">
        <f t="shared" si="7"/>
        <v>21957000</v>
      </c>
      <c r="D58" s="150">
        <v>0</v>
      </c>
      <c r="E58" s="150">
        <v>0</v>
      </c>
      <c r="F58" s="150">
        <v>500000</v>
      </c>
      <c r="G58" s="2">
        <v>420000</v>
      </c>
      <c r="H58" s="2">
        <v>1400000</v>
      </c>
      <c r="I58" s="2">
        <v>0</v>
      </c>
      <c r="J58" s="2">
        <v>1100000</v>
      </c>
      <c r="K58" s="2">
        <v>500000</v>
      </c>
      <c r="L58" s="185">
        <v>150000</v>
      </c>
      <c r="M58" s="152">
        <v>0</v>
      </c>
      <c r="N58" s="2">
        <v>500000</v>
      </c>
      <c r="O58" s="2">
        <v>0</v>
      </c>
      <c r="P58" s="2">
        <v>1500000</v>
      </c>
      <c r="Q58" s="2">
        <v>500000</v>
      </c>
      <c r="R58" s="2">
        <v>0</v>
      </c>
      <c r="S58" s="2">
        <v>0</v>
      </c>
      <c r="T58" s="152">
        <f t="shared" si="6"/>
        <v>6570000</v>
      </c>
      <c r="U58" s="240">
        <f t="shared" ref="U58:U89" si="8" xml:space="preserve"> (C58+D58) - T58</f>
        <v>15387000</v>
      </c>
    </row>
    <row r="59" spans="1:22" s="155" customFormat="1" x14ac:dyDescent="0.3">
      <c r="A59" s="328"/>
      <c r="B59" s="155" t="s">
        <v>80</v>
      </c>
      <c r="C59" s="149">
        <f t="shared" si="7"/>
        <v>22977000</v>
      </c>
      <c r="D59" s="150">
        <v>0</v>
      </c>
      <c r="E59" s="150">
        <v>0</v>
      </c>
      <c r="F59" s="150">
        <v>500000</v>
      </c>
      <c r="G59" s="2">
        <v>420000</v>
      </c>
      <c r="H59" s="2">
        <v>1400000</v>
      </c>
      <c r="I59" s="2">
        <v>0</v>
      </c>
      <c r="J59" s="2">
        <v>1100000</v>
      </c>
      <c r="K59" s="2">
        <v>500000</v>
      </c>
      <c r="L59" s="185">
        <v>150000</v>
      </c>
      <c r="M59" s="152">
        <v>0</v>
      </c>
      <c r="N59" s="2">
        <v>500000</v>
      </c>
      <c r="O59" s="2">
        <v>0</v>
      </c>
      <c r="P59" s="2">
        <v>1500000</v>
      </c>
      <c r="Q59" s="2">
        <v>0</v>
      </c>
      <c r="R59" s="2">
        <v>0</v>
      </c>
      <c r="S59" s="2">
        <v>0</v>
      </c>
      <c r="T59" s="152">
        <f t="shared" si="6"/>
        <v>6070000</v>
      </c>
      <c r="U59" s="240">
        <f t="shared" si="8"/>
        <v>16907000</v>
      </c>
    </row>
    <row r="60" spans="1:22" s="155" customFormat="1" x14ac:dyDescent="0.3">
      <c r="A60" s="328"/>
      <c r="B60" s="155" t="s">
        <v>81</v>
      </c>
      <c r="C60" s="149">
        <f t="shared" si="7"/>
        <v>24497000</v>
      </c>
      <c r="D60" s="150">
        <v>0</v>
      </c>
      <c r="E60" s="223">
        <v>1500000</v>
      </c>
      <c r="F60" s="150">
        <v>500000</v>
      </c>
      <c r="G60" s="2">
        <v>420000</v>
      </c>
      <c r="H60" s="2">
        <v>1400000</v>
      </c>
      <c r="I60" s="2">
        <v>0</v>
      </c>
      <c r="J60" s="2">
        <v>1100000</v>
      </c>
      <c r="K60" s="2">
        <v>500000</v>
      </c>
      <c r="L60" s="185">
        <v>150000</v>
      </c>
      <c r="M60" s="152">
        <v>0</v>
      </c>
      <c r="N60" s="2">
        <v>500000</v>
      </c>
      <c r="O60" s="2">
        <v>0</v>
      </c>
      <c r="P60" s="2">
        <v>1500000</v>
      </c>
      <c r="Q60" s="2">
        <v>0</v>
      </c>
      <c r="R60" s="2">
        <v>0</v>
      </c>
      <c r="S60" s="2">
        <v>0</v>
      </c>
      <c r="T60" s="152">
        <f t="shared" si="6"/>
        <v>7570000</v>
      </c>
      <c r="U60" s="240">
        <f t="shared" si="8"/>
        <v>16927000</v>
      </c>
    </row>
    <row r="61" spans="1:22" s="155" customFormat="1" x14ac:dyDescent="0.3">
      <c r="A61" s="328"/>
      <c r="B61" s="155" t="s">
        <v>82</v>
      </c>
      <c r="C61" s="149">
        <f t="shared" si="7"/>
        <v>24517000</v>
      </c>
      <c r="D61" s="150">
        <v>0</v>
      </c>
      <c r="E61" s="150">
        <v>0</v>
      </c>
      <c r="F61" s="150">
        <v>500000</v>
      </c>
      <c r="G61" s="2">
        <v>420000</v>
      </c>
      <c r="H61" s="2">
        <v>1400000</v>
      </c>
      <c r="I61" s="2">
        <v>0</v>
      </c>
      <c r="J61" s="2">
        <v>1100000</v>
      </c>
      <c r="K61" s="2">
        <v>500000</v>
      </c>
      <c r="L61" s="185">
        <v>150000</v>
      </c>
      <c r="M61" s="152">
        <v>0</v>
      </c>
      <c r="N61" s="2">
        <v>500000</v>
      </c>
      <c r="O61" s="2">
        <v>0</v>
      </c>
      <c r="P61" s="2">
        <v>1500000</v>
      </c>
      <c r="Q61" s="2">
        <v>0</v>
      </c>
      <c r="R61" s="2">
        <v>0</v>
      </c>
      <c r="S61" s="2">
        <v>0</v>
      </c>
      <c r="T61" s="152">
        <f t="shared" si="6"/>
        <v>6070000</v>
      </c>
      <c r="U61" s="240">
        <f t="shared" si="8"/>
        <v>18447000</v>
      </c>
    </row>
    <row r="62" spans="1:22" s="266" customFormat="1" x14ac:dyDescent="0.3">
      <c r="A62" s="328"/>
      <c r="B62" s="266" t="s">
        <v>83</v>
      </c>
      <c r="C62" s="223">
        <f t="shared" si="7"/>
        <v>26037000</v>
      </c>
      <c r="D62" s="223">
        <v>10000000</v>
      </c>
      <c r="E62" s="258">
        <v>500000</v>
      </c>
      <c r="F62" s="223">
        <v>500000</v>
      </c>
      <c r="G62" s="223">
        <v>420000</v>
      </c>
      <c r="H62" s="223">
        <v>1400000</v>
      </c>
      <c r="I62" s="223">
        <v>0</v>
      </c>
      <c r="J62" s="223">
        <v>1100000</v>
      </c>
      <c r="K62" s="223">
        <v>500000</v>
      </c>
      <c r="L62" s="223">
        <v>150000</v>
      </c>
      <c r="M62" s="223">
        <v>0</v>
      </c>
      <c r="N62" s="223">
        <v>500000</v>
      </c>
      <c r="O62" s="223">
        <v>0</v>
      </c>
      <c r="P62" s="223">
        <v>1500000</v>
      </c>
      <c r="Q62" s="223">
        <v>500000</v>
      </c>
      <c r="R62" s="223">
        <v>0</v>
      </c>
      <c r="S62" s="223">
        <v>25000000</v>
      </c>
      <c r="T62" s="223">
        <f t="shared" si="6"/>
        <v>32070000</v>
      </c>
      <c r="U62" s="303">
        <f t="shared" si="8"/>
        <v>3967000</v>
      </c>
      <c r="V62" s="266" t="s">
        <v>218</v>
      </c>
    </row>
    <row r="63" spans="1:22" s="155" customFormat="1" x14ac:dyDescent="0.3">
      <c r="A63" s="328">
        <v>2028</v>
      </c>
      <c r="B63" s="155" t="s">
        <v>72</v>
      </c>
      <c r="C63" s="149">
        <f t="shared" si="7"/>
        <v>11557000</v>
      </c>
      <c r="D63" s="150">
        <v>0</v>
      </c>
      <c r="E63" s="2">
        <v>1500000</v>
      </c>
      <c r="F63" s="150">
        <v>500000</v>
      </c>
      <c r="G63" s="2">
        <v>420000</v>
      </c>
      <c r="H63" s="2">
        <v>1400000</v>
      </c>
      <c r="I63" s="2">
        <v>0</v>
      </c>
      <c r="J63" s="2">
        <v>1100000</v>
      </c>
      <c r="K63" s="2">
        <v>500000</v>
      </c>
      <c r="L63" s="185">
        <v>150000</v>
      </c>
      <c r="M63" s="152">
        <v>0</v>
      </c>
      <c r="N63" s="2">
        <v>500000</v>
      </c>
      <c r="O63" s="2">
        <v>0</v>
      </c>
      <c r="P63" s="2">
        <v>1500000</v>
      </c>
      <c r="Q63" s="2">
        <v>0</v>
      </c>
      <c r="R63" s="2">
        <v>0</v>
      </c>
      <c r="S63" s="2">
        <v>0</v>
      </c>
      <c r="T63" s="152">
        <f t="shared" si="6"/>
        <v>7570000</v>
      </c>
      <c r="U63" s="240">
        <f t="shared" si="8"/>
        <v>3987000</v>
      </c>
    </row>
    <row r="64" spans="1:22" s="155" customFormat="1" x14ac:dyDescent="0.3">
      <c r="A64" s="328"/>
      <c r="B64" s="155" t="s">
        <v>73</v>
      </c>
      <c r="C64" s="149">
        <f t="shared" si="7"/>
        <v>11577000</v>
      </c>
      <c r="D64" s="150">
        <v>0</v>
      </c>
      <c r="E64" s="150">
        <v>0</v>
      </c>
      <c r="F64" s="150">
        <v>500000</v>
      </c>
      <c r="G64" s="2">
        <v>420000</v>
      </c>
      <c r="H64" s="2">
        <v>1400000</v>
      </c>
      <c r="I64" s="2">
        <v>0</v>
      </c>
      <c r="J64" s="2">
        <v>1100000</v>
      </c>
      <c r="K64" s="2">
        <v>500000</v>
      </c>
      <c r="L64" s="185">
        <v>150000</v>
      </c>
      <c r="M64" s="152">
        <v>0</v>
      </c>
      <c r="N64" s="2">
        <v>500000</v>
      </c>
      <c r="O64" s="2">
        <v>0</v>
      </c>
      <c r="P64" s="2">
        <v>1500000</v>
      </c>
      <c r="Q64" s="2">
        <v>500000</v>
      </c>
      <c r="R64" s="2">
        <v>0</v>
      </c>
      <c r="S64" s="2">
        <v>0</v>
      </c>
      <c r="T64" s="152">
        <f t="shared" si="6"/>
        <v>6570000</v>
      </c>
      <c r="U64" s="240">
        <f t="shared" si="8"/>
        <v>5007000</v>
      </c>
    </row>
    <row r="65" spans="1:21" s="155" customFormat="1" x14ac:dyDescent="0.3">
      <c r="A65" s="328"/>
      <c r="B65" s="155" t="s">
        <v>74</v>
      </c>
      <c r="C65" s="149">
        <f t="shared" si="7"/>
        <v>12597000</v>
      </c>
      <c r="D65" s="150">
        <v>0</v>
      </c>
      <c r="E65" s="150">
        <v>0</v>
      </c>
      <c r="F65" s="150">
        <v>500000</v>
      </c>
      <c r="G65" s="2">
        <v>420000</v>
      </c>
      <c r="H65" s="2">
        <v>1400000</v>
      </c>
      <c r="I65" s="2">
        <v>0</v>
      </c>
      <c r="J65" s="2">
        <v>1100000</v>
      </c>
      <c r="K65" s="2">
        <v>500000</v>
      </c>
      <c r="L65" s="185">
        <v>150000</v>
      </c>
      <c r="M65" s="152">
        <v>0</v>
      </c>
      <c r="N65" s="2">
        <v>500000</v>
      </c>
      <c r="O65" s="2">
        <v>0</v>
      </c>
      <c r="P65" s="2">
        <v>1500000</v>
      </c>
      <c r="Q65" s="2">
        <v>0</v>
      </c>
      <c r="R65" s="2">
        <v>0</v>
      </c>
      <c r="S65" s="2">
        <v>0</v>
      </c>
      <c r="T65" s="152">
        <f t="shared" si="6"/>
        <v>6070000</v>
      </c>
      <c r="U65" s="240">
        <f t="shared" si="8"/>
        <v>6527000</v>
      </c>
    </row>
    <row r="66" spans="1:21" s="155" customFormat="1" x14ac:dyDescent="0.3">
      <c r="A66" s="328"/>
      <c r="B66" s="155" t="s">
        <v>75</v>
      </c>
      <c r="C66" s="149">
        <f t="shared" si="7"/>
        <v>14117000</v>
      </c>
      <c r="D66" s="150">
        <v>0</v>
      </c>
      <c r="E66" s="2">
        <v>1500000</v>
      </c>
      <c r="F66" s="150">
        <v>500000</v>
      </c>
      <c r="G66" s="2">
        <v>420000</v>
      </c>
      <c r="H66" s="2">
        <v>1400000</v>
      </c>
      <c r="I66" s="2">
        <v>0</v>
      </c>
      <c r="J66" s="2">
        <v>1100000</v>
      </c>
      <c r="K66" s="2">
        <v>500000</v>
      </c>
      <c r="L66" s="185">
        <v>150000</v>
      </c>
      <c r="M66" s="152">
        <v>0</v>
      </c>
      <c r="N66" s="2">
        <v>500000</v>
      </c>
      <c r="O66" s="2">
        <v>0</v>
      </c>
      <c r="P66" s="2">
        <v>1500000</v>
      </c>
      <c r="Q66" s="2">
        <v>0</v>
      </c>
      <c r="R66" s="2">
        <v>0</v>
      </c>
      <c r="S66" s="2">
        <v>0</v>
      </c>
      <c r="T66" s="152">
        <f t="shared" si="6"/>
        <v>7570000</v>
      </c>
      <c r="U66" s="240">
        <f t="shared" si="8"/>
        <v>6547000</v>
      </c>
    </row>
    <row r="67" spans="1:21" s="155" customFormat="1" x14ac:dyDescent="0.3">
      <c r="A67" s="328"/>
      <c r="B67" s="155" t="s">
        <v>76</v>
      </c>
      <c r="C67" s="149">
        <f t="shared" si="7"/>
        <v>14137000</v>
      </c>
      <c r="D67" s="150">
        <v>0</v>
      </c>
      <c r="E67" s="150">
        <v>2000000</v>
      </c>
      <c r="F67" s="150">
        <v>500000</v>
      </c>
      <c r="G67" s="2">
        <v>420000</v>
      </c>
      <c r="H67" s="2">
        <v>1400000</v>
      </c>
      <c r="I67" s="2">
        <v>0</v>
      </c>
      <c r="J67" s="2">
        <v>1100000</v>
      </c>
      <c r="K67" s="2">
        <v>500000</v>
      </c>
      <c r="L67" s="185">
        <v>150000</v>
      </c>
      <c r="M67" s="152">
        <v>0</v>
      </c>
      <c r="N67" s="2">
        <v>500000</v>
      </c>
      <c r="O67" s="2">
        <v>0</v>
      </c>
      <c r="P67" s="2">
        <v>1500000</v>
      </c>
      <c r="Q67" s="2">
        <v>500000</v>
      </c>
      <c r="R67" s="2">
        <v>0</v>
      </c>
      <c r="S67" s="2">
        <v>0</v>
      </c>
      <c r="T67" s="152">
        <f t="shared" ref="T67:T98" si="9">SUM(E67:S67)</f>
        <v>8570000</v>
      </c>
      <c r="U67" s="240">
        <f t="shared" si="8"/>
        <v>5567000</v>
      </c>
    </row>
    <row r="68" spans="1:21" s="155" customFormat="1" x14ac:dyDescent="0.3">
      <c r="A68" s="328"/>
      <c r="B68" s="155" t="s">
        <v>77</v>
      </c>
      <c r="C68" s="149">
        <f t="shared" si="7"/>
        <v>13157000</v>
      </c>
      <c r="D68" s="150">
        <v>0</v>
      </c>
      <c r="E68" s="150">
        <v>0</v>
      </c>
      <c r="F68" s="150">
        <v>500000</v>
      </c>
      <c r="G68" s="2">
        <v>420000</v>
      </c>
      <c r="H68" s="2">
        <v>1400000</v>
      </c>
      <c r="I68" s="2">
        <v>0</v>
      </c>
      <c r="J68" s="2">
        <v>1100000</v>
      </c>
      <c r="K68" s="2">
        <v>500000</v>
      </c>
      <c r="L68" s="185">
        <v>150000</v>
      </c>
      <c r="M68" s="152">
        <v>0</v>
      </c>
      <c r="N68" s="2">
        <v>500000</v>
      </c>
      <c r="O68" s="2">
        <v>0</v>
      </c>
      <c r="P68" s="2">
        <v>1500000</v>
      </c>
      <c r="Q68" s="2">
        <v>0</v>
      </c>
      <c r="R68" s="2">
        <v>0</v>
      </c>
      <c r="S68" s="2">
        <v>0</v>
      </c>
      <c r="T68" s="152">
        <f t="shared" si="9"/>
        <v>6070000</v>
      </c>
      <c r="U68" s="240">
        <f t="shared" si="8"/>
        <v>7087000</v>
      </c>
    </row>
    <row r="69" spans="1:21" s="155" customFormat="1" x14ac:dyDescent="0.3">
      <c r="A69" s="328"/>
      <c r="B69" s="155" t="s">
        <v>78</v>
      </c>
      <c r="C69" s="149">
        <f t="shared" si="7"/>
        <v>14677000</v>
      </c>
      <c r="D69" s="150">
        <v>0</v>
      </c>
      <c r="E69" s="2">
        <v>1500000</v>
      </c>
      <c r="F69" s="150">
        <v>500000</v>
      </c>
      <c r="G69" s="2">
        <v>420000</v>
      </c>
      <c r="H69" s="2">
        <v>1400000</v>
      </c>
      <c r="I69" s="2">
        <v>0</v>
      </c>
      <c r="J69" s="2">
        <v>1100000</v>
      </c>
      <c r="K69" s="2">
        <v>500000</v>
      </c>
      <c r="L69" s="185">
        <v>150000</v>
      </c>
      <c r="M69" s="152">
        <v>0</v>
      </c>
      <c r="N69" s="2">
        <v>500000</v>
      </c>
      <c r="O69" s="2">
        <v>0</v>
      </c>
      <c r="P69" s="2">
        <v>1500000</v>
      </c>
      <c r="Q69" s="2">
        <v>0</v>
      </c>
      <c r="R69" s="2">
        <v>0</v>
      </c>
      <c r="S69" s="2">
        <v>0</v>
      </c>
      <c r="T69" s="152">
        <f t="shared" si="9"/>
        <v>7570000</v>
      </c>
      <c r="U69" s="240">
        <f t="shared" si="8"/>
        <v>7107000</v>
      </c>
    </row>
    <row r="70" spans="1:21" s="155" customFormat="1" x14ac:dyDescent="0.3">
      <c r="A70" s="328"/>
      <c r="B70" s="155" t="s">
        <v>79</v>
      </c>
      <c r="C70" s="149">
        <f t="shared" si="7"/>
        <v>14697000</v>
      </c>
      <c r="D70" s="150">
        <v>0</v>
      </c>
      <c r="E70" s="150">
        <v>0</v>
      </c>
      <c r="F70" s="150">
        <v>500000</v>
      </c>
      <c r="G70" s="2">
        <v>420000</v>
      </c>
      <c r="H70" s="2">
        <v>1400000</v>
      </c>
      <c r="I70" s="2">
        <v>0</v>
      </c>
      <c r="J70" s="2">
        <v>1100000</v>
      </c>
      <c r="K70" s="2">
        <v>500000</v>
      </c>
      <c r="L70" s="185">
        <v>150000</v>
      </c>
      <c r="M70" s="152">
        <v>0</v>
      </c>
      <c r="N70" s="2">
        <v>500000</v>
      </c>
      <c r="O70" s="2">
        <v>0</v>
      </c>
      <c r="P70" s="2">
        <v>1500000</v>
      </c>
      <c r="Q70" s="2">
        <v>0</v>
      </c>
      <c r="R70" s="2">
        <v>0</v>
      </c>
      <c r="S70" s="2">
        <v>0</v>
      </c>
      <c r="T70" s="152">
        <f t="shared" si="9"/>
        <v>6070000</v>
      </c>
      <c r="U70" s="240">
        <f t="shared" si="8"/>
        <v>8627000</v>
      </c>
    </row>
    <row r="71" spans="1:21" s="155" customFormat="1" x14ac:dyDescent="0.3">
      <c r="A71" s="328"/>
      <c r="B71" s="155" t="s">
        <v>80</v>
      </c>
      <c r="C71" s="149">
        <f t="shared" si="7"/>
        <v>16217000</v>
      </c>
      <c r="D71" s="150">
        <v>0</v>
      </c>
      <c r="E71" s="150">
        <v>0</v>
      </c>
      <c r="F71" s="150">
        <v>500000</v>
      </c>
      <c r="G71" s="2">
        <v>420000</v>
      </c>
      <c r="H71" s="2">
        <v>1400000</v>
      </c>
      <c r="I71" s="2">
        <v>0</v>
      </c>
      <c r="J71" s="2">
        <v>1100000</v>
      </c>
      <c r="K71" s="2">
        <v>500000</v>
      </c>
      <c r="L71" s="185">
        <v>150000</v>
      </c>
      <c r="M71" s="152">
        <v>0</v>
      </c>
      <c r="N71" s="2">
        <v>500000</v>
      </c>
      <c r="O71" s="2">
        <v>0</v>
      </c>
      <c r="P71" s="2">
        <v>1500000</v>
      </c>
      <c r="Q71" s="2">
        <v>500000</v>
      </c>
      <c r="R71" s="2">
        <v>0</v>
      </c>
      <c r="S71" s="2">
        <v>0</v>
      </c>
      <c r="T71" s="152">
        <f t="shared" si="9"/>
        <v>6570000</v>
      </c>
      <c r="U71" s="240">
        <f t="shared" si="8"/>
        <v>9647000</v>
      </c>
    </row>
    <row r="72" spans="1:21" s="155" customFormat="1" x14ac:dyDescent="0.3">
      <c r="A72" s="328"/>
      <c r="B72" s="155" t="s">
        <v>81</v>
      </c>
      <c r="C72" s="149">
        <f t="shared" si="7"/>
        <v>17237000</v>
      </c>
      <c r="D72" s="150">
        <v>0</v>
      </c>
      <c r="E72" s="223">
        <v>1500000</v>
      </c>
      <c r="F72" s="150">
        <v>500000</v>
      </c>
      <c r="G72" s="2">
        <v>420000</v>
      </c>
      <c r="H72" s="2">
        <v>1400000</v>
      </c>
      <c r="I72" s="2">
        <v>0</v>
      </c>
      <c r="J72" s="2">
        <v>1100000</v>
      </c>
      <c r="K72" s="2">
        <v>500000</v>
      </c>
      <c r="L72" s="185">
        <v>150000</v>
      </c>
      <c r="M72" s="152">
        <v>0</v>
      </c>
      <c r="N72" s="2">
        <v>500000</v>
      </c>
      <c r="O72" s="2">
        <v>0</v>
      </c>
      <c r="P72" s="2">
        <v>1500000</v>
      </c>
      <c r="Q72" s="2">
        <v>0</v>
      </c>
      <c r="R72" s="2">
        <v>0</v>
      </c>
      <c r="S72" s="2">
        <v>0</v>
      </c>
      <c r="T72" s="152">
        <f t="shared" si="9"/>
        <v>7570000</v>
      </c>
      <c r="U72" s="240">
        <f t="shared" si="8"/>
        <v>9667000</v>
      </c>
    </row>
    <row r="73" spans="1:21" s="155" customFormat="1" x14ac:dyDescent="0.3">
      <c r="A73" s="328"/>
      <c r="B73" s="155" t="s">
        <v>82</v>
      </c>
      <c r="C73" s="149">
        <f t="shared" si="7"/>
        <v>17257000</v>
      </c>
      <c r="D73" s="150">
        <v>0</v>
      </c>
      <c r="E73" s="150">
        <v>0</v>
      </c>
      <c r="F73" s="150">
        <v>500000</v>
      </c>
      <c r="G73" s="2">
        <v>420000</v>
      </c>
      <c r="H73" s="2">
        <v>1400000</v>
      </c>
      <c r="I73" s="2">
        <v>0</v>
      </c>
      <c r="J73" s="2">
        <v>1100000</v>
      </c>
      <c r="K73" s="2">
        <v>500000</v>
      </c>
      <c r="L73" s="185">
        <v>150000</v>
      </c>
      <c r="M73" s="152">
        <v>0</v>
      </c>
      <c r="N73" s="2">
        <v>500000</v>
      </c>
      <c r="O73" s="2">
        <v>0</v>
      </c>
      <c r="P73" s="2">
        <v>1500000</v>
      </c>
      <c r="Q73" s="2">
        <v>500000</v>
      </c>
      <c r="R73" s="2">
        <v>0</v>
      </c>
      <c r="S73" s="2">
        <v>0</v>
      </c>
      <c r="T73" s="152">
        <f t="shared" si="9"/>
        <v>6570000</v>
      </c>
      <c r="U73" s="240">
        <f t="shared" si="8"/>
        <v>10687000</v>
      </c>
    </row>
    <row r="74" spans="1:21" s="222" customFormat="1" x14ac:dyDescent="0.3">
      <c r="A74" s="328"/>
      <c r="B74" s="222" t="s">
        <v>83</v>
      </c>
      <c r="C74" s="149">
        <f t="shared" si="7"/>
        <v>18277000</v>
      </c>
      <c r="D74" s="185">
        <v>0</v>
      </c>
      <c r="E74" s="258">
        <v>500000</v>
      </c>
      <c r="F74" s="150">
        <v>500000</v>
      </c>
      <c r="G74" s="185">
        <v>420000</v>
      </c>
      <c r="H74" s="2">
        <v>1400000</v>
      </c>
      <c r="I74" s="185">
        <v>0</v>
      </c>
      <c r="J74" s="185">
        <v>1100000</v>
      </c>
      <c r="K74" s="2">
        <v>500000</v>
      </c>
      <c r="L74" s="185">
        <v>150000</v>
      </c>
      <c r="M74" s="185">
        <v>0</v>
      </c>
      <c r="N74" s="185">
        <v>500000</v>
      </c>
      <c r="O74" s="185">
        <v>0</v>
      </c>
      <c r="P74" s="2">
        <v>1500000</v>
      </c>
      <c r="Q74" s="2">
        <v>0</v>
      </c>
      <c r="R74" s="185">
        <v>0</v>
      </c>
      <c r="S74" s="2">
        <v>0</v>
      </c>
      <c r="T74" s="185">
        <f t="shared" si="9"/>
        <v>6570000</v>
      </c>
      <c r="U74" s="253">
        <f t="shared" si="8"/>
        <v>11707000</v>
      </c>
    </row>
    <row r="75" spans="1:21" s="155" customFormat="1" x14ac:dyDescent="0.3">
      <c r="A75" s="328">
        <v>2029</v>
      </c>
      <c r="B75" s="155" t="s">
        <v>72</v>
      </c>
      <c r="C75" s="149">
        <f t="shared" si="7"/>
        <v>19297000</v>
      </c>
      <c r="D75" s="150">
        <v>0</v>
      </c>
      <c r="E75" s="2">
        <v>1500000</v>
      </c>
      <c r="F75" s="150">
        <v>500000</v>
      </c>
      <c r="G75" s="2">
        <v>420000</v>
      </c>
      <c r="H75" s="2">
        <v>1400000</v>
      </c>
      <c r="I75" s="2">
        <v>0</v>
      </c>
      <c r="J75" s="2">
        <v>1100000</v>
      </c>
      <c r="K75" s="2">
        <v>500000</v>
      </c>
      <c r="L75" s="185">
        <v>150000</v>
      </c>
      <c r="M75" s="152">
        <v>0</v>
      </c>
      <c r="N75" s="2">
        <v>500000</v>
      </c>
      <c r="O75" s="2">
        <v>0</v>
      </c>
      <c r="P75" s="2">
        <v>1500000</v>
      </c>
      <c r="Q75" s="2">
        <v>0</v>
      </c>
      <c r="R75" s="2">
        <v>0</v>
      </c>
      <c r="S75" s="2">
        <v>0</v>
      </c>
      <c r="T75" s="152">
        <f t="shared" si="9"/>
        <v>7570000</v>
      </c>
      <c r="U75" s="240">
        <f t="shared" si="8"/>
        <v>11727000</v>
      </c>
    </row>
    <row r="76" spans="1:21" s="155" customFormat="1" x14ac:dyDescent="0.3">
      <c r="A76" s="328"/>
      <c r="B76" s="155" t="s">
        <v>73</v>
      </c>
      <c r="C76" s="149">
        <f t="shared" si="7"/>
        <v>19317000</v>
      </c>
      <c r="D76" s="150">
        <v>0</v>
      </c>
      <c r="E76" s="150">
        <v>0</v>
      </c>
      <c r="F76" s="150">
        <v>500000</v>
      </c>
      <c r="G76" s="2">
        <v>420000</v>
      </c>
      <c r="H76" s="2">
        <v>1400000</v>
      </c>
      <c r="I76" s="2">
        <v>0</v>
      </c>
      <c r="J76" s="2">
        <v>1100000</v>
      </c>
      <c r="K76" s="2">
        <v>500000</v>
      </c>
      <c r="L76" s="185">
        <v>150000</v>
      </c>
      <c r="M76" s="152">
        <v>0</v>
      </c>
      <c r="N76" s="2">
        <v>500000</v>
      </c>
      <c r="O76" s="2">
        <v>0</v>
      </c>
      <c r="P76" s="2">
        <v>1500000</v>
      </c>
      <c r="Q76" s="2">
        <v>500000</v>
      </c>
      <c r="R76" s="2">
        <v>0</v>
      </c>
      <c r="S76" s="2">
        <v>0</v>
      </c>
      <c r="T76" s="152">
        <f t="shared" si="9"/>
        <v>6570000</v>
      </c>
      <c r="U76" s="240">
        <f t="shared" si="8"/>
        <v>12747000</v>
      </c>
    </row>
    <row r="77" spans="1:21" s="155" customFormat="1" x14ac:dyDescent="0.3">
      <c r="A77" s="328"/>
      <c r="B77" s="155" t="s">
        <v>74</v>
      </c>
      <c r="C77" s="149">
        <f t="shared" si="7"/>
        <v>20337000</v>
      </c>
      <c r="D77" s="150">
        <v>0</v>
      </c>
      <c r="E77" s="150">
        <v>0</v>
      </c>
      <c r="F77" s="150">
        <v>500000</v>
      </c>
      <c r="G77" s="2">
        <v>420000</v>
      </c>
      <c r="H77" s="2">
        <v>1400000</v>
      </c>
      <c r="I77" s="2">
        <v>0</v>
      </c>
      <c r="J77" s="2">
        <v>1100000</v>
      </c>
      <c r="K77" s="2">
        <v>500000</v>
      </c>
      <c r="L77" s="185">
        <v>150000</v>
      </c>
      <c r="M77" s="152">
        <v>0</v>
      </c>
      <c r="N77" s="2">
        <v>500000</v>
      </c>
      <c r="O77" s="2">
        <v>0</v>
      </c>
      <c r="P77" s="2">
        <v>1500000</v>
      </c>
      <c r="Q77" s="2">
        <v>0</v>
      </c>
      <c r="R77" s="2">
        <v>0</v>
      </c>
      <c r="S77" s="2">
        <v>0</v>
      </c>
      <c r="T77" s="152">
        <f t="shared" si="9"/>
        <v>6070000</v>
      </c>
      <c r="U77" s="240">
        <f t="shared" si="8"/>
        <v>14267000</v>
      </c>
    </row>
    <row r="78" spans="1:21" s="155" customFormat="1" x14ac:dyDescent="0.3">
      <c r="A78" s="328"/>
      <c r="B78" s="155" t="s">
        <v>75</v>
      </c>
      <c r="C78" s="149">
        <f t="shared" si="7"/>
        <v>21857000</v>
      </c>
      <c r="D78" s="150">
        <v>0</v>
      </c>
      <c r="E78" s="2">
        <v>1500000</v>
      </c>
      <c r="F78" s="150">
        <v>500000</v>
      </c>
      <c r="G78" s="2">
        <v>420000</v>
      </c>
      <c r="H78" s="2">
        <v>1400000</v>
      </c>
      <c r="I78" s="2">
        <v>0</v>
      </c>
      <c r="J78" s="2">
        <v>1100000</v>
      </c>
      <c r="K78" s="2">
        <v>500000</v>
      </c>
      <c r="L78" s="185">
        <v>150000</v>
      </c>
      <c r="M78" s="152">
        <v>0</v>
      </c>
      <c r="N78" s="2">
        <v>500000</v>
      </c>
      <c r="O78" s="2">
        <v>0</v>
      </c>
      <c r="P78" s="2">
        <v>1500000</v>
      </c>
      <c r="Q78" s="2">
        <v>0</v>
      </c>
      <c r="R78" s="2">
        <v>0</v>
      </c>
      <c r="S78" s="2">
        <v>0</v>
      </c>
      <c r="T78" s="152">
        <f t="shared" si="9"/>
        <v>7570000</v>
      </c>
      <c r="U78" s="240">
        <f t="shared" si="8"/>
        <v>14287000</v>
      </c>
    </row>
    <row r="79" spans="1:21" s="155" customFormat="1" x14ac:dyDescent="0.3">
      <c r="A79" s="328"/>
      <c r="B79" s="155" t="s">
        <v>76</v>
      </c>
      <c r="C79" s="149">
        <f t="shared" si="7"/>
        <v>21877000</v>
      </c>
      <c r="D79" s="150">
        <v>0</v>
      </c>
      <c r="E79" s="150">
        <v>2000000</v>
      </c>
      <c r="F79" s="150">
        <v>500000</v>
      </c>
      <c r="G79" s="2">
        <v>420000</v>
      </c>
      <c r="H79" s="2">
        <v>1400000</v>
      </c>
      <c r="I79" s="2">
        <v>0</v>
      </c>
      <c r="J79" s="2">
        <v>1100000</v>
      </c>
      <c r="K79" s="2">
        <v>500000</v>
      </c>
      <c r="L79" s="185">
        <v>150000</v>
      </c>
      <c r="M79" s="152">
        <v>0</v>
      </c>
      <c r="N79" s="2">
        <v>500000</v>
      </c>
      <c r="O79" s="2">
        <v>0</v>
      </c>
      <c r="P79" s="2">
        <v>1500000</v>
      </c>
      <c r="Q79" s="2">
        <v>0</v>
      </c>
      <c r="R79" s="2">
        <v>0</v>
      </c>
      <c r="S79" s="2">
        <v>0</v>
      </c>
      <c r="T79" s="152">
        <f t="shared" si="9"/>
        <v>8070000</v>
      </c>
      <c r="U79" s="240">
        <f t="shared" si="8"/>
        <v>13807000</v>
      </c>
    </row>
    <row r="80" spans="1:21" s="155" customFormat="1" x14ac:dyDescent="0.3">
      <c r="A80" s="328"/>
      <c r="B80" s="155" t="s">
        <v>77</v>
      </c>
      <c r="C80" s="149">
        <f t="shared" si="7"/>
        <v>21397000</v>
      </c>
      <c r="D80" s="150">
        <v>0</v>
      </c>
      <c r="E80" s="150">
        <v>0</v>
      </c>
      <c r="F80" s="150">
        <v>500000</v>
      </c>
      <c r="G80" s="2">
        <v>420000</v>
      </c>
      <c r="H80" s="2">
        <v>1400000</v>
      </c>
      <c r="I80" s="2">
        <v>0</v>
      </c>
      <c r="J80" s="2">
        <v>1100000</v>
      </c>
      <c r="K80" s="2">
        <v>500000</v>
      </c>
      <c r="L80" s="185">
        <v>150000</v>
      </c>
      <c r="M80" s="152">
        <v>0</v>
      </c>
      <c r="N80" s="2">
        <v>500000</v>
      </c>
      <c r="O80" s="2">
        <v>0</v>
      </c>
      <c r="P80" s="2">
        <v>1500000</v>
      </c>
      <c r="Q80" s="2">
        <v>500000</v>
      </c>
      <c r="R80" s="2">
        <v>0</v>
      </c>
      <c r="S80" s="2">
        <v>0</v>
      </c>
      <c r="T80" s="152">
        <f t="shared" si="9"/>
        <v>6570000</v>
      </c>
      <c r="U80" s="240">
        <f t="shared" si="8"/>
        <v>14827000</v>
      </c>
    </row>
    <row r="81" spans="1:22" s="155" customFormat="1" x14ac:dyDescent="0.3">
      <c r="A81" s="328"/>
      <c r="B81" s="155" t="s">
        <v>78</v>
      </c>
      <c r="C81" s="149">
        <f t="shared" si="7"/>
        <v>22417000</v>
      </c>
      <c r="D81" s="150">
        <v>0</v>
      </c>
      <c r="E81" s="2">
        <v>1500000</v>
      </c>
      <c r="F81" s="150">
        <v>500000</v>
      </c>
      <c r="G81" s="2">
        <v>420000</v>
      </c>
      <c r="H81" s="2">
        <v>1400000</v>
      </c>
      <c r="I81" s="2">
        <v>0</v>
      </c>
      <c r="J81" s="2">
        <v>1100000</v>
      </c>
      <c r="K81" s="2">
        <v>500000</v>
      </c>
      <c r="L81" s="185">
        <v>150000</v>
      </c>
      <c r="M81" s="152">
        <v>0</v>
      </c>
      <c r="N81" s="2">
        <v>500000</v>
      </c>
      <c r="O81" s="2">
        <v>0</v>
      </c>
      <c r="P81" s="2">
        <v>1500000</v>
      </c>
      <c r="Q81" s="2">
        <v>0</v>
      </c>
      <c r="R81" s="2">
        <v>0</v>
      </c>
      <c r="S81" s="2">
        <v>0</v>
      </c>
      <c r="T81" s="152">
        <f t="shared" si="9"/>
        <v>7570000</v>
      </c>
      <c r="U81" s="240">
        <f t="shared" si="8"/>
        <v>14847000</v>
      </c>
    </row>
    <row r="82" spans="1:22" s="155" customFormat="1" x14ac:dyDescent="0.3">
      <c r="A82" s="328"/>
      <c r="B82" s="155" t="s">
        <v>79</v>
      </c>
      <c r="C82" s="149">
        <f t="shared" si="7"/>
        <v>22437000</v>
      </c>
      <c r="D82" s="150">
        <v>0</v>
      </c>
      <c r="E82" s="150">
        <v>0</v>
      </c>
      <c r="F82" s="150">
        <v>500000</v>
      </c>
      <c r="G82" s="2">
        <v>420000</v>
      </c>
      <c r="H82" s="2">
        <v>1400000</v>
      </c>
      <c r="I82" s="2">
        <v>0</v>
      </c>
      <c r="J82" s="2">
        <v>1100000</v>
      </c>
      <c r="K82" s="2">
        <v>500000</v>
      </c>
      <c r="L82" s="185">
        <v>150000</v>
      </c>
      <c r="M82" s="152">
        <v>0</v>
      </c>
      <c r="N82" s="2">
        <v>500000</v>
      </c>
      <c r="O82" s="2">
        <v>0</v>
      </c>
      <c r="P82" s="2">
        <v>1500000</v>
      </c>
      <c r="Q82" s="2">
        <v>500000</v>
      </c>
      <c r="R82" s="2">
        <v>0</v>
      </c>
      <c r="S82" s="2">
        <v>0</v>
      </c>
      <c r="T82" s="152">
        <f t="shared" si="9"/>
        <v>6570000</v>
      </c>
      <c r="U82" s="240">
        <f t="shared" si="8"/>
        <v>15867000</v>
      </c>
    </row>
    <row r="83" spans="1:22" s="155" customFormat="1" x14ac:dyDescent="0.3">
      <c r="A83" s="328"/>
      <c r="B83" s="155" t="s">
        <v>80</v>
      </c>
      <c r="C83" s="149">
        <f t="shared" si="7"/>
        <v>23457000</v>
      </c>
      <c r="D83" s="150">
        <v>0</v>
      </c>
      <c r="E83" s="150">
        <v>0</v>
      </c>
      <c r="F83" s="150">
        <v>500000</v>
      </c>
      <c r="G83" s="2">
        <v>420000</v>
      </c>
      <c r="H83" s="2">
        <v>1400000</v>
      </c>
      <c r="I83" s="2">
        <v>0</v>
      </c>
      <c r="J83" s="2">
        <v>1100000</v>
      </c>
      <c r="K83" s="2">
        <v>500000</v>
      </c>
      <c r="L83" s="185">
        <v>150000</v>
      </c>
      <c r="M83" s="152">
        <v>0</v>
      </c>
      <c r="N83" s="2">
        <v>500000</v>
      </c>
      <c r="O83" s="2">
        <v>0</v>
      </c>
      <c r="P83" s="2">
        <v>1500000</v>
      </c>
      <c r="Q83" s="2">
        <v>0</v>
      </c>
      <c r="R83" s="2">
        <v>0</v>
      </c>
      <c r="S83" s="2">
        <v>0</v>
      </c>
      <c r="T83" s="152">
        <f t="shared" si="9"/>
        <v>6070000</v>
      </c>
      <c r="U83" s="240">
        <f t="shared" si="8"/>
        <v>17387000</v>
      </c>
    </row>
    <row r="84" spans="1:22" s="155" customFormat="1" x14ac:dyDescent="0.3">
      <c r="A84" s="328"/>
      <c r="B84" s="155" t="s">
        <v>81</v>
      </c>
      <c r="C84" s="149">
        <f t="shared" si="7"/>
        <v>24977000</v>
      </c>
      <c r="D84" s="150">
        <v>0</v>
      </c>
      <c r="E84" s="223">
        <v>1500000</v>
      </c>
      <c r="F84" s="150">
        <v>500000</v>
      </c>
      <c r="G84" s="2">
        <v>420000</v>
      </c>
      <c r="H84" s="2">
        <v>1400000</v>
      </c>
      <c r="I84" s="2">
        <v>0</v>
      </c>
      <c r="J84" s="2">
        <v>1100000</v>
      </c>
      <c r="K84" s="2">
        <v>500000</v>
      </c>
      <c r="L84" s="185">
        <v>150000</v>
      </c>
      <c r="M84" s="152">
        <v>0</v>
      </c>
      <c r="N84" s="2">
        <v>500000</v>
      </c>
      <c r="O84" s="2">
        <v>0</v>
      </c>
      <c r="P84" s="2">
        <v>1500000</v>
      </c>
      <c r="Q84" s="2">
        <v>0</v>
      </c>
      <c r="R84" s="2">
        <v>0</v>
      </c>
      <c r="S84" s="2">
        <v>0</v>
      </c>
      <c r="T84" s="152">
        <f t="shared" si="9"/>
        <v>7570000</v>
      </c>
      <c r="U84" s="240">
        <f t="shared" si="8"/>
        <v>17407000</v>
      </c>
    </row>
    <row r="85" spans="1:22" s="155" customFormat="1" x14ac:dyDescent="0.3">
      <c r="A85" s="328"/>
      <c r="B85" s="155" t="s">
        <v>82</v>
      </c>
      <c r="C85" s="149">
        <f t="shared" si="7"/>
        <v>24997000</v>
      </c>
      <c r="D85" s="150">
        <v>0</v>
      </c>
      <c r="E85" s="150">
        <v>0</v>
      </c>
      <c r="F85" s="150">
        <v>500000</v>
      </c>
      <c r="G85" s="2">
        <v>420000</v>
      </c>
      <c r="H85" s="2">
        <v>1400000</v>
      </c>
      <c r="I85" s="2">
        <v>0</v>
      </c>
      <c r="J85" s="2">
        <v>1100000</v>
      </c>
      <c r="K85" s="2">
        <v>500000</v>
      </c>
      <c r="L85" s="185">
        <v>150000</v>
      </c>
      <c r="M85" s="152">
        <v>0</v>
      </c>
      <c r="N85" s="2">
        <v>500000</v>
      </c>
      <c r="O85" s="2">
        <v>0</v>
      </c>
      <c r="P85" s="2">
        <v>1500000</v>
      </c>
      <c r="Q85" s="2">
        <v>500000</v>
      </c>
      <c r="R85" s="2">
        <v>0</v>
      </c>
      <c r="S85" s="2">
        <v>0</v>
      </c>
      <c r="T85" s="152">
        <f t="shared" si="9"/>
        <v>6570000</v>
      </c>
      <c r="U85" s="240">
        <f t="shared" si="8"/>
        <v>18427000</v>
      </c>
    </row>
    <row r="86" spans="1:22" s="222" customFormat="1" x14ac:dyDescent="0.3">
      <c r="A86" s="328"/>
      <c r="B86" s="222" t="s">
        <v>83</v>
      </c>
      <c r="C86" s="149">
        <f t="shared" si="7"/>
        <v>26017000</v>
      </c>
      <c r="D86" s="223">
        <v>10000000</v>
      </c>
      <c r="E86" s="258">
        <v>500000</v>
      </c>
      <c r="F86" s="150">
        <v>500000</v>
      </c>
      <c r="G86" s="185">
        <v>420000</v>
      </c>
      <c r="H86" s="2">
        <v>1400000</v>
      </c>
      <c r="I86" s="185">
        <v>0</v>
      </c>
      <c r="J86" s="2">
        <v>1100000</v>
      </c>
      <c r="K86" s="2">
        <v>500000</v>
      </c>
      <c r="L86" s="185">
        <v>150000</v>
      </c>
      <c r="M86" s="185">
        <v>0</v>
      </c>
      <c r="N86" s="2">
        <v>500000</v>
      </c>
      <c r="O86" s="2">
        <v>0</v>
      </c>
      <c r="P86" s="2">
        <v>1500000</v>
      </c>
      <c r="Q86" s="2">
        <v>0</v>
      </c>
      <c r="R86" s="2">
        <v>0</v>
      </c>
      <c r="S86" s="223">
        <v>25000000</v>
      </c>
      <c r="T86" s="185">
        <f t="shared" si="9"/>
        <v>31570000</v>
      </c>
      <c r="U86" s="240">
        <f t="shared" si="8"/>
        <v>4447000</v>
      </c>
      <c r="V86" s="266" t="s">
        <v>220</v>
      </c>
    </row>
    <row r="87" spans="1:22" s="155" customFormat="1" x14ac:dyDescent="0.3">
      <c r="A87" s="328">
        <v>2030</v>
      </c>
      <c r="B87" s="155" t="s">
        <v>72</v>
      </c>
      <c r="C87" s="149">
        <f t="shared" si="7"/>
        <v>12037000</v>
      </c>
      <c r="D87" s="150">
        <v>0</v>
      </c>
      <c r="E87" s="2">
        <v>1500000</v>
      </c>
      <c r="F87" s="150">
        <v>500000</v>
      </c>
      <c r="G87" s="2">
        <v>420000</v>
      </c>
      <c r="H87" s="2">
        <v>1400000</v>
      </c>
      <c r="I87" s="2">
        <v>0</v>
      </c>
      <c r="J87" s="2">
        <v>1100000</v>
      </c>
      <c r="K87" s="2">
        <v>500000</v>
      </c>
      <c r="L87" s="185">
        <v>150000</v>
      </c>
      <c r="M87" s="152">
        <v>0</v>
      </c>
      <c r="N87" s="2">
        <v>500000</v>
      </c>
      <c r="O87" s="2">
        <v>0</v>
      </c>
      <c r="P87" s="2">
        <v>1500000</v>
      </c>
      <c r="Q87" s="2">
        <v>0</v>
      </c>
      <c r="R87" s="2">
        <v>0</v>
      </c>
      <c r="S87" s="2">
        <v>0</v>
      </c>
      <c r="T87" s="152">
        <f t="shared" si="9"/>
        <v>7570000</v>
      </c>
      <c r="U87" s="240">
        <f t="shared" si="8"/>
        <v>4467000</v>
      </c>
    </row>
    <row r="88" spans="1:22" s="155" customFormat="1" x14ac:dyDescent="0.3">
      <c r="A88" s="328"/>
      <c r="B88" s="155" t="s">
        <v>73</v>
      </c>
      <c r="C88" s="149">
        <f t="shared" si="7"/>
        <v>12057000</v>
      </c>
      <c r="D88" s="150">
        <v>0</v>
      </c>
      <c r="E88" s="150">
        <v>0</v>
      </c>
      <c r="F88" s="150">
        <v>500000</v>
      </c>
      <c r="G88" s="2">
        <v>420000</v>
      </c>
      <c r="H88" s="2">
        <v>1400000</v>
      </c>
      <c r="I88" s="2">
        <v>0</v>
      </c>
      <c r="J88" s="2">
        <v>1100000</v>
      </c>
      <c r="K88" s="2">
        <v>500000</v>
      </c>
      <c r="L88" s="185">
        <v>150000</v>
      </c>
      <c r="M88" s="152">
        <v>0</v>
      </c>
      <c r="N88" s="2">
        <v>500000</v>
      </c>
      <c r="O88" s="2">
        <v>0</v>
      </c>
      <c r="P88" s="2">
        <v>1500000</v>
      </c>
      <c r="Q88" s="2">
        <v>0</v>
      </c>
      <c r="R88" s="2">
        <v>0</v>
      </c>
      <c r="S88" s="2">
        <v>0</v>
      </c>
      <c r="T88" s="152">
        <f t="shared" si="9"/>
        <v>6070000</v>
      </c>
      <c r="U88" s="240">
        <f t="shared" si="8"/>
        <v>5987000</v>
      </c>
    </row>
    <row r="89" spans="1:22" s="155" customFormat="1" x14ac:dyDescent="0.3">
      <c r="A89" s="328"/>
      <c r="B89" s="155" t="s">
        <v>74</v>
      </c>
      <c r="C89" s="149">
        <f t="shared" si="7"/>
        <v>13577000</v>
      </c>
      <c r="D89" s="150">
        <v>0</v>
      </c>
      <c r="E89" s="150">
        <v>0</v>
      </c>
      <c r="F89" s="150">
        <v>500000</v>
      </c>
      <c r="G89" s="2">
        <v>420000</v>
      </c>
      <c r="H89" s="2">
        <v>1400000</v>
      </c>
      <c r="I89" s="2">
        <v>0</v>
      </c>
      <c r="J89" s="2">
        <v>1100000</v>
      </c>
      <c r="K89" s="2">
        <v>500000</v>
      </c>
      <c r="L89" s="185">
        <v>150000</v>
      </c>
      <c r="M89" s="152">
        <v>0</v>
      </c>
      <c r="N89" s="2">
        <v>500000</v>
      </c>
      <c r="O89" s="2">
        <v>0</v>
      </c>
      <c r="P89" s="2">
        <v>1500000</v>
      </c>
      <c r="Q89" s="2">
        <v>500000</v>
      </c>
      <c r="R89" s="2">
        <v>0</v>
      </c>
      <c r="S89" s="2">
        <v>0</v>
      </c>
      <c r="T89" s="152">
        <f t="shared" si="9"/>
        <v>6570000</v>
      </c>
      <c r="U89" s="240">
        <f t="shared" si="8"/>
        <v>7007000</v>
      </c>
    </row>
    <row r="90" spans="1:22" s="155" customFormat="1" x14ac:dyDescent="0.3">
      <c r="A90" s="328"/>
      <c r="B90" s="155" t="s">
        <v>75</v>
      </c>
      <c r="C90" s="149">
        <f t="shared" si="7"/>
        <v>14597000</v>
      </c>
      <c r="D90" s="150">
        <v>0</v>
      </c>
      <c r="E90" s="2">
        <v>1500000</v>
      </c>
      <c r="F90" s="150">
        <v>500000</v>
      </c>
      <c r="G90" s="2">
        <v>420000</v>
      </c>
      <c r="H90" s="2">
        <v>1400000</v>
      </c>
      <c r="I90" s="2">
        <v>0</v>
      </c>
      <c r="J90" s="2">
        <v>1100000</v>
      </c>
      <c r="K90" s="2">
        <v>500000</v>
      </c>
      <c r="L90" s="185">
        <v>150000</v>
      </c>
      <c r="M90" s="152">
        <v>0</v>
      </c>
      <c r="N90" s="2">
        <v>500000</v>
      </c>
      <c r="O90" s="2">
        <v>0</v>
      </c>
      <c r="P90" s="2">
        <v>1500000</v>
      </c>
      <c r="Q90" s="2">
        <v>0</v>
      </c>
      <c r="R90" s="2">
        <v>0</v>
      </c>
      <c r="S90" s="2">
        <v>0</v>
      </c>
      <c r="T90" s="152">
        <f t="shared" si="9"/>
        <v>7570000</v>
      </c>
      <c r="U90" s="240">
        <f t="shared" ref="U90:U121" si="10" xml:space="preserve"> (C90+D90) - T90</f>
        <v>7027000</v>
      </c>
    </row>
    <row r="91" spans="1:22" s="155" customFormat="1" x14ac:dyDescent="0.3">
      <c r="A91" s="328"/>
      <c r="B91" s="155" t="s">
        <v>76</v>
      </c>
      <c r="C91" s="149">
        <f t="shared" si="7"/>
        <v>14617000</v>
      </c>
      <c r="D91" s="150">
        <v>0</v>
      </c>
      <c r="E91" s="150">
        <v>2000000</v>
      </c>
      <c r="F91" s="150">
        <v>500000</v>
      </c>
      <c r="G91" s="2">
        <v>420000</v>
      </c>
      <c r="H91" s="2">
        <v>1400000</v>
      </c>
      <c r="I91" s="2">
        <v>0</v>
      </c>
      <c r="J91" s="2">
        <v>1100000</v>
      </c>
      <c r="K91" s="2">
        <v>500000</v>
      </c>
      <c r="L91" s="185">
        <v>150000</v>
      </c>
      <c r="M91" s="152">
        <v>0</v>
      </c>
      <c r="N91" s="2">
        <v>500000</v>
      </c>
      <c r="O91" s="2">
        <v>0</v>
      </c>
      <c r="P91" s="2">
        <v>1500000</v>
      </c>
      <c r="Q91" s="2">
        <v>500000</v>
      </c>
      <c r="R91" s="2">
        <v>0</v>
      </c>
      <c r="S91" s="2">
        <v>0</v>
      </c>
      <c r="T91" s="152">
        <f t="shared" si="9"/>
        <v>8570000</v>
      </c>
      <c r="U91" s="240">
        <f t="shared" si="10"/>
        <v>6047000</v>
      </c>
    </row>
    <row r="92" spans="1:22" s="155" customFormat="1" x14ac:dyDescent="0.3">
      <c r="A92" s="328"/>
      <c r="B92" s="155" t="s">
        <v>77</v>
      </c>
      <c r="C92" s="149">
        <f t="shared" si="7"/>
        <v>13637000</v>
      </c>
      <c r="D92" s="150">
        <v>0</v>
      </c>
      <c r="E92" s="150">
        <v>0</v>
      </c>
      <c r="F92" s="150">
        <v>500000</v>
      </c>
      <c r="G92" s="2">
        <v>420000</v>
      </c>
      <c r="H92" s="2">
        <v>1400000</v>
      </c>
      <c r="I92" s="2">
        <v>0</v>
      </c>
      <c r="J92" s="2">
        <v>1100000</v>
      </c>
      <c r="K92" s="2">
        <v>500000</v>
      </c>
      <c r="L92" s="185">
        <v>150000</v>
      </c>
      <c r="M92" s="152">
        <v>0</v>
      </c>
      <c r="N92" s="2">
        <v>500000</v>
      </c>
      <c r="O92" s="2">
        <v>0</v>
      </c>
      <c r="P92" s="2">
        <v>1500000</v>
      </c>
      <c r="Q92" s="2">
        <v>0</v>
      </c>
      <c r="R92" s="2">
        <v>0</v>
      </c>
      <c r="S92" s="2">
        <v>0</v>
      </c>
      <c r="T92" s="152">
        <f t="shared" si="9"/>
        <v>6070000</v>
      </c>
      <c r="U92" s="240">
        <f t="shared" si="10"/>
        <v>7567000</v>
      </c>
    </row>
    <row r="93" spans="1:22" s="155" customFormat="1" x14ac:dyDescent="0.3">
      <c r="A93" s="328"/>
      <c r="B93" s="155" t="s">
        <v>78</v>
      </c>
      <c r="C93" s="149">
        <f t="shared" si="7"/>
        <v>15157000</v>
      </c>
      <c r="D93" s="150">
        <v>0</v>
      </c>
      <c r="E93" s="2">
        <v>1500000</v>
      </c>
      <c r="F93" s="150">
        <v>500000</v>
      </c>
      <c r="G93" s="2">
        <v>420000</v>
      </c>
      <c r="H93" s="2">
        <v>1400000</v>
      </c>
      <c r="I93" s="2">
        <v>0</v>
      </c>
      <c r="J93" s="2">
        <v>1100000</v>
      </c>
      <c r="K93" s="2">
        <v>500000</v>
      </c>
      <c r="L93" s="185">
        <v>150000</v>
      </c>
      <c r="M93" s="152">
        <v>0</v>
      </c>
      <c r="N93" s="2">
        <v>500000</v>
      </c>
      <c r="O93" s="2">
        <v>0</v>
      </c>
      <c r="P93" s="2">
        <v>1500000</v>
      </c>
      <c r="Q93" s="2">
        <v>0</v>
      </c>
      <c r="R93" s="2">
        <v>0</v>
      </c>
      <c r="S93" s="2">
        <v>0</v>
      </c>
      <c r="T93" s="152">
        <f t="shared" si="9"/>
        <v>7570000</v>
      </c>
      <c r="U93" s="240">
        <f t="shared" si="10"/>
        <v>7587000</v>
      </c>
    </row>
    <row r="94" spans="1:22" s="155" customFormat="1" x14ac:dyDescent="0.3">
      <c r="A94" s="328"/>
      <c r="B94" s="155" t="s">
        <v>79</v>
      </c>
      <c r="C94" s="149">
        <f t="shared" si="7"/>
        <v>15177000</v>
      </c>
      <c r="D94" s="150">
        <v>0</v>
      </c>
      <c r="E94" s="150">
        <v>0</v>
      </c>
      <c r="F94" s="150">
        <v>500000</v>
      </c>
      <c r="G94" s="2">
        <v>420000</v>
      </c>
      <c r="H94" s="2">
        <v>1400000</v>
      </c>
      <c r="I94" s="2">
        <v>0</v>
      </c>
      <c r="J94" s="2">
        <v>1100000</v>
      </c>
      <c r="K94" s="2">
        <v>500000</v>
      </c>
      <c r="L94" s="185">
        <v>150000</v>
      </c>
      <c r="M94" s="152">
        <v>0</v>
      </c>
      <c r="N94" s="2">
        <v>500000</v>
      </c>
      <c r="O94" s="2">
        <v>0</v>
      </c>
      <c r="P94" s="2">
        <v>1500000</v>
      </c>
      <c r="Q94" s="2">
        <v>500000</v>
      </c>
      <c r="R94" s="2">
        <v>0</v>
      </c>
      <c r="S94" s="2">
        <v>0</v>
      </c>
      <c r="T94" s="152">
        <f t="shared" si="9"/>
        <v>6570000</v>
      </c>
      <c r="U94" s="240">
        <f t="shared" si="10"/>
        <v>8607000</v>
      </c>
    </row>
    <row r="95" spans="1:22" s="155" customFormat="1" x14ac:dyDescent="0.3">
      <c r="A95" s="328"/>
      <c r="B95" s="155" t="s">
        <v>80</v>
      </c>
      <c r="C95" s="149">
        <f t="shared" si="7"/>
        <v>16197000</v>
      </c>
      <c r="D95" s="150">
        <v>0</v>
      </c>
      <c r="E95" s="150">
        <v>0</v>
      </c>
      <c r="F95" s="150">
        <v>500000</v>
      </c>
      <c r="G95" s="2">
        <v>420000</v>
      </c>
      <c r="H95" s="2">
        <v>1400000</v>
      </c>
      <c r="I95" s="2">
        <v>0</v>
      </c>
      <c r="J95" s="2">
        <v>1100000</v>
      </c>
      <c r="K95" s="2">
        <v>500000</v>
      </c>
      <c r="L95" s="185">
        <v>150000</v>
      </c>
      <c r="M95" s="152">
        <v>0</v>
      </c>
      <c r="N95" s="2">
        <v>500000</v>
      </c>
      <c r="O95" s="2">
        <v>0</v>
      </c>
      <c r="P95" s="2">
        <v>1500000</v>
      </c>
      <c r="Q95" s="2">
        <v>0</v>
      </c>
      <c r="R95" s="2">
        <v>0</v>
      </c>
      <c r="S95" s="2">
        <v>0</v>
      </c>
      <c r="T95" s="152">
        <f t="shared" si="9"/>
        <v>6070000</v>
      </c>
      <c r="U95" s="240">
        <f t="shared" si="10"/>
        <v>10127000</v>
      </c>
    </row>
    <row r="96" spans="1:22" s="155" customFormat="1" x14ac:dyDescent="0.3">
      <c r="A96" s="328"/>
      <c r="B96" s="155" t="s">
        <v>81</v>
      </c>
      <c r="C96" s="149">
        <f t="shared" si="7"/>
        <v>17717000</v>
      </c>
      <c r="D96" s="150">
        <v>0</v>
      </c>
      <c r="E96" s="223">
        <v>1500000</v>
      </c>
      <c r="F96" s="150">
        <v>500000</v>
      </c>
      <c r="G96" s="2">
        <v>420000</v>
      </c>
      <c r="H96" s="2">
        <v>1400000</v>
      </c>
      <c r="I96" s="2">
        <v>0</v>
      </c>
      <c r="J96" s="2">
        <v>1100000</v>
      </c>
      <c r="K96" s="2">
        <v>500000</v>
      </c>
      <c r="L96" s="185">
        <v>150000</v>
      </c>
      <c r="M96" s="152">
        <v>0</v>
      </c>
      <c r="N96" s="2">
        <v>500000</v>
      </c>
      <c r="O96" s="2">
        <v>0</v>
      </c>
      <c r="P96" s="2">
        <v>1500000</v>
      </c>
      <c r="Q96" s="2">
        <v>0</v>
      </c>
      <c r="R96" s="2">
        <v>0</v>
      </c>
      <c r="S96" s="2">
        <v>0</v>
      </c>
      <c r="T96" s="152">
        <f t="shared" si="9"/>
        <v>7570000</v>
      </c>
      <c r="U96" s="240">
        <f t="shared" si="10"/>
        <v>10147000</v>
      </c>
    </row>
    <row r="97" spans="1:22" s="155" customFormat="1" x14ac:dyDescent="0.3">
      <c r="A97" s="328"/>
      <c r="B97" s="155" t="s">
        <v>82</v>
      </c>
      <c r="C97" s="149">
        <f t="shared" si="7"/>
        <v>17737000</v>
      </c>
      <c r="D97" s="150">
        <v>0</v>
      </c>
      <c r="E97" s="150">
        <v>0</v>
      </c>
      <c r="F97" s="150">
        <v>500000</v>
      </c>
      <c r="G97" s="2">
        <v>420000</v>
      </c>
      <c r="H97" s="2">
        <v>1400000</v>
      </c>
      <c r="I97" s="2">
        <v>0</v>
      </c>
      <c r="J97" s="2">
        <v>1100000</v>
      </c>
      <c r="K97" s="2">
        <v>500000</v>
      </c>
      <c r="L97" s="185">
        <v>150000</v>
      </c>
      <c r="M97" s="152">
        <v>0</v>
      </c>
      <c r="N97" s="2">
        <v>500000</v>
      </c>
      <c r="O97" s="2">
        <v>0</v>
      </c>
      <c r="P97" s="2">
        <v>1500000</v>
      </c>
      <c r="Q97" s="2">
        <v>0</v>
      </c>
      <c r="R97" s="2">
        <v>0</v>
      </c>
      <c r="S97" s="2">
        <v>0</v>
      </c>
      <c r="T97" s="152">
        <f t="shared" si="9"/>
        <v>6070000</v>
      </c>
      <c r="U97" s="240">
        <f t="shared" si="10"/>
        <v>11667000</v>
      </c>
    </row>
    <row r="98" spans="1:22" s="222" customFormat="1" x14ac:dyDescent="0.3">
      <c r="A98" s="328"/>
      <c r="B98" s="222" t="s">
        <v>83</v>
      </c>
      <c r="C98" s="149">
        <f t="shared" si="7"/>
        <v>19257000</v>
      </c>
      <c r="D98" s="150">
        <v>0</v>
      </c>
      <c r="E98" s="258">
        <v>500000</v>
      </c>
      <c r="F98" s="150">
        <v>500000</v>
      </c>
      <c r="G98" s="185">
        <v>420000</v>
      </c>
      <c r="H98" s="2">
        <v>1400000</v>
      </c>
      <c r="I98" s="185">
        <v>0</v>
      </c>
      <c r="J98" s="2">
        <v>1100000</v>
      </c>
      <c r="K98" s="2">
        <v>500000</v>
      </c>
      <c r="L98" s="185">
        <v>150000</v>
      </c>
      <c r="M98" s="185">
        <v>0</v>
      </c>
      <c r="N98" s="2">
        <v>500000</v>
      </c>
      <c r="O98" s="2">
        <v>0</v>
      </c>
      <c r="P98" s="2">
        <v>1500000</v>
      </c>
      <c r="Q98" s="2">
        <v>500000</v>
      </c>
      <c r="R98" s="2">
        <v>0</v>
      </c>
      <c r="S98" s="2">
        <v>0</v>
      </c>
      <c r="T98" s="185">
        <f t="shared" si="9"/>
        <v>7070000</v>
      </c>
      <c r="U98" s="240">
        <f t="shared" si="10"/>
        <v>12187000</v>
      </c>
    </row>
    <row r="99" spans="1:22" s="155" customFormat="1" x14ac:dyDescent="0.3">
      <c r="A99" s="328">
        <v>2031</v>
      </c>
      <c r="B99" s="155" t="s">
        <v>72</v>
      </c>
      <c r="C99" s="149">
        <f t="shared" si="7"/>
        <v>19777000</v>
      </c>
      <c r="D99" s="150">
        <v>0</v>
      </c>
      <c r="E99" s="2">
        <v>1500000</v>
      </c>
      <c r="F99" s="150">
        <v>500000</v>
      </c>
      <c r="G99" s="2">
        <v>420000</v>
      </c>
      <c r="H99" s="2">
        <v>1400000</v>
      </c>
      <c r="I99" s="2">
        <v>0</v>
      </c>
      <c r="J99" s="2">
        <v>1100000</v>
      </c>
      <c r="K99" s="2">
        <v>500000</v>
      </c>
      <c r="L99" s="185">
        <v>150000</v>
      </c>
      <c r="M99" s="152">
        <v>0</v>
      </c>
      <c r="N99" s="2">
        <v>500000</v>
      </c>
      <c r="O99" s="2">
        <v>0</v>
      </c>
      <c r="P99" s="2">
        <v>1500000</v>
      </c>
      <c r="Q99" s="2">
        <v>0</v>
      </c>
      <c r="R99" s="2">
        <v>0</v>
      </c>
      <c r="S99" s="2">
        <v>0</v>
      </c>
      <c r="T99" s="152">
        <f t="shared" ref="T99:T130" si="11">SUM(E99:S99)</f>
        <v>7570000</v>
      </c>
      <c r="U99" s="240">
        <f t="shared" si="10"/>
        <v>12207000</v>
      </c>
    </row>
    <row r="100" spans="1:22" s="155" customFormat="1" x14ac:dyDescent="0.3">
      <c r="A100" s="328"/>
      <c r="B100" s="155" t="s">
        <v>73</v>
      </c>
      <c r="C100" s="149">
        <f t="shared" si="7"/>
        <v>19797000</v>
      </c>
      <c r="D100" s="150">
        <v>0</v>
      </c>
      <c r="E100" s="150">
        <v>0</v>
      </c>
      <c r="F100" s="150">
        <v>500000</v>
      </c>
      <c r="G100" s="2">
        <v>420000</v>
      </c>
      <c r="H100" s="2">
        <v>1400000</v>
      </c>
      <c r="I100" s="2">
        <v>0</v>
      </c>
      <c r="J100" s="2">
        <v>1100000</v>
      </c>
      <c r="K100" s="2">
        <v>500000</v>
      </c>
      <c r="L100" s="185">
        <v>150000</v>
      </c>
      <c r="M100" s="152">
        <v>0</v>
      </c>
      <c r="N100" s="2">
        <v>500000</v>
      </c>
      <c r="O100" s="2">
        <v>0</v>
      </c>
      <c r="P100" s="2">
        <v>1500000</v>
      </c>
      <c r="Q100" s="2">
        <v>500000</v>
      </c>
      <c r="R100" s="2">
        <v>0</v>
      </c>
      <c r="S100" s="2">
        <v>0</v>
      </c>
      <c r="T100" s="152">
        <f t="shared" si="11"/>
        <v>6570000</v>
      </c>
      <c r="U100" s="240">
        <f t="shared" si="10"/>
        <v>13227000</v>
      </c>
    </row>
    <row r="101" spans="1:22" s="155" customFormat="1" x14ac:dyDescent="0.3">
      <c r="A101" s="328"/>
      <c r="B101" s="155" t="s">
        <v>74</v>
      </c>
      <c r="C101" s="149">
        <f t="shared" si="7"/>
        <v>20817000</v>
      </c>
      <c r="D101" s="150">
        <v>0</v>
      </c>
      <c r="E101" s="150">
        <v>0</v>
      </c>
      <c r="F101" s="150">
        <v>500000</v>
      </c>
      <c r="G101" s="2">
        <v>420000</v>
      </c>
      <c r="H101" s="2">
        <v>1400000</v>
      </c>
      <c r="I101" s="2">
        <v>0</v>
      </c>
      <c r="J101" s="2">
        <v>1100000</v>
      </c>
      <c r="K101" s="2">
        <v>500000</v>
      </c>
      <c r="L101" s="185">
        <v>150000</v>
      </c>
      <c r="M101" s="152">
        <v>0</v>
      </c>
      <c r="N101" s="2">
        <v>500000</v>
      </c>
      <c r="O101" s="2">
        <v>0</v>
      </c>
      <c r="P101" s="2">
        <v>1500000</v>
      </c>
      <c r="Q101" s="2">
        <v>0</v>
      </c>
      <c r="R101" s="2">
        <v>0</v>
      </c>
      <c r="S101" s="2">
        <v>0</v>
      </c>
      <c r="T101" s="152">
        <f t="shared" si="11"/>
        <v>6070000</v>
      </c>
      <c r="U101" s="240">
        <f t="shared" si="10"/>
        <v>14747000</v>
      </c>
    </row>
    <row r="102" spans="1:22" s="155" customFormat="1" x14ac:dyDescent="0.3">
      <c r="A102" s="328"/>
      <c r="B102" s="155" t="s">
        <v>75</v>
      </c>
      <c r="C102" s="149">
        <f t="shared" si="7"/>
        <v>22337000</v>
      </c>
      <c r="D102" s="150">
        <v>0</v>
      </c>
      <c r="E102" s="2">
        <v>1500000</v>
      </c>
      <c r="F102" s="150">
        <v>500000</v>
      </c>
      <c r="G102" s="2">
        <v>420000</v>
      </c>
      <c r="H102" s="2">
        <v>1400000</v>
      </c>
      <c r="I102" s="2">
        <v>0</v>
      </c>
      <c r="J102" s="2">
        <v>1100000</v>
      </c>
      <c r="K102" s="2">
        <v>500000</v>
      </c>
      <c r="L102" s="185">
        <v>150000</v>
      </c>
      <c r="M102" s="152">
        <v>0</v>
      </c>
      <c r="N102" s="2">
        <v>500000</v>
      </c>
      <c r="O102" s="2">
        <v>0</v>
      </c>
      <c r="P102" s="2">
        <v>1500000</v>
      </c>
      <c r="Q102" s="2">
        <v>0</v>
      </c>
      <c r="R102" s="2">
        <v>0</v>
      </c>
      <c r="S102" s="2">
        <v>0</v>
      </c>
      <c r="T102" s="152">
        <f t="shared" si="11"/>
        <v>7570000</v>
      </c>
      <c r="U102" s="240">
        <f t="shared" si="10"/>
        <v>14767000</v>
      </c>
    </row>
    <row r="103" spans="1:22" s="155" customFormat="1" x14ac:dyDescent="0.3">
      <c r="A103" s="328"/>
      <c r="B103" s="155" t="s">
        <v>76</v>
      </c>
      <c r="C103" s="149">
        <f t="shared" si="7"/>
        <v>22357000</v>
      </c>
      <c r="D103" s="150">
        <v>0</v>
      </c>
      <c r="E103" s="150">
        <v>2000000</v>
      </c>
      <c r="F103" s="150">
        <v>500000</v>
      </c>
      <c r="G103" s="2">
        <v>420000</v>
      </c>
      <c r="H103" s="2">
        <v>1400000</v>
      </c>
      <c r="I103" s="2">
        <v>0</v>
      </c>
      <c r="J103" s="2">
        <v>1100000</v>
      </c>
      <c r="K103" s="2">
        <v>500000</v>
      </c>
      <c r="L103" s="185">
        <v>150000</v>
      </c>
      <c r="M103" s="152">
        <v>0</v>
      </c>
      <c r="N103" s="2">
        <v>500000</v>
      </c>
      <c r="O103" s="2">
        <v>0</v>
      </c>
      <c r="P103" s="2">
        <v>1500000</v>
      </c>
      <c r="Q103" s="2">
        <v>500000</v>
      </c>
      <c r="R103" s="2">
        <v>0</v>
      </c>
      <c r="S103" s="2">
        <v>0</v>
      </c>
      <c r="T103" s="152">
        <f t="shared" si="11"/>
        <v>8570000</v>
      </c>
      <c r="U103" s="240">
        <f t="shared" si="10"/>
        <v>13787000</v>
      </c>
    </row>
    <row r="104" spans="1:22" s="155" customFormat="1" x14ac:dyDescent="0.3">
      <c r="A104" s="328"/>
      <c r="B104" s="155" t="s">
        <v>77</v>
      </c>
      <c r="C104" s="149">
        <f t="shared" si="7"/>
        <v>21377000</v>
      </c>
      <c r="D104" s="150">
        <v>0</v>
      </c>
      <c r="E104" s="150">
        <v>0</v>
      </c>
      <c r="F104" s="150">
        <v>500000</v>
      </c>
      <c r="G104" s="2">
        <v>420000</v>
      </c>
      <c r="H104" s="2">
        <v>1400000</v>
      </c>
      <c r="I104" s="2">
        <v>0</v>
      </c>
      <c r="J104" s="2">
        <v>1100000</v>
      </c>
      <c r="K104" s="2">
        <v>500000</v>
      </c>
      <c r="L104" s="185">
        <v>150000</v>
      </c>
      <c r="M104" s="152">
        <v>0</v>
      </c>
      <c r="N104" s="2">
        <v>500000</v>
      </c>
      <c r="O104" s="2">
        <v>0</v>
      </c>
      <c r="P104" s="2">
        <v>1500000</v>
      </c>
      <c r="Q104" s="2">
        <v>0</v>
      </c>
      <c r="R104" s="2">
        <v>0</v>
      </c>
      <c r="S104" s="2">
        <v>0</v>
      </c>
      <c r="T104" s="152">
        <f t="shared" si="11"/>
        <v>6070000</v>
      </c>
      <c r="U104" s="240">
        <f t="shared" si="10"/>
        <v>15307000</v>
      </c>
    </row>
    <row r="105" spans="1:22" s="155" customFormat="1" x14ac:dyDescent="0.3">
      <c r="A105" s="328"/>
      <c r="B105" s="155" t="s">
        <v>78</v>
      </c>
      <c r="C105" s="149">
        <f t="shared" si="7"/>
        <v>22897000</v>
      </c>
      <c r="D105" s="150">
        <v>0</v>
      </c>
      <c r="E105" s="2">
        <v>1500000</v>
      </c>
      <c r="F105" s="150">
        <v>500000</v>
      </c>
      <c r="G105" s="2">
        <v>420000</v>
      </c>
      <c r="H105" s="2">
        <v>1400000</v>
      </c>
      <c r="I105" s="2">
        <v>0</v>
      </c>
      <c r="J105" s="2">
        <v>1100000</v>
      </c>
      <c r="K105" s="2">
        <v>500000</v>
      </c>
      <c r="L105" s="185">
        <v>150000</v>
      </c>
      <c r="M105" s="152">
        <v>0</v>
      </c>
      <c r="N105" s="2">
        <v>500000</v>
      </c>
      <c r="O105" s="2">
        <v>0</v>
      </c>
      <c r="P105" s="2">
        <v>1500000</v>
      </c>
      <c r="Q105" s="2">
        <v>0</v>
      </c>
      <c r="R105" s="2">
        <v>0</v>
      </c>
      <c r="S105" s="2">
        <v>0</v>
      </c>
      <c r="T105" s="152">
        <f t="shared" si="11"/>
        <v>7570000</v>
      </c>
      <c r="U105" s="240">
        <f t="shared" si="10"/>
        <v>15327000</v>
      </c>
    </row>
    <row r="106" spans="1:22" s="155" customFormat="1" x14ac:dyDescent="0.3">
      <c r="A106" s="328"/>
      <c r="B106" s="155" t="s">
        <v>79</v>
      </c>
      <c r="C106" s="149">
        <f t="shared" si="7"/>
        <v>22917000</v>
      </c>
      <c r="D106" s="150">
        <v>0</v>
      </c>
      <c r="E106" s="150">
        <v>0</v>
      </c>
      <c r="F106" s="150">
        <v>500000</v>
      </c>
      <c r="G106" s="2">
        <v>420000</v>
      </c>
      <c r="H106" s="2">
        <v>1400000</v>
      </c>
      <c r="I106" s="2">
        <v>0</v>
      </c>
      <c r="J106" s="2">
        <v>1100000</v>
      </c>
      <c r="K106" s="2">
        <v>500000</v>
      </c>
      <c r="L106" s="185">
        <v>150000</v>
      </c>
      <c r="M106" s="152">
        <v>0</v>
      </c>
      <c r="N106" s="2">
        <v>500000</v>
      </c>
      <c r="O106" s="2">
        <v>0</v>
      </c>
      <c r="P106" s="2">
        <v>1500000</v>
      </c>
      <c r="Q106" s="2">
        <v>0</v>
      </c>
      <c r="R106" s="2">
        <v>0</v>
      </c>
      <c r="S106" s="2">
        <v>0</v>
      </c>
      <c r="T106" s="152">
        <f t="shared" si="11"/>
        <v>6070000</v>
      </c>
      <c r="U106" s="240">
        <f t="shared" si="10"/>
        <v>16847000</v>
      </c>
    </row>
    <row r="107" spans="1:22" s="155" customFormat="1" x14ac:dyDescent="0.3">
      <c r="A107" s="328"/>
      <c r="B107" s="155" t="s">
        <v>80</v>
      </c>
      <c r="C107" s="149">
        <f t="shared" ref="C107:C122" si="12" xml:space="preserve"> U106 + 7590000</f>
        <v>24437000</v>
      </c>
      <c r="D107" s="150">
        <v>0</v>
      </c>
      <c r="E107" s="150">
        <v>0</v>
      </c>
      <c r="F107" s="150">
        <v>500000</v>
      </c>
      <c r="G107" s="2">
        <v>420000</v>
      </c>
      <c r="H107" s="2">
        <v>1400000</v>
      </c>
      <c r="I107" s="2">
        <v>0</v>
      </c>
      <c r="J107" s="2">
        <v>1100000</v>
      </c>
      <c r="K107" s="2">
        <v>500000</v>
      </c>
      <c r="L107" s="185">
        <v>150000</v>
      </c>
      <c r="M107" s="152">
        <v>0</v>
      </c>
      <c r="N107" s="2">
        <v>500000</v>
      </c>
      <c r="O107" s="2">
        <v>0</v>
      </c>
      <c r="P107" s="2">
        <v>1500000</v>
      </c>
      <c r="Q107" s="2">
        <v>500000</v>
      </c>
      <c r="R107" s="2">
        <v>0</v>
      </c>
      <c r="S107" s="2">
        <v>0</v>
      </c>
      <c r="T107" s="152">
        <f t="shared" si="11"/>
        <v>6570000</v>
      </c>
      <c r="U107" s="240">
        <f t="shared" si="10"/>
        <v>17867000</v>
      </c>
    </row>
    <row r="108" spans="1:22" s="155" customFormat="1" x14ac:dyDescent="0.3">
      <c r="A108" s="328"/>
      <c r="B108" s="155" t="s">
        <v>81</v>
      </c>
      <c r="C108" s="149">
        <f t="shared" si="12"/>
        <v>25457000</v>
      </c>
      <c r="D108" s="150">
        <v>0</v>
      </c>
      <c r="E108" s="223">
        <v>1500000</v>
      </c>
      <c r="F108" s="150">
        <v>500000</v>
      </c>
      <c r="G108" s="2">
        <v>420000</v>
      </c>
      <c r="H108" s="2">
        <v>1400000</v>
      </c>
      <c r="I108" s="2">
        <v>0</v>
      </c>
      <c r="J108" s="2">
        <v>1100000</v>
      </c>
      <c r="K108" s="2">
        <v>500000</v>
      </c>
      <c r="L108" s="185">
        <v>150000</v>
      </c>
      <c r="M108" s="152">
        <v>0</v>
      </c>
      <c r="N108" s="2">
        <v>500000</v>
      </c>
      <c r="O108" s="2">
        <v>0</v>
      </c>
      <c r="P108" s="2">
        <v>1500000</v>
      </c>
      <c r="Q108" s="2">
        <v>0</v>
      </c>
      <c r="R108" s="2">
        <v>0</v>
      </c>
      <c r="S108" s="2">
        <v>0</v>
      </c>
      <c r="T108" s="152">
        <f t="shared" si="11"/>
        <v>7570000</v>
      </c>
      <c r="U108" s="240">
        <f t="shared" si="10"/>
        <v>17887000</v>
      </c>
    </row>
    <row r="109" spans="1:22" s="155" customFormat="1" x14ac:dyDescent="0.3">
      <c r="A109" s="328"/>
      <c r="B109" s="155" t="s">
        <v>82</v>
      </c>
      <c r="C109" s="149">
        <f t="shared" si="12"/>
        <v>25477000</v>
      </c>
      <c r="D109" s="150">
        <v>0</v>
      </c>
      <c r="E109" s="150">
        <v>0</v>
      </c>
      <c r="F109" s="150">
        <v>500000</v>
      </c>
      <c r="G109" s="2">
        <v>420000</v>
      </c>
      <c r="H109" s="2">
        <v>1400000</v>
      </c>
      <c r="I109" s="2">
        <v>0</v>
      </c>
      <c r="J109" s="2">
        <v>1100000</v>
      </c>
      <c r="K109" s="2">
        <v>500000</v>
      </c>
      <c r="L109" s="185">
        <v>150000</v>
      </c>
      <c r="M109" s="152">
        <v>0</v>
      </c>
      <c r="N109" s="2">
        <v>500000</v>
      </c>
      <c r="O109" s="2">
        <v>0</v>
      </c>
      <c r="P109" s="2">
        <v>1500000</v>
      </c>
      <c r="Q109" s="2">
        <v>500000</v>
      </c>
      <c r="R109" s="2">
        <v>0</v>
      </c>
      <c r="S109" s="2">
        <v>0</v>
      </c>
      <c r="T109" s="152">
        <f t="shared" si="11"/>
        <v>6570000</v>
      </c>
      <c r="U109" s="240">
        <f t="shared" si="10"/>
        <v>18907000</v>
      </c>
    </row>
    <row r="110" spans="1:22" s="222" customFormat="1" x14ac:dyDescent="0.3">
      <c r="A110" s="328"/>
      <c r="B110" s="222" t="s">
        <v>83</v>
      </c>
      <c r="C110" s="149">
        <f t="shared" si="12"/>
        <v>26497000</v>
      </c>
      <c r="D110" s="223">
        <v>30000000</v>
      </c>
      <c r="E110" s="258">
        <v>500000</v>
      </c>
      <c r="F110" s="150">
        <v>500000</v>
      </c>
      <c r="G110" s="185">
        <v>420000</v>
      </c>
      <c r="H110" s="2">
        <v>1400000</v>
      </c>
      <c r="I110" s="185">
        <v>0</v>
      </c>
      <c r="J110" s="2">
        <v>1100000</v>
      </c>
      <c r="K110" s="2">
        <v>500000</v>
      </c>
      <c r="L110" s="185">
        <v>150000</v>
      </c>
      <c r="M110" s="185">
        <v>0</v>
      </c>
      <c r="N110" s="2">
        <v>500000</v>
      </c>
      <c r="O110" s="2">
        <v>0</v>
      </c>
      <c r="P110" s="2">
        <v>1500000</v>
      </c>
      <c r="Q110" s="2">
        <v>0</v>
      </c>
      <c r="R110" s="2">
        <v>0</v>
      </c>
      <c r="S110" s="223">
        <v>40000000</v>
      </c>
      <c r="T110" s="185">
        <f t="shared" si="11"/>
        <v>46570000</v>
      </c>
      <c r="U110" s="240">
        <f t="shared" si="10"/>
        <v>9927000</v>
      </c>
      <c r="V110" s="266" t="s">
        <v>220</v>
      </c>
    </row>
    <row r="111" spans="1:22" s="155" customFormat="1" x14ac:dyDescent="0.3">
      <c r="A111" s="328">
        <v>2032</v>
      </c>
      <c r="B111" s="155" t="s">
        <v>72</v>
      </c>
      <c r="C111" s="149">
        <f t="shared" si="12"/>
        <v>17517000</v>
      </c>
      <c r="D111" s="150">
        <v>0</v>
      </c>
      <c r="E111" s="2">
        <v>1500000</v>
      </c>
      <c r="F111" s="150">
        <v>500000</v>
      </c>
      <c r="G111" s="2">
        <v>420000</v>
      </c>
      <c r="H111" s="2">
        <v>1400000</v>
      </c>
      <c r="I111" s="2">
        <v>0</v>
      </c>
      <c r="J111" s="2">
        <v>1100000</v>
      </c>
      <c r="K111" s="2">
        <v>500000</v>
      </c>
      <c r="L111" s="185">
        <v>150000</v>
      </c>
      <c r="M111" s="152">
        <v>0</v>
      </c>
      <c r="N111" s="2">
        <v>500000</v>
      </c>
      <c r="O111" s="2">
        <v>0</v>
      </c>
      <c r="P111" s="2">
        <v>1500000</v>
      </c>
      <c r="Q111" s="2">
        <v>0</v>
      </c>
      <c r="R111" s="2">
        <v>0</v>
      </c>
      <c r="S111" s="2">
        <v>0</v>
      </c>
      <c r="T111" s="152">
        <f t="shared" si="11"/>
        <v>7570000</v>
      </c>
      <c r="U111" s="240">
        <f t="shared" si="10"/>
        <v>9947000</v>
      </c>
    </row>
    <row r="112" spans="1:22" s="155" customFormat="1" x14ac:dyDescent="0.3">
      <c r="A112" s="328"/>
      <c r="B112" s="155" t="s">
        <v>73</v>
      </c>
      <c r="C112" s="149">
        <f t="shared" si="12"/>
        <v>17537000</v>
      </c>
      <c r="D112" s="150">
        <v>0</v>
      </c>
      <c r="E112" s="150">
        <v>0</v>
      </c>
      <c r="F112" s="150">
        <v>500000</v>
      </c>
      <c r="G112" s="2">
        <v>420000</v>
      </c>
      <c r="H112" s="2">
        <v>1400000</v>
      </c>
      <c r="I112" s="2">
        <v>0</v>
      </c>
      <c r="J112" s="2">
        <v>1100000</v>
      </c>
      <c r="K112" s="2">
        <v>500000</v>
      </c>
      <c r="L112" s="185">
        <v>150000</v>
      </c>
      <c r="M112" s="152">
        <v>0</v>
      </c>
      <c r="N112" s="2">
        <v>500000</v>
      </c>
      <c r="O112" s="2">
        <v>0</v>
      </c>
      <c r="P112" s="2">
        <v>1500000</v>
      </c>
      <c r="Q112" s="2">
        <v>500000</v>
      </c>
      <c r="R112" s="2">
        <v>0</v>
      </c>
      <c r="S112" s="2">
        <v>0</v>
      </c>
      <c r="T112" s="152">
        <f t="shared" si="11"/>
        <v>6570000</v>
      </c>
      <c r="U112" s="240">
        <f t="shared" si="10"/>
        <v>10967000</v>
      </c>
    </row>
    <row r="113" spans="1:22" s="155" customFormat="1" x14ac:dyDescent="0.3">
      <c r="A113" s="328"/>
      <c r="B113" s="155" t="s">
        <v>74</v>
      </c>
      <c r="C113" s="149">
        <f t="shared" si="12"/>
        <v>18557000</v>
      </c>
      <c r="D113" s="150">
        <v>0</v>
      </c>
      <c r="E113" s="150">
        <v>0</v>
      </c>
      <c r="F113" s="150">
        <v>500000</v>
      </c>
      <c r="G113" s="2">
        <v>420000</v>
      </c>
      <c r="H113" s="2">
        <v>1400000</v>
      </c>
      <c r="I113" s="2">
        <v>0</v>
      </c>
      <c r="J113" s="2">
        <v>1100000</v>
      </c>
      <c r="K113" s="2">
        <v>500000</v>
      </c>
      <c r="L113" s="185">
        <v>150000</v>
      </c>
      <c r="M113" s="152">
        <v>0</v>
      </c>
      <c r="N113" s="2">
        <v>500000</v>
      </c>
      <c r="O113" s="2">
        <v>0</v>
      </c>
      <c r="P113" s="2">
        <v>1500000</v>
      </c>
      <c r="Q113" s="2">
        <v>0</v>
      </c>
      <c r="R113" s="2">
        <v>0</v>
      </c>
      <c r="S113" s="2">
        <v>0</v>
      </c>
      <c r="T113" s="152">
        <f t="shared" si="11"/>
        <v>6070000</v>
      </c>
      <c r="U113" s="240">
        <f t="shared" si="10"/>
        <v>12487000</v>
      </c>
    </row>
    <row r="114" spans="1:22" s="155" customFormat="1" x14ac:dyDescent="0.3">
      <c r="A114" s="328"/>
      <c r="B114" s="155" t="s">
        <v>75</v>
      </c>
      <c r="C114" s="149">
        <f t="shared" si="12"/>
        <v>20077000</v>
      </c>
      <c r="D114" s="150">
        <v>0</v>
      </c>
      <c r="E114" s="2">
        <v>1500000</v>
      </c>
      <c r="F114" s="150">
        <v>500000</v>
      </c>
      <c r="G114" s="2">
        <v>420000</v>
      </c>
      <c r="H114" s="2">
        <v>1400000</v>
      </c>
      <c r="I114" s="2">
        <v>0</v>
      </c>
      <c r="J114" s="2">
        <v>1100000</v>
      </c>
      <c r="K114" s="2">
        <v>500000</v>
      </c>
      <c r="L114" s="185">
        <v>150000</v>
      </c>
      <c r="M114" s="152">
        <v>0</v>
      </c>
      <c r="N114" s="2">
        <v>500000</v>
      </c>
      <c r="O114" s="2">
        <v>0</v>
      </c>
      <c r="P114" s="2">
        <v>1500000</v>
      </c>
      <c r="Q114" s="2">
        <v>0</v>
      </c>
      <c r="R114" s="2">
        <v>0</v>
      </c>
      <c r="S114" s="2">
        <v>0</v>
      </c>
      <c r="T114" s="152">
        <f t="shared" si="11"/>
        <v>7570000</v>
      </c>
      <c r="U114" s="240">
        <f t="shared" si="10"/>
        <v>12507000</v>
      </c>
    </row>
    <row r="115" spans="1:22" s="155" customFormat="1" x14ac:dyDescent="0.3">
      <c r="A115" s="328"/>
      <c r="B115" s="155" t="s">
        <v>76</v>
      </c>
      <c r="C115" s="149">
        <f t="shared" si="12"/>
        <v>20097000</v>
      </c>
      <c r="D115" s="150">
        <v>0</v>
      </c>
      <c r="E115" s="150">
        <v>2000000</v>
      </c>
      <c r="F115" s="150">
        <v>500000</v>
      </c>
      <c r="G115" s="2">
        <v>420000</v>
      </c>
      <c r="H115" s="2">
        <v>1400000</v>
      </c>
      <c r="I115" s="2">
        <v>0</v>
      </c>
      <c r="J115" s="2">
        <v>1100000</v>
      </c>
      <c r="K115" s="2">
        <v>500000</v>
      </c>
      <c r="L115" s="185">
        <v>150000</v>
      </c>
      <c r="M115" s="152">
        <v>0</v>
      </c>
      <c r="N115" s="2">
        <v>500000</v>
      </c>
      <c r="O115" s="2">
        <v>0</v>
      </c>
      <c r="P115" s="2">
        <v>1500000</v>
      </c>
      <c r="Q115" s="2">
        <v>0</v>
      </c>
      <c r="R115" s="2">
        <v>0</v>
      </c>
      <c r="S115" s="2">
        <v>0</v>
      </c>
      <c r="T115" s="152">
        <f t="shared" si="11"/>
        <v>8070000</v>
      </c>
      <c r="U115" s="240">
        <f t="shared" si="10"/>
        <v>12027000</v>
      </c>
    </row>
    <row r="116" spans="1:22" s="155" customFormat="1" x14ac:dyDescent="0.3">
      <c r="A116" s="328"/>
      <c r="B116" s="155" t="s">
        <v>77</v>
      </c>
      <c r="C116" s="149">
        <f t="shared" si="12"/>
        <v>19617000</v>
      </c>
      <c r="D116" s="150">
        <v>0</v>
      </c>
      <c r="E116" s="150">
        <v>0</v>
      </c>
      <c r="F116" s="150">
        <v>500000</v>
      </c>
      <c r="G116" s="2">
        <v>420000</v>
      </c>
      <c r="H116" s="2">
        <v>1400000</v>
      </c>
      <c r="I116" s="2">
        <v>0</v>
      </c>
      <c r="J116" s="2">
        <v>1100000</v>
      </c>
      <c r="K116" s="2">
        <v>500000</v>
      </c>
      <c r="L116" s="185">
        <v>150000</v>
      </c>
      <c r="M116" s="152">
        <v>0</v>
      </c>
      <c r="N116" s="2">
        <v>500000</v>
      </c>
      <c r="O116" s="2">
        <v>0</v>
      </c>
      <c r="P116" s="2">
        <v>1500000</v>
      </c>
      <c r="Q116" s="2">
        <v>500000</v>
      </c>
      <c r="R116" s="2">
        <v>0</v>
      </c>
      <c r="S116" s="2">
        <v>0</v>
      </c>
      <c r="T116" s="152">
        <f t="shared" si="11"/>
        <v>6570000</v>
      </c>
      <c r="U116" s="240">
        <f t="shared" si="10"/>
        <v>13047000</v>
      </c>
    </row>
    <row r="117" spans="1:22" s="155" customFormat="1" x14ac:dyDescent="0.3">
      <c r="A117" s="328"/>
      <c r="B117" s="155" t="s">
        <v>78</v>
      </c>
      <c r="C117" s="149">
        <f t="shared" si="12"/>
        <v>20637000</v>
      </c>
      <c r="D117" s="150">
        <v>0</v>
      </c>
      <c r="E117" s="2">
        <v>1500000</v>
      </c>
      <c r="F117" s="150">
        <v>500000</v>
      </c>
      <c r="G117" s="2">
        <v>420000</v>
      </c>
      <c r="H117" s="2">
        <v>1400000</v>
      </c>
      <c r="I117" s="2">
        <v>0</v>
      </c>
      <c r="J117" s="2">
        <v>1100000</v>
      </c>
      <c r="K117" s="2">
        <v>500000</v>
      </c>
      <c r="L117" s="185">
        <v>150000</v>
      </c>
      <c r="M117" s="152">
        <v>0</v>
      </c>
      <c r="N117" s="2">
        <v>500000</v>
      </c>
      <c r="O117" s="2">
        <v>0</v>
      </c>
      <c r="P117" s="2">
        <v>1500000</v>
      </c>
      <c r="Q117" s="2">
        <v>0</v>
      </c>
      <c r="R117" s="2">
        <v>0</v>
      </c>
      <c r="S117" s="2">
        <v>0</v>
      </c>
      <c r="T117" s="152">
        <f t="shared" si="11"/>
        <v>7570000</v>
      </c>
      <c r="U117" s="240">
        <f t="shared" si="10"/>
        <v>13067000</v>
      </c>
    </row>
    <row r="118" spans="1:22" s="155" customFormat="1" x14ac:dyDescent="0.3">
      <c r="A118" s="328"/>
      <c r="B118" s="155" t="s">
        <v>79</v>
      </c>
      <c r="C118" s="149">
        <f t="shared" si="12"/>
        <v>20657000</v>
      </c>
      <c r="D118" s="150">
        <v>0</v>
      </c>
      <c r="E118" s="150">
        <v>0</v>
      </c>
      <c r="F118" s="150">
        <v>500000</v>
      </c>
      <c r="G118" s="2">
        <v>420000</v>
      </c>
      <c r="H118" s="2">
        <v>1400000</v>
      </c>
      <c r="I118" s="2">
        <v>0</v>
      </c>
      <c r="J118" s="2">
        <v>1100000</v>
      </c>
      <c r="K118" s="2">
        <v>500000</v>
      </c>
      <c r="L118" s="185">
        <v>150000</v>
      </c>
      <c r="M118" s="152">
        <v>0</v>
      </c>
      <c r="N118" s="2">
        <v>500000</v>
      </c>
      <c r="O118" s="2">
        <v>0</v>
      </c>
      <c r="P118" s="2">
        <v>1500000</v>
      </c>
      <c r="Q118" s="2">
        <v>500000</v>
      </c>
      <c r="R118" s="2">
        <v>0</v>
      </c>
      <c r="S118" s="2">
        <v>0</v>
      </c>
      <c r="T118" s="152">
        <f t="shared" si="11"/>
        <v>6570000</v>
      </c>
      <c r="U118" s="240">
        <f t="shared" si="10"/>
        <v>14087000</v>
      </c>
    </row>
    <row r="119" spans="1:22" s="155" customFormat="1" x14ac:dyDescent="0.3">
      <c r="A119" s="328"/>
      <c r="B119" s="155" t="s">
        <v>80</v>
      </c>
      <c r="C119" s="149">
        <f t="shared" si="12"/>
        <v>21677000</v>
      </c>
      <c r="D119" s="150">
        <v>0</v>
      </c>
      <c r="E119" s="150">
        <v>0</v>
      </c>
      <c r="F119" s="150">
        <v>500000</v>
      </c>
      <c r="G119" s="2">
        <v>420000</v>
      </c>
      <c r="H119" s="2">
        <v>1400000</v>
      </c>
      <c r="I119" s="2">
        <v>0</v>
      </c>
      <c r="J119" s="2">
        <v>1100000</v>
      </c>
      <c r="K119" s="2">
        <v>500000</v>
      </c>
      <c r="L119" s="185">
        <v>150000</v>
      </c>
      <c r="M119" s="152">
        <v>0</v>
      </c>
      <c r="N119" s="2">
        <v>500000</v>
      </c>
      <c r="O119" s="2">
        <v>0</v>
      </c>
      <c r="P119" s="2">
        <v>1500000</v>
      </c>
      <c r="Q119" s="2">
        <v>0</v>
      </c>
      <c r="R119" s="2">
        <v>0</v>
      </c>
      <c r="S119" s="2">
        <v>0</v>
      </c>
      <c r="T119" s="152">
        <f t="shared" si="11"/>
        <v>6070000</v>
      </c>
      <c r="U119" s="240">
        <f t="shared" si="10"/>
        <v>15607000</v>
      </c>
    </row>
    <row r="120" spans="1:22" s="155" customFormat="1" x14ac:dyDescent="0.3">
      <c r="A120" s="328"/>
      <c r="B120" s="155" t="s">
        <v>81</v>
      </c>
      <c r="C120" s="149">
        <f t="shared" si="12"/>
        <v>23197000</v>
      </c>
      <c r="D120" s="150">
        <v>0</v>
      </c>
      <c r="E120" s="223">
        <v>1500000</v>
      </c>
      <c r="F120" s="150">
        <v>500000</v>
      </c>
      <c r="G120" s="2">
        <v>420000</v>
      </c>
      <c r="H120" s="2">
        <v>1400000</v>
      </c>
      <c r="I120" s="2">
        <v>0</v>
      </c>
      <c r="J120" s="2">
        <v>1100000</v>
      </c>
      <c r="K120" s="2">
        <v>500000</v>
      </c>
      <c r="L120" s="185">
        <v>150000</v>
      </c>
      <c r="M120" s="152">
        <v>0</v>
      </c>
      <c r="N120" s="2">
        <v>500000</v>
      </c>
      <c r="O120" s="2">
        <v>0</v>
      </c>
      <c r="P120" s="2">
        <v>1500000</v>
      </c>
      <c r="Q120" s="2">
        <v>0</v>
      </c>
      <c r="R120" s="2">
        <v>0</v>
      </c>
      <c r="S120" s="2">
        <v>0</v>
      </c>
      <c r="T120" s="152">
        <f t="shared" si="11"/>
        <v>7570000</v>
      </c>
      <c r="U120" s="240">
        <f t="shared" si="10"/>
        <v>15627000</v>
      </c>
    </row>
    <row r="121" spans="1:22" s="155" customFormat="1" x14ac:dyDescent="0.3">
      <c r="A121" s="328"/>
      <c r="B121" s="155" t="s">
        <v>82</v>
      </c>
      <c r="C121" s="149">
        <f t="shared" si="12"/>
        <v>23217000</v>
      </c>
      <c r="D121" s="150">
        <v>0</v>
      </c>
      <c r="E121" s="150">
        <v>0</v>
      </c>
      <c r="F121" s="150">
        <v>500000</v>
      </c>
      <c r="G121" s="2">
        <v>420000</v>
      </c>
      <c r="H121" s="2">
        <v>1400000</v>
      </c>
      <c r="I121" s="2">
        <v>0</v>
      </c>
      <c r="J121" s="2">
        <v>1100000</v>
      </c>
      <c r="K121" s="2">
        <v>500000</v>
      </c>
      <c r="L121" s="185">
        <v>150000</v>
      </c>
      <c r="M121" s="152">
        <v>0</v>
      </c>
      <c r="N121" s="2">
        <v>500000</v>
      </c>
      <c r="O121" s="2">
        <v>0</v>
      </c>
      <c r="P121" s="2">
        <v>1500000</v>
      </c>
      <c r="Q121" s="2">
        <v>0</v>
      </c>
      <c r="R121" s="2">
        <v>0</v>
      </c>
      <c r="S121" s="2">
        <v>0</v>
      </c>
      <c r="T121" s="152">
        <f t="shared" si="11"/>
        <v>6070000</v>
      </c>
      <c r="U121" s="240">
        <f t="shared" si="10"/>
        <v>17147000</v>
      </c>
    </row>
    <row r="122" spans="1:22" s="222" customFormat="1" x14ac:dyDescent="0.3">
      <c r="A122" s="328"/>
      <c r="B122" s="222" t="s">
        <v>83</v>
      </c>
      <c r="C122" s="149">
        <f t="shared" si="12"/>
        <v>24737000</v>
      </c>
      <c r="D122" s="223">
        <v>30000000</v>
      </c>
      <c r="E122" s="258">
        <v>500000</v>
      </c>
      <c r="F122" s="150">
        <v>500000</v>
      </c>
      <c r="G122" s="185">
        <v>420000</v>
      </c>
      <c r="H122" s="2">
        <v>1400000</v>
      </c>
      <c r="I122" s="185">
        <v>0</v>
      </c>
      <c r="J122" s="2">
        <v>1100000</v>
      </c>
      <c r="K122" s="2">
        <v>500000</v>
      </c>
      <c r="L122" s="185">
        <v>150000</v>
      </c>
      <c r="M122" s="185">
        <v>0</v>
      </c>
      <c r="N122" s="2">
        <v>500000</v>
      </c>
      <c r="O122" s="2">
        <v>0</v>
      </c>
      <c r="P122" s="2">
        <v>1500000</v>
      </c>
      <c r="Q122" s="2">
        <v>0</v>
      </c>
      <c r="R122" s="2">
        <v>0</v>
      </c>
      <c r="S122" s="223">
        <v>40000000</v>
      </c>
      <c r="T122" s="185">
        <f t="shared" si="11"/>
        <v>46570000</v>
      </c>
      <c r="U122" s="240">
        <f t="shared" ref="U122:U153" si="13" xml:space="preserve"> (C122+D122) - T122</f>
        <v>8167000</v>
      </c>
      <c r="V122" s="266" t="s">
        <v>220</v>
      </c>
    </row>
    <row r="123" spans="1:22" s="155" customFormat="1" x14ac:dyDescent="0.3">
      <c r="A123" s="328">
        <v>2033</v>
      </c>
      <c r="B123" s="155" t="s">
        <v>72</v>
      </c>
      <c r="C123" s="149">
        <f t="shared" ref="C123:C134" si="14" xml:space="preserve"> U122 + 7590000</f>
        <v>15757000</v>
      </c>
      <c r="D123" s="150">
        <v>0</v>
      </c>
      <c r="E123" s="2">
        <v>1500000</v>
      </c>
      <c r="F123" s="150">
        <v>500000</v>
      </c>
      <c r="G123" s="2">
        <v>420000</v>
      </c>
      <c r="H123" s="2">
        <v>1400000</v>
      </c>
      <c r="I123" s="2">
        <v>0</v>
      </c>
      <c r="J123" s="2">
        <v>1100000</v>
      </c>
      <c r="K123" s="2">
        <v>500000</v>
      </c>
      <c r="L123" s="185">
        <v>150000</v>
      </c>
      <c r="M123" s="152">
        <v>0</v>
      </c>
      <c r="N123" s="2">
        <v>500000</v>
      </c>
      <c r="O123" s="2">
        <v>0</v>
      </c>
      <c r="P123" s="2">
        <v>1500000</v>
      </c>
      <c r="Q123" s="2">
        <v>0</v>
      </c>
      <c r="R123" s="2">
        <v>0</v>
      </c>
      <c r="S123" s="2">
        <v>0</v>
      </c>
      <c r="T123" s="152">
        <f t="shared" ref="T123:T134" si="15">SUM(E123:S123)</f>
        <v>7570000</v>
      </c>
      <c r="U123" s="240">
        <f t="shared" si="13"/>
        <v>8187000</v>
      </c>
    </row>
    <row r="124" spans="1:22" s="155" customFormat="1" x14ac:dyDescent="0.3">
      <c r="A124" s="328"/>
      <c r="B124" s="155" t="s">
        <v>73</v>
      </c>
      <c r="C124" s="149">
        <f t="shared" si="14"/>
        <v>15777000</v>
      </c>
      <c r="D124" s="150">
        <v>0</v>
      </c>
      <c r="E124" s="150">
        <v>0</v>
      </c>
      <c r="F124" s="150">
        <v>500000</v>
      </c>
      <c r="G124" s="2">
        <v>420000</v>
      </c>
      <c r="H124" s="2">
        <v>1400000</v>
      </c>
      <c r="I124" s="2">
        <v>0</v>
      </c>
      <c r="J124" s="2">
        <v>1100000</v>
      </c>
      <c r="K124" s="2">
        <v>500000</v>
      </c>
      <c r="L124" s="185">
        <v>150000</v>
      </c>
      <c r="M124" s="152">
        <v>0</v>
      </c>
      <c r="N124" s="2">
        <v>500000</v>
      </c>
      <c r="O124" s="2">
        <v>0</v>
      </c>
      <c r="P124" s="2">
        <v>1500000</v>
      </c>
      <c r="Q124" s="2">
        <v>500000</v>
      </c>
      <c r="R124" s="2">
        <v>0</v>
      </c>
      <c r="S124" s="2">
        <v>0</v>
      </c>
      <c r="T124" s="152">
        <f t="shared" si="15"/>
        <v>6570000</v>
      </c>
      <c r="U124" s="240">
        <f t="shared" si="13"/>
        <v>9207000</v>
      </c>
    </row>
    <row r="125" spans="1:22" s="155" customFormat="1" x14ac:dyDescent="0.3">
      <c r="A125" s="328"/>
      <c r="B125" s="155" t="s">
        <v>74</v>
      </c>
      <c r="C125" s="149">
        <f t="shared" si="14"/>
        <v>16797000</v>
      </c>
      <c r="D125" s="150">
        <v>0</v>
      </c>
      <c r="E125" s="150">
        <v>0</v>
      </c>
      <c r="F125" s="150">
        <v>500000</v>
      </c>
      <c r="G125" s="2">
        <v>420000</v>
      </c>
      <c r="H125" s="2">
        <v>1400000</v>
      </c>
      <c r="I125" s="2">
        <v>0</v>
      </c>
      <c r="J125" s="2">
        <v>1100000</v>
      </c>
      <c r="K125" s="2">
        <v>500000</v>
      </c>
      <c r="L125" s="185">
        <v>150000</v>
      </c>
      <c r="M125" s="152">
        <v>0</v>
      </c>
      <c r="N125" s="2">
        <v>500000</v>
      </c>
      <c r="O125" s="2">
        <v>0</v>
      </c>
      <c r="P125" s="2">
        <v>1500000</v>
      </c>
      <c r="Q125" s="2">
        <v>0</v>
      </c>
      <c r="R125" s="2">
        <v>0</v>
      </c>
      <c r="S125" s="2">
        <v>0</v>
      </c>
      <c r="T125" s="152">
        <f t="shared" si="15"/>
        <v>6070000</v>
      </c>
      <c r="U125" s="240">
        <f t="shared" si="13"/>
        <v>10727000</v>
      </c>
    </row>
    <row r="126" spans="1:22" s="155" customFormat="1" x14ac:dyDescent="0.3">
      <c r="A126" s="328"/>
      <c r="B126" s="155" t="s">
        <v>75</v>
      </c>
      <c r="C126" s="149">
        <f t="shared" si="14"/>
        <v>18317000</v>
      </c>
      <c r="D126" s="150">
        <v>0</v>
      </c>
      <c r="E126" s="2">
        <v>1500000</v>
      </c>
      <c r="F126" s="150">
        <v>500000</v>
      </c>
      <c r="G126" s="2">
        <v>420000</v>
      </c>
      <c r="H126" s="2">
        <v>1400000</v>
      </c>
      <c r="I126" s="2">
        <v>0</v>
      </c>
      <c r="J126" s="2">
        <v>1100000</v>
      </c>
      <c r="K126" s="2">
        <v>500000</v>
      </c>
      <c r="L126" s="185">
        <v>150000</v>
      </c>
      <c r="M126" s="152">
        <v>0</v>
      </c>
      <c r="N126" s="2">
        <v>500000</v>
      </c>
      <c r="O126" s="2">
        <v>0</v>
      </c>
      <c r="P126" s="2">
        <v>1500000</v>
      </c>
      <c r="Q126" s="2">
        <v>0</v>
      </c>
      <c r="R126" s="2">
        <v>0</v>
      </c>
      <c r="S126" s="2">
        <v>0</v>
      </c>
      <c r="T126" s="152">
        <f t="shared" si="15"/>
        <v>7570000</v>
      </c>
      <c r="U126" s="240">
        <f t="shared" si="13"/>
        <v>10747000</v>
      </c>
    </row>
    <row r="127" spans="1:22" s="155" customFormat="1" x14ac:dyDescent="0.3">
      <c r="A127" s="328"/>
      <c r="B127" s="155" t="s">
        <v>76</v>
      </c>
      <c r="C127" s="149">
        <f t="shared" si="14"/>
        <v>18337000</v>
      </c>
      <c r="D127" s="150">
        <v>0</v>
      </c>
      <c r="E127" s="150">
        <v>2000000</v>
      </c>
      <c r="F127" s="150">
        <v>500000</v>
      </c>
      <c r="G127" s="2">
        <v>420000</v>
      </c>
      <c r="H127" s="2">
        <v>1400000</v>
      </c>
      <c r="I127" s="2">
        <v>0</v>
      </c>
      <c r="J127" s="2">
        <v>1100000</v>
      </c>
      <c r="K127" s="2">
        <v>500000</v>
      </c>
      <c r="L127" s="185">
        <v>150000</v>
      </c>
      <c r="M127" s="152">
        <v>0</v>
      </c>
      <c r="N127" s="2">
        <v>500000</v>
      </c>
      <c r="O127" s="2">
        <v>0</v>
      </c>
      <c r="P127" s="2">
        <v>1500000</v>
      </c>
      <c r="Q127" s="2">
        <v>0</v>
      </c>
      <c r="R127" s="2">
        <v>0</v>
      </c>
      <c r="S127" s="2">
        <v>0</v>
      </c>
      <c r="T127" s="152">
        <f t="shared" si="15"/>
        <v>8070000</v>
      </c>
      <c r="U127" s="240">
        <f t="shared" si="13"/>
        <v>10267000</v>
      </c>
    </row>
    <row r="128" spans="1:22" s="155" customFormat="1" x14ac:dyDescent="0.3">
      <c r="A128" s="328"/>
      <c r="B128" s="155" t="s">
        <v>77</v>
      </c>
      <c r="C128" s="149">
        <f t="shared" si="14"/>
        <v>17857000</v>
      </c>
      <c r="D128" s="150">
        <v>0</v>
      </c>
      <c r="E128" s="150">
        <v>0</v>
      </c>
      <c r="F128" s="150">
        <v>500000</v>
      </c>
      <c r="G128" s="2">
        <v>420000</v>
      </c>
      <c r="H128" s="2">
        <v>1400000</v>
      </c>
      <c r="I128" s="2">
        <v>0</v>
      </c>
      <c r="J128" s="2">
        <v>1100000</v>
      </c>
      <c r="K128" s="2">
        <v>500000</v>
      </c>
      <c r="L128" s="185">
        <v>150000</v>
      </c>
      <c r="M128" s="152">
        <v>0</v>
      </c>
      <c r="N128" s="2">
        <v>500000</v>
      </c>
      <c r="O128" s="2">
        <v>0</v>
      </c>
      <c r="P128" s="2">
        <v>1500000</v>
      </c>
      <c r="Q128" s="2">
        <v>500000</v>
      </c>
      <c r="R128" s="2">
        <v>0</v>
      </c>
      <c r="S128" s="2">
        <v>0</v>
      </c>
      <c r="T128" s="152">
        <f t="shared" si="15"/>
        <v>6570000</v>
      </c>
      <c r="U128" s="240">
        <f t="shared" si="13"/>
        <v>11287000</v>
      </c>
    </row>
    <row r="129" spans="1:22" s="155" customFormat="1" x14ac:dyDescent="0.3">
      <c r="A129" s="328"/>
      <c r="B129" s="155" t="s">
        <v>78</v>
      </c>
      <c r="C129" s="149">
        <f t="shared" si="14"/>
        <v>18877000</v>
      </c>
      <c r="D129" s="150">
        <v>0</v>
      </c>
      <c r="E129" s="2">
        <v>1500000</v>
      </c>
      <c r="F129" s="150">
        <v>500000</v>
      </c>
      <c r="G129" s="2">
        <v>420000</v>
      </c>
      <c r="H129" s="2">
        <v>1400000</v>
      </c>
      <c r="I129" s="2">
        <v>0</v>
      </c>
      <c r="J129" s="2">
        <v>1100000</v>
      </c>
      <c r="K129" s="2">
        <v>500000</v>
      </c>
      <c r="L129" s="185">
        <v>150000</v>
      </c>
      <c r="M129" s="152">
        <v>0</v>
      </c>
      <c r="N129" s="2">
        <v>500000</v>
      </c>
      <c r="O129" s="2">
        <v>0</v>
      </c>
      <c r="P129" s="2">
        <v>1500000</v>
      </c>
      <c r="Q129" s="2">
        <v>0</v>
      </c>
      <c r="R129" s="2">
        <v>0</v>
      </c>
      <c r="S129" s="2">
        <v>0</v>
      </c>
      <c r="T129" s="152">
        <f t="shared" si="15"/>
        <v>7570000</v>
      </c>
      <c r="U129" s="240">
        <f t="shared" si="13"/>
        <v>11307000</v>
      </c>
    </row>
    <row r="130" spans="1:22" s="155" customFormat="1" x14ac:dyDescent="0.3">
      <c r="A130" s="328"/>
      <c r="B130" s="155" t="s">
        <v>79</v>
      </c>
      <c r="C130" s="149">
        <f t="shared" si="14"/>
        <v>18897000</v>
      </c>
      <c r="D130" s="150">
        <v>0</v>
      </c>
      <c r="E130" s="150">
        <v>0</v>
      </c>
      <c r="F130" s="150">
        <v>500000</v>
      </c>
      <c r="G130" s="2">
        <v>420000</v>
      </c>
      <c r="H130" s="2">
        <v>1400000</v>
      </c>
      <c r="I130" s="2">
        <v>0</v>
      </c>
      <c r="J130" s="2">
        <v>1100000</v>
      </c>
      <c r="K130" s="2">
        <v>500000</v>
      </c>
      <c r="L130" s="185">
        <v>150000</v>
      </c>
      <c r="M130" s="152">
        <v>0</v>
      </c>
      <c r="N130" s="2">
        <v>500000</v>
      </c>
      <c r="O130" s="2">
        <v>0</v>
      </c>
      <c r="P130" s="2">
        <v>1500000</v>
      </c>
      <c r="Q130" s="2">
        <v>500000</v>
      </c>
      <c r="R130" s="2">
        <v>0</v>
      </c>
      <c r="S130" s="2">
        <v>0</v>
      </c>
      <c r="T130" s="152">
        <f t="shared" si="15"/>
        <v>6570000</v>
      </c>
      <c r="U130" s="240">
        <f t="shared" si="13"/>
        <v>12327000</v>
      </c>
    </row>
    <row r="131" spans="1:22" s="155" customFormat="1" x14ac:dyDescent="0.3">
      <c r="A131" s="328"/>
      <c r="B131" s="155" t="s">
        <v>80</v>
      </c>
      <c r="C131" s="149">
        <f t="shared" si="14"/>
        <v>19917000</v>
      </c>
      <c r="D131" s="150">
        <v>0</v>
      </c>
      <c r="E131" s="150">
        <v>0</v>
      </c>
      <c r="F131" s="150">
        <v>500000</v>
      </c>
      <c r="G131" s="2">
        <v>420000</v>
      </c>
      <c r="H131" s="2">
        <v>1400000</v>
      </c>
      <c r="I131" s="2">
        <v>0</v>
      </c>
      <c r="J131" s="2">
        <v>1100000</v>
      </c>
      <c r="K131" s="2">
        <v>500000</v>
      </c>
      <c r="L131" s="185">
        <v>150000</v>
      </c>
      <c r="M131" s="152">
        <v>0</v>
      </c>
      <c r="N131" s="2">
        <v>500000</v>
      </c>
      <c r="O131" s="2">
        <v>0</v>
      </c>
      <c r="P131" s="2">
        <v>1500000</v>
      </c>
      <c r="Q131" s="2">
        <v>0</v>
      </c>
      <c r="R131" s="2">
        <v>0</v>
      </c>
      <c r="S131" s="2">
        <v>0</v>
      </c>
      <c r="T131" s="152">
        <f t="shared" si="15"/>
        <v>6070000</v>
      </c>
      <c r="U131" s="240">
        <f t="shared" si="13"/>
        <v>13847000</v>
      </c>
    </row>
    <row r="132" spans="1:22" s="155" customFormat="1" x14ac:dyDescent="0.3">
      <c r="A132" s="328"/>
      <c r="B132" s="155" t="s">
        <v>81</v>
      </c>
      <c r="C132" s="149">
        <f t="shared" si="14"/>
        <v>21437000</v>
      </c>
      <c r="D132" s="150">
        <v>0</v>
      </c>
      <c r="E132" s="223">
        <v>1500000</v>
      </c>
      <c r="F132" s="150">
        <v>500000</v>
      </c>
      <c r="G132" s="2">
        <v>420000</v>
      </c>
      <c r="H132" s="2">
        <v>1400000</v>
      </c>
      <c r="I132" s="2">
        <v>0</v>
      </c>
      <c r="J132" s="2">
        <v>1100000</v>
      </c>
      <c r="K132" s="2">
        <v>500000</v>
      </c>
      <c r="L132" s="185">
        <v>150000</v>
      </c>
      <c r="M132" s="152">
        <v>0</v>
      </c>
      <c r="N132" s="2">
        <v>500000</v>
      </c>
      <c r="O132" s="2">
        <v>0</v>
      </c>
      <c r="P132" s="2">
        <v>1500000</v>
      </c>
      <c r="Q132" s="2">
        <v>0</v>
      </c>
      <c r="R132" s="2">
        <v>0</v>
      </c>
      <c r="S132" s="2">
        <v>0</v>
      </c>
      <c r="T132" s="152">
        <f t="shared" si="15"/>
        <v>7570000</v>
      </c>
      <c r="U132" s="240">
        <f t="shared" si="13"/>
        <v>13867000</v>
      </c>
    </row>
    <row r="133" spans="1:22" s="155" customFormat="1" x14ac:dyDescent="0.3">
      <c r="A133" s="328"/>
      <c r="B133" s="155" t="s">
        <v>82</v>
      </c>
      <c r="C133" s="149">
        <f t="shared" si="14"/>
        <v>21457000</v>
      </c>
      <c r="D133" s="150">
        <v>0</v>
      </c>
      <c r="E133" s="150">
        <v>0</v>
      </c>
      <c r="F133" s="150">
        <v>500000</v>
      </c>
      <c r="G133" s="2">
        <v>420000</v>
      </c>
      <c r="H133" s="2">
        <v>1400000</v>
      </c>
      <c r="I133" s="2">
        <v>0</v>
      </c>
      <c r="J133" s="2">
        <v>1100000</v>
      </c>
      <c r="K133" s="2">
        <v>500000</v>
      </c>
      <c r="L133" s="185">
        <v>150000</v>
      </c>
      <c r="M133" s="152">
        <v>0</v>
      </c>
      <c r="N133" s="2">
        <v>500000</v>
      </c>
      <c r="O133" s="2">
        <v>0</v>
      </c>
      <c r="P133" s="2">
        <v>1500000</v>
      </c>
      <c r="Q133" s="2">
        <v>0</v>
      </c>
      <c r="R133" s="2">
        <v>0</v>
      </c>
      <c r="S133" s="2">
        <v>0</v>
      </c>
      <c r="T133" s="152">
        <f t="shared" si="15"/>
        <v>6070000</v>
      </c>
      <c r="U133" s="240">
        <f t="shared" si="13"/>
        <v>15387000</v>
      </c>
    </row>
    <row r="134" spans="1:22" s="222" customFormat="1" x14ac:dyDescent="0.3">
      <c r="A134" s="328"/>
      <c r="B134" s="222" t="s">
        <v>83</v>
      </c>
      <c r="C134" s="149">
        <f t="shared" si="14"/>
        <v>22977000</v>
      </c>
      <c r="D134" s="223">
        <v>30000000</v>
      </c>
      <c r="E134" s="258">
        <v>500000</v>
      </c>
      <c r="F134" s="150">
        <v>500000</v>
      </c>
      <c r="G134" s="185">
        <v>420000</v>
      </c>
      <c r="H134" s="2">
        <v>1400000</v>
      </c>
      <c r="I134" s="185">
        <v>0</v>
      </c>
      <c r="J134" s="2">
        <v>1100000</v>
      </c>
      <c r="K134" s="2">
        <v>500000</v>
      </c>
      <c r="L134" s="185">
        <v>150000</v>
      </c>
      <c r="M134" s="185">
        <v>0</v>
      </c>
      <c r="N134" s="2">
        <v>500000</v>
      </c>
      <c r="O134" s="2">
        <v>0</v>
      </c>
      <c r="P134" s="2">
        <v>1500000</v>
      </c>
      <c r="Q134" s="2">
        <v>0</v>
      </c>
      <c r="R134" s="2">
        <v>0</v>
      </c>
      <c r="S134" s="223">
        <v>40000000</v>
      </c>
      <c r="T134" s="185">
        <f t="shared" si="15"/>
        <v>46570000</v>
      </c>
      <c r="U134" s="240">
        <f t="shared" ref="U134:U145" si="16" xml:space="preserve"> (C134+D134) - T134</f>
        <v>6407000</v>
      </c>
      <c r="V134" s="266" t="s">
        <v>220</v>
      </c>
    </row>
    <row r="135" spans="1:22" s="155" customFormat="1" x14ac:dyDescent="0.3">
      <c r="A135" s="328">
        <v>2034</v>
      </c>
      <c r="B135" s="155" t="s">
        <v>72</v>
      </c>
      <c r="C135" s="149">
        <f t="shared" ref="C135:C146" si="17" xml:space="preserve"> U134 + 7590000</f>
        <v>13997000</v>
      </c>
      <c r="D135" s="150">
        <v>0</v>
      </c>
      <c r="E135" s="2">
        <v>1500000</v>
      </c>
      <c r="F135" s="150">
        <v>500000</v>
      </c>
      <c r="G135" s="2">
        <v>420000</v>
      </c>
      <c r="H135" s="2">
        <v>1400000</v>
      </c>
      <c r="I135" s="2">
        <v>0</v>
      </c>
      <c r="J135" s="2">
        <v>1100000</v>
      </c>
      <c r="K135" s="2">
        <v>500000</v>
      </c>
      <c r="L135" s="185">
        <v>150000</v>
      </c>
      <c r="M135" s="152">
        <v>0</v>
      </c>
      <c r="N135" s="2">
        <v>500000</v>
      </c>
      <c r="O135" s="2">
        <v>0</v>
      </c>
      <c r="P135" s="2">
        <v>1500000</v>
      </c>
      <c r="Q135" s="2">
        <v>0</v>
      </c>
      <c r="R135" s="2">
        <v>0</v>
      </c>
      <c r="S135" s="2">
        <v>0</v>
      </c>
      <c r="T135" s="152">
        <f t="shared" ref="T135:T146" si="18">SUM(E135:S135)</f>
        <v>7570000</v>
      </c>
      <c r="U135" s="240">
        <f t="shared" si="16"/>
        <v>6427000</v>
      </c>
    </row>
    <row r="136" spans="1:22" s="155" customFormat="1" x14ac:dyDescent="0.3">
      <c r="A136" s="328"/>
      <c r="B136" s="155" t="s">
        <v>73</v>
      </c>
      <c r="C136" s="149">
        <f t="shared" si="17"/>
        <v>14017000</v>
      </c>
      <c r="D136" s="150">
        <v>0</v>
      </c>
      <c r="E136" s="150">
        <v>0</v>
      </c>
      <c r="F136" s="150">
        <v>500000</v>
      </c>
      <c r="G136" s="2">
        <v>420000</v>
      </c>
      <c r="H136" s="2">
        <v>1400000</v>
      </c>
      <c r="I136" s="2">
        <v>0</v>
      </c>
      <c r="J136" s="2">
        <v>1100000</v>
      </c>
      <c r="K136" s="2">
        <v>500000</v>
      </c>
      <c r="L136" s="185">
        <v>150000</v>
      </c>
      <c r="M136" s="152">
        <v>0</v>
      </c>
      <c r="N136" s="2">
        <v>500000</v>
      </c>
      <c r="O136" s="2">
        <v>0</v>
      </c>
      <c r="P136" s="2">
        <v>1500000</v>
      </c>
      <c r="Q136" s="2">
        <v>500000</v>
      </c>
      <c r="R136" s="2">
        <v>0</v>
      </c>
      <c r="S136" s="2">
        <v>0</v>
      </c>
      <c r="T136" s="152">
        <f t="shared" si="18"/>
        <v>6570000</v>
      </c>
      <c r="U136" s="240">
        <f t="shared" si="16"/>
        <v>7447000</v>
      </c>
    </row>
    <row r="137" spans="1:22" s="155" customFormat="1" x14ac:dyDescent="0.3">
      <c r="A137" s="328"/>
      <c r="B137" s="155" t="s">
        <v>74</v>
      </c>
      <c r="C137" s="149">
        <f t="shared" si="17"/>
        <v>15037000</v>
      </c>
      <c r="D137" s="150">
        <v>0</v>
      </c>
      <c r="E137" s="150">
        <v>0</v>
      </c>
      <c r="F137" s="150">
        <v>500000</v>
      </c>
      <c r="G137" s="2">
        <v>420000</v>
      </c>
      <c r="H137" s="2">
        <v>1400000</v>
      </c>
      <c r="I137" s="2">
        <v>0</v>
      </c>
      <c r="J137" s="2">
        <v>1100000</v>
      </c>
      <c r="K137" s="2">
        <v>500000</v>
      </c>
      <c r="L137" s="185">
        <v>150000</v>
      </c>
      <c r="M137" s="152">
        <v>0</v>
      </c>
      <c r="N137" s="2">
        <v>500000</v>
      </c>
      <c r="O137" s="2">
        <v>0</v>
      </c>
      <c r="P137" s="2">
        <v>1500000</v>
      </c>
      <c r="Q137" s="2">
        <v>0</v>
      </c>
      <c r="R137" s="2">
        <v>0</v>
      </c>
      <c r="S137" s="2">
        <v>0</v>
      </c>
      <c r="T137" s="152">
        <f t="shared" si="18"/>
        <v>6070000</v>
      </c>
      <c r="U137" s="240">
        <f t="shared" si="16"/>
        <v>8967000</v>
      </c>
    </row>
    <row r="138" spans="1:22" s="155" customFormat="1" x14ac:dyDescent="0.3">
      <c r="A138" s="328"/>
      <c r="B138" s="155" t="s">
        <v>75</v>
      </c>
      <c r="C138" s="149">
        <f t="shared" si="17"/>
        <v>16557000</v>
      </c>
      <c r="D138" s="150">
        <v>0</v>
      </c>
      <c r="E138" s="2">
        <v>1500000</v>
      </c>
      <c r="F138" s="150">
        <v>500000</v>
      </c>
      <c r="G138" s="2">
        <v>420000</v>
      </c>
      <c r="H138" s="2">
        <v>1400000</v>
      </c>
      <c r="I138" s="2">
        <v>0</v>
      </c>
      <c r="J138" s="2">
        <v>1100000</v>
      </c>
      <c r="K138" s="2">
        <v>500000</v>
      </c>
      <c r="L138" s="185">
        <v>150000</v>
      </c>
      <c r="M138" s="152">
        <v>0</v>
      </c>
      <c r="N138" s="2">
        <v>500000</v>
      </c>
      <c r="O138" s="2">
        <v>0</v>
      </c>
      <c r="P138" s="2">
        <v>1500000</v>
      </c>
      <c r="Q138" s="2">
        <v>0</v>
      </c>
      <c r="R138" s="2">
        <v>0</v>
      </c>
      <c r="S138" s="2">
        <v>0</v>
      </c>
      <c r="T138" s="152">
        <f t="shared" si="18"/>
        <v>7570000</v>
      </c>
      <c r="U138" s="240">
        <f t="shared" si="16"/>
        <v>8987000</v>
      </c>
    </row>
    <row r="139" spans="1:22" s="155" customFormat="1" x14ac:dyDescent="0.3">
      <c r="A139" s="328"/>
      <c r="B139" s="155" t="s">
        <v>76</v>
      </c>
      <c r="C139" s="149">
        <f t="shared" si="17"/>
        <v>16577000</v>
      </c>
      <c r="D139" s="150">
        <v>0</v>
      </c>
      <c r="E139" s="150">
        <v>2000000</v>
      </c>
      <c r="F139" s="150">
        <v>500000</v>
      </c>
      <c r="G139" s="2">
        <v>420000</v>
      </c>
      <c r="H139" s="2">
        <v>1400000</v>
      </c>
      <c r="I139" s="2">
        <v>0</v>
      </c>
      <c r="J139" s="2">
        <v>1100000</v>
      </c>
      <c r="K139" s="2">
        <v>500000</v>
      </c>
      <c r="L139" s="185">
        <v>150000</v>
      </c>
      <c r="M139" s="152">
        <v>0</v>
      </c>
      <c r="N139" s="2">
        <v>500000</v>
      </c>
      <c r="O139" s="2">
        <v>0</v>
      </c>
      <c r="P139" s="2">
        <v>1500000</v>
      </c>
      <c r="Q139" s="2">
        <v>0</v>
      </c>
      <c r="R139" s="2">
        <v>0</v>
      </c>
      <c r="S139" s="2">
        <v>0</v>
      </c>
      <c r="T139" s="152">
        <f t="shared" si="18"/>
        <v>8070000</v>
      </c>
      <c r="U139" s="240">
        <f t="shared" si="16"/>
        <v>8507000</v>
      </c>
    </row>
    <row r="140" spans="1:22" s="155" customFormat="1" x14ac:dyDescent="0.3">
      <c r="A140" s="328"/>
      <c r="B140" s="155" t="s">
        <v>77</v>
      </c>
      <c r="C140" s="149">
        <f t="shared" si="17"/>
        <v>16097000</v>
      </c>
      <c r="D140" s="150">
        <v>0</v>
      </c>
      <c r="E140" s="150">
        <v>0</v>
      </c>
      <c r="F140" s="150">
        <v>500000</v>
      </c>
      <c r="G140" s="2">
        <v>420000</v>
      </c>
      <c r="H140" s="2">
        <v>1400000</v>
      </c>
      <c r="I140" s="2">
        <v>0</v>
      </c>
      <c r="J140" s="2">
        <v>1100000</v>
      </c>
      <c r="K140" s="2">
        <v>500000</v>
      </c>
      <c r="L140" s="185">
        <v>150000</v>
      </c>
      <c r="M140" s="152">
        <v>0</v>
      </c>
      <c r="N140" s="2">
        <v>500000</v>
      </c>
      <c r="O140" s="2">
        <v>0</v>
      </c>
      <c r="P140" s="2">
        <v>1500000</v>
      </c>
      <c r="Q140" s="2">
        <v>500000</v>
      </c>
      <c r="R140" s="2">
        <v>0</v>
      </c>
      <c r="S140" s="2">
        <v>0</v>
      </c>
      <c r="T140" s="152">
        <f t="shared" si="18"/>
        <v>6570000</v>
      </c>
      <c r="U140" s="240">
        <f t="shared" si="16"/>
        <v>9527000</v>
      </c>
    </row>
    <row r="141" spans="1:22" s="155" customFormat="1" x14ac:dyDescent="0.3">
      <c r="A141" s="328"/>
      <c r="B141" s="155" t="s">
        <v>78</v>
      </c>
      <c r="C141" s="149">
        <f t="shared" si="17"/>
        <v>17117000</v>
      </c>
      <c r="D141" s="150">
        <v>0</v>
      </c>
      <c r="E141" s="2">
        <v>1500000</v>
      </c>
      <c r="F141" s="150">
        <v>500000</v>
      </c>
      <c r="G141" s="2">
        <v>420000</v>
      </c>
      <c r="H141" s="2">
        <v>1400000</v>
      </c>
      <c r="I141" s="2">
        <v>0</v>
      </c>
      <c r="J141" s="2">
        <v>1100000</v>
      </c>
      <c r="K141" s="2">
        <v>500000</v>
      </c>
      <c r="L141" s="185">
        <v>150000</v>
      </c>
      <c r="M141" s="152">
        <v>0</v>
      </c>
      <c r="N141" s="2">
        <v>500000</v>
      </c>
      <c r="O141" s="2">
        <v>0</v>
      </c>
      <c r="P141" s="2">
        <v>1500000</v>
      </c>
      <c r="Q141" s="2">
        <v>0</v>
      </c>
      <c r="R141" s="2">
        <v>0</v>
      </c>
      <c r="S141" s="2">
        <v>0</v>
      </c>
      <c r="T141" s="152">
        <f t="shared" si="18"/>
        <v>7570000</v>
      </c>
      <c r="U141" s="240">
        <f t="shared" si="16"/>
        <v>9547000</v>
      </c>
    </row>
    <row r="142" spans="1:22" s="155" customFormat="1" x14ac:dyDescent="0.3">
      <c r="A142" s="328"/>
      <c r="B142" s="155" t="s">
        <v>79</v>
      </c>
      <c r="C142" s="149">
        <f t="shared" si="17"/>
        <v>17137000</v>
      </c>
      <c r="D142" s="150">
        <v>0</v>
      </c>
      <c r="E142" s="150">
        <v>0</v>
      </c>
      <c r="F142" s="150">
        <v>500000</v>
      </c>
      <c r="G142" s="2">
        <v>420000</v>
      </c>
      <c r="H142" s="2">
        <v>1400000</v>
      </c>
      <c r="I142" s="2">
        <v>0</v>
      </c>
      <c r="J142" s="2">
        <v>1100000</v>
      </c>
      <c r="K142" s="2">
        <v>500000</v>
      </c>
      <c r="L142" s="185">
        <v>150000</v>
      </c>
      <c r="M142" s="152">
        <v>0</v>
      </c>
      <c r="N142" s="2">
        <v>500000</v>
      </c>
      <c r="O142" s="2">
        <v>0</v>
      </c>
      <c r="P142" s="2">
        <v>1500000</v>
      </c>
      <c r="Q142" s="2">
        <v>500000</v>
      </c>
      <c r="R142" s="2">
        <v>0</v>
      </c>
      <c r="S142" s="2">
        <v>0</v>
      </c>
      <c r="T142" s="152">
        <f t="shared" si="18"/>
        <v>6570000</v>
      </c>
      <c r="U142" s="240">
        <f t="shared" si="16"/>
        <v>10567000</v>
      </c>
    </row>
    <row r="143" spans="1:22" s="155" customFormat="1" x14ac:dyDescent="0.3">
      <c r="A143" s="328"/>
      <c r="B143" s="155" t="s">
        <v>80</v>
      </c>
      <c r="C143" s="149">
        <f t="shared" si="17"/>
        <v>18157000</v>
      </c>
      <c r="D143" s="150">
        <v>0</v>
      </c>
      <c r="E143" s="150">
        <v>0</v>
      </c>
      <c r="F143" s="150">
        <v>500000</v>
      </c>
      <c r="G143" s="2">
        <v>420000</v>
      </c>
      <c r="H143" s="2">
        <v>1400000</v>
      </c>
      <c r="I143" s="2">
        <v>0</v>
      </c>
      <c r="J143" s="2">
        <v>1100000</v>
      </c>
      <c r="K143" s="2">
        <v>500000</v>
      </c>
      <c r="L143" s="185">
        <v>150000</v>
      </c>
      <c r="M143" s="152">
        <v>0</v>
      </c>
      <c r="N143" s="2">
        <v>500000</v>
      </c>
      <c r="O143" s="2">
        <v>0</v>
      </c>
      <c r="P143" s="2">
        <v>1500000</v>
      </c>
      <c r="Q143" s="2">
        <v>0</v>
      </c>
      <c r="R143" s="2">
        <v>0</v>
      </c>
      <c r="S143" s="2">
        <v>0</v>
      </c>
      <c r="T143" s="152">
        <f t="shared" si="18"/>
        <v>6070000</v>
      </c>
      <c r="U143" s="240">
        <f t="shared" si="16"/>
        <v>12087000</v>
      </c>
    </row>
    <row r="144" spans="1:22" s="155" customFormat="1" x14ac:dyDescent="0.3">
      <c r="A144" s="328"/>
      <c r="B144" s="155" t="s">
        <v>81</v>
      </c>
      <c r="C144" s="149">
        <f t="shared" si="17"/>
        <v>19677000</v>
      </c>
      <c r="D144" s="150">
        <v>0</v>
      </c>
      <c r="E144" s="223">
        <v>1500000</v>
      </c>
      <c r="F144" s="150">
        <v>500000</v>
      </c>
      <c r="G144" s="2">
        <v>420000</v>
      </c>
      <c r="H144" s="2">
        <v>1400000</v>
      </c>
      <c r="I144" s="2">
        <v>0</v>
      </c>
      <c r="J144" s="2">
        <v>1100000</v>
      </c>
      <c r="K144" s="2">
        <v>500000</v>
      </c>
      <c r="L144" s="185">
        <v>150000</v>
      </c>
      <c r="M144" s="152">
        <v>0</v>
      </c>
      <c r="N144" s="2">
        <v>500000</v>
      </c>
      <c r="O144" s="2">
        <v>0</v>
      </c>
      <c r="P144" s="2">
        <v>1500000</v>
      </c>
      <c r="Q144" s="2">
        <v>0</v>
      </c>
      <c r="R144" s="2">
        <v>0</v>
      </c>
      <c r="S144" s="2">
        <v>0</v>
      </c>
      <c r="T144" s="152">
        <f t="shared" si="18"/>
        <v>7570000</v>
      </c>
      <c r="U144" s="240">
        <f t="shared" si="16"/>
        <v>12107000</v>
      </c>
    </row>
    <row r="145" spans="1:22" s="155" customFormat="1" x14ac:dyDescent="0.3">
      <c r="A145" s="328"/>
      <c r="B145" s="155" t="s">
        <v>82</v>
      </c>
      <c r="C145" s="149">
        <f t="shared" si="17"/>
        <v>19697000</v>
      </c>
      <c r="D145" s="150">
        <v>0</v>
      </c>
      <c r="E145" s="150">
        <v>0</v>
      </c>
      <c r="F145" s="150">
        <v>500000</v>
      </c>
      <c r="G145" s="2">
        <v>420000</v>
      </c>
      <c r="H145" s="2">
        <v>1400000</v>
      </c>
      <c r="I145" s="2">
        <v>0</v>
      </c>
      <c r="J145" s="2">
        <v>1100000</v>
      </c>
      <c r="K145" s="2">
        <v>500000</v>
      </c>
      <c r="L145" s="185">
        <v>150000</v>
      </c>
      <c r="M145" s="152">
        <v>0</v>
      </c>
      <c r="N145" s="2">
        <v>500000</v>
      </c>
      <c r="O145" s="2">
        <v>0</v>
      </c>
      <c r="P145" s="2">
        <v>1500000</v>
      </c>
      <c r="Q145" s="2">
        <v>0</v>
      </c>
      <c r="R145" s="2">
        <v>0</v>
      </c>
      <c r="S145" s="2">
        <v>0</v>
      </c>
      <c r="T145" s="152">
        <f t="shared" si="18"/>
        <v>6070000</v>
      </c>
      <c r="U145" s="240">
        <f t="shared" si="16"/>
        <v>13627000</v>
      </c>
    </row>
    <row r="146" spans="1:22" s="222" customFormat="1" x14ac:dyDescent="0.3">
      <c r="A146" s="328"/>
      <c r="B146" s="222" t="s">
        <v>83</v>
      </c>
      <c r="C146" s="149">
        <f t="shared" si="17"/>
        <v>21217000</v>
      </c>
      <c r="D146" s="223">
        <v>32600000</v>
      </c>
      <c r="E146" s="258">
        <v>500000</v>
      </c>
      <c r="F146" s="150">
        <v>500000</v>
      </c>
      <c r="G146" s="185">
        <v>420000</v>
      </c>
      <c r="H146" s="2">
        <v>1400000</v>
      </c>
      <c r="I146" s="185">
        <v>0</v>
      </c>
      <c r="J146" s="2">
        <v>1100000</v>
      </c>
      <c r="K146" s="2">
        <v>500000</v>
      </c>
      <c r="L146" s="185">
        <v>150000</v>
      </c>
      <c r="M146" s="185">
        <v>0</v>
      </c>
      <c r="N146" s="2">
        <v>500000</v>
      </c>
      <c r="O146" s="2">
        <v>0</v>
      </c>
      <c r="P146" s="2">
        <v>1500000</v>
      </c>
      <c r="Q146" s="2">
        <v>0</v>
      </c>
      <c r="R146" s="2">
        <v>0</v>
      </c>
      <c r="S146" s="223">
        <v>32600000</v>
      </c>
      <c r="T146" s="185">
        <f t="shared" si="18"/>
        <v>39170000</v>
      </c>
      <c r="U146" s="240">
        <f t="shared" ref="U146:U157" si="19" xml:space="preserve"> (C146+D146) - T146</f>
        <v>14647000</v>
      </c>
      <c r="V146" s="266" t="s">
        <v>220</v>
      </c>
    </row>
    <row r="147" spans="1:22" s="155" customFormat="1" x14ac:dyDescent="0.3">
      <c r="A147" s="328">
        <v>2035</v>
      </c>
      <c r="B147" s="155" t="s">
        <v>72</v>
      </c>
      <c r="C147" s="149">
        <f t="shared" ref="C147:C158" si="20" xml:space="preserve"> U146 + 7590000</f>
        <v>22237000</v>
      </c>
      <c r="D147" s="150">
        <v>0</v>
      </c>
      <c r="E147" s="2">
        <v>1500000</v>
      </c>
      <c r="F147" s="150">
        <v>500000</v>
      </c>
      <c r="G147" s="2">
        <v>420000</v>
      </c>
      <c r="H147" s="2">
        <v>0</v>
      </c>
      <c r="I147" s="2">
        <v>0</v>
      </c>
      <c r="J147" s="2">
        <v>1100000</v>
      </c>
      <c r="K147" s="2">
        <v>500000</v>
      </c>
      <c r="L147" s="185">
        <v>150000</v>
      </c>
      <c r="M147" s="152">
        <v>0</v>
      </c>
      <c r="N147" s="2">
        <v>500000</v>
      </c>
      <c r="O147" s="2">
        <v>0</v>
      </c>
      <c r="P147" s="2">
        <v>1500000</v>
      </c>
      <c r="Q147" s="2">
        <v>0</v>
      </c>
      <c r="R147" s="2">
        <v>0</v>
      </c>
      <c r="S147" s="2">
        <v>0</v>
      </c>
      <c r="T147" s="152">
        <f t="shared" ref="T147:T158" si="21">SUM(E147:S147)</f>
        <v>6170000</v>
      </c>
      <c r="U147" s="240">
        <f t="shared" si="19"/>
        <v>16067000</v>
      </c>
    </row>
    <row r="148" spans="1:22" s="155" customFormat="1" x14ac:dyDescent="0.3">
      <c r="A148" s="328"/>
      <c r="B148" s="155" t="s">
        <v>73</v>
      </c>
      <c r="C148" s="149">
        <f t="shared" si="20"/>
        <v>23657000</v>
      </c>
      <c r="D148" s="150">
        <v>0</v>
      </c>
      <c r="E148" s="150">
        <v>0</v>
      </c>
      <c r="F148" s="150">
        <v>500000</v>
      </c>
      <c r="G148" s="2">
        <v>420000</v>
      </c>
      <c r="H148" s="2">
        <v>0</v>
      </c>
      <c r="I148" s="2">
        <v>0</v>
      </c>
      <c r="J148" s="2">
        <v>1100000</v>
      </c>
      <c r="K148" s="2">
        <v>500000</v>
      </c>
      <c r="L148" s="185">
        <v>150000</v>
      </c>
      <c r="M148" s="152">
        <v>0</v>
      </c>
      <c r="N148" s="2">
        <v>500000</v>
      </c>
      <c r="O148" s="2">
        <v>0</v>
      </c>
      <c r="P148" s="2">
        <v>1500000</v>
      </c>
      <c r="Q148" s="2">
        <v>500000</v>
      </c>
      <c r="R148" s="2">
        <v>0</v>
      </c>
      <c r="S148" s="2">
        <v>0</v>
      </c>
      <c r="T148" s="152">
        <f t="shared" si="21"/>
        <v>5170000</v>
      </c>
      <c r="U148" s="240">
        <f t="shared" si="19"/>
        <v>18487000</v>
      </c>
    </row>
    <row r="149" spans="1:22" s="155" customFormat="1" x14ac:dyDescent="0.3">
      <c r="A149" s="328"/>
      <c r="B149" s="155" t="s">
        <v>74</v>
      </c>
      <c r="C149" s="149">
        <f t="shared" si="20"/>
        <v>26077000</v>
      </c>
      <c r="D149" s="150">
        <v>0</v>
      </c>
      <c r="E149" s="150">
        <v>0</v>
      </c>
      <c r="F149" s="150">
        <v>500000</v>
      </c>
      <c r="G149" s="2">
        <v>420000</v>
      </c>
      <c r="H149" s="2">
        <v>0</v>
      </c>
      <c r="I149" s="2">
        <v>0</v>
      </c>
      <c r="J149" s="2">
        <v>1100000</v>
      </c>
      <c r="K149" s="2">
        <v>500000</v>
      </c>
      <c r="L149" s="185">
        <v>150000</v>
      </c>
      <c r="M149" s="152">
        <v>0</v>
      </c>
      <c r="N149" s="2">
        <v>500000</v>
      </c>
      <c r="O149" s="2">
        <v>0</v>
      </c>
      <c r="P149" s="2">
        <v>1500000</v>
      </c>
      <c r="Q149" s="2">
        <v>0</v>
      </c>
      <c r="R149" s="2">
        <v>0</v>
      </c>
      <c r="S149" s="2">
        <v>0</v>
      </c>
      <c r="T149" s="152">
        <f t="shared" si="21"/>
        <v>4670000</v>
      </c>
      <c r="U149" s="240">
        <f t="shared" si="19"/>
        <v>21407000</v>
      </c>
    </row>
    <row r="150" spans="1:22" s="155" customFormat="1" x14ac:dyDescent="0.3">
      <c r="A150" s="328"/>
      <c r="B150" s="155" t="s">
        <v>75</v>
      </c>
      <c r="C150" s="149">
        <f t="shared" si="20"/>
        <v>28997000</v>
      </c>
      <c r="D150" s="150">
        <v>0</v>
      </c>
      <c r="E150" s="2">
        <v>1500000</v>
      </c>
      <c r="F150" s="150">
        <v>500000</v>
      </c>
      <c r="G150" s="2">
        <v>420000</v>
      </c>
      <c r="H150" s="2">
        <v>0</v>
      </c>
      <c r="I150" s="2">
        <v>0</v>
      </c>
      <c r="J150" s="2">
        <v>1100000</v>
      </c>
      <c r="K150" s="2">
        <v>500000</v>
      </c>
      <c r="L150" s="185">
        <v>150000</v>
      </c>
      <c r="M150" s="152">
        <v>0</v>
      </c>
      <c r="N150" s="2">
        <v>500000</v>
      </c>
      <c r="O150" s="2">
        <v>0</v>
      </c>
      <c r="P150" s="2">
        <v>1500000</v>
      </c>
      <c r="Q150" s="2">
        <v>0</v>
      </c>
      <c r="R150" s="2">
        <v>0</v>
      </c>
      <c r="S150" s="2">
        <v>0</v>
      </c>
      <c r="T150" s="152">
        <f t="shared" si="21"/>
        <v>6170000</v>
      </c>
      <c r="U150" s="240">
        <f t="shared" si="19"/>
        <v>22827000</v>
      </c>
    </row>
    <row r="151" spans="1:22" s="155" customFormat="1" x14ac:dyDescent="0.3">
      <c r="A151" s="328"/>
      <c r="B151" s="155" t="s">
        <v>76</v>
      </c>
      <c r="C151" s="149">
        <f t="shared" si="20"/>
        <v>30417000</v>
      </c>
      <c r="D151" s="150">
        <v>0</v>
      </c>
      <c r="E151" s="150">
        <v>2000000</v>
      </c>
      <c r="F151" s="150">
        <v>500000</v>
      </c>
      <c r="G151" s="2">
        <v>420000</v>
      </c>
      <c r="H151" s="2">
        <v>0</v>
      </c>
      <c r="I151" s="2">
        <v>0</v>
      </c>
      <c r="J151" s="2">
        <v>1100000</v>
      </c>
      <c r="K151" s="2">
        <v>500000</v>
      </c>
      <c r="L151" s="185">
        <v>150000</v>
      </c>
      <c r="M151" s="152">
        <v>0</v>
      </c>
      <c r="N151" s="2">
        <v>500000</v>
      </c>
      <c r="O151" s="2">
        <v>0</v>
      </c>
      <c r="P151" s="2">
        <v>1500000</v>
      </c>
      <c r="Q151" s="2">
        <v>0</v>
      </c>
      <c r="R151" s="2">
        <v>0</v>
      </c>
      <c r="S151" s="2">
        <v>0</v>
      </c>
      <c r="T151" s="152">
        <f t="shared" si="21"/>
        <v>6670000</v>
      </c>
      <c r="U151" s="240">
        <f t="shared" si="19"/>
        <v>23747000</v>
      </c>
    </row>
    <row r="152" spans="1:22" s="155" customFormat="1" x14ac:dyDescent="0.3">
      <c r="A152" s="328"/>
      <c r="B152" s="155" t="s">
        <v>77</v>
      </c>
      <c r="C152" s="149">
        <f t="shared" si="20"/>
        <v>31337000</v>
      </c>
      <c r="D152" s="150">
        <v>0</v>
      </c>
      <c r="E152" s="150">
        <v>0</v>
      </c>
      <c r="F152" s="150">
        <v>500000</v>
      </c>
      <c r="G152" s="2">
        <v>420000</v>
      </c>
      <c r="H152" s="2">
        <v>0</v>
      </c>
      <c r="I152" s="2">
        <v>0</v>
      </c>
      <c r="J152" s="2">
        <v>1100000</v>
      </c>
      <c r="K152" s="2">
        <v>500000</v>
      </c>
      <c r="L152" s="185">
        <v>150000</v>
      </c>
      <c r="M152" s="152">
        <v>0</v>
      </c>
      <c r="N152" s="2">
        <v>500000</v>
      </c>
      <c r="O152" s="2">
        <v>0</v>
      </c>
      <c r="P152" s="2">
        <v>1500000</v>
      </c>
      <c r="Q152" s="2">
        <v>500000</v>
      </c>
      <c r="R152" s="2">
        <v>0</v>
      </c>
      <c r="S152" s="2">
        <v>0</v>
      </c>
      <c r="T152" s="152">
        <f t="shared" si="21"/>
        <v>5170000</v>
      </c>
      <c r="U152" s="240">
        <f t="shared" si="19"/>
        <v>26167000</v>
      </c>
    </row>
    <row r="153" spans="1:22" s="155" customFormat="1" x14ac:dyDescent="0.3">
      <c r="A153" s="328"/>
      <c r="B153" s="155" t="s">
        <v>78</v>
      </c>
      <c r="C153" s="149">
        <f t="shared" si="20"/>
        <v>33757000</v>
      </c>
      <c r="D153" s="150">
        <v>0</v>
      </c>
      <c r="E153" s="2">
        <v>1500000</v>
      </c>
      <c r="F153" s="150">
        <v>500000</v>
      </c>
      <c r="G153" s="2">
        <v>420000</v>
      </c>
      <c r="H153" s="2">
        <v>0</v>
      </c>
      <c r="I153" s="2">
        <v>0</v>
      </c>
      <c r="J153" s="2">
        <v>1100000</v>
      </c>
      <c r="K153" s="2">
        <v>500000</v>
      </c>
      <c r="L153" s="185">
        <v>150000</v>
      </c>
      <c r="M153" s="152">
        <v>0</v>
      </c>
      <c r="N153" s="2">
        <v>500000</v>
      </c>
      <c r="O153" s="2">
        <v>0</v>
      </c>
      <c r="P153" s="2">
        <v>1500000</v>
      </c>
      <c r="Q153" s="2">
        <v>0</v>
      </c>
      <c r="R153" s="2">
        <v>0</v>
      </c>
      <c r="S153" s="2">
        <v>0</v>
      </c>
      <c r="T153" s="152">
        <f t="shared" si="21"/>
        <v>6170000</v>
      </c>
      <c r="U153" s="240">
        <f t="shared" si="19"/>
        <v>27587000</v>
      </c>
    </row>
    <row r="154" spans="1:22" s="155" customFormat="1" x14ac:dyDescent="0.3">
      <c r="A154" s="328"/>
      <c r="B154" s="155" t="s">
        <v>79</v>
      </c>
      <c r="C154" s="149">
        <f t="shared" si="20"/>
        <v>35177000</v>
      </c>
      <c r="D154" s="150">
        <v>0</v>
      </c>
      <c r="E154" s="150">
        <v>0</v>
      </c>
      <c r="F154" s="150">
        <v>500000</v>
      </c>
      <c r="G154" s="2">
        <v>420000</v>
      </c>
      <c r="H154" s="2">
        <v>0</v>
      </c>
      <c r="I154" s="2">
        <v>0</v>
      </c>
      <c r="J154" s="2">
        <v>1100000</v>
      </c>
      <c r="K154" s="2">
        <v>500000</v>
      </c>
      <c r="L154" s="185">
        <v>150000</v>
      </c>
      <c r="M154" s="152">
        <v>0</v>
      </c>
      <c r="N154" s="2">
        <v>500000</v>
      </c>
      <c r="O154" s="2">
        <v>0</v>
      </c>
      <c r="P154" s="2">
        <v>1500000</v>
      </c>
      <c r="Q154" s="2">
        <v>500000</v>
      </c>
      <c r="R154" s="2">
        <v>0</v>
      </c>
      <c r="S154" s="2">
        <v>0</v>
      </c>
      <c r="T154" s="152">
        <f t="shared" si="21"/>
        <v>5170000</v>
      </c>
      <c r="U154" s="240">
        <f t="shared" si="19"/>
        <v>30007000</v>
      </c>
    </row>
    <row r="155" spans="1:22" s="155" customFormat="1" x14ac:dyDescent="0.3">
      <c r="A155" s="328"/>
      <c r="B155" s="155" t="s">
        <v>80</v>
      </c>
      <c r="C155" s="149">
        <f t="shared" si="20"/>
        <v>37597000</v>
      </c>
      <c r="D155" s="150">
        <v>0</v>
      </c>
      <c r="E155" s="150">
        <v>0</v>
      </c>
      <c r="F155" s="150">
        <v>500000</v>
      </c>
      <c r="G155" s="2">
        <v>420000</v>
      </c>
      <c r="H155" s="2">
        <v>0</v>
      </c>
      <c r="I155" s="2">
        <v>0</v>
      </c>
      <c r="J155" s="2">
        <v>1100000</v>
      </c>
      <c r="K155" s="2">
        <v>500000</v>
      </c>
      <c r="L155" s="185">
        <v>150000</v>
      </c>
      <c r="M155" s="152">
        <v>0</v>
      </c>
      <c r="N155" s="2">
        <v>500000</v>
      </c>
      <c r="O155" s="2">
        <v>0</v>
      </c>
      <c r="P155" s="2">
        <v>1500000</v>
      </c>
      <c r="Q155" s="2">
        <v>0</v>
      </c>
      <c r="R155" s="2">
        <v>0</v>
      </c>
      <c r="S155" s="2">
        <v>0</v>
      </c>
      <c r="T155" s="152">
        <f t="shared" si="21"/>
        <v>4670000</v>
      </c>
      <c r="U155" s="240">
        <f t="shared" si="19"/>
        <v>32927000</v>
      </c>
    </row>
    <row r="156" spans="1:22" s="155" customFormat="1" x14ac:dyDescent="0.3">
      <c r="A156" s="328"/>
      <c r="B156" s="155" t="s">
        <v>81</v>
      </c>
      <c r="C156" s="149">
        <f t="shared" si="20"/>
        <v>40517000</v>
      </c>
      <c r="D156" s="150">
        <v>0</v>
      </c>
      <c r="E156" s="223">
        <v>1500000</v>
      </c>
      <c r="F156" s="150">
        <v>500000</v>
      </c>
      <c r="G156" s="2">
        <v>420000</v>
      </c>
      <c r="H156" s="2">
        <v>0</v>
      </c>
      <c r="I156" s="2">
        <v>0</v>
      </c>
      <c r="J156" s="2">
        <v>1100000</v>
      </c>
      <c r="K156" s="2">
        <v>500000</v>
      </c>
      <c r="L156" s="185">
        <v>150000</v>
      </c>
      <c r="M156" s="152">
        <v>0</v>
      </c>
      <c r="N156" s="2">
        <v>500000</v>
      </c>
      <c r="O156" s="2">
        <v>0</v>
      </c>
      <c r="P156" s="2">
        <v>1500000</v>
      </c>
      <c r="Q156" s="2">
        <v>0</v>
      </c>
      <c r="R156" s="2">
        <v>0</v>
      </c>
      <c r="S156" s="2">
        <v>0</v>
      </c>
      <c r="T156" s="152">
        <f t="shared" si="21"/>
        <v>6170000</v>
      </c>
      <c r="U156" s="240">
        <f t="shared" si="19"/>
        <v>34347000</v>
      </c>
    </row>
    <row r="157" spans="1:22" s="155" customFormat="1" x14ac:dyDescent="0.3">
      <c r="A157" s="328"/>
      <c r="B157" s="155" t="s">
        <v>82</v>
      </c>
      <c r="C157" s="149">
        <f t="shared" si="20"/>
        <v>41937000</v>
      </c>
      <c r="D157" s="150">
        <v>0</v>
      </c>
      <c r="E157" s="150">
        <v>0</v>
      </c>
      <c r="F157" s="150">
        <v>500000</v>
      </c>
      <c r="G157" s="2">
        <v>420000</v>
      </c>
      <c r="H157" s="2">
        <v>0</v>
      </c>
      <c r="I157" s="2">
        <v>0</v>
      </c>
      <c r="J157" s="2">
        <v>1100000</v>
      </c>
      <c r="K157" s="2">
        <v>500000</v>
      </c>
      <c r="L157" s="185">
        <v>150000</v>
      </c>
      <c r="M157" s="152">
        <v>0</v>
      </c>
      <c r="N157" s="2">
        <v>500000</v>
      </c>
      <c r="O157" s="2">
        <v>0</v>
      </c>
      <c r="P157" s="2">
        <v>1500000</v>
      </c>
      <c r="Q157" s="2">
        <v>0</v>
      </c>
      <c r="R157" s="2">
        <v>0</v>
      </c>
      <c r="S157" s="2">
        <v>0</v>
      </c>
      <c r="T157" s="152">
        <f t="shared" si="21"/>
        <v>4670000</v>
      </c>
      <c r="U157" s="240">
        <f t="shared" si="19"/>
        <v>37267000</v>
      </c>
    </row>
    <row r="158" spans="1:22" s="222" customFormat="1" x14ac:dyDescent="0.3">
      <c r="A158" s="328"/>
      <c r="B158" s="222" t="s">
        <v>83</v>
      </c>
      <c r="C158" s="149">
        <f t="shared" si="20"/>
        <v>44857000</v>
      </c>
      <c r="D158" s="150">
        <v>0</v>
      </c>
      <c r="E158" s="258">
        <v>500000</v>
      </c>
      <c r="F158" s="150">
        <v>500000</v>
      </c>
      <c r="G158" s="185">
        <v>420000</v>
      </c>
      <c r="H158" s="185">
        <v>0</v>
      </c>
      <c r="I158" s="185">
        <v>0</v>
      </c>
      <c r="J158" s="2">
        <v>1100000</v>
      </c>
      <c r="K158" s="2">
        <v>500000</v>
      </c>
      <c r="L158" s="185">
        <v>150000</v>
      </c>
      <c r="M158" s="185">
        <v>0</v>
      </c>
      <c r="N158" s="2">
        <v>500000</v>
      </c>
      <c r="O158" s="2">
        <v>0</v>
      </c>
      <c r="P158" s="2">
        <v>1500000</v>
      </c>
      <c r="Q158" s="2">
        <v>0</v>
      </c>
      <c r="R158" s="2">
        <v>0</v>
      </c>
      <c r="S158" s="2">
        <v>0</v>
      </c>
      <c r="T158" s="185">
        <f t="shared" si="21"/>
        <v>5170000</v>
      </c>
      <c r="U158" s="240">
        <f t="shared" ref="U158" si="22" xml:space="preserve"> (C158+D158) - T158</f>
        <v>39687000</v>
      </c>
      <c r="V158" s="155"/>
    </row>
  </sheetData>
  <mergeCells count="13">
    <mergeCell ref="A123:A134"/>
    <mergeCell ref="A135:A146"/>
    <mergeCell ref="A147:A158"/>
    <mergeCell ref="A3:A14"/>
    <mergeCell ref="A15:A26"/>
    <mergeCell ref="A27:A38"/>
    <mergeCell ref="A39:A50"/>
    <mergeCell ref="A111:A122"/>
    <mergeCell ref="A51:A62"/>
    <mergeCell ref="A63:A74"/>
    <mergeCell ref="A75:A86"/>
    <mergeCell ref="A87:A98"/>
    <mergeCell ref="A99:A11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956A4-2E30-4677-BA6A-2D91EA9E731F}">
  <dimension ref="A2:J17"/>
  <sheetViews>
    <sheetView workbookViewId="0">
      <selection activeCell="F15" sqref="F15"/>
    </sheetView>
  </sheetViews>
  <sheetFormatPr defaultRowHeight="16.5" x14ac:dyDescent="0.3"/>
  <cols>
    <col min="1" max="1" width="10.75" bestFit="1" customWidth="1"/>
    <col min="2" max="3" width="12.75" bestFit="1" customWidth="1"/>
    <col min="4" max="4" width="15.5" bestFit="1" customWidth="1"/>
    <col min="5" max="6" width="14.375" bestFit="1" customWidth="1"/>
    <col min="7" max="7" width="11.75" bestFit="1" customWidth="1"/>
    <col min="8" max="8" width="14.25" bestFit="1" customWidth="1"/>
    <col min="9" max="9" width="11.75" customWidth="1"/>
    <col min="10" max="10" width="12.5" customWidth="1"/>
    <col min="11" max="11" width="12.75" bestFit="1" customWidth="1"/>
    <col min="12" max="12" width="11.625" bestFit="1" customWidth="1"/>
    <col min="13" max="13" width="14.375" bestFit="1" customWidth="1"/>
    <col min="14" max="14" width="9.25" bestFit="1" customWidth="1"/>
  </cols>
  <sheetData>
    <row r="2" spans="1:10" x14ac:dyDescent="0.3">
      <c r="B2" s="307" t="s">
        <v>221</v>
      </c>
      <c r="C2" s="307" t="s">
        <v>224</v>
      </c>
      <c r="D2" s="307" t="s">
        <v>225</v>
      </c>
      <c r="E2" s="307" t="s">
        <v>226</v>
      </c>
      <c r="F2" s="307" t="s">
        <v>227</v>
      </c>
      <c r="G2" s="307" t="s">
        <v>223</v>
      </c>
      <c r="H2" s="307" t="s">
        <v>222</v>
      </c>
      <c r="I2" s="307" t="s">
        <v>228</v>
      </c>
      <c r="J2" s="307" t="s">
        <v>229</v>
      </c>
    </row>
    <row r="3" spans="1:10" x14ac:dyDescent="0.3">
      <c r="B3" s="306">
        <v>5060000</v>
      </c>
      <c r="C3" s="306">
        <v>17700000</v>
      </c>
      <c r="D3" s="306">
        <v>5030000</v>
      </c>
      <c r="E3" s="306">
        <v>0</v>
      </c>
      <c r="F3" s="306">
        <f xml:space="preserve"> G3 +H3</f>
        <v>8300000</v>
      </c>
      <c r="G3" s="306">
        <v>900000</v>
      </c>
      <c r="H3" s="306">
        <v>7400000</v>
      </c>
      <c r="I3" s="242">
        <f>SUM(B3:F3)</f>
        <v>36090000</v>
      </c>
      <c r="J3" s="242">
        <f xml:space="preserve"> I3 /5</f>
        <v>7218000</v>
      </c>
    </row>
    <row r="4" spans="1:10" x14ac:dyDescent="0.3">
      <c r="B4" s="304">
        <f xml:space="preserve"> B3/(B3 + C3 + D3 + E3 + F3)* 100</f>
        <v>14.020504294818508</v>
      </c>
      <c r="C4" s="304">
        <f xml:space="preserve"> C3/(B3 + C3 + D3 + E3 + F3)* 100</f>
        <v>49.044056525353284</v>
      </c>
      <c r="D4" s="304">
        <f xml:space="preserve"> D3/(B3 + C3 + D3 + E3 + F3)* 100</f>
        <v>13.937378775284012</v>
      </c>
      <c r="E4" s="304">
        <f xml:space="preserve"> E3/(B3 + C3 + D3 + E3 + F3)* 100</f>
        <v>0</v>
      </c>
      <c r="F4" s="304">
        <f xml:space="preserve"> F3/(B3 + C3 + D3 + E3 + F3)* 100</f>
        <v>22.998060404544198</v>
      </c>
      <c r="G4" s="304"/>
      <c r="H4" s="304"/>
    </row>
    <row r="5" spans="1:10" x14ac:dyDescent="0.3">
      <c r="C5" s="242"/>
      <c r="D5" s="242"/>
    </row>
    <row r="6" spans="1:10" x14ac:dyDescent="0.3">
      <c r="A6" s="329" t="s">
        <v>230</v>
      </c>
      <c r="B6" s="306">
        <v>7300000</v>
      </c>
      <c r="C6" s="309">
        <v>7300000</v>
      </c>
      <c r="D6" s="306">
        <v>7300000</v>
      </c>
      <c r="E6" s="306">
        <v>7300000</v>
      </c>
      <c r="F6" s="306">
        <f xml:space="preserve"> G6 +H6</f>
        <v>6600000</v>
      </c>
      <c r="G6" s="306">
        <v>3820000</v>
      </c>
      <c r="H6" s="306">
        <v>2780000</v>
      </c>
      <c r="I6" s="242">
        <f>SUM(B6:F6)</f>
        <v>35800000</v>
      </c>
      <c r="J6" s="242">
        <f xml:space="preserve"> I6 /5</f>
        <v>7160000</v>
      </c>
    </row>
    <row r="7" spans="1:10" x14ac:dyDescent="0.3">
      <c r="A7" s="329"/>
      <c r="B7" s="308">
        <f xml:space="preserve"> B6/(B6 + C6 + D6 + E6 + F6)* 100</f>
        <v>20.391061452513966</v>
      </c>
      <c r="C7" s="308">
        <f xml:space="preserve"> C6/(B6 + C6 + D6 + E6 + F6)* 100</f>
        <v>20.391061452513966</v>
      </c>
      <c r="D7" s="308">
        <f xml:space="preserve"> D6/(B6 + C6 + D6 + E6 + F6)* 100</f>
        <v>20.391061452513966</v>
      </c>
      <c r="E7" s="308">
        <f xml:space="preserve"> E6/(B6 + C6 + D6 + E6 + F6)* 100</f>
        <v>20.391061452513966</v>
      </c>
      <c r="F7" s="308">
        <f xml:space="preserve"> F6/(B6 + C6 + D6 + E6 + F6)* 100</f>
        <v>18.435754189944134</v>
      </c>
      <c r="G7" s="304"/>
      <c r="H7" s="304"/>
    </row>
    <row r="8" spans="1:10" x14ac:dyDescent="0.3">
      <c r="C8" s="242"/>
      <c r="D8" s="242"/>
    </row>
    <row r="9" spans="1:10" x14ac:dyDescent="0.3">
      <c r="C9" s="242"/>
      <c r="D9" s="242"/>
      <c r="F9" t="s">
        <v>231</v>
      </c>
      <c r="G9" t="s">
        <v>232</v>
      </c>
    </row>
    <row r="10" spans="1:10" x14ac:dyDescent="0.3">
      <c r="B10" s="242">
        <v>5000000</v>
      </c>
      <c r="C10" s="242">
        <v>7300000</v>
      </c>
      <c r="D10" s="242">
        <v>5000000</v>
      </c>
      <c r="E10">
        <v>0</v>
      </c>
      <c r="F10" s="242">
        <v>7340000</v>
      </c>
      <c r="G10" s="242">
        <v>0</v>
      </c>
    </row>
    <row r="11" spans="1:10" x14ac:dyDescent="0.3">
      <c r="B11" s="242">
        <v>2300000</v>
      </c>
      <c r="C11">
        <v>0</v>
      </c>
      <c r="D11" s="242">
        <v>2300000</v>
      </c>
      <c r="E11" s="242">
        <v>7300000</v>
      </c>
      <c r="F11" s="242">
        <v>0</v>
      </c>
      <c r="G11" s="242">
        <v>0</v>
      </c>
    </row>
    <row r="12" spans="1:10" x14ac:dyDescent="0.3">
      <c r="F12" s="310">
        <v>2300000</v>
      </c>
    </row>
    <row r="13" spans="1:10" x14ac:dyDescent="0.3">
      <c r="F13" s="310">
        <v>7300000</v>
      </c>
    </row>
    <row r="14" spans="1:10" x14ac:dyDescent="0.3">
      <c r="F14" s="310">
        <v>2300000</v>
      </c>
    </row>
    <row r="15" spans="1:10" x14ac:dyDescent="0.3">
      <c r="F15" s="306"/>
    </row>
    <row r="16" spans="1:10" x14ac:dyDescent="0.3">
      <c r="F16" s="242">
        <f>SUM(F12:F15)</f>
        <v>11900000</v>
      </c>
      <c r="G16" s="306">
        <v>2780000</v>
      </c>
      <c r="H16">
        <v>12230000</v>
      </c>
      <c r="I16" s="242">
        <f>SUM(G16:H16)</f>
        <v>15010000</v>
      </c>
    </row>
    <row r="17" spans="7:9" x14ac:dyDescent="0.3">
      <c r="G17">
        <v>3820000</v>
      </c>
      <c r="H17">
        <v>440000</v>
      </c>
      <c r="I17">
        <f xml:space="preserve"> G17 - H17</f>
        <v>3380000</v>
      </c>
    </row>
  </sheetData>
  <mergeCells count="1">
    <mergeCell ref="A6:A7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29"/>
  <sheetViews>
    <sheetView topLeftCell="A10" workbookViewId="0">
      <selection activeCell="O20" sqref="O20"/>
    </sheetView>
  </sheetViews>
  <sheetFormatPr defaultRowHeight="16.5" x14ac:dyDescent="0.3"/>
  <cols>
    <col min="1" max="1" width="7.25" customWidth="1"/>
    <col min="2" max="2" width="11.125" bestFit="1" customWidth="1"/>
    <col min="3" max="3" width="11.375" customWidth="1"/>
    <col min="4" max="4" width="7.75" customWidth="1"/>
    <col min="6" max="6" width="12.875" bestFit="1" customWidth="1"/>
    <col min="7" max="7" width="11.5" bestFit="1" customWidth="1"/>
    <col min="8" max="8" width="11.75" bestFit="1" customWidth="1"/>
    <col min="9" max="9" width="3.5" customWidth="1"/>
    <col min="10" max="10" width="9.25" bestFit="1" customWidth="1"/>
    <col min="11" max="11" width="11.75" bestFit="1" customWidth="1"/>
    <col min="12" max="12" width="11.5" bestFit="1" customWidth="1"/>
    <col min="13" max="13" width="10.25" bestFit="1" customWidth="1"/>
    <col min="15" max="15" width="10.625" bestFit="1" customWidth="1"/>
  </cols>
  <sheetData>
    <row r="1" spans="2:18" x14ac:dyDescent="0.3">
      <c r="B1" s="336"/>
      <c r="C1" s="336"/>
    </row>
    <row r="2" spans="2:18" x14ac:dyDescent="0.3">
      <c r="B2" s="335" t="s">
        <v>71</v>
      </c>
      <c r="C2" s="335"/>
      <c r="E2" s="332" t="s">
        <v>71</v>
      </c>
      <c r="F2" s="333"/>
      <c r="G2" s="333"/>
      <c r="H2" s="334"/>
      <c r="J2" s="332" t="s">
        <v>94</v>
      </c>
      <c r="K2" s="333"/>
      <c r="L2" s="333"/>
      <c r="M2" s="334"/>
      <c r="O2" s="332" t="s">
        <v>95</v>
      </c>
      <c r="P2" s="333"/>
      <c r="Q2" s="333"/>
      <c r="R2" s="334"/>
    </row>
    <row r="3" spans="2:18" x14ac:dyDescent="0.3">
      <c r="B3" s="5" t="s">
        <v>13</v>
      </c>
      <c r="C3" s="5" t="s">
        <v>14</v>
      </c>
      <c r="E3" s="5" t="s">
        <v>13</v>
      </c>
      <c r="F3" s="5" t="s">
        <v>10</v>
      </c>
      <c r="G3" s="5" t="s">
        <v>14</v>
      </c>
      <c r="H3" s="5" t="s">
        <v>17</v>
      </c>
      <c r="J3" s="5" t="s">
        <v>13</v>
      </c>
      <c r="K3" s="5" t="s">
        <v>10</v>
      </c>
      <c r="L3" s="5" t="s">
        <v>14</v>
      </c>
      <c r="M3" s="5" t="s">
        <v>17</v>
      </c>
      <c r="O3" s="5" t="s">
        <v>13</v>
      </c>
      <c r="P3" s="5" t="s">
        <v>10</v>
      </c>
      <c r="Q3" s="5" t="s">
        <v>14</v>
      </c>
      <c r="R3" s="5" t="s">
        <v>17</v>
      </c>
    </row>
    <row r="4" spans="2:18" x14ac:dyDescent="0.3">
      <c r="B4" s="4">
        <v>1</v>
      </c>
      <c r="C4" s="8">
        <v>85421</v>
      </c>
      <c r="E4" s="4">
        <v>1</v>
      </c>
      <c r="F4" s="46">
        <v>6895968</v>
      </c>
      <c r="G4" s="46">
        <v>20436</v>
      </c>
      <c r="H4" s="1">
        <f t="shared" ref="H4:H14" si="0">ROUND((G4/IF(F4=0,1,F4))*100,2)</f>
        <v>0.3</v>
      </c>
      <c r="J4" s="4">
        <v>1</v>
      </c>
      <c r="K4" s="46">
        <v>7800000</v>
      </c>
      <c r="L4" s="46">
        <v>-370000</v>
      </c>
      <c r="M4" s="1">
        <f t="shared" ref="M4:M14" si="1">ROUND((L4/IF(K4=0,1,K4))*100,2)</f>
        <v>-4.74</v>
      </c>
      <c r="O4" s="4">
        <v>1</v>
      </c>
      <c r="P4" s="46">
        <v>0</v>
      </c>
      <c r="Q4" s="46">
        <v>0</v>
      </c>
      <c r="R4" s="1">
        <f t="shared" ref="R4:R14" si="2">ROUND((Q4/IF(P4=0,1,P4))*100,2)</f>
        <v>0</v>
      </c>
    </row>
    <row r="5" spans="2:18" x14ac:dyDescent="0.3">
      <c r="B5" s="4">
        <v>2</v>
      </c>
      <c r="C5" s="8">
        <v>65302</v>
      </c>
      <c r="E5" s="4">
        <v>2</v>
      </c>
      <c r="F5" s="46">
        <v>2840710</v>
      </c>
      <c r="G5" s="46">
        <v>-263661</v>
      </c>
      <c r="H5" s="1">
        <f t="shared" si="0"/>
        <v>-9.2799999999999994</v>
      </c>
      <c r="J5" s="4">
        <v>2</v>
      </c>
      <c r="K5" s="46">
        <v>5700000</v>
      </c>
      <c r="L5" s="46">
        <v>56335</v>
      </c>
      <c r="M5" s="1">
        <f t="shared" si="1"/>
        <v>0.99</v>
      </c>
      <c r="O5" s="4">
        <v>2</v>
      </c>
      <c r="P5" s="46">
        <v>0</v>
      </c>
      <c r="Q5" s="46">
        <v>0</v>
      </c>
      <c r="R5" s="1">
        <f t="shared" si="2"/>
        <v>0</v>
      </c>
    </row>
    <row r="6" spans="2:18" x14ac:dyDescent="0.3">
      <c r="B6" s="4">
        <v>3</v>
      </c>
      <c r="C6" s="8">
        <v>93332</v>
      </c>
      <c r="E6" s="4">
        <v>3</v>
      </c>
      <c r="F6" s="46">
        <v>6714000</v>
      </c>
      <c r="G6" s="46">
        <v>-70497</v>
      </c>
      <c r="H6" s="1">
        <f t="shared" si="0"/>
        <v>-1.05</v>
      </c>
      <c r="J6" s="4">
        <v>3</v>
      </c>
      <c r="K6" s="46">
        <v>1271879</v>
      </c>
      <c r="L6" s="46">
        <v>-55655</v>
      </c>
      <c r="M6" s="1">
        <f t="shared" si="1"/>
        <v>-4.38</v>
      </c>
      <c r="O6" s="4">
        <v>3</v>
      </c>
      <c r="P6" s="46">
        <v>0</v>
      </c>
      <c r="Q6" s="46">
        <v>0</v>
      </c>
      <c r="R6" s="1">
        <f t="shared" si="2"/>
        <v>0</v>
      </c>
    </row>
    <row r="7" spans="2:18" x14ac:dyDescent="0.3">
      <c r="B7" s="4">
        <v>4</v>
      </c>
      <c r="C7" s="8">
        <v>0</v>
      </c>
      <c r="E7" s="4">
        <v>4</v>
      </c>
      <c r="F7" s="46">
        <v>3403333</v>
      </c>
      <c r="G7" s="2">
        <v>-11231</v>
      </c>
      <c r="H7" s="1">
        <f t="shared" si="0"/>
        <v>-0.33</v>
      </c>
      <c r="J7" s="4">
        <v>4</v>
      </c>
      <c r="K7" s="46">
        <v>2876888</v>
      </c>
      <c r="L7" s="2">
        <v>-12946</v>
      </c>
      <c r="M7" s="1">
        <f t="shared" si="1"/>
        <v>-0.45</v>
      </c>
      <c r="O7" s="4">
        <v>4</v>
      </c>
      <c r="P7" s="46">
        <v>0</v>
      </c>
      <c r="Q7" s="2">
        <v>0</v>
      </c>
      <c r="R7" s="1">
        <f t="shared" si="2"/>
        <v>0</v>
      </c>
    </row>
    <row r="8" spans="2:18" x14ac:dyDescent="0.3">
      <c r="B8" s="4">
        <v>5</v>
      </c>
      <c r="C8" s="8">
        <v>0</v>
      </c>
      <c r="E8" s="4">
        <v>5</v>
      </c>
      <c r="F8" s="46">
        <v>6778491</v>
      </c>
      <c r="G8" s="2">
        <v>156448</v>
      </c>
      <c r="H8" s="1">
        <f t="shared" si="0"/>
        <v>2.31</v>
      </c>
      <c r="J8" s="4">
        <v>5</v>
      </c>
      <c r="K8" s="46">
        <v>0</v>
      </c>
      <c r="L8" s="2">
        <v>0</v>
      </c>
      <c r="M8" s="1">
        <f t="shared" si="1"/>
        <v>0</v>
      </c>
      <c r="O8" s="4">
        <v>5</v>
      </c>
      <c r="P8" s="46">
        <v>0</v>
      </c>
      <c r="Q8" s="2">
        <v>0</v>
      </c>
      <c r="R8" s="1">
        <f t="shared" si="2"/>
        <v>0</v>
      </c>
    </row>
    <row r="9" spans="2:18" x14ac:dyDescent="0.3">
      <c r="B9" s="4">
        <v>6</v>
      </c>
      <c r="C9" s="9">
        <v>0</v>
      </c>
      <c r="E9" s="4">
        <v>6</v>
      </c>
      <c r="F9" s="46">
        <v>0</v>
      </c>
      <c r="G9" s="46">
        <v>0</v>
      </c>
      <c r="H9" s="1">
        <f t="shared" si="0"/>
        <v>0</v>
      </c>
      <c r="J9" s="4">
        <v>6</v>
      </c>
      <c r="K9" s="46">
        <v>0</v>
      </c>
      <c r="L9" s="46">
        <v>0</v>
      </c>
      <c r="M9" s="1">
        <f t="shared" si="1"/>
        <v>0</v>
      </c>
      <c r="O9" s="4">
        <v>6</v>
      </c>
      <c r="P9" s="46">
        <v>0</v>
      </c>
      <c r="Q9" s="46">
        <v>0</v>
      </c>
      <c r="R9" s="1">
        <f t="shared" si="2"/>
        <v>0</v>
      </c>
    </row>
    <row r="10" spans="2:18" x14ac:dyDescent="0.3">
      <c r="B10" s="4">
        <v>7</v>
      </c>
      <c r="C10" s="8">
        <v>0</v>
      </c>
      <c r="E10" s="4">
        <v>7</v>
      </c>
      <c r="F10" s="46">
        <v>0</v>
      </c>
      <c r="G10" s="2">
        <v>0</v>
      </c>
      <c r="H10" s="1">
        <f t="shared" si="0"/>
        <v>0</v>
      </c>
      <c r="J10" s="4">
        <v>7</v>
      </c>
      <c r="K10" s="46">
        <v>0</v>
      </c>
      <c r="L10" s="2">
        <v>0</v>
      </c>
      <c r="M10" s="1">
        <f t="shared" si="1"/>
        <v>0</v>
      </c>
      <c r="O10" s="4">
        <v>7</v>
      </c>
      <c r="P10" s="46">
        <v>0</v>
      </c>
      <c r="Q10" s="2">
        <v>0</v>
      </c>
      <c r="R10" s="1">
        <f t="shared" si="2"/>
        <v>0</v>
      </c>
    </row>
    <row r="11" spans="2:18" x14ac:dyDescent="0.3">
      <c r="B11" s="4">
        <v>8</v>
      </c>
      <c r="C11" s="8">
        <v>0</v>
      </c>
      <c r="E11" s="4">
        <v>8</v>
      </c>
      <c r="F11" s="46">
        <v>0</v>
      </c>
      <c r="G11" s="2">
        <v>0</v>
      </c>
      <c r="H11" s="1">
        <f t="shared" si="0"/>
        <v>0</v>
      </c>
      <c r="J11" s="4">
        <v>8</v>
      </c>
      <c r="K11" s="46">
        <v>0</v>
      </c>
      <c r="L11" s="2">
        <v>0</v>
      </c>
      <c r="M11" s="1">
        <f t="shared" si="1"/>
        <v>0</v>
      </c>
      <c r="O11" s="4">
        <v>8</v>
      </c>
      <c r="P11" s="46">
        <v>0</v>
      </c>
      <c r="Q11" s="2">
        <v>0</v>
      </c>
      <c r="R11" s="1">
        <f t="shared" si="2"/>
        <v>0</v>
      </c>
    </row>
    <row r="12" spans="2:18" x14ac:dyDescent="0.3">
      <c r="B12" s="7">
        <v>9</v>
      </c>
      <c r="C12" s="9">
        <v>0</v>
      </c>
      <c r="E12" s="7">
        <v>9</v>
      </c>
      <c r="F12" s="46">
        <v>0</v>
      </c>
      <c r="G12" s="46">
        <v>0</v>
      </c>
      <c r="H12" s="1">
        <f t="shared" si="0"/>
        <v>0</v>
      </c>
      <c r="J12" s="7">
        <v>9</v>
      </c>
      <c r="K12" s="46">
        <v>0</v>
      </c>
      <c r="L12" s="46">
        <v>0</v>
      </c>
      <c r="M12" s="1">
        <f t="shared" si="1"/>
        <v>0</v>
      </c>
      <c r="O12" s="7">
        <v>9</v>
      </c>
      <c r="P12" s="46">
        <v>0</v>
      </c>
      <c r="Q12" s="46">
        <v>0</v>
      </c>
      <c r="R12" s="1">
        <f t="shared" si="2"/>
        <v>0</v>
      </c>
    </row>
    <row r="13" spans="2:18" x14ac:dyDescent="0.3">
      <c r="B13" s="4">
        <v>10</v>
      </c>
      <c r="C13" s="8">
        <v>0</v>
      </c>
      <c r="E13" s="4">
        <v>10</v>
      </c>
      <c r="F13" s="46">
        <v>0</v>
      </c>
      <c r="G13" s="2">
        <v>0</v>
      </c>
      <c r="H13" s="1">
        <f t="shared" si="0"/>
        <v>0</v>
      </c>
      <c r="J13" s="4">
        <v>10</v>
      </c>
      <c r="K13" s="46">
        <v>0</v>
      </c>
      <c r="L13" s="2">
        <v>0</v>
      </c>
      <c r="M13" s="1">
        <f t="shared" si="1"/>
        <v>0</v>
      </c>
      <c r="O13" s="4">
        <v>10</v>
      </c>
      <c r="P13" s="46">
        <v>0</v>
      </c>
      <c r="Q13" s="2">
        <v>0</v>
      </c>
      <c r="R13" s="1">
        <f t="shared" si="2"/>
        <v>0</v>
      </c>
    </row>
    <row r="14" spans="2:18" x14ac:dyDescent="0.3">
      <c r="B14" s="5" t="s">
        <v>15</v>
      </c>
      <c r="C14" s="6">
        <f>SUM(C4:C13)</f>
        <v>244055</v>
      </c>
      <c r="E14" s="45"/>
      <c r="F14" s="2">
        <f>SUM(F4:F13)/IF(COUNTIF(F4:F13,"&gt;1")=0,1,COUNTIF(F4:F13,"&gt;1"))</f>
        <v>5326500.4000000004</v>
      </c>
      <c r="G14" s="2">
        <f>SUM(G4:G13)</f>
        <v>-168505</v>
      </c>
      <c r="H14" s="1">
        <f t="shared" si="0"/>
        <v>-3.16</v>
      </c>
      <c r="J14" s="45"/>
      <c r="K14" s="2">
        <f>SUM(K4:K13)/IF(COUNTIF(K4:K13,"&gt;1")=0,1,COUNTIF(K4:K13,"&gt;1"))</f>
        <v>4412191.75</v>
      </c>
      <c r="L14" s="2">
        <f>SUM(L4:L13)</f>
        <v>-382266</v>
      </c>
      <c r="M14" s="1">
        <f t="shared" si="1"/>
        <v>-8.66</v>
      </c>
      <c r="O14" s="45"/>
      <c r="P14" s="2">
        <f>SUM(P4:P13)/IF(COUNTIF(P4:P13,"&gt;1")=0,1,COUNTIF(P4:P13,"&gt;1"))</f>
        <v>0</v>
      </c>
      <c r="Q14" s="2">
        <f>SUM(Q4:Q13)</f>
        <v>0</v>
      </c>
      <c r="R14" s="1">
        <f t="shared" si="2"/>
        <v>0</v>
      </c>
    </row>
    <row r="15" spans="2:18" x14ac:dyDescent="0.3">
      <c r="B15" s="5" t="s">
        <v>10</v>
      </c>
      <c r="C15" s="6">
        <v>1342771</v>
      </c>
    </row>
    <row r="16" spans="2:18" x14ac:dyDescent="0.3">
      <c r="B16" s="5" t="s">
        <v>17</v>
      </c>
      <c r="C16" s="4">
        <f xml:space="preserve">  ROUND( (C14 / C15) * 100, 2 )</f>
        <v>18.18</v>
      </c>
      <c r="E16" s="332" t="s">
        <v>190</v>
      </c>
      <c r="F16" s="333"/>
      <c r="G16" s="333"/>
      <c r="H16" s="334"/>
      <c r="J16" s="332" t="s">
        <v>194</v>
      </c>
      <c r="K16" s="333"/>
      <c r="L16" s="333"/>
      <c r="M16" s="334"/>
    </row>
    <row r="17" spans="1:15" x14ac:dyDescent="0.3">
      <c r="B17" s="5" t="s">
        <v>18</v>
      </c>
      <c r="C17" s="2">
        <f xml:space="preserve"> C15 + C14</f>
        <v>1586826</v>
      </c>
      <c r="E17" s="5" t="s">
        <v>13</v>
      </c>
      <c r="F17" s="5" t="s">
        <v>10</v>
      </c>
      <c r="G17" s="5" t="s">
        <v>14</v>
      </c>
      <c r="H17" s="5" t="s">
        <v>17</v>
      </c>
      <c r="J17" s="5" t="s">
        <v>13</v>
      </c>
      <c r="K17" s="5" t="s">
        <v>10</v>
      </c>
      <c r="L17" s="5" t="s">
        <v>14</v>
      </c>
      <c r="M17" s="5" t="s">
        <v>17</v>
      </c>
    </row>
    <row r="18" spans="1:15" x14ac:dyDescent="0.3">
      <c r="B18" s="3"/>
      <c r="E18" s="4">
        <v>1</v>
      </c>
      <c r="F18" s="46">
        <v>10000000</v>
      </c>
      <c r="G18" s="46">
        <v>-365000</v>
      </c>
      <c r="H18" s="1">
        <f t="shared" ref="H18:H28" si="3">ROUND((G18/IF(F18=0,1,F18))*100,2)</f>
        <v>-3.65</v>
      </c>
      <c r="J18" s="4">
        <v>1</v>
      </c>
      <c r="K18" s="46">
        <v>70500000</v>
      </c>
      <c r="L18" s="2">
        <v>-3740000</v>
      </c>
      <c r="M18" s="1">
        <f t="shared" ref="M18:M24" si="4">ROUND((L18/IF(K18=0,1,K18))*100,2)</f>
        <v>-5.3</v>
      </c>
    </row>
    <row r="19" spans="1:15" x14ac:dyDescent="0.3">
      <c r="B19">
        <v>1.1599999999999999</v>
      </c>
      <c r="C19">
        <f xml:space="preserve"> B19 /100</f>
        <v>1.1599999999999999E-2</v>
      </c>
      <c r="E19" s="4">
        <v>2</v>
      </c>
      <c r="F19" s="46">
        <v>60000000</v>
      </c>
      <c r="G19" s="46">
        <v>100000</v>
      </c>
      <c r="H19" s="1">
        <f t="shared" si="3"/>
        <v>0.17</v>
      </c>
      <c r="J19" s="4">
        <v>2</v>
      </c>
      <c r="K19" s="46">
        <v>70500000</v>
      </c>
      <c r="L19" s="2">
        <v>-120000</v>
      </c>
      <c r="M19" s="1">
        <f t="shared" si="4"/>
        <v>-0.17</v>
      </c>
      <c r="O19" t="s">
        <v>217</v>
      </c>
    </row>
    <row r="20" spans="1:15" x14ac:dyDescent="0.3">
      <c r="A20" t="s">
        <v>119</v>
      </c>
      <c r="B20">
        <v>2833000</v>
      </c>
      <c r="C20">
        <f xml:space="preserve"> B20 / C19</f>
        <v>244224137.93103451</v>
      </c>
      <c r="E20" s="4">
        <v>3</v>
      </c>
      <c r="F20" s="46">
        <v>15715574</v>
      </c>
      <c r="G20" s="46">
        <v>1077960</v>
      </c>
      <c r="H20" s="1">
        <f t="shared" si="3"/>
        <v>6.86</v>
      </c>
      <c r="J20" s="4">
        <v>3</v>
      </c>
      <c r="K20" s="46">
        <v>68828000</v>
      </c>
      <c r="L20" s="46">
        <v>-490000</v>
      </c>
      <c r="M20" s="1">
        <f t="shared" si="4"/>
        <v>-0.71</v>
      </c>
      <c r="O20" t="s">
        <v>214</v>
      </c>
    </row>
    <row r="21" spans="1:15" x14ac:dyDescent="0.3">
      <c r="E21" s="4">
        <v>4</v>
      </c>
      <c r="F21" s="46">
        <v>66300000</v>
      </c>
      <c r="G21" s="2">
        <v>-1430000</v>
      </c>
      <c r="H21" s="1">
        <f t="shared" si="3"/>
        <v>-2.16</v>
      </c>
      <c r="I21" s="242"/>
      <c r="J21" s="4">
        <v>4</v>
      </c>
      <c r="K21" s="46">
        <v>66916914</v>
      </c>
      <c r="L21" s="2">
        <v>3222202</v>
      </c>
      <c r="M21" s="1">
        <f t="shared" si="4"/>
        <v>4.82</v>
      </c>
      <c r="O21" t="s">
        <v>215</v>
      </c>
    </row>
    <row r="22" spans="1:15" x14ac:dyDescent="0.3">
      <c r="B22">
        <v>0.45</v>
      </c>
      <c r="C22">
        <f xml:space="preserve"> B22 /100</f>
        <v>4.5000000000000005E-3</v>
      </c>
      <c r="E22" s="4">
        <v>5</v>
      </c>
      <c r="F22" s="46">
        <v>64870000</v>
      </c>
      <c r="G22" s="2">
        <v>2230000</v>
      </c>
      <c r="H22" s="1">
        <f t="shared" si="3"/>
        <v>3.44</v>
      </c>
      <c r="J22" s="4">
        <v>5</v>
      </c>
      <c r="K22" s="46">
        <v>0</v>
      </c>
      <c r="L22" s="2">
        <v>0</v>
      </c>
      <c r="M22" s="1">
        <f t="shared" si="4"/>
        <v>0</v>
      </c>
      <c r="O22" t="s">
        <v>216</v>
      </c>
    </row>
    <row r="23" spans="1:15" x14ac:dyDescent="0.3">
      <c r="B23">
        <v>12946</v>
      </c>
      <c r="C23">
        <f xml:space="preserve"> B23 / C22</f>
        <v>2876888.8888888885</v>
      </c>
      <c r="E23" s="4">
        <v>6</v>
      </c>
      <c r="F23" s="46">
        <v>40200000</v>
      </c>
      <c r="G23" s="46">
        <v>520000</v>
      </c>
      <c r="H23" s="1">
        <f t="shared" si="3"/>
        <v>1.29</v>
      </c>
      <c r="J23" s="4">
        <v>6</v>
      </c>
      <c r="K23" s="46">
        <v>0</v>
      </c>
      <c r="L23" s="46">
        <v>0</v>
      </c>
      <c r="M23" s="1">
        <f t="shared" si="4"/>
        <v>0</v>
      </c>
    </row>
    <row r="24" spans="1:15" x14ac:dyDescent="0.3">
      <c r="E24" s="4">
        <v>7</v>
      </c>
      <c r="F24" s="46">
        <v>0</v>
      </c>
      <c r="G24" s="2">
        <v>0</v>
      </c>
      <c r="H24" s="1">
        <f t="shared" si="3"/>
        <v>0</v>
      </c>
      <c r="J24" s="4">
        <v>7</v>
      </c>
      <c r="K24" s="46">
        <v>0</v>
      </c>
      <c r="L24" s="2">
        <v>0</v>
      </c>
      <c r="M24" s="1">
        <f t="shared" si="4"/>
        <v>0</v>
      </c>
    </row>
    <row r="25" spans="1:15" x14ac:dyDescent="0.3">
      <c r="B25" s="4" t="s">
        <v>165</v>
      </c>
      <c r="C25" s="4">
        <v>16696980</v>
      </c>
      <c r="E25" s="4">
        <v>8</v>
      </c>
      <c r="F25" s="46">
        <v>0</v>
      </c>
      <c r="G25" s="2">
        <v>0</v>
      </c>
      <c r="H25" s="1">
        <f t="shared" si="3"/>
        <v>0</v>
      </c>
      <c r="J25" s="4">
        <v>8</v>
      </c>
      <c r="K25" s="46">
        <v>0</v>
      </c>
      <c r="L25" s="2">
        <v>0</v>
      </c>
      <c r="M25" s="1">
        <f t="shared" ref="M25:M28" si="5">ROUND((L25/IF(K25=0,1,K25))*100,2)</f>
        <v>0</v>
      </c>
    </row>
    <row r="26" spans="1:15" x14ac:dyDescent="0.3">
      <c r="B26" s="102">
        <v>45301</v>
      </c>
      <c r="C26" s="1">
        <f xml:space="preserve"> C25 / 2</f>
        <v>8348490</v>
      </c>
      <c r="E26" s="7">
        <v>9</v>
      </c>
      <c r="F26" s="46">
        <v>0</v>
      </c>
      <c r="G26" s="46">
        <v>0</v>
      </c>
      <c r="H26" s="1">
        <f t="shared" si="3"/>
        <v>0</v>
      </c>
      <c r="J26" s="7">
        <v>9</v>
      </c>
      <c r="K26" s="46">
        <v>0</v>
      </c>
      <c r="L26" s="46">
        <v>0</v>
      </c>
      <c r="M26" s="1">
        <f t="shared" si="5"/>
        <v>0</v>
      </c>
    </row>
    <row r="27" spans="1:15" x14ac:dyDescent="0.3">
      <c r="B27" s="102">
        <v>45422</v>
      </c>
      <c r="C27" s="1">
        <f xml:space="preserve"> C25 / 2</f>
        <v>8348490</v>
      </c>
      <c r="E27" s="4">
        <v>10</v>
      </c>
      <c r="F27" s="46">
        <v>0</v>
      </c>
      <c r="G27" s="2">
        <v>0</v>
      </c>
      <c r="H27" s="1">
        <f t="shared" si="3"/>
        <v>0</v>
      </c>
      <c r="J27" s="4">
        <v>10</v>
      </c>
      <c r="K27" s="46">
        <v>0</v>
      </c>
      <c r="L27" s="2">
        <v>0</v>
      </c>
      <c r="M27" s="1">
        <f t="shared" si="5"/>
        <v>0</v>
      </c>
    </row>
    <row r="28" spans="1:15" x14ac:dyDescent="0.3">
      <c r="E28" s="45"/>
      <c r="F28" s="2">
        <v>60000000</v>
      </c>
      <c r="G28" s="2">
        <f>SUM(G18:G27)</f>
        <v>2132960</v>
      </c>
      <c r="H28" s="1">
        <f t="shared" si="3"/>
        <v>3.55</v>
      </c>
      <c r="J28" s="45"/>
      <c r="K28" s="2">
        <v>60000000</v>
      </c>
      <c r="L28" s="2">
        <f>SUM(L18:L27)</f>
        <v>-1127798</v>
      </c>
      <c r="M28" s="1">
        <f t="shared" si="5"/>
        <v>-1.88</v>
      </c>
    </row>
    <row r="29" spans="1:15" x14ac:dyDescent="0.3">
      <c r="E29" s="4" t="s">
        <v>193</v>
      </c>
      <c r="F29" s="330">
        <v>70500000</v>
      </c>
      <c r="G29" s="331"/>
      <c r="H29" s="243">
        <f xml:space="preserve"> (((F29 + G28) / F29) - 1) * 100</f>
        <v>3.0254751773049593</v>
      </c>
      <c r="J29" s="4" t="s">
        <v>193</v>
      </c>
      <c r="K29" s="330">
        <v>70500000</v>
      </c>
      <c r="L29" s="331"/>
      <c r="M29" s="243">
        <f xml:space="preserve"> (((K29 + L28) / K29) - 1) * 100</f>
        <v>-1.5997134751773001</v>
      </c>
    </row>
  </sheetData>
  <mergeCells count="9">
    <mergeCell ref="F29:G29"/>
    <mergeCell ref="E16:H16"/>
    <mergeCell ref="O2:R2"/>
    <mergeCell ref="B2:C2"/>
    <mergeCell ref="B1:C1"/>
    <mergeCell ref="E2:H2"/>
    <mergeCell ref="J2:M2"/>
    <mergeCell ref="J16:M16"/>
    <mergeCell ref="K29:L29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80"/>
  <sheetViews>
    <sheetView topLeftCell="A64" workbookViewId="0">
      <selection activeCell="H70" sqref="H70"/>
    </sheetView>
  </sheetViews>
  <sheetFormatPr defaultRowHeight="16.5" x14ac:dyDescent="0.3"/>
  <cols>
    <col min="1" max="1" width="9" style="3"/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320" t="s">
        <v>36</v>
      </c>
      <c r="E3" s="320"/>
      <c r="F3" s="320"/>
      <c r="G3" s="320"/>
      <c r="H3" s="320"/>
      <c r="I3" s="320"/>
      <c r="J3" s="320"/>
      <c r="K3" s="320"/>
      <c r="L3" s="320"/>
      <c r="M3" s="320"/>
      <c r="N3" s="320"/>
    </row>
    <row r="4" spans="3:14" x14ac:dyDescent="0.3"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</row>
    <row r="5" spans="3:14" x14ac:dyDescent="0.3">
      <c r="C5" t="s">
        <v>37</v>
      </c>
      <c r="D5" s="12" t="s">
        <v>39</v>
      </c>
      <c r="G5" t="s">
        <v>38</v>
      </c>
    </row>
    <row r="7" spans="3:14" x14ac:dyDescent="0.3">
      <c r="C7" s="14" t="s">
        <v>40</v>
      </c>
    </row>
    <row r="8" spans="3:14" x14ac:dyDescent="0.3">
      <c r="C8" s="15" t="s">
        <v>41</v>
      </c>
      <c r="D8" s="15" t="s">
        <v>42</v>
      </c>
      <c r="E8" s="15" t="s">
        <v>43</v>
      </c>
      <c r="F8" s="15" t="s">
        <v>44</v>
      </c>
      <c r="G8" s="15" t="s">
        <v>45</v>
      </c>
      <c r="H8" s="15" t="s">
        <v>46</v>
      </c>
      <c r="I8" s="15" t="s">
        <v>47</v>
      </c>
      <c r="J8" s="15" t="s">
        <v>48</v>
      </c>
      <c r="K8" s="15" t="s">
        <v>49</v>
      </c>
    </row>
    <row r="9" spans="3:14" ht="17.25" thickBot="1" x14ac:dyDescent="0.35">
      <c r="C9" s="40" t="s">
        <v>50</v>
      </c>
      <c r="D9" s="40">
        <v>3.46</v>
      </c>
      <c r="E9" s="40">
        <v>3.49</v>
      </c>
      <c r="F9" s="40">
        <v>3.52</v>
      </c>
      <c r="G9" s="40">
        <v>3.51</v>
      </c>
      <c r="H9" s="40">
        <v>3.44</v>
      </c>
      <c r="I9" s="40">
        <v>3.36</v>
      </c>
      <c r="J9" s="40">
        <v>3.27</v>
      </c>
      <c r="K9" s="40">
        <v>3.23</v>
      </c>
    </row>
    <row r="10" spans="3:14" ht="17.25" thickBot="1" x14ac:dyDescent="0.35">
      <c r="C10" s="40" t="s">
        <v>51</v>
      </c>
      <c r="D10" s="40">
        <v>3.94</v>
      </c>
      <c r="E10" s="40">
        <v>4.0599999999999996</v>
      </c>
      <c r="F10" s="40">
        <v>4.08</v>
      </c>
      <c r="G10" s="40">
        <v>4.09</v>
      </c>
      <c r="H10" s="40">
        <v>4.0999999999999996</v>
      </c>
      <c r="I10" s="40">
        <v>4.1100000000000003</v>
      </c>
      <c r="J10" s="40">
        <v>4.12</v>
      </c>
      <c r="K10" s="40">
        <v>4.28</v>
      </c>
    </row>
    <row r="11" spans="3:14" ht="17.25" thickBot="1" x14ac:dyDescent="0.35">
      <c r="C11" s="40" t="s">
        <v>52</v>
      </c>
      <c r="D11" s="40">
        <v>4.03</v>
      </c>
      <c r="E11" s="40">
        <v>4.17</v>
      </c>
      <c r="F11" s="40">
        <v>4.17</v>
      </c>
      <c r="G11" s="40">
        <v>4.18</v>
      </c>
      <c r="H11" s="40">
        <v>4.1900000000000004</v>
      </c>
      <c r="I11" s="40">
        <v>4.21</v>
      </c>
      <c r="J11" s="40">
        <v>4.24</v>
      </c>
      <c r="K11" s="40">
        <v>4.4000000000000004</v>
      </c>
    </row>
    <row r="12" spans="3:14" ht="17.25" thickBot="1" x14ac:dyDescent="0.35">
      <c r="C12" s="40" t="s">
        <v>53</v>
      </c>
      <c r="D12" s="40">
        <v>4.08</v>
      </c>
      <c r="E12" s="40">
        <v>4.21</v>
      </c>
      <c r="F12" s="40">
        <v>4.22</v>
      </c>
      <c r="G12" s="40">
        <v>4.22</v>
      </c>
      <c r="H12" s="40">
        <v>4.2300000000000004</v>
      </c>
      <c r="I12" s="40">
        <v>4.24</v>
      </c>
      <c r="J12" s="40">
        <v>4.28</v>
      </c>
      <c r="K12" s="40">
        <v>4.46</v>
      </c>
    </row>
    <row r="13" spans="3:14" ht="17.25" thickBot="1" x14ac:dyDescent="0.35">
      <c r="C13" s="40" t="s">
        <v>54</v>
      </c>
      <c r="D13" s="40">
        <v>4.0999999999999996</v>
      </c>
      <c r="E13" s="40">
        <v>4.2300000000000004</v>
      </c>
      <c r="F13" s="40">
        <v>4.24</v>
      </c>
      <c r="G13" s="40">
        <v>4.25</v>
      </c>
      <c r="H13" s="40">
        <v>4.2699999999999996</v>
      </c>
      <c r="I13" s="40">
        <v>4.29</v>
      </c>
      <c r="J13" s="40">
        <v>4.33</v>
      </c>
      <c r="K13" s="40">
        <v>4.55</v>
      </c>
    </row>
    <row r="14" spans="3:14" ht="17.25" thickBot="1" x14ac:dyDescent="0.35">
      <c r="C14" s="40" t="s">
        <v>55</v>
      </c>
      <c r="D14" s="40">
        <v>4.59</v>
      </c>
      <c r="E14" s="40">
        <v>4.8</v>
      </c>
      <c r="F14" s="40">
        <v>4.8</v>
      </c>
      <c r="G14" s="40">
        <v>4.8099999999999996</v>
      </c>
      <c r="H14" s="40">
        <v>4.83</v>
      </c>
      <c r="I14" s="40">
        <v>4.84</v>
      </c>
      <c r="J14" s="40">
        <v>4.8899999999999997</v>
      </c>
      <c r="K14" s="40">
        <v>5.19</v>
      </c>
    </row>
    <row r="15" spans="3:14" ht="17.25" thickBot="1" x14ac:dyDescent="0.35">
      <c r="C15" s="40" t="s">
        <v>56</v>
      </c>
      <c r="D15" s="40">
        <v>4.7300000000000004</v>
      </c>
      <c r="E15" s="40">
        <v>4.96</v>
      </c>
      <c r="F15" s="40">
        <v>4.96</v>
      </c>
      <c r="G15" s="40">
        <v>4.97</v>
      </c>
      <c r="H15" s="40">
        <v>5</v>
      </c>
      <c r="I15" s="40">
        <v>5.01</v>
      </c>
      <c r="J15" s="40">
        <v>5.16</v>
      </c>
      <c r="K15" s="40">
        <v>5.65</v>
      </c>
    </row>
    <row r="16" spans="3:14" ht="17.25" thickBot="1" x14ac:dyDescent="0.35">
      <c r="C16" s="40" t="s">
        <v>57</v>
      </c>
      <c r="D16" s="40">
        <v>4.9400000000000004</v>
      </c>
      <c r="E16" s="40">
        <v>5.18</v>
      </c>
      <c r="F16" s="40">
        <v>5.21</v>
      </c>
      <c r="G16" s="40">
        <v>5.23</v>
      </c>
      <c r="H16" s="40">
        <v>5.3</v>
      </c>
      <c r="I16" s="40">
        <v>5.35</v>
      </c>
      <c r="J16" s="40">
        <v>5.61</v>
      </c>
      <c r="K16" s="40">
        <v>6.25</v>
      </c>
    </row>
    <row r="17" spans="2:12" ht="17.25" thickBot="1" x14ac:dyDescent="0.35">
      <c r="C17" s="40" t="s">
        <v>58</v>
      </c>
      <c r="D17" s="40">
        <v>5.6</v>
      </c>
      <c r="E17" s="40">
        <v>6.16</v>
      </c>
      <c r="F17" s="40">
        <v>6.5</v>
      </c>
      <c r="G17" s="40">
        <v>6.71</v>
      </c>
      <c r="H17" s="40">
        <v>7.07</v>
      </c>
      <c r="I17" s="40">
        <v>7.59</v>
      </c>
      <c r="J17" s="40">
        <v>8.1300000000000008</v>
      </c>
      <c r="K17" s="40">
        <v>8.34</v>
      </c>
    </row>
    <row r="18" spans="2:12" ht="17.25" thickBot="1" x14ac:dyDescent="0.35">
      <c r="C18" s="40" t="s">
        <v>59</v>
      </c>
      <c r="D18" s="40">
        <v>5.98</v>
      </c>
      <c r="E18" s="40">
        <v>6.66</v>
      </c>
      <c r="F18" s="40">
        <v>7.08</v>
      </c>
      <c r="G18" s="40">
        <v>7.38</v>
      </c>
      <c r="H18" s="40">
        <v>7.88</v>
      </c>
      <c r="I18" s="40">
        <v>8.5299999999999994</v>
      </c>
      <c r="J18" s="40">
        <v>9.18</v>
      </c>
      <c r="K18" s="40">
        <v>9.39</v>
      </c>
    </row>
    <row r="19" spans="2:12" ht="17.25" thickBot="1" x14ac:dyDescent="0.35">
      <c r="C19" s="40" t="s">
        <v>60</v>
      </c>
      <c r="D19" s="40">
        <v>6.66</v>
      </c>
      <c r="E19" s="40">
        <v>7.45</v>
      </c>
      <c r="F19" s="40">
        <v>8.02</v>
      </c>
      <c r="G19" s="40">
        <v>8.36</v>
      </c>
      <c r="H19" s="40">
        <v>8.99</v>
      </c>
      <c r="I19" s="40">
        <v>9.68</v>
      </c>
      <c r="J19" s="40">
        <v>10.55</v>
      </c>
      <c r="K19" s="40">
        <v>10.81</v>
      </c>
      <c r="L19" s="13">
        <f xml:space="preserve"> K19 / 100</f>
        <v>0.1081</v>
      </c>
    </row>
    <row r="21" spans="2:12" x14ac:dyDescent="0.3">
      <c r="C21" s="42" t="s">
        <v>87</v>
      </c>
      <c r="D21" s="42" t="s">
        <v>89</v>
      </c>
      <c r="E21" s="42" t="s">
        <v>90</v>
      </c>
      <c r="F21" s="42" t="s">
        <v>92</v>
      </c>
      <c r="G21" s="42" t="s">
        <v>91</v>
      </c>
      <c r="H21" s="42" t="s">
        <v>88</v>
      </c>
      <c r="I21" s="42" t="s">
        <v>93</v>
      </c>
    </row>
    <row r="22" spans="2:12" x14ac:dyDescent="0.3">
      <c r="C22" s="2">
        <v>3340000</v>
      </c>
      <c r="D22" s="2">
        <v>5220000</v>
      </c>
      <c r="E22" s="2">
        <v>777170</v>
      </c>
      <c r="F22" s="2">
        <v>3748135</v>
      </c>
      <c r="G22" s="2">
        <v>9176143</v>
      </c>
      <c r="H22" s="2">
        <v>0</v>
      </c>
      <c r="I22" s="2">
        <f xml:space="preserve"> SUM(C22:H22)</f>
        <v>22261448</v>
      </c>
    </row>
    <row r="23" spans="2:12" x14ac:dyDescent="0.3">
      <c r="C23" s="2">
        <v>3340000</v>
      </c>
      <c r="D23" s="337">
        <f xml:space="preserve"> D22 + E22 + F22 + G22</f>
        <v>18921448</v>
      </c>
      <c r="E23" s="327"/>
      <c r="F23" s="327"/>
      <c r="G23" s="327"/>
      <c r="H23" s="2">
        <v>0</v>
      </c>
      <c r="I23" s="2">
        <f xml:space="preserve"> SUM(C23:H23)</f>
        <v>22261448</v>
      </c>
    </row>
    <row r="24" spans="2:12" x14ac:dyDescent="0.3">
      <c r="C24" s="43">
        <f xml:space="preserve"> C23/ I23 * 100</f>
        <v>15.003516393003727</v>
      </c>
      <c r="D24" s="338">
        <f xml:space="preserve"> D23 / I23 * 100</f>
        <v>84.996483606996279</v>
      </c>
      <c r="E24" s="339"/>
      <c r="F24" s="339"/>
      <c r="G24" s="340"/>
      <c r="H24" s="43">
        <f xml:space="preserve"> H23 / I23 * 100</f>
        <v>0</v>
      </c>
      <c r="I24" s="43">
        <f xml:space="preserve"> SUM(C24:H24)</f>
        <v>100</v>
      </c>
    </row>
    <row r="25" spans="2:12" x14ac:dyDescent="0.3">
      <c r="C25" s="41"/>
      <c r="D25" s="44">
        <f xml:space="preserve"> D22 / D23 * 100</f>
        <v>27.587740642259512</v>
      </c>
      <c r="E25" s="44">
        <f xml:space="preserve"> E22 / D23 * 100</f>
        <v>4.1073495009472847</v>
      </c>
      <c r="F25" s="44">
        <f xml:space="preserve"> F22 / D23 * 100</f>
        <v>19.808922657504858</v>
      </c>
      <c r="G25" s="44">
        <f xml:space="preserve"> G22 / D23 * 100</f>
        <v>48.495987199288344</v>
      </c>
      <c r="H25" s="1"/>
      <c r="I25" s="1"/>
    </row>
    <row r="26" spans="2:12" ht="17.25" thickBot="1" x14ac:dyDescent="0.35"/>
    <row r="27" spans="2:12" ht="17.25" thickBot="1" x14ac:dyDescent="0.35">
      <c r="B27" s="346" t="s">
        <v>100</v>
      </c>
      <c r="C27" s="350" t="s">
        <v>115</v>
      </c>
      <c r="D27" s="341" t="s">
        <v>98</v>
      </c>
      <c r="E27" s="342"/>
      <c r="F27" s="343"/>
      <c r="G27" s="346" t="s">
        <v>102</v>
      </c>
      <c r="H27" s="344" t="s">
        <v>118</v>
      </c>
      <c r="I27" s="347" t="s">
        <v>96</v>
      </c>
      <c r="J27" s="346" t="s">
        <v>105</v>
      </c>
      <c r="K27" s="346" t="s">
        <v>116</v>
      </c>
    </row>
    <row r="28" spans="2:12" ht="17.25" thickBot="1" x14ac:dyDescent="0.35">
      <c r="B28" s="345"/>
      <c r="C28" s="351"/>
      <c r="D28" s="346" t="s">
        <v>97</v>
      </c>
      <c r="E28" s="344" t="s">
        <v>101</v>
      </c>
      <c r="F28" s="352" t="s">
        <v>104</v>
      </c>
      <c r="G28" s="345"/>
      <c r="H28" s="345"/>
      <c r="I28" s="348"/>
      <c r="J28" s="345"/>
      <c r="K28" s="345"/>
    </row>
    <row r="29" spans="2:12" ht="37.5" customHeight="1" thickBot="1" x14ac:dyDescent="0.35">
      <c r="B29" s="345"/>
      <c r="C29" s="351"/>
      <c r="D29" s="345"/>
      <c r="E29" s="345"/>
      <c r="F29" s="353"/>
      <c r="G29" s="345"/>
      <c r="H29" s="345"/>
      <c r="I29" s="47" t="s">
        <v>99</v>
      </c>
      <c r="J29" s="349"/>
      <c r="K29" s="349"/>
    </row>
    <row r="30" spans="2:12" x14ac:dyDescent="0.3">
      <c r="B30" s="358" t="s">
        <v>114</v>
      </c>
      <c r="C30" s="360">
        <v>1845434000</v>
      </c>
      <c r="D30" s="50">
        <v>1845434000</v>
      </c>
      <c r="E30" s="49">
        <v>0</v>
      </c>
      <c r="F30" s="51">
        <v>10.81</v>
      </c>
      <c r="G30" s="354">
        <f xml:space="preserve"> C30 + D31</f>
        <v>0</v>
      </c>
      <c r="H30" s="360">
        <v>934126897</v>
      </c>
      <c r="I30" s="362">
        <f xml:space="preserve"> G30 / H30</f>
        <v>0</v>
      </c>
      <c r="J30" s="356" t="s">
        <v>103</v>
      </c>
      <c r="K30" s="354">
        <f xml:space="preserve"> D30 / H30</f>
        <v>1.9755709914003259</v>
      </c>
    </row>
    <row r="31" spans="2:12" ht="17.25" thickBot="1" x14ac:dyDescent="0.35">
      <c r="B31" s="359"/>
      <c r="C31" s="361"/>
      <c r="D31" s="364">
        <f xml:space="preserve"> (D30 * (E30 - F30)) / F30</f>
        <v>-1845434000</v>
      </c>
      <c r="E31" s="365"/>
      <c r="F31" s="366"/>
      <c r="G31" s="359"/>
      <c r="H31" s="361"/>
      <c r="I31" s="363"/>
      <c r="J31" s="357"/>
      <c r="K31" s="355"/>
    </row>
    <row r="32" spans="2:12" x14ac:dyDescent="0.3">
      <c r="B32" s="1"/>
      <c r="C32" s="1"/>
      <c r="D32" s="1"/>
      <c r="E32" s="1"/>
      <c r="F32" s="1"/>
      <c r="H32" s="3"/>
      <c r="I32" s="1"/>
      <c r="J32" s="1"/>
    </row>
    <row r="33" spans="1:10" x14ac:dyDescent="0.3">
      <c r="B33" s="1"/>
      <c r="C33" s="1"/>
      <c r="D33" s="1"/>
      <c r="E33" s="1"/>
      <c r="F33" s="1"/>
      <c r="H33" s="4"/>
      <c r="I33" s="1"/>
      <c r="J33" s="1"/>
    </row>
    <row r="34" spans="1:10" x14ac:dyDescent="0.3">
      <c r="B34" s="1"/>
      <c r="C34" s="1"/>
      <c r="D34" s="1"/>
      <c r="E34" s="1"/>
      <c r="F34" s="1"/>
      <c r="H34" s="1"/>
      <c r="I34" s="1"/>
      <c r="J34" s="1"/>
    </row>
    <row r="36" spans="1:10" s="58" customFormat="1" x14ac:dyDescent="0.3">
      <c r="A36" s="235"/>
    </row>
    <row r="37" spans="1:10" ht="17.25" thickBot="1" x14ac:dyDescent="0.35"/>
    <row r="38" spans="1:10" ht="50.25" thickBot="1" x14ac:dyDescent="0.35">
      <c r="B38" s="53" t="s">
        <v>117</v>
      </c>
      <c r="C38" s="54" t="s">
        <v>108</v>
      </c>
      <c r="D38" s="54" t="s">
        <v>106</v>
      </c>
      <c r="E38" s="55" t="s">
        <v>107</v>
      </c>
      <c r="F38" s="63"/>
    </row>
    <row r="39" spans="1:10" x14ac:dyDescent="0.3">
      <c r="A39" s="74">
        <v>2021</v>
      </c>
      <c r="B39" s="52" t="s">
        <v>109</v>
      </c>
      <c r="C39" s="48">
        <v>5950076000</v>
      </c>
      <c r="D39" s="48">
        <v>1344380000</v>
      </c>
      <c r="E39" s="48">
        <f t="shared" ref="E39:E44" si="0" xml:space="preserve"> C39 - D39</f>
        <v>4605696000</v>
      </c>
      <c r="F39" s="64"/>
    </row>
    <row r="40" spans="1:10" x14ac:dyDescent="0.3">
      <c r="A40" s="74">
        <v>2022</v>
      </c>
      <c r="B40" s="52" t="s">
        <v>109</v>
      </c>
      <c r="C40" s="48">
        <v>5764276000</v>
      </c>
      <c r="D40" s="48">
        <v>1704062000</v>
      </c>
      <c r="E40" s="48">
        <f t="shared" si="0"/>
        <v>4060214000</v>
      </c>
      <c r="F40" s="64"/>
    </row>
    <row r="41" spans="1:10" x14ac:dyDescent="0.3">
      <c r="A41" s="75" t="s">
        <v>157</v>
      </c>
      <c r="B41" s="52" t="s">
        <v>109</v>
      </c>
      <c r="C41" s="48">
        <v>5654093000</v>
      </c>
      <c r="D41" s="48">
        <v>1732443000</v>
      </c>
      <c r="E41" s="48">
        <f t="shared" si="0"/>
        <v>3921650000</v>
      </c>
      <c r="F41" s="64"/>
    </row>
    <row r="42" spans="1:10" x14ac:dyDescent="0.3">
      <c r="A42" s="75" t="s">
        <v>168</v>
      </c>
      <c r="B42" s="52" t="s">
        <v>109</v>
      </c>
      <c r="C42" s="48">
        <v>5583277000</v>
      </c>
      <c r="D42" s="48">
        <v>1844192000</v>
      </c>
      <c r="E42" s="48">
        <f t="shared" si="0"/>
        <v>3739085000</v>
      </c>
      <c r="F42" s="64"/>
    </row>
    <row r="43" spans="1:10" x14ac:dyDescent="0.3">
      <c r="A43" s="75" t="s">
        <v>176</v>
      </c>
      <c r="B43" s="52" t="s">
        <v>109</v>
      </c>
      <c r="C43" s="48">
        <v>5452121000</v>
      </c>
      <c r="D43" s="48">
        <v>1942835000</v>
      </c>
      <c r="E43" s="48">
        <f t="shared" si="0"/>
        <v>3509286000</v>
      </c>
      <c r="F43" s="64"/>
    </row>
    <row r="44" spans="1:10" x14ac:dyDescent="0.3">
      <c r="A44" s="75" t="s">
        <v>181</v>
      </c>
      <c r="B44" s="52" t="s">
        <v>109</v>
      </c>
      <c r="C44" s="48">
        <v>4847306000</v>
      </c>
      <c r="D44" s="48">
        <v>1918184000</v>
      </c>
      <c r="E44" s="48">
        <f t="shared" si="0"/>
        <v>2929122000</v>
      </c>
      <c r="F44" s="64"/>
    </row>
    <row r="45" spans="1:10" x14ac:dyDescent="0.3">
      <c r="A45" s="75" t="s">
        <v>186</v>
      </c>
      <c r="B45" s="52" t="s">
        <v>109</v>
      </c>
      <c r="C45" s="48">
        <v>4724874000</v>
      </c>
      <c r="D45" s="48">
        <v>1695541000</v>
      </c>
      <c r="E45" s="48">
        <f t="shared" ref="E45" si="1" xml:space="preserve"> C45 - D45</f>
        <v>3029333000</v>
      </c>
      <c r="F45" s="64"/>
    </row>
    <row r="46" spans="1:10" x14ac:dyDescent="0.3">
      <c r="A46" s="75" t="s">
        <v>209</v>
      </c>
      <c r="B46" s="52" t="s">
        <v>109</v>
      </c>
      <c r="C46" s="48">
        <v>3602846000</v>
      </c>
      <c r="D46" s="48">
        <v>1795090000</v>
      </c>
      <c r="E46" s="48">
        <f t="shared" ref="E46" si="2" xml:space="preserve"> C46 - D46</f>
        <v>1807756000</v>
      </c>
      <c r="F46" s="64"/>
    </row>
    <row r="47" spans="1:10" x14ac:dyDescent="0.3">
      <c r="A47" s="75" t="s">
        <v>212</v>
      </c>
      <c r="B47" s="52" t="s">
        <v>109</v>
      </c>
      <c r="C47" s="48">
        <v>3633406000</v>
      </c>
      <c r="D47" s="48">
        <v>1700819000</v>
      </c>
      <c r="E47" s="48">
        <f t="shared" ref="E47" si="3" xml:space="preserve"> C47 - D47</f>
        <v>1932587000</v>
      </c>
      <c r="F47" s="64"/>
    </row>
    <row r="48" spans="1:10" ht="17.25" thickBot="1" x14ac:dyDescent="0.35"/>
    <row r="49" spans="1:7" ht="33.75" thickBot="1" x14ac:dyDescent="0.35">
      <c r="B49" s="53" t="s">
        <v>117</v>
      </c>
      <c r="C49" s="56" t="s">
        <v>110</v>
      </c>
      <c r="D49" s="54" t="s">
        <v>111</v>
      </c>
      <c r="E49" s="54" t="s">
        <v>112</v>
      </c>
      <c r="F49" s="57" t="s">
        <v>97</v>
      </c>
    </row>
    <row r="50" spans="1:7" x14ac:dyDescent="0.3">
      <c r="A50" s="74">
        <v>2021</v>
      </c>
      <c r="B50" s="52" t="s">
        <v>109</v>
      </c>
      <c r="C50" s="48">
        <v>5947000</v>
      </c>
      <c r="D50" s="48">
        <v>7070710000</v>
      </c>
      <c r="E50" s="48">
        <v>2396903000</v>
      </c>
      <c r="F50" s="48">
        <f t="shared" ref="F50:F55" si="4" xml:space="preserve"> D50 + C50 - E50</f>
        <v>4679754000</v>
      </c>
    </row>
    <row r="51" spans="1:7" x14ac:dyDescent="0.3">
      <c r="A51" s="74">
        <v>2022</v>
      </c>
      <c r="B51" s="52" t="s">
        <v>109</v>
      </c>
      <c r="C51" s="48">
        <v>6084000</v>
      </c>
      <c r="D51" s="48">
        <v>7297306000</v>
      </c>
      <c r="E51" s="48">
        <v>3120911000</v>
      </c>
      <c r="F51" s="48">
        <f t="shared" si="4"/>
        <v>4182479000</v>
      </c>
      <c r="G51" s="144">
        <f t="shared" ref="G51:G56" si="5" xml:space="preserve">  (F51 / F50 * 100) - 100</f>
        <v>-10.62609273906277</v>
      </c>
    </row>
    <row r="52" spans="1:7" x14ac:dyDescent="0.3">
      <c r="A52" s="75" t="s">
        <v>157</v>
      </c>
      <c r="B52" s="52" t="s">
        <v>109</v>
      </c>
      <c r="C52" s="48">
        <v>6120000</v>
      </c>
      <c r="D52" s="48">
        <v>7360887000</v>
      </c>
      <c r="E52" s="48">
        <v>3327472000</v>
      </c>
      <c r="F52" s="48">
        <f t="shared" si="4"/>
        <v>4039535000</v>
      </c>
      <c r="G52" s="144">
        <f t="shared" si="5"/>
        <v>-3.4176860182681139</v>
      </c>
    </row>
    <row r="53" spans="1:7" x14ac:dyDescent="0.3">
      <c r="A53" s="75" t="s">
        <v>168</v>
      </c>
      <c r="B53" s="52" t="s">
        <v>109</v>
      </c>
      <c r="C53" s="48">
        <v>6201000</v>
      </c>
      <c r="D53" s="48">
        <v>7409733000</v>
      </c>
      <c r="E53" s="48">
        <v>3563870000</v>
      </c>
      <c r="F53" s="48">
        <f t="shared" si="4"/>
        <v>3852064000</v>
      </c>
      <c r="G53" s="144">
        <f t="shared" si="5"/>
        <v>-4.6409054507511485</v>
      </c>
    </row>
    <row r="54" spans="1:7" x14ac:dyDescent="0.3">
      <c r="A54" s="75" t="s">
        <v>176</v>
      </c>
      <c r="B54" s="52" t="s">
        <v>109</v>
      </c>
      <c r="C54" s="48">
        <v>6243000</v>
      </c>
      <c r="D54" s="48">
        <v>7456196000</v>
      </c>
      <c r="E54" s="48">
        <v>3847349000</v>
      </c>
      <c r="F54" s="48">
        <f t="shared" si="4"/>
        <v>3615090000</v>
      </c>
      <c r="G54" s="144">
        <f t="shared" si="5"/>
        <v>-6.1518707892703759</v>
      </c>
    </row>
    <row r="55" spans="1:7" x14ac:dyDescent="0.3">
      <c r="A55" s="75" t="s">
        <v>181</v>
      </c>
      <c r="B55" s="52" t="s">
        <v>109</v>
      </c>
      <c r="C55" s="192">
        <v>7057000</v>
      </c>
      <c r="D55" s="48">
        <v>7823209000</v>
      </c>
      <c r="E55" s="48">
        <v>4785520000</v>
      </c>
      <c r="F55" s="48">
        <f t="shared" si="4"/>
        <v>3044746000</v>
      </c>
      <c r="G55" s="144">
        <f t="shared" si="5"/>
        <v>-15.776757978362923</v>
      </c>
    </row>
    <row r="56" spans="1:7" x14ac:dyDescent="0.3">
      <c r="A56" s="75" t="s">
        <v>186</v>
      </c>
      <c r="B56" s="52" t="s">
        <v>109</v>
      </c>
      <c r="C56" s="192">
        <v>9003000</v>
      </c>
      <c r="D56" s="48">
        <v>8388930000</v>
      </c>
      <c r="E56" s="48">
        <v>5259021000</v>
      </c>
      <c r="F56" s="48">
        <f t="shared" ref="F56" si="6" xml:space="preserve"> D56 + C56 - E56</f>
        <v>3138912000</v>
      </c>
      <c r="G56" s="144">
        <f t="shared" si="5"/>
        <v>3.0927374565891625</v>
      </c>
    </row>
    <row r="57" spans="1:7" x14ac:dyDescent="0.3">
      <c r="A57" s="75" t="s">
        <v>209</v>
      </c>
      <c r="B57" s="52" t="s">
        <v>109</v>
      </c>
      <c r="C57" s="192">
        <v>9342000</v>
      </c>
      <c r="D57" s="48">
        <v>8430537000</v>
      </c>
      <c r="E57" s="48">
        <v>6594445000</v>
      </c>
      <c r="F57" s="48">
        <f t="shared" ref="F57" si="7" xml:space="preserve"> D57 + C57 - E57</f>
        <v>1845434000</v>
      </c>
      <c r="G57" s="144">
        <f t="shared" ref="G57" si="8" xml:space="preserve">  (F57 / F56 * 100) - 100</f>
        <v>-41.207845266130427</v>
      </c>
    </row>
    <row r="58" spans="1:7" x14ac:dyDescent="0.3">
      <c r="A58" s="75" t="s">
        <v>212</v>
      </c>
      <c r="B58" s="52" t="s">
        <v>109</v>
      </c>
      <c r="C58" s="192">
        <v>9977000</v>
      </c>
      <c r="D58" s="48">
        <v>8752399000</v>
      </c>
      <c r="E58" s="48">
        <v>6791101000</v>
      </c>
      <c r="F58" s="48">
        <f t="shared" ref="F58" si="9" xml:space="preserve"> D58 + C58 - E58</f>
        <v>1971275000</v>
      </c>
      <c r="G58" s="144">
        <f t="shared" ref="G58" si="10" xml:space="preserve">  (F58 / F57 * 100) - 100</f>
        <v>6.8190463598264586</v>
      </c>
    </row>
    <row r="59" spans="1:7" ht="17.25" thickBot="1" x14ac:dyDescent="0.35"/>
    <row r="60" spans="1:7" ht="66.75" thickBot="1" x14ac:dyDescent="0.35">
      <c r="B60" s="53" t="s">
        <v>117</v>
      </c>
      <c r="C60" s="61" t="s">
        <v>113</v>
      </c>
      <c r="D60" s="62" t="s">
        <v>120</v>
      </c>
      <c r="E60" s="65" t="s">
        <v>121</v>
      </c>
      <c r="F60" s="66" t="s">
        <v>123</v>
      </c>
      <c r="G60" s="66" t="s">
        <v>122</v>
      </c>
    </row>
    <row r="61" spans="1:7" x14ac:dyDescent="0.3">
      <c r="A61" s="74">
        <v>2021</v>
      </c>
      <c r="B61" s="52" t="s">
        <v>109</v>
      </c>
      <c r="C61" s="59">
        <f t="shared" ref="C61:C69" si="11" xml:space="preserve"> F50 / C39 * 100</f>
        <v>78.650323121923151</v>
      </c>
      <c r="D61" s="60">
        <f t="shared" ref="D61:D69" si="12">(C50-F50)/C50 *100</f>
        <v>-78591.003867496212</v>
      </c>
      <c r="E61" s="67">
        <v>50</v>
      </c>
      <c r="F61" s="68">
        <v>594729610</v>
      </c>
      <c r="G61" s="69">
        <f t="shared" ref="G61:G66" si="13" xml:space="preserve"> E61 * F61</f>
        <v>29736480500</v>
      </c>
    </row>
    <row r="62" spans="1:7" x14ac:dyDescent="0.3">
      <c r="A62" s="74">
        <v>2022</v>
      </c>
      <c r="B62" s="52" t="s">
        <v>109</v>
      </c>
      <c r="C62" s="59">
        <f t="shared" si="11"/>
        <v>72.55861794265229</v>
      </c>
      <c r="D62" s="60">
        <f t="shared" si="12"/>
        <v>-68645.545693622611</v>
      </c>
      <c r="E62" s="1">
        <v>13.33</v>
      </c>
      <c r="F62" s="68">
        <v>608421785</v>
      </c>
      <c r="G62" s="69">
        <f t="shared" si="13"/>
        <v>8110262394.0500002</v>
      </c>
    </row>
    <row r="63" spans="1:7" x14ac:dyDescent="0.3">
      <c r="A63" s="75" t="s">
        <v>157</v>
      </c>
      <c r="B63" s="52" t="s">
        <v>109</v>
      </c>
      <c r="C63" s="59">
        <f t="shared" si="11"/>
        <v>71.444438568661667</v>
      </c>
      <c r="D63" s="60">
        <f t="shared" si="12"/>
        <v>-65905.473856209152</v>
      </c>
      <c r="E63" s="1">
        <v>8</v>
      </c>
      <c r="F63" s="68">
        <v>611951626</v>
      </c>
      <c r="G63" s="69">
        <f t="shared" si="13"/>
        <v>4895613008</v>
      </c>
    </row>
    <row r="64" spans="1:7" x14ac:dyDescent="0.3">
      <c r="A64" s="75" t="s">
        <v>168</v>
      </c>
      <c r="B64" s="52" t="s">
        <v>109</v>
      </c>
      <c r="C64" s="59">
        <f t="shared" si="11"/>
        <v>68.992887152115145</v>
      </c>
      <c r="D64" s="60">
        <f t="shared" si="12"/>
        <v>-62020.045154007414</v>
      </c>
      <c r="E64" s="1">
        <v>7.54</v>
      </c>
      <c r="F64" s="68">
        <v>620087507</v>
      </c>
      <c r="G64" s="69">
        <f t="shared" si="13"/>
        <v>4675459802.7799997</v>
      </c>
    </row>
    <row r="65" spans="1:9" x14ac:dyDescent="0.3">
      <c r="A65" s="75" t="s">
        <v>176</v>
      </c>
      <c r="B65" s="52" t="s">
        <v>109</v>
      </c>
      <c r="C65" s="59">
        <f t="shared" si="11"/>
        <v>66.306121966111903</v>
      </c>
      <c r="D65" s="60">
        <f t="shared" si="12"/>
        <v>-57806.295050456516</v>
      </c>
      <c r="E65" s="1">
        <v>3.54</v>
      </c>
      <c r="F65" s="68">
        <v>624267053</v>
      </c>
      <c r="G65" s="69">
        <f t="shared" si="13"/>
        <v>2209905367.6199999</v>
      </c>
    </row>
    <row r="66" spans="1:9" x14ac:dyDescent="0.3">
      <c r="A66" s="75" t="s">
        <v>181</v>
      </c>
      <c r="B66" s="52" t="s">
        <v>109</v>
      </c>
      <c r="C66" s="59">
        <f t="shared" si="11"/>
        <v>62.813158484320986</v>
      </c>
      <c r="D66" s="60">
        <f t="shared" si="12"/>
        <v>-43045.047470596568</v>
      </c>
      <c r="E66" s="1">
        <v>2.54</v>
      </c>
      <c r="F66" s="68">
        <v>705604549</v>
      </c>
      <c r="G66" s="69">
        <f t="shared" si="13"/>
        <v>1792235554.46</v>
      </c>
    </row>
    <row r="67" spans="1:9" x14ac:dyDescent="0.3">
      <c r="A67" s="75" t="s">
        <v>186</v>
      </c>
      <c r="B67" s="52" t="s">
        <v>109</v>
      </c>
      <c r="C67" s="59">
        <f t="shared" si="11"/>
        <v>66.433771567241791</v>
      </c>
      <c r="D67" s="60">
        <f t="shared" si="12"/>
        <v>-34765.178273908699</v>
      </c>
      <c r="E67" s="1">
        <v>2.2999999999999998</v>
      </c>
      <c r="F67" s="68">
        <v>900281573</v>
      </c>
      <c r="G67" s="69">
        <f t="shared" ref="G67" si="14" xml:space="preserve"> E67 * F67</f>
        <v>2070647617.8999999</v>
      </c>
    </row>
    <row r="68" spans="1:9" x14ac:dyDescent="0.3">
      <c r="A68" s="75" t="s">
        <v>209</v>
      </c>
      <c r="B68" s="52" t="s">
        <v>109</v>
      </c>
      <c r="C68" s="59">
        <f t="shared" si="11"/>
        <v>51.221562065100755</v>
      </c>
      <c r="D68" s="60">
        <f t="shared" si="12"/>
        <v>-19654.163990580175</v>
      </c>
      <c r="E68" s="1">
        <v>1.44</v>
      </c>
      <c r="F68" s="68">
        <v>934126897</v>
      </c>
      <c r="G68" s="69">
        <f t="shared" ref="G68" si="15" xml:space="preserve"> E68 * F68</f>
        <v>1345142731.6800001</v>
      </c>
    </row>
    <row r="69" spans="1:9" x14ac:dyDescent="0.3">
      <c r="A69" s="75" t="s">
        <v>212</v>
      </c>
      <c r="B69" s="52" t="s">
        <v>109</v>
      </c>
      <c r="C69" s="59">
        <f t="shared" si="11"/>
        <v>54.254190145554894</v>
      </c>
      <c r="D69" s="60">
        <f t="shared" si="12"/>
        <v>-19658.193845845446</v>
      </c>
      <c r="E69" s="1">
        <v>0.86</v>
      </c>
      <c r="F69" s="68">
        <v>997610738</v>
      </c>
      <c r="G69" s="69">
        <f t="shared" ref="G69" si="16" xml:space="preserve"> E69 * F69</f>
        <v>857945234.67999995</v>
      </c>
    </row>
    <row r="70" spans="1:9" ht="17.25" thickBot="1" x14ac:dyDescent="0.35"/>
    <row r="71" spans="1:9" ht="17.25" thickBot="1" x14ac:dyDescent="0.35">
      <c r="B71" s="53" t="s">
        <v>117</v>
      </c>
      <c r="C71" s="70" t="s">
        <v>124</v>
      </c>
      <c r="D71" s="72" t="s">
        <v>125</v>
      </c>
      <c r="E71" s="33" t="s">
        <v>127</v>
      </c>
      <c r="F71" s="33" t="s">
        <v>126</v>
      </c>
      <c r="G71" s="71" t="s">
        <v>128</v>
      </c>
    </row>
    <row r="72" spans="1:9" x14ac:dyDescent="0.3">
      <c r="A72" s="74">
        <v>2021</v>
      </c>
      <c r="B72" s="52" t="s">
        <v>109</v>
      </c>
      <c r="C72" s="67">
        <v>4208</v>
      </c>
      <c r="D72" s="67">
        <v>24.3</v>
      </c>
      <c r="E72" s="67"/>
      <c r="F72" s="67"/>
      <c r="G72" s="67"/>
    </row>
    <row r="73" spans="1:9" x14ac:dyDescent="0.3">
      <c r="A73" s="74">
        <v>2022</v>
      </c>
      <c r="B73" s="52" t="s">
        <v>109</v>
      </c>
      <c r="C73" s="1">
        <v>3939</v>
      </c>
      <c r="D73" s="1">
        <v>13.33</v>
      </c>
      <c r="E73" s="41">
        <f t="shared" ref="E73:E80" si="17" xml:space="preserve"> C62 - C61</f>
        <v>-6.0917051792708605</v>
      </c>
      <c r="F73" s="1">
        <f t="shared" ref="F73:F78" si="18" xml:space="preserve"> (C73 - C72) / C72 * 100</f>
        <v>-6.3925855513307983</v>
      </c>
      <c r="G73" s="73">
        <f t="shared" ref="G73:G78" si="19" xml:space="preserve">  D72 * ((100 + E73) / 100) * ((100 + F73) / 100)</f>
        <v>21.360945796487893</v>
      </c>
    </row>
    <row r="74" spans="1:9" x14ac:dyDescent="0.3">
      <c r="A74" s="75" t="s">
        <v>157</v>
      </c>
      <c r="B74" s="52" t="s">
        <v>109</v>
      </c>
      <c r="C74" s="1">
        <v>4119</v>
      </c>
      <c r="D74" s="1">
        <v>8</v>
      </c>
      <c r="E74" s="41">
        <f t="shared" si="17"/>
        <v>-1.1141793739906234</v>
      </c>
      <c r="F74" s="1">
        <f t="shared" si="18"/>
        <v>4.5696877380045704</v>
      </c>
      <c r="G74" s="73">
        <f t="shared" si="19"/>
        <v>13.78383235964265</v>
      </c>
      <c r="H74" s="144">
        <f xml:space="preserve"> (G74 / G73)</f>
        <v>0.64528193137913159</v>
      </c>
      <c r="I74" s="120">
        <f t="shared" ref="I74:I79" si="20" xml:space="preserve"> - (1 - H74)</f>
        <v>-0.35471806862086841</v>
      </c>
    </row>
    <row r="75" spans="1:9" x14ac:dyDescent="0.3">
      <c r="A75" s="75" t="s">
        <v>168</v>
      </c>
      <c r="B75" s="52" t="s">
        <v>109</v>
      </c>
      <c r="C75" s="1">
        <v>4377</v>
      </c>
      <c r="D75" s="1">
        <v>7.54</v>
      </c>
      <c r="E75" s="41">
        <f t="shared" si="17"/>
        <v>-2.451551416546522</v>
      </c>
      <c r="F75" s="1">
        <f t="shared" si="18"/>
        <v>6.263656227239621</v>
      </c>
      <c r="G75" s="73">
        <f t="shared" si="19"/>
        <v>8.2926838446181268</v>
      </c>
      <c r="H75" s="144">
        <f t="shared" ref="H75:H79" si="21" xml:space="preserve"> G75 / G74</f>
        <v>0.60162396264322504</v>
      </c>
      <c r="I75" s="120">
        <f t="shared" si="20"/>
        <v>-0.39837603735677496</v>
      </c>
    </row>
    <row r="76" spans="1:9" x14ac:dyDescent="0.3">
      <c r="A76" s="75" t="s">
        <v>176</v>
      </c>
      <c r="B76" s="52" t="s">
        <v>109</v>
      </c>
      <c r="C76" s="1">
        <v>4415</v>
      </c>
      <c r="D76" s="1">
        <v>3.54</v>
      </c>
      <c r="E76" s="41">
        <f t="shared" si="17"/>
        <v>-2.6867651860032424</v>
      </c>
      <c r="F76" s="1">
        <f t="shared" si="18"/>
        <v>0.86817454877770162</v>
      </c>
      <c r="G76" s="73">
        <f t="shared" si="19"/>
        <v>7.4011194997638103</v>
      </c>
      <c r="H76" s="144">
        <f t="shared" si="21"/>
        <v>0.89248784090172051</v>
      </c>
      <c r="I76" s="120">
        <f t="shared" si="20"/>
        <v>-0.10751215909827949</v>
      </c>
    </row>
    <row r="77" spans="1:9" x14ac:dyDescent="0.3">
      <c r="A77" s="75" t="s">
        <v>181</v>
      </c>
      <c r="B77" s="52" t="s">
        <v>109</v>
      </c>
      <c r="C77" s="1">
        <v>5222</v>
      </c>
      <c r="D77" s="1">
        <v>2.54</v>
      </c>
      <c r="E77" s="41">
        <f t="shared" si="17"/>
        <v>-3.4929634817909161</v>
      </c>
      <c r="F77" s="1">
        <f t="shared" si="18"/>
        <v>18.278595696489241</v>
      </c>
      <c r="G77" s="73">
        <f t="shared" si="19"/>
        <v>4.0408097309880651</v>
      </c>
      <c r="H77" s="144">
        <f t="shared" si="21"/>
        <v>0.54597277224303953</v>
      </c>
      <c r="I77" s="120">
        <f t="shared" si="20"/>
        <v>-0.45402722775696047</v>
      </c>
    </row>
    <row r="78" spans="1:9" x14ac:dyDescent="0.3">
      <c r="A78" s="75" t="s">
        <v>186</v>
      </c>
      <c r="B78" s="52" t="s">
        <v>109</v>
      </c>
      <c r="C78" s="1">
        <v>6047</v>
      </c>
      <c r="D78" s="1">
        <v>2.2999999999999998</v>
      </c>
      <c r="E78" s="41">
        <f t="shared" si="17"/>
        <v>3.620613082920805</v>
      </c>
      <c r="F78" s="1">
        <f t="shared" si="18"/>
        <v>15.798544618919955</v>
      </c>
      <c r="G78" s="73">
        <f t="shared" si="19"/>
        <v>3.047775511630701</v>
      </c>
      <c r="H78" s="144">
        <f t="shared" si="21"/>
        <v>0.7542487062080635</v>
      </c>
      <c r="I78" s="120">
        <f t="shared" si="20"/>
        <v>-0.2457512937919365</v>
      </c>
    </row>
    <row r="79" spans="1:9" x14ac:dyDescent="0.3">
      <c r="A79" s="75" t="s">
        <v>209</v>
      </c>
      <c r="B79" s="52" t="s">
        <v>109</v>
      </c>
      <c r="C79" s="1">
        <v>5849</v>
      </c>
      <c r="D79" s="1">
        <v>1.44</v>
      </c>
      <c r="E79" s="41">
        <f t="shared" si="17"/>
        <v>-15.212209502141036</v>
      </c>
      <c r="F79" s="1">
        <f t="shared" ref="F79" si="22" xml:space="preserve"> (C79 - C78) / C78 * 100</f>
        <v>-3.2743509178104846</v>
      </c>
      <c r="G79" s="73">
        <f t="shared" ref="G79" si="23" xml:space="preserve">  D78 * ((100 + E79) / 100) * ((100 + F79) / 100)</f>
        <v>1.886265436134525</v>
      </c>
      <c r="H79" s="144">
        <f t="shared" si="21"/>
        <v>0.61889907210563733</v>
      </c>
      <c r="I79" s="120">
        <f t="shared" si="20"/>
        <v>-0.38110092789436267</v>
      </c>
    </row>
    <row r="80" spans="1:9" x14ac:dyDescent="0.3">
      <c r="A80" s="75" t="s">
        <v>212</v>
      </c>
      <c r="B80" s="52" t="s">
        <v>109</v>
      </c>
      <c r="C80" s="1">
        <v>5844</v>
      </c>
      <c r="D80" s="1">
        <v>0.86</v>
      </c>
      <c r="E80" s="41">
        <f t="shared" si="17"/>
        <v>3.0326280804541383</v>
      </c>
      <c r="F80" s="1">
        <f t="shared" ref="F80" si="24" xml:space="preserve"> (C80 - C79) / C79 * 100</f>
        <v>-8.5484698239015208E-2</v>
      </c>
      <c r="G80" s="73">
        <f t="shared" ref="G80" si="25" xml:space="preserve">  D79 * ((100 + E80) / 100) * ((100 + F80) / 100)</f>
        <v>1.4824015336692264</v>
      </c>
      <c r="H80" s="144">
        <f t="shared" ref="H80" si="26" xml:space="preserve"> G80 / G79</f>
        <v>0.78589232738477866</v>
      </c>
      <c r="I80" s="120">
        <f t="shared" ref="I80" si="27" xml:space="preserve"> - (1 - H80)</f>
        <v>-0.21410767261522134</v>
      </c>
    </row>
  </sheetData>
  <mergeCells count="22">
    <mergeCell ref="K30:K31"/>
    <mergeCell ref="J30:J31"/>
    <mergeCell ref="B30:B31"/>
    <mergeCell ref="C30:C31"/>
    <mergeCell ref="G30:G31"/>
    <mergeCell ref="H30:H31"/>
    <mergeCell ref="I30:I31"/>
    <mergeCell ref="D31:F31"/>
    <mergeCell ref="B27:B29"/>
    <mergeCell ref="C27:C29"/>
    <mergeCell ref="D28:D29"/>
    <mergeCell ref="E28:E29"/>
    <mergeCell ref="F28:F29"/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1:L38"/>
  <sheetViews>
    <sheetView topLeftCell="A122" workbookViewId="0">
      <selection activeCell="H131" sqref="H131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1" spans="1:12" x14ac:dyDescent="0.3">
      <c r="A1" t="s">
        <v>156</v>
      </c>
    </row>
    <row r="3" spans="1:12" x14ac:dyDescent="0.3">
      <c r="C3" t="s">
        <v>19</v>
      </c>
      <c r="D3" t="s">
        <v>20</v>
      </c>
      <c r="E3" t="s">
        <v>21</v>
      </c>
      <c r="I3" t="s">
        <v>129</v>
      </c>
      <c r="J3" t="s">
        <v>130</v>
      </c>
      <c r="K3" t="s">
        <v>131</v>
      </c>
      <c r="L3" t="s">
        <v>132</v>
      </c>
    </row>
    <row r="4" spans="1:12" x14ac:dyDescent="0.3">
      <c r="A4" s="10">
        <v>44837</v>
      </c>
      <c r="B4" t="s">
        <v>22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0">
        <v>44839</v>
      </c>
      <c r="B5" t="s">
        <v>23</v>
      </c>
      <c r="C5">
        <v>56.9</v>
      </c>
      <c r="D5">
        <v>56</v>
      </c>
      <c r="E5">
        <v>56.7</v>
      </c>
    </row>
    <row r="6" spans="1:12" x14ac:dyDescent="0.3">
      <c r="A6" s="10">
        <v>44846</v>
      </c>
      <c r="B6" t="s">
        <v>24</v>
      </c>
      <c r="C6">
        <v>8.6999999999999993</v>
      </c>
      <c r="D6">
        <v>8.4</v>
      </c>
      <c r="E6">
        <v>8.5</v>
      </c>
    </row>
    <row r="7" spans="1:12" x14ac:dyDescent="0.3">
      <c r="A7" s="10"/>
      <c r="B7" t="s">
        <v>35</v>
      </c>
      <c r="C7">
        <v>7.2</v>
      </c>
      <c r="D7">
        <v>7.3</v>
      </c>
      <c r="E7">
        <v>7.2</v>
      </c>
    </row>
    <row r="8" spans="1:12" x14ac:dyDescent="0.3">
      <c r="A8" s="10">
        <v>44847</v>
      </c>
      <c r="B8" t="s">
        <v>25</v>
      </c>
      <c r="C8">
        <v>8.3000000000000007</v>
      </c>
      <c r="D8">
        <v>8.1</v>
      </c>
    </row>
    <row r="9" spans="1:12" x14ac:dyDescent="0.3">
      <c r="B9" t="s">
        <v>26</v>
      </c>
      <c r="C9">
        <v>6.3</v>
      </c>
      <c r="D9">
        <v>6.5</v>
      </c>
    </row>
    <row r="10" spans="1:12" x14ac:dyDescent="0.3">
      <c r="B10" t="s">
        <v>27</v>
      </c>
      <c r="C10" s="11" t="s">
        <v>28</v>
      </c>
      <c r="D10" s="11" t="s">
        <v>29</v>
      </c>
    </row>
    <row r="11" spans="1:12" x14ac:dyDescent="0.3">
      <c r="A11" s="10">
        <v>44848</v>
      </c>
      <c r="B11" t="s">
        <v>30</v>
      </c>
    </row>
    <row r="12" spans="1:12" x14ac:dyDescent="0.3">
      <c r="A12" s="10">
        <v>44853</v>
      </c>
      <c r="B12" t="s">
        <v>31</v>
      </c>
    </row>
    <row r="13" spans="1:12" x14ac:dyDescent="0.3">
      <c r="A13" s="10"/>
      <c r="B13" t="s">
        <v>32</v>
      </c>
    </row>
    <row r="14" spans="1:12" x14ac:dyDescent="0.3">
      <c r="A14" s="10">
        <v>44854</v>
      </c>
      <c r="B14" t="s">
        <v>33</v>
      </c>
    </row>
    <row r="15" spans="1:12" x14ac:dyDescent="0.3">
      <c r="B15" t="s">
        <v>34</v>
      </c>
    </row>
    <row r="18" spans="1:11" ht="17.25" thickBot="1" x14ac:dyDescent="0.35">
      <c r="A18" t="s">
        <v>62</v>
      </c>
      <c r="B18" s="16">
        <v>46.2</v>
      </c>
      <c r="G18" t="s">
        <v>64</v>
      </c>
    </row>
    <row r="19" spans="1:11" x14ac:dyDescent="0.3">
      <c r="A19" t="s">
        <v>61</v>
      </c>
      <c r="B19" s="12" t="s">
        <v>65</v>
      </c>
      <c r="G19" t="s">
        <v>61</v>
      </c>
      <c r="K19" t="s">
        <v>63</v>
      </c>
    </row>
    <row r="22" spans="1:11" x14ac:dyDescent="0.3">
      <c r="A22" t="s">
        <v>139</v>
      </c>
      <c r="B22" t="s">
        <v>133</v>
      </c>
      <c r="C22" t="s">
        <v>134</v>
      </c>
      <c r="D22" t="s">
        <v>135</v>
      </c>
    </row>
    <row r="23" spans="1:11" x14ac:dyDescent="0.3">
      <c r="A23" t="s">
        <v>142</v>
      </c>
    </row>
    <row r="24" spans="1:11" x14ac:dyDescent="0.3">
      <c r="A24" t="s">
        <v>140</v>
      </c>
    </row>
    <row r="25" spans="1:11" x14ac:dyDescent="0.3">
      <c r="A25" t="s">
        <v>141</v>
      </c>
    </row>
    <row r="26" spans="1:11" x14ac:dyDescent="0.3">
      <c r="A26" t="s">
        <v>138</v>
      </c>
    </row>
    <row r="27" spans="1:11" x14ac:dyDescent="0.3">
      <c r="A27" t="s">
        <v>137</v>
      </c>
      <c r="B27" t="s">
        <v>136</v>
      </c>
    </row>
    <row r="29" spans="1:11" x14ac:dyDescent="0.3">
      <c r="A29" s="327" t="s">
        <v>143</v>
      </c>
      <c r="B29" s="327"/>
      <c r="C29" s="327"/>
    </row>
    <row r="30" spans="1:11" x14ac:dyDescent="0.3">
      <c r="A30" s="1">
        <v>1</v>
      </c>
      <c r="B30" s="327" t="s">
        <v>144</v>
      </c>
      <c r="C30" s="1" t="s">
        <v>145</v>
      </c>
    </row>
    <row r="31" spans="1:11" x14ac:dyDescent="0.3">
      <c r="A31" s="1">
        <v>2</v>
      </c>
      <c r="B31" s="327"/>
      <c r="C31" s="1" t="s">
        <v>146</v>
      </c>
    </row>
    <row r="32" spans="1:11" x14ac:dyDescent="0.3">
      <c r="A32" s="1">
        <v>3</v>
      </c>
      <c r="B32" s="327"/>
      <c r="C32" s="1" t="s">
        <v>147</v>
      </c>
    </row>
    <row r="33" spans="1:3" x14ac:dyDescent="0.3">
      <c r="A33" s="1">
        <v>4</v>
      </c>
      <c r="B33" s="327"/>
      <c r="C33" s="1" t="s">
        <v>148</v>
      </c>
    </row>
    <row r="34" spans="1:3" x14ac:dyDescent="0.3">
      <c r="A34" s="1">
        <v>5</v>
      </c>
      <c r="B34" s="327" t="s">
        <v>152</v>
      </c>
      <c r="C34" s="1" t="s">
        <v>149</v>
      </c>
    </row>
    <row r="35" spans="1:3" x14ac:dyDescent="0.3">
      <c r="A35" s="1">
        <v>6</v>
      </c>
      <c r="B35" s="327"/>
      <c r="C35" s="1" t="s">
        <v>150</v>
      </c>
    </row>
    <row r="36" spans="1:3" x14ac:dyDescent="0.3">
      <c r="A36" s="1">
        <v>7</v>
      </c>
      <c r="B36" s="327"/>
      <c r="C36" s="1" t="s">
        <v>151</v>
      </c>
    </row>
    <row r="37" spans="1:3" x14ac:dyDescent="0.3">
      <c r="A37" s="1">
        <v>8</v>
      </c>
      <c r="B37" s="327" t="s">
        <v>153</v>
      </c>
      <c r="C37" s="1" t="s">
        <v>154</v>
      </c>
    </row>
    <row r="38" spans="1:3" x14ac:dyDescent="0.3">
      <c r="A38" s="1">
        <v>9</v>
      </c>
      <c r="B38" s="327"/>
      <c r="C38" s="1" t="s">
        <v>155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335" t="s">
        <v>66</v>
      </c>
      <c r="C2" s="335"/>
      <c r="E2" s="335" t="s">
        <v>67</v>
      </c>
      <c r="F2" s="335"/>
      <c r="H2" s="335" t="s">
        <v>68</v>
      </c>
      <c r="I2" s="335"/>
      <c r="K2" s="335" t="s">
        <v>69</v>
      </c>
      <c r="L2" s="335"/>
      <c r="N2" s="335" t="s">
        <v>70</v>
      </c>
      <c r="O2" s="335"/>
    </row>
    <row r="3" spans="2:15" x14ac:dyDescent="0.3">
      <c r="B3" s="5" t="s">
        <v>13</v>
      </c>
      <c r="C3" s="5" t="s">
        <v>14</v>
      </c>
      <c r="E3" s="5" t="s">
        <v>13</v>
      </c>
      <c r="F3" s="5" t="s">
        <v>14</v>
      </c>
      <c r="H3" s="5" t="s">
        <v>13</v>
      </c>
      <c r="I3" s="5" t="s">
        <v>14</v>
      </c>
      <c r="K3" s="5" t="s">
        <v>13</v>
      </c>
      <c r="L3" s="5" t="s">
        <v>14</v>
      </c>
      <c r="N3" s="5" t="s">
        <v>13</v>
      </c>
      <c r="O3" s="5" t="s">
        <v>14</v>
      </c>
    </row>
    <row r="4" spans="2:15" x14ac:dyDescent="0.3">
      <c r="B4" s="4">
        <v>1</v>
      </c>
      <c r="C4" s="8">
        <v>17215</v>
      </c>
      <c r="E4" s="4">
        <v>1</v>
      </c>
      <c r="F4" s="8">
        <v>3020</v>
      </c>
      <c r="H4" s="4">
        <v>1</v>
      </c>
      <c r="I4" s="8">
        <v>0</v>
      </c>
      <c r="K4" s="4">
        <v>1</v>
      </c>
      <c r="L4" s="8">
        <v>39527</v>
      </c>
      <c r="N4" s="4">
        <v>1</v>
      </c>
      <c r="O4" s="8">
        <v>19976</v>
      </c>
    </row>
    <row r="5" spans="2:15" x14ac:dyDescent="0.3">
      <c r="B5" s="4">
        <v>2</v>
      </c>
      <c r="C5" s="8">
        <v>-77107</v>
      </c>
      <c r="E5" s="4">
        <v>2</v>
      </c>
      <c r="F5" s="8">
        <v>-3342</v>
      </c>
      <c r="H5" s="4">
        <v>2</v>
      </c>
      <c r="I5" s="8">
        <v>0</v>
      </c>
      <c r="K5" s="4">
        <v>2</v>
      </c>
      <c r="L5" s="8">
        <v>47051</v>
      </c>
      <c r="N5" s="4">
        <v>2</v>
      </c>
      <c r="O5" s="8">
        <v>35716</v>
      </c>
    </row>
    <row r="6" spans="2:15" x14ac:dyDescent="0.3">
      <c r="B6" s="4">
        <v>3</v>
      </c>
      <c r="C6" s="8">
        <v>77453</v>
      </c>
      <c r="E6" s="4">
        <v>3</v>
      </c>
      <c r="F6" s="9">
        <v>38771</v>
      </c>
      <c r="H6" s="4">
        <v>3</v>
      </c>
      <c r="I6" s="9">
        <v>0</v>
      </c>
      <c r="K6" s="4">
        <v>3</v>
      </c>
      <c r="L6" s="9">
        <v>-8281</v>
      </c>
      <c r="N6" s="4">
        <v>3</v>
      </c>
      <c r="O6" s="9">
        <v>64079</v>
      </c>
    </row>
    <row r="7" spans="2:15" x14ac:dyDescent="0.3">
      <c r="B7" s="4">
        <v>4</v>
      </c>
      <c r="C7" s="8">
        <v>16450</v>
      </c>
      <c r="E7" s="4">
        <v>4</v>
      </c>
      <c r="F7" s="8">
        <v>0</v>
      </c>
      <c r="H7" s="4">
        <v>4</v>
      </c>
      <c r="I7" s="8">
        <v>0</v>
      </c>
      <c r="K7" s="4">
        <v>4</v>
      </c>
      <c r="L7" s="8">
        <v>0</v>
      </c>
      <c r="N7" s="4">
        <v>4</v>
      </c>
      <c r="O7" s="8">
        <v>0</v>
      </c>
    </row>
    <row r="8" spans="2:15" x14ac:dyDescent="0.3">
      <c r="B8" s="4">
        <v>5</v>
      </c>
      <c r="C8" s="8">
        <v>6818</v>
      </c>
      <c r="E8" s="4">
        <v>5</v>
      </c>
      <c r="F8" s="8">
        <v>0</v>
      </c>
      <c r="H8" s="4">
        <v>5</v>
      </c>
      <c r="I8" s="8">
        <v>0</v>
      </c>
      <c r="K8" s="4">
        <v>5</v>
      </c>
      <c r="L8" s="8">
        <v>0</v>
      </c>
      <c r="N8" s="4">
        <v>5</v>
      </c>
      <c r="O8" s="8">
        <v>0</v>
      </c>
    </row>
    <row r="9" spans="2:15" x14ac:dyDescent="0.3">
      <c r="B9" s="4">
        <v>6</v>
      </c>
      <c r="C9" s="8">
        <v>24585</v>
      </c>
      <c r="E9" s="4">
        <v>6</v>
      </c>
      <c r="F9" s="9">
        <v>0</v>
      </c>
      <c r="H9" s="4">
        <v>6</v>
      </c>
      <c r="I9" s="9">
        <v>0</v>
      </c>
      <c r="K9" s="4">
        <v>6</v>
      </c>
      <c r="L9" s="9">
        <v>0</v>
      </c>
      <c r="N9" s="4">
        <v>6</v>
      </c>
      <c r="O9" s="9">
        <v>0</v>
      </c>
    </row>
    <row r="10" spans="2:15" x14ac:dyDescent="0.3">
      <c r="B10" s="4">
        <v>7</v>
      </c>
      <c r="C10" s="8">
        <v>0</v>
      </c>
      <c r="E10" s="4">
        <v>7</v>
      </c>
      <c r="F10" s="8">
        <v>0</v>
      </c>
      <c r="H10" s="4">
        <v>7</v>
      </c>
      <c r="I10" s="8">
        <v>0</v>
      </c>
      <c r="K10" s="4">
        <v>7</v>
      </c>
      <c r="L10" s="8">
        <v>0</v>
      </c>
      <c r="N10" s="4">
        <v>7</v>
      </c>
      <c r="O10" s="8">
        <v>0</v>
      </c>
    </row>
    <row r="11" spans="2:15" x14ac:dyDescent="0.3">
      <c r="B11" s="4">
        <v>8</v>
      </c>
      <c r="C11" s="8">
        <v>0</v>
      </c>
      <c r="E11" s="4">
        <v>8</v>
      </c>
      <c r="F11" s="8">
        <v>0</v>
      </c>
      <c r="H11" s="4">
        <v>8</v>
      </c>
      <c r="I11" s="8">
        <v>0</v>
      </c>
      <c r="K11" s="4">
        <v>8</v>
      </c>
      <c r="L11" s="8">
        <v>0</v>
      </c>
      <c r="N11" s="4">
        <v>8</v>
      </c>
      <c r="O11" s="8">
        <v>0</v>
      </c>
    </row>
    <row r="12" spans="2:15" x14ac:dyDescent="0.3">
      <c r="B12" s="7">
        <v>9</v>
      </c>
      <c r="C12" s="9">
        <v>0</v>
      </c>
      <c r="E12" s="7">
        <v>9</v>
      </c>
      <c r="F12" s="9">
        <v>0</v>
      </c>
      <c r="H12" s="7">
        <v>9</v>
      </c>
      <c r="I12" s="9">
        <v>0</v>
      </c>
      <c r="K12" s="7">
        <v>9</v>
      </c>
      <c r="L12" s="9">
        <v>0</v>
      </c>
      <c r="N12" s="7">
        <v>9</v>
      </c>
      <c r="O12" s="9">
        <v>0</v>
      </c>
    </row>
    <row r="13" spans="2:15" x14ac:dyDescent="0.3">
      <c r="B13" s="4">
        <v>10</v>
      </c>
      <c r="C13" s="8">
        <v>0</v>
      </c>
      <c r="E13" s="4">
        <v>10</v>
      </c>
      <c r="F13" s="8">
        <v>0</v>
      </c>
      <c r="H13" s="4">
        <v>10</v>
      </c>
      <c r="I13" s="8">
        <v>0</v>
      </c>
      <c r="K13" s="4">
        <v>10</v>
      </c>
      <c r="L13" s="8">
        <v>0</v>
      </c>
      <c r="N13" s="4">
        <v>10</v>
      </c>
      <c r="O13" s="8">
        <v>0</v>
      </c>
    </row>
    <row r="14" spans="2:15" x14ac:dyDescent="0.3">
      <c r="B14" s="5" t="s">
        <v>15</v>
      </c>
      <c r="C14" s="6">
        <f>SUM(C4:C13)</f>
        <v>65414</v>
      </c>
      <c r="E14" s="5" t="s">
        <v>15</v>
      </c>
      <c r="F14" s="6">
        <f>SUM(F4:F13)</f>
        <v>38449</v>
      </c>
      <c r="H14" s="5" t="s">
        <v>15</v>
      </c>
      <c r="I14" s="6">
        <f>SUM(I4:I13)</f>
        <v>0</v>
      </c>
      <c r="K14" s="5" t="s">
        <v>15</v>
      </c>
      <c r="L14" s="6">
        <f>SUM(L4:L13)</f>
        <v>78297</v>
      </c>
      <c r="N14" s="5" t="s">
        <v>15</v>
      </c>
      <c r="O14" s="6">
        <f>SUM(O4:O13)</f>
        <v>119771</v>
      </c>
    </row>
    <row r="15" spans="2:15" x14ac:dyDescent="0.3">
      <c r="B15" s="5" t="s">
        <v>16</v>
      </c>
      <c r="C15" s="6">
        <v>1061029</v>
      </c>
      <c r="E15" s="5" t="s">
        <v>10</v>
      </c>
      <c r="F15" s="6">
        <v>1126443</v>
      </c>
      <c r="H15" s="5" t="s">
        <v>10</v>
      </c>
      <c r="I15" s="6">
        <v>1200000</v>
      </c>
      <c r="K15" s="5" t="s">
        <v>10</v>
      </c>
      <c r="L15" s="6">
        <v>1200000</v>
      </c>
      <c r="N15" s="5" t="s">
        <v>10</v>
      </c>
      <c r="O15" s="6">
        <v>1223000</v>
      </c>
    </row>
    <row r="16" spans="2:15" x14ac:dyDescent="0.3">
      <c r="B16" s="5" t="s">
        <v>17</v>
      </c>
      <c r="C16" s="4">
        <f xml:space="preserve">  ROUND( (C14 / C15) * 100, 2 )</f>
        <v>6.17</v>
      </c>
      <c r="E16" s="5" t="s">
        <v>17</v>
      </c>
      <c r="F16" s="4">
        <f xml:space="preserve">  ROUND( (F14 / F15) * 100, 2 )</f>
        <v>3.41</v>
      </c>
      <c r="H16" s="5" t="s">
        <v>17</v>
      </c>
      <c r="I16" s="4">
        <f xml:space="preserve">  ROUND( (I14 / I15) * 100, 2 )</f>
        <v>0</v>
      </c>
      <c r="K16" s="5" t="s">
        <v>17</v>
      </c>
      <c r="L16" s="4">
        <f xml:space="preserve">  ROUND( (L14 / L15) * 100, 2 )</f>
        <v>6.52</v>
      </c>
      <c r="N16" s="5" t="s">
        <v>17</v>
      </c>
      <c r="O16" s="4">
        <f xml:space="preserve">  ROUND( (O14 / O15) * 100, 2 )</f>
        <v>9.7899999999999991</v>
      </c>
    </row>
    <row r="17" spans="2:15" x14ac:dyDescent="0.3">
      <c r="B17" s="5" t="s">
        <v>18</v>
      </c>
      <c r="C17" s="2">
        <f xml:space="preserve"> C15 + C14</f>
        <v>1126443</v>
      </c>
      <c r="E17" s="5" t="s">
        <v>18</v>
      </c>
      <c r="F17" s="2">
        <f xml:space="preserve"> F15 + F14</f>
        <v>1164892</v>
      </c>
      <c r="H17" s="5" t="s">
        <v>18</v>
      </c>
      <c r="I17" s="2">
        <f xml:space="preserve"> I15 + I14</f>
        <v>1200000</v>
      </c>
      <c r="K17" s="5" t="s">
        <v>18</v>
      </c>
      <c r="L17" s="2">
        <f xml:space="preserve"> L15 + L14</f>
        <v>1278297</v>
      </c>
      <c r="N17" s="5" t="s">
        <v>18</v>
      </c>
      <c r="O17" s="2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B792A-F8AE-4ADB-8633-56EAA3B4A2A0}">
  <dimension ref="A1:K25"/>
  <sheetViews>
    <sheetView workbookViewId="0">
      <selection activeCell="N4" sqref="N4"/>
    </sheetView>
  </sheetViews>
  <sheetFormatPr defaultRowHeight="16.5" x14ac:dyDescent="0.3"/>
  <cols>
    <col min="1" max="1" width="8.375" bestFit="1" customWidth="1"/>
    <col min="2" max="2" width="17.875" bestFit="1" customWidth="1"/>
    <col min="3" max="3" width="22" bestFit="1" customWidth="1"/>
    <col min="5" max="5" width="8.5" bestFit="1" customWidth="1"/>
    <col min="6" max="6" width="15.125" bestFit="1" customWidth="1"/>
    <col min="7" max="7" width="12.5" customWidth="1"/>
    <col min="8" max="8" width="11" bestFit="1" customWidth="1"/>
  </cols>
  <sheetData>
    <row r="1" spans="1:11" s="241" customFormat="1" x14ac:dyDescent="0.3">
      <c r="A1" s="246" t="s">
        <v>195</v>
      </c>
      <c r="B1" s="241" t="s">
        <v>197</v>
      </c>
      <c r="C1" s="241" t="s">
        <v>196</v>
      </c>
      <c r="D1" s="241" t="s">
        <v>198</v>
      </c>
      <c r="E1" s="241" t="s">
        <v>199</v>
      </c>
      <c r="F1" s="241" t="s">
        <v>201</v>
      </c>
      <c r="G1" s="241" t="s">
        <v>202</v>
      </c>
      <c r="H1" s="241" t="s">
        <v>203</v>
      </c>
      <c r="I1" s="241" t="s">
        <v>204</v>
      </c>
      <c r="J1" s="241" t="s">
        <v>206</v>
      </c>
      <c r="K1" s="241" t="s">
        <v>207</v>
      </c>
    </row>
    <row r="2" spans="1:11" x14ac:dyDescent="0.3">
      <c r="A2" s="74" t="s">
        <v>12</v>
      </c>
      <c r="B2" s="244">
        <v>85000</v>
      </c>
      <c r="C2" s="247">
        <v>10000</v>
      </c>
      <c r="D2" s="247">
        <v>80000</v>
      </c>
      <c r="E2" s="247">
        <v>40000</v>
      </c>
      <c r="F2" s="3" t="s">
        <v>200</v>
      </c>
      <c r="G2" s="247">
        <v>40000</v>
      </c>
      <c r="H2" s="3" t="s">
        <v>205</v>
      </c>
      <c r="I2" s="3" t="s">
        <v>205</v>
      </c>
      <c r="J2" s="3">
        <v>80000</v>
      </c>
      <c r="K2">
        <v>3000</v>
      </c>
    </row>
    <row r="3" spans="1:11" x14ac:dyDescent="0.3">
      <c r="C3" s="245">
        <f xml:space="preserve"> B2 + C2</f>
        <v>95000</v>
      </c>
      <c r="D3" s="245">
        <f xml:space="preserve"> B2 + 80000</f>
        <v>165000</v>
      </c>
      <c r="E3" s="245">
        <f xml:space="preserve"> B2 + 40000</f>
        <v>125000</v>
      </c>
      <c r="G3" s="245">
        <f xml:space="preserve"> B2 + 40000</f>
        <v>125000</v>
      </c>
      <c r="J3" s="245">
        <f xml:space="preserve"> B2 + 80000</f>
        <v>165000</v>
      </c>
      <c r="K3" s="245">
        <f xml:space="preserve"> B2 + 3000</f>
        <v>88000</v>
      </c>
    </row>
    <row r="4" spans="1:11" x14ac:dyDescent="0.3">
      <c r="C4" s="245">
        <f xml:space="preserve"> C3 + 10000</f>
        <v>105000</v>
      </c>
      <c r="D4" s="245">
        <f xml:space="preserve"> D3 + 80000</f>
        <v>245000</v>
      </c>
      <c r="E4" s="245">
        <f xml:space="preserve"> E3 + 40000</f>
        <v>165000</v>
      </c>
      <c r="G4" s="245">
        <f xml:space="preserve"> G3 + 40000</f>
        <v>165000</v>
      </c>
      <c r="J4" s="245">
        <f xml:space="preserve"> J3 + 80000</f>
        <v>245000</v>
      </c>
      <c r="K4" s="245">
        <f xml:space="preserve"> K3 + 3000</f>
        <v>91000</v>
      </c>
    </row>
    <row r="5" spans="1:11" x14ac:dyDescent="0.3">
      <c r="C5" s="245">
        <f xml:space="preserve"> C4 + 10000</f>
        <v>115000</v>
      </c>
      <c r="K5" s="245">
        <f xml:space="preserve"> K4 + 3000</f>
        <v>94000</v>
      </c>
    </row>
    <row r="6" spans="1:11" x14ac:dyDescent="0.3">
      <c r="C6" s="245">
        <f t="shared" ref="C6:C12" si="0" xml:space="preserve"> C5 + 10000</f>
        <v>125000</v>
      </c>
      <c r="K6" s="245">
        <f t="shared" ref="K6:K20" si="1" xml:space="preserve"> K5 + 3000</f>
        <v>97000</v>
      </c>
    </row>
    <row r="7" spans="1:11" x14ac:dyDescent="0.3">
      <c r="C7" s="245">
        <f t="shared" si="0"/>
        <v>135000</v>
      </c>
      <c r="K7" s="245">
        <f t="shared" si="1"/>
        <v>100000</v>
      </c>
    </row>
    <row r="8" spans="1:11" x14ac:dyDescent="0.3">
      <c r="C8" s="245">
        <f t="shared" si="0"/>
        <v>145000</v>
      </c>
      <c r="K8" s="245">
        <f t="shared" si="1"/>
        <v>103000</v>
      </c>
    </row>
    <row r="9" spans="1:11" x14ac:dyDescent="0.3">
      <c r="C9" s="245">
        <f t="shared" si="0"/>
        <v>155000</v>
      </c>
      <c r="K9" s="245">
        <f t="shared" si="1"/>
        <v>106000</v>
      </c>
    </row>
    <row r="10" spans="1:11" x14ac:dyDescent="0.3">
      <c r="C10" s="245">
        <f t="shared" si="0"/>
        <v>165000</v>
      </c>
      <c r="K10" s="245">
        <f t="shared" si="1"/>
        <v>109000</v>
      </c>
    </row>
    <row r="11" spans="1:11" x14ac:dyDescent="0.3">
      <c r="C11" s="245">
        <f t="shared" si="0"/>
        <v>175000</v>
      </c>
      <c r="K11" s="245">
        <f t="shared" si="1"/>
        <v>112000</v>
      </c>
    </row>
    <row r="12" spans="1:11" x14ac:dyDescent="0.3">
      <c r="C12" s="245">
        <f t="shared" si="0"/>
        <v>185000</v>
      </c>
      <c r="K12" s="245">
        <f t="shared" si="1"/>
        <v>115000</v>
      </c>
    </row>
    <row r="13" spans="1:11" x14ac:dyDescent="0.3">
      <c r="C13" s="245">
        <f xml:space="preserve"> C12 + 10000</f>
        <v>195000</v>
      </c>
      <c r="K13" s="245">
        <f t="shared" si="1"/>
        <v>118000</v>
      </c>
    </row>
    <row r="14" spans="1:11" x14ac:dyDescent="0.3">
      <c r="C14" s="245">
        <f xml:space="preserve"> C13 + 10000</f>
        <v>205000</v>
      </c>
      <c r="K14" s="245">
        <f t="shared" si="1"/>
        <v>121000</v>
      </c>
    </row>
    <row r="15" spans="1:11" x14ac:dyDescent="0.3">
      <c r="K15" s="245">
        <f t="shared" si="1"/>
        <v>124000</v>
      </c>
    </row>
    <row r="16" spans="1:11" x14ac:dyDescent="0.3">
      <c r="K16" s="245">
        <f t="shared" si="1"/>
        <v>127000</v>
      </c>
    </row>
    <row r="17" spans="11:11" x14ac:dyDescent="0.3">
      <c r="K17" s="245">
        <f t="shared" si="1"/>
        <v>130000</v>
      </c>
    </row>
    <row r="18" spans="11:11" x14ac:dyDescent="0.3">
      <c r="K18" s="245">
        <f t="shared" si="1"/>
        <v>133000</v>
      </c>
    </row>
    <row r="19" spans="11:11" x14ac:dyDescent="0.3">
      <c r="K19" s="245">
        <f t="shared" si="1"/>
        <v>136000</v>
      </c>
    </row>
    <row r="20" spans="11:11" x14ac:dyDescent="0.3">
      <c r="K20" s="245">
        <f t="shared" si="1"/>
        <v>139000</v>
      </c>
    </row>
    <row r="21" spans="11:11" x14ac:dyDescent="0.3">
      <c r="K21" s="245">
        <f xml:space="preserve"> K20 + 3000</f>
        <v>142000</v>
      </c>
    </row>
    <row r="22" spans="11:11" x14ac:dyDescent="0.3">
      <c r="K22" s="245">
        <f xml:space="preserve"> K21 + 3000</f>
        <v>145000</v>
      </c>
    </row>
    <row r="23" spans="11:11" x14ac:dyDescent="0.3">
      <c r="K23" s="245">
        <f t="shared" ref="K23:K25" si="2" xml:space="preserve"> K22 + 3000</f>
        <v>148000</v>
      </c>
    </row>
    <row r="24" spans="11:11" x14ac:dyDescent="0.3">
      <c r="K24" s="245">
        <f t="shared" si="2"/>
        <v>151000</v>
      </c>
    </row>
    <row r="25" spans="11:11" x14ac:dyDescent="0.3">
      <c r="K25" s="245">
        <f t="shared" si="2"/>
        <v>154000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0 6 8 f b f - 0 3 1 c - 4 d 7 d - 9 5 f 1 - 7 c 8 c 5 d 1 d 0 8 2 7 "   x m l n s = " h t t p : / / s c h e m a s . m i c r o s o f t . c o m / D a t a M a s h u p " > A A A A A E E F A A B Q S w M E F A A C A A g A u l R d W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u l R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p U X V h A l 3 Q v O A I A A G k M A A A T A B w A R m 9 y b X V s Y X M v U 2 V j d G l v b j E u b S C i G A A o o B Q A A A A A A A A A A A A A A A A A A A A A A A A A A A D t l V 2 L 2 k A U h u 8 F / 8 O Q h a J g J x + W p W w R u y i U h a V Y 4 t K W 0 o u o o 5 H G G Z u M t S J C L r J Q U K g X L f 1 Y L d L 2 Z u + k W c o W 2 j + U y f 6 H T o x i F 3 d h E d 0 W a W 5 O e M / J H O Z 9 z k w s V K R V g o E a R v l O N B K N W L p m o h L w h z + Z 6 / j d g e + c g h Q w E I 1 G A H / 8 o z 5 z A + U h K s C c V k G x 4 C V D M E W Y W j F B p 7 R u 7 Y h i u Y o 1 X E Q Q a y + Q C Y u k J j a J a Z R E q 2 p N x b T V q h W I k V J z e 3 f V 3 C M h H k + E L b I a 1 W T e I W z V l j t P A u X p N L s l M N f 2 v v 1 i / Q H w B 6 O z 9 2 8 F X p v X C g a C e V P D V p m Y t Q w x G j W c b 9 W R F Z s s l 2 i 3 B b 4 l / 1 N f S A D K d V D S K O o k A J c / H 3 p j e y b j R q 2 A z D A x c g I X e j b 7 4 V y U 7 g 4 u / s 5 z R 5 c t a C 8 m O v F o p I o v 3 d u f T L a E y T a B J C x D p N l s w g o h F e 5 T g G M K S H z e I B S J u f 2 D e z v 3 d 9 X s 7 o O 0 b q S e k f M 4 p D k O a Q U 4 p A B H 7 E D N x m d m U P S S T j x S J C X J D h 2 w 7 R + 9 q e I y A W c f e 5 7 r A I V 9 d 7 z T M Q j y g C N j X 3 o B z 6 E N l C Q E 2 x A k J e g P T 9 j x e C L c h k D m w r s + Y O 4 J B 8 L 6 x 6 z 7 i n W / w o W O H D N v G G L m 1 T Z 7 / e F c z R K A 5 G s H t I 7 z s s G A l G s H p M w B K S s A p G w 4 I A n E l P h S k G Y / n p a m E z L h N O e T r q e C c A N S y y y m e O V N H v X 1 X 3 W h K C 8 Y F + r K C s x K / j f r q n f z X 5 u s d d z R 6 5 + s W 6 s 1 a 3 8 v 8 5 i b F Y Q N n K w V H 8 O r m v W v T 9 Z v U E s B A i 0 A F A A C A A g A u l R d W O w F C 2 K n A A A A + Q A A A B I A A A A A A A A A A A A A A A A A A A A A A E N v b m Z p Z y 9 Q Y W N r Y W d l L n h t b F B L A Q I t A B Q A A g A I A L p U X V g P y u m r p A A A A O k A A A A T A A A A A A A A A A A A A A A A A P M A A A B b Q 2 9 u d G V u d F 9 U e X B l c 1 0 u e G 1 s U E s B A i 0 A F A A C A A g A u l R d W E C X d C 8 4 A g A A a Q w A A B M A A A A A A A A A A A A A A A A A 5 A E A A E Z v c m 1 1 b G F z L 1 N l Y 3 R p b 2 4 x L m 1 Q S w U G A A A A A A M A A w D C A A A A a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F A A A A A A A A A i U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t g 5 D s g 4 k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h U M D c 6 M T c 6 M j k u M z k 3 M z M y N l o i I C 8 + P E V u d H J 5 I F R 5 c G U 9 I k Z p b G x D b 2 x 1 b W 5 U e X B l c y I g V m F s d W U 9 I n N D U V V G Q l F V R i I g L z 4 8 R W 5 0 c n k g V H l w Z T 0 i R m l s b E N v b H V t b k 5 h b W V z I i B W Y W x 1 Z T 0 i c 1 s m c X V v d D v s n b z s n p A m c X V v d D s s J n F 1 b 3 Q 7 7 K K F 6 r C A J n F 1 b 3 Q 7 L C Z x d W 9 0 O + y g h O y d v O u M g O u 5 h C Z x d W 9 0 O y w m c X V v d D v s i 5 z q s I A m c X V v d D s s J n F 1 b 3 Q 7 6 r O g 6 r C A J n F 1 b 3 Q 7 L C Z x d W 9 0 O + y g g O q w g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S Z W x h d G l v b n N o a X B J b m Z v J n F 1 b 3 Q 7 O l t d f S I g L z 4 8 R W 5 0 c n k g V H l w Z T 0 i U X V l c n l J R C I g V m F s d W U 9 I n N i M 2 F m O T V j Z i 0 z O W J l L T Q 4 O W E t Y j A 1 Y S 1 i Z T U z Z D h h N D N j Y j I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x N y 4 z N z g 4 M T A 0 W i I g L z 4 8 R W 5 0 c n k g V H l w Z T 0 i R m l s b E N v b H V t b l R 5 c G V z I i B W Y W x 1 Z T 0 i c 0 J n W U c i I C 8 + P E V u d H J 5 I F R 5 c G U 9 I k Z p b G x D b 2 x 1 b W 5 O Y W 1 l c y I g V m F s d W U 9 I n N b J n F 1 b 3 Q 7 K F V T R C k m c X V v d D s s J n F 1 b 3 Q 7 M j A y M + u F h C A 2 7 J u U a W 5 m b y D t m o z q s 4 Q g M u u 2 h O q 4 s C A y M D I z I O y i h e u j j O y d v O y d g C A y M y 4 g N i 4 g M z A u 7 J 2 0 6 6 m w I D I z L i A 4 L i A x M C 7 s l 5 A g 6 7 O 0 6 r O g 6 5 C p 6 4 u I 6 4 u k L i Z x d W 9 0 O y w m c X V v d D v s o I T r h Y T r j I D r u Y Q g 6 7 O A 6 4 + Z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+ u z g O q y v e u Q n C D s n K D t m J U u e y h V U 0 Q p L D B 9 J n F 1 b 3 Q 7 L C Z x d W 9 0 O 1 N l Y 3 R p b 2 4 x L 1 R h Y m x l I D A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w L + u z g O q y v e u Q n C D s n K D t m J U u e + y g h O u F h O u M g O u 5 h C D r s 4 D r j 5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C / r s 4 D q s r 3 r k J w g 7 J y g 7 Z i V L n s o V V N E K S w w f S Z x d W 9 0 O y w m c X V v d D t T Z W N 0 a W 9 u M S 9 U Y W J s Z S A w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C / r s 4 D q s r 3 r k J w g 7 J y g 7 Z i V L n v s o I T r h Y T r j I D r u Y Q g 6 7 O A 6 4 +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E 3 L j Q 2 O D g x O D h a I i A v P j x F b n R y e S B U e X B l P S J G a W x s Q 2 9 s d W 1 u V H l w Z X M i I F Z h b H V l P S J z Q m d Z R y I g L z 4 8 R W 5 0 c n k g V H l w Z T 0 i R m l s b E N v b H V t b k 5 h b W V z I i B W Y W x 1 Z T 0 i c 1 s m c X V v d D s o V V N E K S Z x d W 9 0 O y w m c X V v d D s y M D I z 6 4 W E I D b s m 5 R p b m Z v I O 2 a j O q z h C A y 6 7 a E 6 r i w I D I w M j M g 7 K K F 6 6 O M 7 J 2 8 7 J 2 A I D I z L i A 2 L i A z M C 7 s n b T r q b A g M j M u I D g u I D E w L u y X k C D r s 7 T q s 6 D r k K n r i 4 j r i 6 Q u J n F 1 b 3 Q 7 L C Z x d W 9 0 O + y g h O u F h O u M g O u 5 h C D r s 4 D r j 5 k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6 7 O A 6 r K 9 6 5 C c I O y c o O 2 Y l S 5 7 K F V T R C k s M H 0 m c X V v d D s s J n F 1 b 3 Q 7 U 2 V j d G l v b j E v V G F i b G U g M S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E v 6 7 O A 6 r K 9 6 5 C c I O y c o O 2 Y l S 5 7 7 K C E 6 4 W E 6 4 y A 6 7 m E I O u z g O u P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x L + u z g O q y v e u Q n C D s n K D t m J U u e y h V U 0 Q p L D B 9 J n F 1 b 3 Q 7 L C Z x d W 9 0 O 1 N l Y 3 R p b 2 4 x L 1 R h Y m x l I D E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x L + u z g O q y v e u Q n C D s n K D t m J U u e + y g h O u F h O u M g O u 5 h C D r s 4 D r j 5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D E 6 M T M 6 M T c u M j c 3 O D E w N 1 o i I C 8 + P E V u d H J 5 I F R 5 c G U 9 I k Z p b G x D b 2 x 1 b W 5 U e X B l c y I g V m F s d W U 9 I n N C Z 1 l H I i A v P j x F b n R y e S B U e X B l P S J G a W x s Q 2 9 s d W 1 u T m F t Z X M i I F Z h b H V l P S J z W y Z x d W 9 0 O y h V U 0 Q p J n F 1 b 3 Q 7 L C Z x d W 9 0 O z I w M j P r h Y Q g N u y b l G l u Z m 8 g 7 Z q M 6 r O E I D L r t o T q u L A g M j A y M y D s o o X r o 4 z s n b z s n Y A g M j M u I D Y u I D M w L u y d t O u p s C A y M y 4 g O C 4 g M T A u 7 J e Q I O u z t O q z o O u Q q e u L i O u L p C 4 m c X V v d D s s J n F 1 b 3 Q 7 7 K C E 6 4 W E 6 4 y A 6 7 m E I O u z g O u P m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/ r s 4 D q s r 3 r k J w g 7 J y g 7 Z i V L n s o V V N E K S w w f S Z x d W 9 0 O y w m c X V v d D t T Z W N 0 a W 9 u M S 9 U Y W J s Z S A y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i / r s 4 D q s r 3 r k J w g 7 J y g 7 Z i V L n v s o I T r h Y T r j I D r u Y Q g 6 7 O A 6 4 +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I v 6 7 O A 6 r K 9 6 5 C c I O y c o O 2 Y l S 5 7 K F V T R C k s M H 0 m c X V v d D s s J n F 1 b 3 Q 7 U 2 V j d G l v b j E v V G F i b G U g M i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I v 6 7 O A 6 r K 9 6 5 C c I O y c o O 2 Y l S 5 7 7 K C E 6 4 W E 6 4 y A 6 7 m E I O u z g O u P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A 3 O j M 1 O j M 0 L j g 5 M D k w M D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/ r s 4 D q s r 3 r k J w g 7 J y g 7 Z i V L n t D b 2 x 1 b W 4 x L D B 9 J n F 1 b 3 Q 7 L C Z x d W 9 0 O 1 N l Y 3 R p b 2 4 x L 1 R h Y m x l I D A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i k v 6 7 O A 6 r K 9 6 5 C c I O y c o O 2 Y l S 5 7 Q 2 9 s d W 1 u M S w w f S Z x d W 9 0 O y w m c X V v d D t T Z W N 0 a W 9 u M S 9 U Y W J s Z S A w I C g y K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z N i 4 4 M D E 3 M D Q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d W 5 0 I i B W Y W x 1 Z T 0 i b D g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2 Y 2 O G F h Z T Q 3 L T h l N G E t N D I 5 Z S 1 i Y j J j L T U 5 Z j k z Z T g 1 N T E 3 Y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6 7 O A 6 r K 9 6 5 C c I O y c o O 2 Y l S 5 7 Q 2 9 s d W 1 u M S w w f S Z x d W 9 0 O y w m c X V v d D t T Z W N 0 a W 9 u M S 9 U Y W J s Z S A w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M p L + u z g O q y v e u Q n C D s n K D t m J U u e 0 N v b H V t b j E s M H 0 m c X V v d D s s J n F 1 b 3 Q 7 U 2 V j d G l v b j E v V G F i b G U g M C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M 2 L j c x N D U x M T V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R d W V y e U l E I i B W Y W x 1 Z T 0 i c z A w N j U 5 M z d k L W E w Y W Q t N D V j O C 1 i Y m V l L T A 2 M W J m M T c 1 N 2 I 3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i k v 6 7 O A 6 r K 9 6 5 C c I O y c o O 2 Y l S 5 7 Q 2 9 s d W 1 u M S w w f S Z x d W 9 0 O y w m c X V v d D t T Z W N 0 a W 9 u M S 9 U Y W J s Z S A x I C g y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I p L + u z g O q y v e u Q n C D s n K D t m J U u e 0 N v b H V t b j E s M H 0 m c X V v d D s s J n F 1 b 3 Q 7 U 2 V j d G l v b j E v V G F i b G U g M S A o M i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O C 4 w M j Y 5 O D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U 4 Z j l h N j g z L W U 5 M D g t N D I 1 Z C 1 h N z N j L T g x M j I 0 N T U w O W Y 2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C k v 6 7 O A 6 r K 9 6 5 C c I O y c o O 2 Y l S 5 7 Q 2 9 s d W 1 u M S w w f S Z x d W 9 0 O y w m c X V v d D t T Z W N 0 a W 9 u M S 9 U Y W J s Z S A w I C g 0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Q p L + u z g O q y v e u Q n C D s n K D t m J U u e 0 N v b H V t b j E s M H 0 m c X V v d D s s J n F 1 b 3 Q 7 U 2 V j d G l v b j E v V G F i b G U g M C A o N C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Q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N y 4 5 O D I 5 N z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Q 0 M D Z m Y j U y L W M x O W I t N D J i Z S 1 h O W F l L W Z h Y 2 N h M 2 E 4 O D h j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y k v 6 7 O A 6 r K 9 6 5 C c I O y c o O 2 Y l S 5 7 Q 2 9 s d W 1 u M S w w f S Z x d W 9 0 O y w m c X V v d D t T Z W N 0 a W 9 u M S 9 U Y W J s Z S A x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M p L + u z g O q y v e u Q n C D s n K D t m J U u e 0 N v b H V t b j E s M H 0 m c X V v d D s s J n F 1 b 3 Q 7 U 2 V j d G l v b j E v V G F i b G U g M S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9 o V o v J m Z E C I D L y / r I F r I g A A A A A C A A A A A A A D Z g A A w A A A A B A A A A D 7 R G M b C d D Q i P 9 V O p i A Q p u h A A A A A A S A A A C g A A A A E A A A A E r k 3 w 3 2 D 9 t C 1 e Q v d T Y 7 U V 5 Q A A A A y A s h P Y S 7 O e 6 E c B f 3 c L 9 v l G 2 N i w o Q u t s k l b s l 8 6 U 5 P f j d 4 b z l q P C o v 7 / A 4 a 8 5 H + 1 l l 0 T n F C g B n u + e b V 3 x b w 7 k E e z 3 D a 0 f N K d b q 9 6 / l k 1 A Y D 0 U A A A A e N M K 8 A 0 F m F o 1 s K F S g j 6 7 V D i L Q h o = < / D a t a M a s h u p > 
</file>

<file path=customXml/itemProps1.xml><?xml version="1.0" encoding="utf-8"?>
<ds:datastoreItem xmlns:ds="http://schemas.openxmlformats.org/officeDocument/2006/customXml" ds:itemID="{B80C5AAF-38D7-4F3B-B615-26C42851F2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시나리오</vt:lpstr>
      <vt:lpstr>생활패턴</vt:lpstr>
      <vt:lpstr>포트폴리오＿월 자금 흐름 관리</vt:lpstr>
      <vt:lpstr>단타일지</vt:lpstr>
      <vt:lpstr>플러그파워</vt:lpstr>
      <vt:lpstr>금융사이클</vt:lpstr>
      <vt:lpstr>2022단타일지</vt:lpstr>
      <vt:lpstr>차량관리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송병근/HR서비스팀-협력사/KBN</cp:lastModifiedBy>
  <dcterms:created xsi:type="dcterms:W3CDTF">2022-01-13T04:25:16Z</dcterms:created>
  <dcterms:modified xsi:type="dcterms:W3CDTF">2025-06-20T05:08:54Z</dcterms:modified>
</cp:coreProperties>
</file>