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6137BBD-CA5F-4788-B4A1-C69DF8C3A69F}" xr6:coauthVersionLast="36" xr6:coauthVersionMax="47" xr10:uidLastSave="{00000000-0000-0000-0000-000000000000}"/>
  <bookViews>
    <workbookView xWindow="735" yWindow="735" windowWidth="21600" windowHeight="11385" activeTab="1" xr2:uid="{00000000-000D-0000-FFFF-FFFF00000000}"/>
  </bookViews>
  <sheets>
    <sheet name="시나리오_old" sheetId="7" r:id="rId1"/>
    <sheet name="시나리오" sheetId="4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3" i="4"/>
  <c r="E12" i="4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s="1"/>
  <c r="L14" i="4" s="1"/>
  <c r="N15" i="4" s="1"/>
  <c r="P15" i="4" l="1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H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2" i="4" l="1"/>
  <c r="H52" i="4" s="1"/>
  <c r="J51" i="4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/>
  <c r="D68" i="4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H63" i="4" l="1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/>
  <c r="D81" i="4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H75" i="4" l="1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18" i="4"/>
  <c r="D120" i="4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D113" i="4" l="1"/>
  <c r="M122" i="4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 s="1"/>
  <c r="D127" i="4"/>
  <c r="D132" i="4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<sst xmlns="http://schemas.openxmlformats.org/spreadsheetml/2006/main" count="63" uniqueCount="45">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</sst>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4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4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4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4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4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4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4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4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4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4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4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4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4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4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4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4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4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4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4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4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4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4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4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4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4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4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4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4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4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4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4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4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4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4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4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4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4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4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4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4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4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4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4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4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4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4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4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4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4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4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4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4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4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4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4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4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4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4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4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4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4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4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4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4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4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4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4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4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4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4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4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4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4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4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4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4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4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4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4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4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4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4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4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4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4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4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4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4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4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4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4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4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4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4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4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4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4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4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4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4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4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4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4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4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4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4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4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4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4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4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4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4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4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4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4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4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4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4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4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4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4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4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4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4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4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4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4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4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4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4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4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4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3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3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3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3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3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3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3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3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3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3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3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3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3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3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3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3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3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3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3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3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3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3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3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3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3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3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3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3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3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3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3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3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3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3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3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3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3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3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3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3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3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3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3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3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3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3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3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3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3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3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3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3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3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3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3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3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3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3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3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3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5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5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5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5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5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5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5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5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5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5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5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5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5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5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5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5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5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5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5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5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5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5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5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5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5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5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5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5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5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5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5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5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5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5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5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5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5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5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5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5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5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5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5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5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5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5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5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5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5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5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5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5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5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5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5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5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5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5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5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5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workbookViewId="0">
      <selection activeCell="D13" sqref="D13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41" t="s">
        <v>21</v>
      </c>
      <c r="E1" s="41" t="s">
        <v>40</v>
      </c>
      <c r="F1" s="41" t="s">
        <v>25</v>
      </c>
      <c r="G1" s="41" t="s">
        <v>22</v>
      </c>
      <c r="H1" s="41" t="s">
        <v>23</v>
      </c>
      <c r="I1" s="41" t="s">
        <v>41</v>
      </c>
      <c r="J1" s="41" t="s">
        <v>42</v>
      </c>
      <c r="K1" s="45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6"/>
      <c r="L2" s="40"/>
    </row>
    <row r="3" spans="1:19" s="21" customFormat="1" x14ac:dyDescent="0.3">
      <c r="A3" s="21">
        <v>1</v>
      </c>
      <c r="B3" s="64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7">
        <v>0</v>
      </c>
      <c r="L3" s="23"/>
      <c r="M3" s="55"/>
      <c r="S3" s="22"/>
    </row>
    <row r="4" spans="1:19" s="21" customFormat="1" x14ac:dyDescent="0.3">
      <c r="B4" s="64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7">
        <v>0</v>
      </c>
      <c r="L4" s="23"/>
      <c r="M4" s="55"/>
      <c r="S4" s="22"/>
    </row>
    <row r="5" spans="1:19" s="21" customFormat="1" x14ac:dyDescent="0.3">
      <c r="B5" s="64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7">
        <v>0</v>
      </c>
      <c r="L5" s="23"/>
      <c r="M5" s="55"/>
      <c r="S5" s="22"/>
    </row>
    <row r="6" spans="1:19" s="21" customFormat="1" x14ac:dyDescent="0.3">
      <c r="B6" s="64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7">
        <v>0</v>
      </c>
      <c r="L6" s="23"/>
      <c r="M6" s="55"/>
      <c r="S6" s="22"/>
    </row>
    <row r="7" spans="1:19" s="21" customFormat="1" x14ac:dyDescent="0.3">
      <c r="B7" s="64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7">
        <v>1000000</v>
      </c>
      <c r="L7" s="23"/>
      <c r="M7" s="55"/>
      <c r="N7" s="26"/>
      <c r="S7" s="22"/>
    </row>
    <row r="8" spans="1:19" s="21" customFormat="1" x14ac:dyDescent="0.3">
      <c r="B8" s="64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7">
        <v>0</v>
      </c>
      <c r="L8" s="23"/>
      <c r="M8" s="55"/>
      <c r="S8" s="22"/>
    </row>
    <row r="9" spans="1:19" s="21" customFormat="1" x14ac:dyDescent="0.3">
      <c r="B9" s="64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7">
        <v>600000</v>
      </c>
      <c r="L9" s="23"/>
      <c r="M9" s="55"/>
      <c r="S9" s="22"/>
    </row>
    <row r="10" spans="1:19" s="21" customFormat="1" x14ac:dyDescent="0.3">
      <c r="B10" s="64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7">
        <v>5056544</v>
      </c>
      <c r="L10" s="23"/>
      <c r="M10" s="55"/>
      <c r="S10" s="22"/>
    </row>
    <row r="11" spans="1:19" s="21" customFormat="1" x14ac:dyDescent="0.3">
      <c r="B11" s="64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7">
        <v>1600000</v>
      </c>
      <c r="L11" s="23"/>
      <c r="M11" s="55"/>
      <c r="S11" s="22"/>
    </row>
    <row r="12" spans="1:19" s="12" customFormat="1" x14ac:dyDescent="0.3">
      <c r="B12" s="64"/>
      <c r="C12" s="12">
        <v>10</v>
      </c>
      <c r="D12" s="13">
        <v>3500000</v>
      </c>
      <c r="E12" s="13">
        <f xml:space="preserve"> (E11 + 400000) + ((E11 + 400000) * G12 )</f>
        <v>4623309.0980000002</v>
      </c>
      <c r="F12" s="13">
        <f t="shared" si="0"/>
        <v>18157825.786114551</v>
      </c>
      <c r="G12" s="12">
        <v>1.7999999999999999E-2</v>
      </c>
      <c r="H12" s="13">
        <f t="shared" si="1"/>
        <v>18484666.650264613</v>
      </c>
      <c r="I12" s="13"/>
      <c r="J12" s="13"/>
      <c r="K12" s="49">
        <v>0</v>
      </c>
      <c r="L12" s="14"/>
      <c r="M12" s="57"/>
      <c r="S12" s="13"/>
    </row>
    <row r="13" spans="1:19" s="43" customFormat="1" x14ac:dyDescent="0.3">
      <c r="B13" s="64"/>
      <c r="C13" s="43">
        <v>11</v>
      </c>
      <c r="D13" s="42">
        <v>2500000</v>
      </c>
      <c r="E13" s="42">
        <f xml:space="preserve"> (E12 + 400000) + ((E12 + 400000) * G13 )</f>
        <v>5113728.6617640005</v>
      </c>
      <c r="F13" s="42">
        <f t="shared" si="0"/>
        <v>20984666.650264613</v>
      </c>
      <c r="G13" s="43">
        <v>1.7999999999999999E-2</v>
      </c>
      <c r="H13" s="42">
        <f t="shared" si="1"/>
        <v>21362390.649969377</v>
      </c>
      <c r="I13" s="42"/>
      <c r="J13" s="42"/>
      <c r="K13" s="50">
        <v>0</v>
      </c>
      <c r="L13" s="44"/>
      <c r="M13" s="58"/>
      <c r="S13" s="42"/>
    </row>
    <row r="14" spans="1:19" s="18" customFormat="1" x14ac:dyDescent="0.3">
      <c r="B14" s="64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23862390.649969377</v>
      </c>
      <c r="G14" s="18">
        <v>1.7999999999999999E-2</v>
      </c>
      <c r="H14" s="19">
        <f t="shared" si="1"/>
        <v>24291913.681668825</v>
      </c>
      <c r="I14" s="19">
        <f xml:space="preserve"> H14 - E14</f>
        <v>18678937.903993074</v>
      </c>
      <c r="J14" s="19"/>
      <c r="K14" s="51">
        <v>0</v>
      </c>
      <c r="L14" s="20">
        <f xml:space="preserve"> I14 / 2</f>
        <v>9339468.9519965369</v>
      </c>
      <c r="M14" s="59">
        <f xml:space="preserve"> (H2 + SUM(D3:D14)) - SUM(K3:K14)</f>
        <v>22063456</v>
      </c>
      <c r="N14" s="19">
        <f xml:space="preserve"> H14 - M14</f>
        <v>2228457.6816688254</v>
      </c>
      <c r="O14" s="18">
        <v>0.84</v>
      </c>
      <c r="P14" s="19">
        <f xml:space="preserve"> N14 * O14</f>
        <v>1871904.4526018132</v>
      </c>
      <c r="Q14" s="19">
        <f xml:space="preserve"> N14 - P14</f>
        <v>356553.2290670122</v>
      </c>
      <c r="R14" s="18">
        <f xml:space="preserve"> N14 / M14 * 100</f>
        <v>10.100220390082249</v>
      </c>
      <c r="S14" s="19"/>
    </row>
    <row r="15" spans="1:19" s="8" customFormat="1" x14ac:dyDescent="0.3">
      <c r="A15" s="8">
        <v>2</v>
      </c>
      <c r="B15" s="64">
        <v>2023</v>
      </c>
      <c r="C15" s="8">
        <v>1</v>
      </c>
      <c r="D15" s="9">
        <f xml:space="preserve"> N15</f>
        <v>3278289.0793330446</v>
      </c>
      <c r="E15" s="42">
        <f t="shared" si="2"/>
        <v>6121209.3416739162</v>
      </c>
      <c r="F15" s="11">
        <f xml:space="preserve"> (I14 / 2) + D15 - K15</f>
        <v>12617758.031329582</v>
      </c>
      <c r="G15" s="8">
        <v>1.7999999999999999E-2</v>
      </c>
      <c r="H15" s="9">
        <f xml:space="preserve"> (F15 * G15) + F15</f>
        <v>12844877.675893513</v>
      </c>
      <c r="I15" s="9"/>
      <c r="J15" s="9">
        <f xml:space="preserve"> E15 + H15</f>
        <v>18966087.01756743</v>
      </c>
      <c r="K15" s="48">
        <v>0</v>
      </c>
      <c r="L15" s="10"/>
      <c r="M15" s="56"/>
      <c r="N15" s="11">
        <f xml:space="preserve"> (L14 / 12) +2500000</f>
        <v>3278289.0793330446</v>
      </c>
      <c r="P15" s="9">
        <f xml:space="preserve"> (H14 / 2 )</f>
        <v>12145956.840834413</v>
      </c>
      <c r="S15" s="9"/>
    </row>
    <row r="16" spans="1:19" s="8" customFormat="1" x14ac:dyDescent="0.3">
      <c r="B16" s="64"/>
      <c r="C16" s="8">
        <v>2</v>
      </c>
      <c r="D16" s="9">
        <f xml:space="preserve"> N15</f>
        <v>3278289.0793330446</v>
      </c>
      <c r="E16" s="42">
        <f t="shared" si="2"/>
        <v>6638591.1098240465</v>
      </c>
      <c r="F16" s="9">
        <f t="shared" ref="F16:F26" si="3" xml:space="preserve"> H15 + D16 - K16</f>
        <v>16123166.755226558</v>
      </c>
      <c r="G16" s="8">
        <v>1.7999999999999999E-2</v>
      </c>
      <c r="H16" s="11">
        <f xml:space="preserve"> (F16 * G16) + F16</f>
        <v>16413383.756820636</v>
      </c>
      <c r="I16" s="9"/>
      <c r="J16" s="9">
        <f t="shared" ref="J16:J26" si="4" xml:space="preserve"> E16 + H16</f>
        <v>23051974.866644681</v>
      </c>
      <c r="K16" s="48">
        <v>0</v>
      </c>
      <c r="L16" s="10"/>
      <c r="M16" s="56"/>
      <c r="S16" s="9"/>
    </row>
    <row r="17" spans="1:19" s="8" customFormat="1" x14ac:dyDescent="0.3">
      <c r="B17" s="64"/>
      <c r="C17" s="8">
        <v>3</v>
      </c>
      <c r="D17" s="9">
        <f xml:space="preserve"> N15</f>
        <v>3278289.0793330446</v>
      </c>
      <c r="E17" s="42">
        <f t="shared" si="2"/>
        <v>7165285.7498008795</v>
      </c>
      <c r="F17" s="9">
        <f t="shared" si="3"/>
        <v>19691672.836153679</v>
      </c>
      <c r="G17" s="8">
        <v>1.7999999999999999E-2</v>
      </c>
      <c r="H17" s="9">
        <f xml:space="preserve"> (F17 * G17) + F17</f>
        <v>20046122.947204445</v>
      </c>
      <c r="I17" s="9"/>
      <c r="J17" s="9">
        <f t="shared" si="4"/>
        <v>27211408.697005324</v>
      </c>
      <c r="K17" s="48">
        <v>0</v>
      </c>
      <c r="L17" s="10"/>
      <c r="M17" s="56"/>
      <c r="S17" s="9"/>
    </row>
    <row r="18" spans="1:19" s="8" customFormat="1" x14ac:dyDescent="0.3">
      <c r="B18" s="64"/>
      <c r="C18" s="8">
        <v>4</v>
      </c>
      <c r="D18" s="9">
        <f xml:space="preserve"> N15</f>
        <v>3278289.0793330446</v>
      </c>
      <c r="E18" s="42">
        <f t="shared" si="2"/>
        <v>7701460.8932972951</v>
      </c>
      <c r="F18" s="9">
        <f t="shared" si="3"/>
        <v>23324412.026537489</v>
      </c>
      <c r="G18" s="8">
        <v>1.7999999999999999E-2</v>
      </c>
      <c r="H18" s="9">
        <f t="shared" ref="H18:H26" si="5" xml:space="preserve"> (F18 * G18) + F18</f>
        <v>23744251.443015166</v>
      </c>
      <c r="I18" s="9"/>
      <c r="J18" s="9">
        <f t="shared" si="4"/>
        <v>31445712.336312462</v>
      </c>
      <c r="K18" s="48">
        <v>0</v>
      </c>
      <c r="L18" s="10"/>
      <c r="M18" s="56"/>
      <c r="S18" s="9"/>
    </row>
    <row r="19" spans="1:19" s="8" customFormat="1" x14ac:dyDescent="0.3">
      <c r="B19" s="64"/>
      <c r="C19" s="8">
        <v>5</v>
      </c>
      <c r="D19" s="9">
        <f xml:space="preserve"> N15</f>
        <v>3278289.0793330446</v>
      </c>
      <c r="E19" s="42">
        <f t="shared" si="2"/>
        <v>8247287.1893766467</v>
      </c>
      <c r="F19" s="9">
        <f t="shared" si="3"/>
        <v>26665987.293281198</v>
      </c>
      <c r="G19" s="8">
        <v>1.7999999999999999E-2</v>
      </c>
      <c r="H19" s="9">
        <f t="shared" si="5"/>
        <v>27145975.064560261</v>
      </c>
      <c r="I19" s="9"/>
      <c r="J19" s="9">
        <f t="shared" si="4"/>
        <v>35393262.253936909</v>
      </c>
      <c r="K19" s="48">
        <f xml:space="preserve"> Q14</f>
        <v>356553.2290670122</v>
      </c>
      <c r="L19" s="10"/>
      <c r="M19" s="56"/>
      <c r="S19" s="9"/>
    </row>
    <row r="20" spans="1:19" s="8" customFormat="1" x14ac:dyDescent="0.3">
      <c r="B20" s="64"/>
      <c r="C20" s="8">
        <v>6</v>
      </c>
      <c r="D20" s="9">
        <f xml:space="preserve"> N15</f>
        <v>3278289.0793330446</v>
      </c>
      <c r="E20" s="42">
        <f t="shared" si="2"/>
        <v>8802938.3587854262</v>
      </c>
      <c r="F20" s="9">
        <f t="shared" si="3"/>
        <v>30424264.143893305</v>
      </c>
      <c r="G20" s="8">
        <v>1.7999999999999999E-2</v>
      </c>
      <c r="H20" s="9">
        <f t="shared" si="5"/>
        <v>30971900.898483384</v>
      </c>
      <c r="I20" s="9"/>
      <c r="J20" s="9">
        <f t="shared" si="4"/>
        <v>39774839.257268809</v>
      </c>
      <c r="K20" s="48">
        <v>0</v>
      </c>
      <c r="L20" s="10"/>
      <c r="M20" s="56"/>
      <c r="S20" s="9"/>
    </row>
    <row r="21" spans="1:19" s="8" customFormat="1" x14ac:dyDescent="0.3">
      <c r="B21" s="64"/>
      <c r="C21" s="8">
        <v>7</v>
      </c>
      <c r="D21" s="9">
        <f xml:space="preserve"> N15</f>
        <v>3278289.0793330446</v>
      </c>
      <c r="E21" s="42">
        <f t="shared" si="2"/>
        <v>9368591.249243563</v>
      </c>
      <c r="F21" s="9">
        <f t="shared" si="3"/>
        <v>34250189.977816433</v>
      </c>
      <c r="G21" s="8">
        <v>1.7999999999999999E-2</v>
      </c>
      <c r="H21" s="9">
        <f t="shared" si="5"/>
        <v>34866693.397417128</v>
      </c>
      <c r="I21" s="9"/>
      <c r="J21" s="9">
        <f t="shared" si="4"/>
        <v>44235284.646660693</v>
      </c>
      <c r="K21" s="48">
        <v>0</v>
      </c>
      <c r="L21" s="10"/>
      <c r="M21" s="56"/>
      <c r="S21" s="9"/>
    </row>
    <row r="22" spans="1:19" s="8" customFormat="1" x14ac:dyDescent="0.3">
      <c r="B22" s="64"/>
      <c r="C22" s="8">
        <v>8</v>
      </c>
      <c r="D22" s="9">
        <f xml:space="preserve"> N15</f>
        <v>3278289.0793330446</v>
      </c>
      <c r="E22" s="42">
        <f t="shared" si="2"/>
        <v>9944425.8917299472</v>
      </c>
      <c r="F22" s="9">
        <f t="shared" si="3"/>
        <v>38144982.476750173</v>
      </c>
      <c r="G22" s="8">
        <v>1.7999999999999999E-2</v>
      </c>
      <c r="H22" s="9">
        <f t="shared" si="5"/>
        <v>38831592.161331676</v>
      </c>
      <c r="I22" s="9"/>
      <c r="J22" s="9">
        <f t="shared" si="4"/>
        <v>48776018.053061619</v>
      </c>
      <c r="K22" s="48">
        <v>0</v>
      </c>
      <c r="L22" s="10"/>
      <c r="M22" s="56"/>
      <c r="S22" s="9"/>
    </row>
    <row r="23" spans="1:19" s="8" customFormat="1" x14ac:dyDescent="0.3">
      <c r="B23" s="64"/>
      <c r="C23" s="8">
        <v>9</v>
      </c>
      <c r="D23" s="9">
        <f xml:space="preserve"> N15</f>
        <v>3278289.0793330446</v>
      </c>
      <c r="E23" s="42">
        <f t="shared" si="2"/>
        <v>10530625.557781085</v>
      </c>
      <c r="F23" s="9">
        <f t="shared" si="3"/>
        <v>42109881.240664721</v>
      </c>
      <c r="G23" s="8">
        <v>1.7999999999999999E-2</v>
      </c>
      <c r="H23" s="9">
        <f t="shared" si="5"/>
        <v>42867859.102996685</v>
      </c>
      <c r="I23" s="9"/>
      <c r="J23" s="9">
        <f t="shared" si="4"/>
        <v>53398484.66077777</v>
      </c>
      <c r="K23" s="48">
        <v>0</v>
      </c>
      <c r="L23" s="10"/>
      <c r="M23" s="56"/>
      <c r="S23" s="9"/>
    </row>
    <row r="24" spans="1:19" s="8" customFormat="1" x14ac:dyDescent="0.3">
      <c r="B24" s="64"/>
      <c r="C24" s="8">
        <v>10</v>
      </c>
      <c r="D24" s="9">
        <f xml:space="preserve"> N15</f>
        <v>3278289.0793330446</v>
      </c>
      <c r="E24" s="42">
        <f t="shared" si="2"/>
        <v>11127376.817821145</v>
      </c>
      <c r="F24" s="9">
        <f t="shared" si="3"/>
        <v>46146148.182329729</v>
      </c>
      <c r="G24" s="8">
        <v>1.7999999999999999E-2</v>
      </c>
      <c r="H24" s="9">
        <f t="shared" si="5"/>
        <v>46976778.849611662</v>
      </c>
      <c r="I24" s="9"/>
      <c r="J24" s="9">
        <f t="shared" si="4"/>
        <v>58104155.667432807</v>
      </c>
      <c r="K24" s="48">
        <v>0</v>
      </c>
      <c r="L24" s="10"/>
      <c r="M24" s="56"/>
      <c r="S24" s="9"/>
    </row>
    <row r="25" spans="1:19" s="8" customFormat="1" x14ac:dyDescent="0.3">
      <c r="B25" s="64"/>
      <c r="C25" s="8">
        <v>11</v>
      </c>
      <c r="D25" s="9">
        <f xml:space="preserve"> N15</f>
        <v>3278289.0793330446</v>
      </c>
      <c r="E25" s="42">
        <f t="shared" si="2"/>
        <v>11734869.600541925</v>
      </c>
      <c r="F25" s="9">
        <f t="shared" si="3"/>
        <v>50255067.928944707</v>
      </c>
      <c r="G25" s="8">
        <v>1.7999999999999999E-2</v>
      </c>
      <c r="H25" s="9">
        <f t="shared" si="5"/>
        <v>51159659.15166571</v>
      </c>
      <c r="I25" s="9"/>
      <c r="J25" s="9">
        <f t="shared" si="4"/>
        <v>62894528.752207637</v>
      </c>
      <c r="K25" s="48">
        <v>0</v>
      </c>
      <c r="L25" s="10"/>
      <c r="M25" s="56"/>
      <c r="S25" s="9"/>
    </row>
    <row r="26" spans="1:19" s="18" customFormat="1" x14ac:dyDescent="0.3">
      <c r="B26" s="64"/>
      <c r="C26" s="18">
        <v>12</v>
      </c>
      <c r="D26" s="19">
        <f xml:space="preserve"> N15</f>
        <v>3278289.0793330446</v>
      </c>
      <c r="E26" s="19">
        <f t="shared" si="2"/>
        <v>12353297.253351679</v>
      </c>
      <c r="F26" s="19">
        <f t="shared" si="3"/>
        <v>54437948.230998755</v>
      </c>
      <c r="G26" s="18">
        <v>1.7999999999999999E-2</v>
      </c>
      <c r="H26" s="19">
        <f t="shared" si="5"/>
        <v>55417831.299156733</v>
      </c>
      <c r="I26" s="19">
        <f xml:space="preserve"> H26</f>
        <v>55417831.299156733</v>
      </c>
      <c r="J26" s="19">
        <f t="shared" si="4"/>
        <v>67771128.552508414</v>
      </c>
      <c r="K26" s="51">
        <v>0</v>
      </c>
      <c r="L26" s="20">
        <f xml:space="preserve"> I26 / 2</f>
        <v>27708915.649578366</v>
      </c>
      <c r="M26" s="59">
        <f xml:space="preserve"> (F15 + SUM(D16:D26)) - SUM(K15:K26)</f>
        <v>48322384.674926057</v>
      </c>
      <c r="N26" s="19">
        <f xml:space="preserve"> H26 - M26</f>
        <v>7095446.6242306754</v>
      </c>
      <c r="O26" s="18">
        <v>0.84</v>
      </c>
      <c r="P26" s="19">
        <f xml:space="preserve"> N26 * O26</f>
        <v>5960175.1643537674</v>
      </c>
      <c r="Q26" s="19">
        <f xml:space="preserve"> N26 - P26</f>
        <v>1135271.459876908</v>
      </c>
      <c r="R26" s="18">
        <f xml:space="preserve"> N26 / M26 * 100</f>
        <v>14.683560573351469</v>
      </c>
      <c r="S26" s="19"/>
    </row>
    <row r="27" spans="1:19" s="8" customFormat="1" x14ac:dyDescent="0.3">
      <c r="A27" s="8">
        <v>3</v>
      </c>
      <c r="B27" s="64">
        <v>2024</v>
      </c>
      <c r="C27" s="8">
        <v>1</v>
      </c>
      <c r="D27" s="9">
        <f>N27</f>
        <v>4809076.3041315302</v>
      </c>
      <c r="E27" s="42">
        <f t="shared" si="2"/>
        <v>12982856.603912009</v>
      </c>
      <c r="F27" s="11">
        <f xml:space="preserve"> (I26 / 2) + D27 - K27</f>
        <v>32517991.953709897</v>
      </c>
      <c r="G27" s="8">
        <v>1.7999999999999999E-2</v>
      </c>
      <c r="H27" s="9">
        <f xml:space="preserve"> (F27 * G27) + F27</f>
        <v>33103315.808876675</v>
      </c>
      <c r="I27" s="9"/>
      <c r="J27" s="9">
        <f xml:space="preserve"> E27 + H27</f>
        <v>46086172.412788682</v>
      </c>
      <c r="K27" s="48">
        <v>0</v>
      </c>
      <c r="L27" s="10"/>
      <c r="M27" s="56"/>
      <c r="N27" s="11">
        <f xml:space="preserve"> (L26 / 12) +2500000</f>
        <v>4809076.3041315302</v>
      </c>
      <c r="P27" s="9">
        <f xml:space="preserve"> (H26 / 2 )</f>
        <v>27708915.649578366</v>
      </c>
      <c r="S27" s="9"/>
    </row>
    <row r="28" spans="1:19" s="43" customFormat="1" x14ac:dyDescent="0.3">
      <c r="B28" s="64"/>
      <c r="C28" s="43">
        <v>2</v>
      </c>
      <c r="D28" s="42">
        <f>N27</f>
        <v>4809076.3041315302</v>
      </c>
      <c r="E28" s="42">
        <f t="shared" si="2"/>
        <v>13623748.022782424</v>
      </c>
      <c r="F28" s="42">
        <f t="shared" ref="F28:F38" si="6" xml:space="preserve"> H27 + D28 - K28</f>
        <v>37912392.113008201</v>
      </c>
      <c r="G28" s="43">
        <v>1.7999999999999999E-2</v>
      </c>
      <c r="H28" s="42">
        <f xml:space="preserve"> (F28 * G28) + F28</f>
        <v>38594815.171042345</v>
      </c>
      <c r="I28" s="42"/>
      <c r="J28" s="9">
        <f t="shared" ref="J28:J91" si="7" xml:space="preserve"> E28 + H28</f>
        <v>52218563.193824768</v>
      </c>
      <c r="K28" s="50">
        <v>0</v>
      </c>
      <c r="L28" s="44"/>
      <c r="M28" s="58"/>
      <c r="S28" s="42"/>
    </row>
    <row r="29" spans="1:19" s="8" customFormat="1" x14ac:dyDescent="0.3">
      <c r="B29" s="64"/>
      <c r="C29" s="8">
        <v>3</v>
      </c>
      <c r="D29" s="9">
        <f>N27</f>
        <v>4809076.3041315302</v>
      </c>
      <c r="E29" s="42">
        <f t="shared" si="2"/>
        <v>14276175.487192508</v>
      </c>
      <c r="F29" s="9">
        <f t="shared" si="6"/>
        <v>43403891.475173876</v>
      </c>
      <c r="G29" s="8">
        <v>1.7999999999999999E-2</v>
      </c>
      <c r="H29" s="9">
        <f xml:space="preserve"> (F29 * G29) + F29</f>
        <v>44185161.521727003</v>
      </c>
      <c r="I29" s="9"/>
      <c r="J29" s="9">
        <f t="shared" si="7"/>
        <v>58461337.008919507</v>
      </c>
      <c r="K29" s="48">
        <v>0</v>
      </c>
      <c r="L29" s="10"/>
      <c r="M29" s="56"/>
      <c r="S29" s="9"/>
    </row>
    <row r="30" spans="1:19" s="8" customFormat="1" x14ac:dyDescent="0.3">
      <c r="B30" s="64"/>
      <c r="C30" s="8">
        <v>4</v>
      </c>
      <c r="D30" s="9">
        <f>N27</f>
        <v>4809076.3041315302</v>
      </c>
      <c r="E30" s="42">
        <f t="shared" si="2"/>
        <v>14940346.645961974</v>
      </c>
      <c r="F30" s="9">
        <f t="shared" si="6"/>
        <v>48994237.825858533</v>
      </c>
      <c r="G30" s="8">
        <v>1.7999999999999999E-2</v>
      </c>
      <c r="H30" s="9">
        <f t="shared" ref="H30:H93" si="8" xml:space="preserve"> (F30 * G30) + F30</f>
        <v>49876134.106723987</v>
      </c>
      <c r="I30" s="9"/>
      <c r="J30" s="9">
        <f t="shared" si="7"/>
        <v>64816480.752685964</v>
      </c>
      <c r="K30" s="48">
        <v>0</v>
      </c>
      <c r="L30" s="10"/>
      <c r="M30" s="56"/>
      <c r="S30" s="9"/>
    </row>
    <row r="31" spans="1:19" s="8" customFormat="1" x14ac:dyDescent="0.3">
      <c r="B31" s="64"/>
      <c r="C31" s="8">
        <v>5</v>
      </c>
      <c r="D31" s="9">
        <f>N27</f>
        <v>4809076.3041315302</v>
      </c>
      <c r="E31" s="42">
        <f t="shared" si="2"/>
        <v>15616472.885589289</v>
      </c>
      <c r="F31" s="9">
        <f t="shared" si="6"/>
        <v>53549938.950978607</v>
      </c>
      <c r="G31" s="8">
        <v>1.7999999999999999E-2</v>
      </c>
      <c r="H31" s="9">
        <f t="shared" si="8"/>
        <v>54513837.852096222</v>
      </c>
      <c r="I31" s="9"/>
      <c r="J31" s="9">
        <f t="shared" si="7"/>
        <v>70130310.737685516</v>
      </c>
      <c r="K31" s="48">
        <f xml:space="preserve"> Q26</f>
        <v>1135271.459876908</v>
      </c>
      <c r="L31" s="10"/>
      <c r="M31" s="56"/>
      <c r="S31" s="9"/>
    </row>
    <row r="32" spans="1:19" s="8" customFormat="1" x14ac:dyDescent="0.3">
      <c r="B32" s="64"/>
      <c r="C32" s="8">
        <v>6</v>
      </c>
      <c r="D32" s="9">
        <f>N27</f>
        <v>4809076.3041315302</v>
      </c>
      <c r="E32" s="42">
        <f t="shared" si="2"/>
        <v>16304769.397529896</v>
      </c>
      <c r="F32" s="9">
        <f t="shared" si="6"/>
        <v>59322914.156227753</v>
      </c>
      <c r="G32" s="8">
        <v>1.7999999999999999E-2</v>
      </c>
      <c r="H32" s="9">
        <f t="shared" si="8"/>
        <v>60390726.611039855</v>
      </c>
      <c r="I32" s="9"/>
      <c r="J32" s="9">
        <f t="shared" si="7"/>
        <v>76695496.008569747</v>
      </c>
      <c r="K32" s="48">
        <v>0</v>
      </c>
      <c r="L32" s="10"/>
      <c r="M32" s="56"/>
      <c r="S32" s="9"/>
    </row>
    <row r="33" spans="1:19" s="8" customFormat="1" x14ac:dyDescent="0.3">
      <c r="B33" s="64"/>
      <c r="C33" s="8">
        <v>7</v>
      </c>
      <c r="D33" s="9">
        <f>N27</f>
        <v>4809076.3041315302</v>
      </c>
      <c r="E33" s="42">
        <f t="shared" si="2"/>
        <v>17005455.246685434</v>
      </c>
      <c r="F33" s="9">
        <f t="shared" si="6"/>
        <v>65199802.915171385</v>
      </c>
      <c r="G33" s="8">
        <v>1.7999999999999999E-2</v>
      </c>
      <c r="H33" s="9">
        <f t="shared" si="8"/>
        <v>66373399.367644466</v>
      </c>
      <c r="I33" s="9"/>
      <c r="J33" s="9">
        <f t="shared" si="7"/>
        <v>83378854.614329904</v>
      </c>
      <c r="K33" s="48">
        <v>0</v>
      </c>
      <c r="L33" s="10"/>
      <c r="M33" s="56"/>
      <c r="S33" s="9"/>
    </row>
    <row r="34" spans="1:19" s="8" customFormat="1" x14ac:dyDescent="0.3">
      <c r="B34" s="64"/>
      <c r="C34" s="8">
        <v>8</v>
      </c>
      <c r="D34" s="9">
        <f>N27</f>
        <v>4809076.3041315302</v>
      </c>
      <c r="E34" s="42">
        <f t="shared" si="2"/>
        <v>17718753.441125773</v>
      </c>
      <c r="F34" s="9">
        <f t="shared" si="6"/>
        <v>71182475.671775997</v>
      </c>
      <c r="G34" s="8">
        <v>1.7999999999999999E-2</v>
      </c>
      <c r="H34" s="9">
        <f t="shared" si="8"/>
        <v>72463760.233867958</v>
      </c>
      <c r="I34" s="9"/>
      <c r="J34" s="9">
        <f t="shared" si="7"/>
        <v>90182513.674993724</v>
      </c>
      <c r="K34" s="48">
        <v>0</v>
      </c>
      <c r="L34" s="10"/>
      <c r="M34" s="56"/>
      <c r="S34" s="9"/>
    </row>
    <row r="35" spans="1:19" s="8" customFormat="1" x14ac:dyDescent="0.3">
      <c r="B35" s="64"/>
      <c r="C35" s="8">
        <v>9</v>
      </c>
      <c r="D35" s="9">
        <f>N27</f>
        <v>4809076.3041315302</v>
      </c>
      <c r="E35" s="42">
        <f t="shared" si="2"/>
        <v>18444891.003066037</v>
      </c>
      <c r="F35" s="9">
        <f t="shared" si="6"/>
        <v>77272836.537999481</v>
      </c>
      <c r="G35" s="8">
        <v>1.7999999999999999E-2</v>
      </c>
      <c r="H35" s="9">
        <f t="shared" si="8"/>
        <v>78663747.59568347</v>
      </c>
      <c r="I35" s="9"/>
      <c r="J35" s="9">
        <f t="shared" si="7"/>
        <v>97108638.598749503</v>
      </c>
      <c r="K35" s="48">
        <v>0</v>
      </c>
      <c r="L35" s="10"/>
      <c r="M35" s="56"/>
      <c r="S35" s="9"/>
    </row>
    <row r="36" spans="1:19" s="8" customFormat="1" x14ac:dyDescent="0.3">
      <c r="B36" s="64"/>
      <c r="C36" s="8">
        <v>10</v>
      </c>
      <c r="D36" s="9">
        <f>N27</f>
        <v>4809076.3041315302</v>
      </c>
      <c r="E36" s="42">
        <f t="shared" si="2"/>
        <v>19184099.041121226</v>
      </c>
      <c r="F36" s="9">
        <f t="shared" si="6"/>
        <v>83472823.899814993</v>
      </c>
      <c r="G36" s="8">
        <v>1.7999999999999999E-2</v>
      </c>
      <c r="H36" s="9">
        <f t="shared" si="8"/>
        <v>84975334.730011657</v>
      </c>
      <c r="I36" s="9"/>
      <c r="J36" s="9">
        <f t="shared" si="7"/>
        <v>104159433.77113289</v>
      </c>
      <c r="K36" s="48">
        <v>0</v>
      </c>
      <c r="L36" s="10"/>
      <c r="M36" s="56"/>
      <c r="S36" s="9"/>
    </row>
    <row r="37" spans="1:19" s="8" customFormat="1" x14ac:dyDescent="0.3">
      <c r="B37" s="64"/>
      <c r="C37" s="8">
        <v>11</v>
      </c>
      <c r="D37" s="9">
        <f>N27</f>
        <v>4809076.3041315302</v>
      </c>
      <c r="E37" s="42">
        <f t="shared" si="2"/>
        <v>19936612.823861409</v>
      </c>
      <c r="F37" s="9">
        <f t="shared" si="6"/>
        <v>89784411.03414318</v>
      </c>
      <c r="G37" s="8">
        <v>1.7999999999999999E-2</v>
      </c>
      <c r="H37" s="9">
        <f t="shared" si="8"/>
        <v>91400530.43275775</v>
      </c>
      <c r="I37" s="9"/>
      <c r="J37" s="9">
        <f t="shared" si="7"/>
        <v>111337143.25661916</v>
      </c>
      <c r="K37" s="48">
        <v>0</v>
      </c>
      <c r="L37" s="10"/>
      <c r="M37" s="56"/>
      <c r="S37" s="9"/>
    </row>
    <row r="38" spans="1:19" s="18" customFormat="1" x14ac:dyDescent="0.3">
      <c r="B38" s="64"/>
      <c r="C38" s="18">
        <v>12</v>
      </c>
      <c r="D38" s="19">
        <f>N27</f>
        <v>4809076.3041315302</v>
      </c>
      <c r="E38" s="19">
        <f t="shared" si="2"/>
        <v>20702671.854690913</v>
      </c>
      <c r="F38" s="19">
        <f t="shared" si="6"/>
        <v>96209606.736889273</v>
      </c>
      <c r="G38" s="18">
        <v>1.7999999999999999E-2</v>
      </c>
      <c r="H38" s="19">
        <f t="shared" si="8"/>
        <v>97941379.658153281</v>
      </c>
      <c r="I38" s="19">
        <f xml:space="preserve"> H38</f>
        <v>97941379.658153281</v>
      </c>
      <c r="J38" s="19">
        <f t="shared" si="7"/>
        <v>118644051.51284419</v>
      </c>
      <c r="K38" s="51">
        <v>0</v>
      </c>
      <c r="L38" s="20">
        <f xml:space="preserve"> I38 / 2</f>
        <v>48970689.82907664</v>
      </c>
      <c r="M38" s="59">
        <f xml:space="preserve"> (F27 + SUM(D28:D38)) - SUM(K27:K38)</f>
        <v>84282559.839279816</v>
      </c>
      <c r="N38" s="19">
        <f xml:space="preserve"> H38 - M38</f>
        <v>13658819.818873465</v>
      </c>
      <c r="O38" s="18">
        <v>0.84</v>
      </c>
      <c r="P38" s="19">
        <f xml:space="preserve"> N38 * O38</f>
        <v>11473408.64785371</v>
      </c>
      <c r="Q38" s="19">
        <f xml:space="preserve"> N38 - P38</f>
        <v>2185411.1710197553</v>
      </c>
      <c r="R38" s="18">
        <f xml:space="preserve"> N38 / M38 * 100</f>
        <v>16.205985965447368</v>
      </c>
      <c r="S38" s="19"/>
    </row>
    <row r="39" spans="1:19" s="8" customFormat="1" x14ac:dyDescent="0.3">
      <c r="A39" s="8">
        <v>4</v>
      </c>
      <c r="B39" s="64">
        <v>2025</v>
      </c>
      <c r="C39" s="8">
        <v>1</v>
      </c>
      <c r="D39" s="9">
        <f>N39</f>
        <v>6580890.81908972</v>
      </c>
      <c r="E39" s="42">
        <f t="shared" si="2"/>
        <v>21482519.94807535</v>
      </c>
      <c r="F39" s="9">
        <f xml:space="preserve"> (H38 / 2) + D39 - K39</f>
        <v>55551580.648166358</v>
      </c>
      <c r="G39" s="8">
        <v>1.7999999999999999E-2</v>
      </c>
      <c r="H39" s="9">
        <f t="shared" si="8"/>
        <v>56551509.099833354</v>
      </c>
      <c r="I39" s="9"/>
      <c r="J39" s="9">
        <f t="shared" si="7"/>
        <v>78034029.047908708</v>
      </c>
      <c r="K39" s="48">
        <v>0</v>
      </c>
      <c r="L39" s="10"/>
      <c r="M39" s="56"/>
      <c r="N39" s="11">
        <f xml:space="preserve"> (L38 / 12) +2500000</f>
        <v>6580890.81908972</v>
      </c>
      <c r="P39" s="9">
        <f xml:space="preserve"> (H38 / 2 )</f>
        <v>48970689.82907664</v>
      </c>
      <c r="S39" s="9"/>
    </row>
    <row r="40" spans="1:19" s="8" customFormat="1" x14ac:dyDescent="0.3">
      <c r="B40" s="64"/>
      <c r="C40" s="8">
        <v>2</v>
      </c>
      <c r="D40" s="9">
        <f>N39</f>
        <v>6580890.81908972</v>
      </c>
      <c r="E40" s="42">
        <f t="shared" si="2"/>
        <v>22276405.307140708</v>
      </c>
      <c r="F40" s="9">
        <f t="shared" ref="F40:F50" si="9" xml:space="preserve"> H39 + D40 - K40</f>
        <v>63132399.918923073</v>
      </c>
      <c r="G40" s="8">
        <v>1.7999999999999999E-2</v>
      </c>
      <c r="H40" s="9">
        <f t="shared" si="8"/>
        <v>64268783.117463686</v>
      </c>
      <c r="I40" s="9"/>
      <c r="J40" s="9">
        <f t="shared" si="7"/>
        <v>86545188.424604386</v>
      </c>
      <c r="K40" s="48">
        <v>0</v>
      </c>
      <c r="L40" s="10"/>
      <c r="M40" s="56"/>
      <c r="S40" s="9"/>
    </row>
    <row r="41" spans="1:19" s="8" customFormat="1" x14ac:dyDescent="0.3">
      <c r="B41" s="64"/>
      <c r="C41" s="8">
        <v>3</v>
      </c>
      <c r="D41" s="9">
        <f>N39</f>
        <v>6580890.81908972</v>
      </c>
      <c r="E41" s="42">
        <f t="shared" si="2"/>
        <v>23084580.602669239</v>
      </c>
      <c r="F41" s="9">
        <f t="shared" si="9"/>
        <v>70849673.936553404</v>
      </c>
      <c r="G41" s="8">
        <v>1.7999999999999999E-2</v>
      </c>
      <c r="H41" s="9">
        <f t="shared" si="8"/>
        <v>72124968.067411363</v>
      </c>
      <c r="I41" s="9"/>
      <c r="J41" s="9">
        <f t="shared" si="7"/>
        <v>95209548.670080602</v>
      </c>
      <c r="K41" s="48">
        <v>0</v>
      </c>
      <c r="L41" s="10"/>
      <c r="M41" s="56"/>
      <c r="S41" s="9"/>
    </row>
    <row r="42" spans="1:19" s="8" customFormat="1" x14ac:dyDescent="0.3">
      <c r="B42" s="64"/>
      <c r="C42" s="8">
        <v>4</v>
      </c>
      <c r="D42" s="9">
        <f>N39</f>
        <v>6580890.81908972</v>
      </c>
      <c r="E42" s="42">
        <f t="shared" si="2"/>
        <v>23907303.053517286</v>
      </c>
      <c r="F42" s="9">
        <f t="shared" si="9"/>
        <v>78705858.886501089</v>
      </c>
      <c r="G42" s="8">
        <v>1.7999999999999999E-2</v>
      </c>
      <c r="H42" s="9">
        <f t="shared" si="8"/>
        <v>80122564.346458107</v>
      </c>
      <c r="I42" s="9"/>
      <c r="J42" s="9">
        <f t="shared" si="7"/>
        <v>104029867.39997539</v>
      </c>
      <c r="K42" s="48">
        <v>0</v>
      </c>
      <c r="L42" s="10"/>
      <c r="M42" s="56"/>
      <c r="S42" s="9"/>
    </row>
    <row r="43" spans="1:19" s="8" customFormat="1" x14ac:dyDescent="0.3">
      <c r="B43" s="64"/>
      <c r="C43" s="8">
        <v>5</v>
      </c>
      <c r="D43" s="9">
        <f>N39</f>
        <v>6580890.81908972</v>
      </c>
      <c r="E43" s="42">
        <f t="shared" si="2"/>
        <v>24744834.508480597</v>
      </c>
      <c r="F43" s="9">
        <f t="shared" si="9"/>
        <v>84518043.994528085</v>
      </c>
      <c r="G43" s="8">
        <v>1.7999999999999999E-2</v>
      </c>
      <c r="H43" s="9">
        <f t="shared" si="8"/>
        <v>86039368.786429584</v>
      </c>
      <c r="I43" s="9"/>
      <c r="J43" s="9">
        <f t="shared" si="7"/>
        <v>110784203.29491018</v>
      </c>
      <c r="K43" s="48">
        <f xml:space="preserve"> Q38</f>
        <v>2185411.1710197553</v>
      </c>
      <c r="L43" s="10"/>
      <c r="M43" s="56"/>
      <c r="S43" s="9"/>
    </row>
    <row r="44" spans="1:19" s="8" customFormat="1" x14ac:dyDescent="0.3">
      <c r="B44" s="64"/>
      <c r="C44" s="8">
        <v>6</v>
      </c>
      <c r="D44" s="9">
        <f>N39</f>
        <v>6580890.81908972</v>
      </c>
      <c r="E44" s="42">
        <f t="shared" si="2"/>
        <v>25597441.529633246</v>
      </c>
      <c r="F44" s="9">
        <f t="shared" si="9"/>
        <v>92620259.60551931</v>
      </c>
      <c r="G44" s="8">
        <v>1.7999999999999999E-2</v>
      </c>
      <c r="H44" s="9">
        <f t="shared" si="8"/>
        <v>94287424.27841866</v>
      </c>
      <c r="I44" s="9"/>
      <c r="J44" s="9">
        <f t="shared" si="7"/>
        <v>119884865.80805191</v>
      </c>
      <c r="K44" s="48">
        <v>0</v>
      </c>
      <c r="L44" s="10"/>
      <c r="M44" s="56"/>
      <c r="S44" s="9"/>
    </row>
    <row r="45" spans="1:19" s="8" customFormat="1" x14ac:dyDescent="0.3">
      <c r="B45" s="64"/>
      <c r="C45" s="8">
        <v>7</v>
      </c>
      <c r="D45" s="9">
        <f>N39</f>
        <v>6580890.81908972</v>
      </c>
      <c r="E45" s="42">
        <f t="shared" si="2"/>
        <v>26465395.477166645</v>
      </c>
      <c r="F45" s="9">
        <f t="shared" si="9"/>
        <v>100868315.09750839</v>
      </c>
      <c r="G45" s="8">
        <v>1.7999999999999999E-2</v>
      </c>
      <c r="H45" s="9">
        <f t="shared" si="8"/>
        <v>102683944.76926354</v>
      </c>
      <c r="I45" s="9"/>
      <c r="J45" s="9">
        <f t="shared" si="7"/>
        <v>129149340.24643019</v>
      </c>
      <c r="K45" s="48">
        <v>0</v>
      </c>
      <c r="L45" s="10"/>
      <c r="M45" s="56"/>
      <c r="S45" s="9"/>
    </row>
    <row r="46" spans="1:19" s="8" customFormat="1" x14ac:dyDescent="0.3">
      <c r="B46" s="64"/>
      <c r="C46" s="8">
        <v>8</v>
      </c>
      <c r="D46" s="9">
        <f>N39</f>
        <v>6580890.81908972</v>
      </c>
      <c r="E46" s="42">
        <f t="shared" si="2"/>
        <v>27348972.595755644</v>
      </c>
      <c r="F46" s="9">
        <f t="shared" si="9"/>
        <v>109264835.58835326</v>
      </c>
      <c r="G46" s="8">
        <v>1.7999999999999999E-2</v>
      </c>
      <c r="H46" s="9">
        <f t="shared" si="8"/>
        <v>111231602.62894362</v>
      </c>
      <c r="I46" s="9"/>
      <c r="J46" s="9">
        <f t="shared" si="7"/>
        <v>138580575.22469926</v>
      </c>
      <c r="K46" s="48">
        <v>0</v>
      </c>
      <c r="L46" s="10"/>
      <c r="M46" s="56"/>
      <c r="S46" s="9"/>
    </row>
    <row r="47" spans="1:19" s="8" customFormat="1" x14ac:dyDescent="0.3">
      <c r="B47" s="64"/>
      <c r="C47" s="8">
        <v>9</v>
      </c>
      <c r="D47" s="9">
        <f>N39</f>
        <v>6580890.81908972</v>
      </c>
      <c r="E47" s="42">
        <f t="shared" si="2"/>
        <v>28248454.102479246</v>
      </c>
      <c r="F47" s="9">
        <f t="shared" si="9"/>
        <v>117812493.44803335</v>
      </c>
      <c r="G47" s="8">
        <v>1.7999999999999999E-2</v>
      </c>
      <c r="H47" s="9">
        <f t="shared" si="8"/>
        <v>119933118.33009794</v>
      </c>
      <c r="I47" s="9"/>
      <c r="J47" s="9">
        <f t="shared" si="7"/>
        <v>148181572.43257719</v>
      </c>
      <c r="K47" s="48">
        <v>0</v>
      </c>
      <c r="L47" s="10"/>
      <c r="M47" s="56"/>
      <c r="S47" s="9"/>
    </row>
    <row r="48" spans="1:19" s="8" customFormat="1" x14ac:dyDescent="0.3">
      <c r="B48" s="64"/>
      <c r="C48" s="8">
        <v>10</v>
      </c>
      <c r="D48" s="9">
        <f>N39</f>
        <v>6580890.81908972</v>
      </c>
      <c r="E48" s="42">
        <f t="shared" si="2"/>
        <v>29164126.276323874</v>
      </c>
      <c r="F48" s="9">
        <f t="shared" si="9"/>
        <v>126514009.14918767</v>
      </c>
      <c r="G48" s="8">
        <v>1.7999999999999999E-2</v>
      </c>
      <c r="H48" s="9">
        <f t="shared" si="8"/>
        <v>128791261.31387305</v>
      </c>
      <c r="I48" s="9"/>
      <c r="J48" s="9">
        <f t="shared" si="7"/>
        <v>157955387.59019694</v>
      </c>
      <c r="K48" s="48">
        <v>0</v>
      </c>
      <c r="L48" s="10"/>
      <c r="M48" s="56"/>
      <c r="S48" s="9"/>
    </row>
    <row r="49" spans="1:19" s="8" customFormat="1" x14ac:dyDescent="0.3">
      <c r="B49" s="64"/>
      <c r="C49" s="8">
        <v>11</v>
      </c>
      <c r="D49" s="9">
        <f>N39</f>
        <v>6580890.81908972</v>
      </c>
      <c r="E49" s="42">
        <f t="shared" si="2"/>
        <v>30096280.549297702</v>
      </c>
      <c r="F49" s="9">
        <f t="shared" si="9"/>
        <v>135372152.13296276</v>
      </c>
      <c r="G49" s="8">
        <v>1.7999999999999999E-2</v>
      </c>
      <c r="H49" s="9">
        <f t="shared" si="8"/>
        <v>137808850.8713561</v>
      </c>
      <c r="I49" s="9"/>
      <c r="J49" s="9">
        <f t="shared" si="7"/>
        <v>167905131.42065379</v>
      </c>
      <c r="K49" s="48">
        <v>0</v>
      </c>
      <c r="L49" s="10"/>
      <c r="M49" s="56"/>
      <c r="S49" s="9"/>
    </row>
    <row r="50" spans="1:19" s="18" customFormat="1" x14ac:dyDescent="0.3">
      <c r="B50" s="64"/>
      <c r="C50" s="18">
        <v>12</v>
      </c>
      <c r="D50" s="19">
        <f>N39</f>
        <v>6580890.81908972</v>
      </c>
      <c r="E50" s="19">
        <f t="shared" si="2"/>
        <v>31045213.599185061</v>
      </c>
      <c r="F50" s="19">
        <f t="shared" si="9"/>
        <v>144389741.69044581</v>
      </c>
      <c r="G50" s="18">
        <v>1.7999999999999999E-2</v>
      </c>
      <c r="H50" s="19">
        <f t="shared" si="8"/>
        <v>146988757.04087383</v>
      </c>
      <c r="I50" s="19">
        <f xml:space="preserve"> H50</f>
        <v>146988757.04087383</v>
      </c>
      <c r="J50" s="19">
        <f t="shared" si="7"/>
        <v>178033970.64005888</v>
      </c>
      <c r="K50" s="51">
        <v>0</v>
      </c>
      <c r="L50" s="20">
        <f xml:space="preserve"> I50 / 2</f>
        <v>73494378.520436913</v>
      </c>
      <c r="M50" s="59">
        <f xml:space="preserve"> (F39 + SUM(D40:D50)) - SUM(K40:K50)</f>
        <v>125755968.4871335</v>
      </c>
      <c r="N50" s="19">
        <f xml:space="preserve"> H50 - M50</f>
        <v>21232788.553740323</v>
      </c>
      <c r="O50" s="18">
        <v>0.84</v>
      </c>
      <c r="P50" s="19">
        <f xml:space="preserve"> N50 * O50</f>
        <v>17835542.385141872</v>
      </c>
      <c r="Q50" s="19">
        <f xml:space="preserve"> N50 - P50</f>
        <v>3397246.1685984507</v>
      </c>
      <c r="R50" s="18">
        <f xml:space="preserve"> N50 / M50 * 100</f>
        <v>16.884119942118467</v>
      </c>
      <c r="S50" s="19"/>
    </row>
    <row r="51" spans="1:19" s="8" customFormat="1" x14ac:dyDescent="0.3">
      <c r="A51" s="8">
        <v>5</v>
      </c>
      <c r="B51" s="64">
        <v>2026</v>
      </c>
      <c r="C51" s="8">
        <v>1</v>
      </c>
      <c r="D51" s="9">
        <f xml:space="preserve"> N51</f>
        <v>8624531.543369744</v>
      </c>
      <c r="E51" s="42">
        <f t="shared" si="2"/>
        <v>32011227.443970393</v>
      </c>
      <c r="F51" s="9">
        <f xml:space="preserve"> (H50 / 2) + D51 - K51</f>
        <v>82118910.063806653</v>
      </c>
      <c r="G51" s="8">
        <v>1.7999999999999999E-2</v>
      </c>
      <c r="H51" s="9">
        <f t="shared" si="8"/>
        <v>83597050.44495517</v>
      </c>
      <c r="I51" s="9"/>
      <c r="J51" s="9">
        <f t="shared" si="7"/>
        <v>115608277.88892557</v>
      </c>
      <c r="K51" s="48">
        <v>0</v>
      </c>
      <c r="L51" s="10"/>
      <c r="M51" s="56"/>
      <c r="N51" s="11">
        <f xml:space="preserve"> (L50 / 12) +2500000</f>
        <v>8624531.543369744</v>
      </c>
      <c r="P51" s="9">
        <f xml:space="preserve"> (H50 / 2 )</f>
        <v>73494378.520436913</v>
      </c>
      <c r="S51" s="9"/>
    </row>
    <row r="52" spans="1:19" s="8" customFormat="1" x14ac:dyDescent="0.3">
      <c r="B52" s="64"/>
      <c r="C52" s="8">
        <v>2</v>
      </c>
      <c r="D52" s="9">
        <f xml:space="preserve"> N51</f>
        <v>8624531.543369744</v>
      </c>
      <c r="E52" s="42">
        <f t="shared" si="2"/>
        <v>32994629.537961859</v>
      </c>
      <c r="F52" s="9">
        <f t="shared" ref="F52:F62" si="10" xml:space="preserve"> H51 + D52 - K52</f>
        <v>92221581.98832491</v>
      </c>
      <c r="G52" s="8">
        <v>1.7999999999999999E-2</v>
      </c>
      <c r="H52" s="9">
        <f t="shared" si="8"/>
        <v>93881570.464114755</v>
      </c>
      <c r="I52" s="9"/>
      <c r="J52" s="9">
        <f t="shared" si="7"/>
        <v>126876200.00207661</v>
      </c>
      <c r="K52" s="48">
        <v>0</v>
      </c>
      <c r="L52" s="10"/>
      <c r="M52" s="56"/>
      <c r="S52" s="9"/>
    </row>
    <row r="53" spans="1:19" s="8" customFormat="1" x14ac:dyDescent="0.3">
      <c r="B53" s="64"/>
      <c r="C53" s="8">
        <v>3</v>
      </c>
      <c r="D53" s="9">
        <f xml:space="preserve"> N51</f>
        <v>8624531.543369744</v>
      </c>
      <c r="E53" s="42">
        <f t="shared" si="2"/>
        <v>33995732.869645171</v>
      </c>
      <c r="F53" s="9">
        <f t="shared" si="10"/>
        <v>102506102.0074845</v>
      </c>
      <c r="G53" s="8">
        <v>1.7999999999999999E-2</v>
      </c>
      <c r="H53" s="9">
        <f t="shared" si="8"/>
        <v>104351211.84361921</v>
      </c>
      <c r="I53" s="9"/>
      <c r="J53" s="9">
        <f t="shared" si="7"/>
        <v>138346944.71326438</v>
      </c>
      <c r="K53" s="48">
        <v>0</v>
      </c>
      <c r="L53" s="10"/>
      <c r="M53" s="56"/>
      <c r="S53" s="9"/>
    </row>
    <row r="54" spans="1:19" s="8" customFormat="1" x14ac:dyDescent="0.3">
      <c r="B54" s="64"/>
      <c r="C54" s="8">
        <v>4</v>
      </c>
      <c r="D54" s="9">
        <f xml:space="preserve"> N51</f>
        <v>8624531.543369744</v>
      </c>
      <c r="E54" s="42">
        <f t="shared" si="2"/>
        <v>35014856.061298788</v>
      </c>
      <c r="F54" s="9">
        <f t="shared" si="10"/>
        <v>112975743.38698895</v>
      </c>
      <c r="G54" s="8">
        <v>1.7999999999999999E-2</v>
      </c>
      <c r="H54" s="9">
        <f t="shared" si="8"/>
        <v>115009306.76795475</v>
      </c>
      <c r="I54" s="9"/>
      <c r="J54" s="9">
        <f t="shared" si="7"/>
        <v>150024162.82925355</v>
      </c>
      <c r="K54" s="48">
        <v>0</v>
      </c>
      <c r="L54" s="10"/>
      <c r="M54" s="56"/>
      <c r="S54" s="9"/>
    </row>
    <row r="55" spans="1:19" s="8" customFormat="1" x14ac:dyDescent="0.3">
      <c r="B55" s="64"/>
      <c r="C55" s="8">
        <v>5</v>
      </c>
      <c r="D55" s="9">
        <f xml:space="preserve"> N51</f>
        <v>8624531.543369744</v>
      </c>
      <c r="E55" s="42">
        <f t="shared" si="2"/>
        <v>36052323.470402166</v>
      </c>
      <c r="F55" s="9">
        <f t="shared" si="10"/>
        <v>120236592.14272603</v>
      </c>
      <c r="G55" s="8">
        <v>1.7999999999999999E-2</v>
      </c>
      <c r="H55" s="9">
        <f t="shared" si="8"/>
        <v>122400850.8012951</v>
      </c>
      <c r="I55" s="9"/>
      <c r="J55" s="9">
        <f t="shared" si="7"/>
        <v>158453174.27169728</v>
      </c>
      <c r="K55" s="48">
        <f xml:space="preserve"> Q50</f>
        <v>3397246.1685984507</v>
      </c>
      <c r="L55" s="10"/>
      <c r="M55" s="56"/>
      <c r="S55" s="9"/>
    </row>
    <row r="56" spans="1:19" s="8" customFormat="1" x14ac:dyDescent="0.3">
      <c r="B56" s="64"/>
      <c r="C56" s="8">
        <v>6</v>
      </c>
      <c r="D56" s="9">
        <f xml:space="preserve"> N51</f>
        <v>8624531.543369744</v>
      </c>
      <c r="E56" s="42">
        <f t="shared" si="2"/>
        <v>37108465.292869404</v>
      </c>
      <c r="F56" s="9">
        <f t="shared" si="10"/>
        <v>131025382.34466484</v>
      </c>
      <c r="G56" s="8">
        <v>1.7999999999999999E-2</v>
      </c>
      <c r="H56" s="9">
        <f t="shared" si="8"/>
        <v>133383839.22686881</v>
      </c>
      <c r="I56" s="9"/>
      <c r="J56" s="9">
        <f t="shared" si="7"/>
        <v>170492304.5197382</v>
      </c>
      <c r="K56" s="48">
        <v>0</v>
      </c>
      <c r="L56" s="10"/>
      <c r="M56" s="56"/>
      <c r="S56" s="9"/>
    </row>
    <row r="57" spans="1:19" s="8" customFormat="1" x14ac:dyDescent="0.3">
      <c r="B57" s="64"/>
      <c r="C57" s="8">
        <v>7</v>
      </c>
      <c r="D57" s="9">
        <f xml:space="preserve"> N51</f>
        <v>8624531.543369744</v>
      </c>
      <c r="E57" s="42">
        <f t="shared" si="2"/>
        <v>38183617.668141052</v>
      </c>
      <c r="F57" s="9">
        <f t="shared" si="10"/>
        <v>142008370.77023855</v>
      </c>
      <c r="G57" s="8">
        <v>1.7999999999999999E-2</v>
      </c>
      <c r="H57" s="9">
        <f t="shared" si="8"/>
        <v>144564521.44410285</v>
      </c>
      <c r="I57" s="9"/>
      <c r="J57" s="9">
        <f t="shared" si="7"/>
        <v>182748139.11224389</v>
      </c>
      <c r="K57" s="48">
        <v>0</v>
      </c>
      <c r="L57" s="10"/>
      <c r="M57" s="56"/>
      <c r="S57" s="9"/>
    </row>
    <row r="58" spans="1:19" s="8" customFormat="1" x14ac:dyDescent="0.3">
      <c r="B58" s="64"/>
      <c r="C58" s="8">
        <v>8</v>
      </c>
      <c r="D58" s="9">
        <f xml:space="preserve"> N51</f>
        <v>8624531.543369744</v>
      </c>
      <c r="E58" s="42">
        <f t="shared" si="2"/>
        <v>39278122.786167592</v>
      </c>
      <c r="F58" s="9">
        <f t="shared" si="10"/>
        <v>153189052.98747259</v>
      </c>
      <c r="G58" s="8">
        <v>1.7999999999999999E-2</v>
      </c>
      <c r="H58" s="9">
        <f t="shared" si="8"/>
        <v>155946455.94124711</v>
      </c>
      <c r="I58" s="9"/>
      <c r="J58" s="9">
        <f t="shared" si="7"/>
        <v>195224578.7274147</v>
      </c>
      <c r="K58" s="48">
        <v>0</v>
      </c>
      <c r="L58" s="10"/>
      <c r="M58" s="56"/>
      <c r="S58" s="9"/>
    </row>
    <row r="59" spans="1:19" s="8" customFormat="1" x14ac:dyDescent="0.3">
      <c r="B59" s="64"/>
      <c r="C59" s="8">
        <v>9</v>
      </c>
      <c r="D59" s="9">
        <f xml:space="preserve"> N51</f>
        <v>8624531.543369744</v>
      </c>
      <c r="E59" s="42">
        <f t="shared" si="2"/>
        <v>40392328.996318609</v>
      </c>
      <c r="F59" s="9">
        <f t="shared" si="10"/>
        <v>164570987.48461685</v>
      </c>
      <c r="G59" s="8">
        <v>1.7999999999999999E-2</v>
      </c>
      <c r="H59" s="9">
        <f t="shared" si="8"/>
        <v>167533265.25933996</v>
      </c>
      <c r="I59" s="9"/>
      <c r="J59" s="9">
        <f t="shared" si="7"/>
        <v>207925594.25565857</v>
      </c>
      <c r="K59" s="48">
        <v>0</v>
      </c>
      <c r="L59" s="10"/>
      <c r="M59" s="56"/>
      <c r="S59" s="9"/>
    </row>
    <row r="60" spans="1:19" s="8" customFormat="1" x14ac:dyDescent="0.3">
      <c r="B60" s="64"/>
      <c r="C60" s="8">
        <v>10</v>
      </c>
      <c r="D60" s="9">
        <f xml:space="preserve"> N51</f>
        <v>8624531.543369744</v>
      </c>
      <c r="E60" s="42">
        <f t="shared" si="2"/>
        <v>41526590.918252341</v>
      </c>
      <c r="F60" s="9">
        <f t="shared" si="10"/>
        <v>176157796.8027097</v>
      </c>
      <c r="G60" s="8">
        <v>1.7999999999999999E-2</v>
      </c>
      <c r="H60" s="9">
        <f t="shared" si="8"/>
        <v>179328637.14515847</v>
      </c>
      <c r="I60" s="9"/>
      <c r="J60" s="9">
        <f t="shared" si="7"/>
        <v>220855228.06341082</v>
      </c>
      <c r="K60" s="48">
        <v>0</v>
      </c>
      <c r="L60" s="10"/>
      <c r="M60" s="56"/>
      <c r="S60" s="9"/>
    </row>
    <row r="61" spans="1:19" s="8" customFormat="1" x14ac:dyDescent="0.3">
      <c r="B61" s="64"/>
      <c r="C61" s="8">
        <v>11</v>
      </c>
      <c r="D61" s="9">
        <f xml:space="preserve"> N51</f>
        <v>8624531.543369744</v>
      </c>
      <c r="E61" s="42">
        <f t="shared" si="2"/>
        <v>42681269.554780886</v>
      </c>
      <c r="F61" s="9">
        <f t="shared" si="10"/>
        <v>187953168.68852821</v>
      </c>
      <c r="G61" s="8">
        <v>1.7999999999999999E-2</v>
      </c>
      <c r="H61" s="9">
        <f t="shared" si="8"/>
        <v>191336325.7249217</v>
      </c>
      <c r="I61" s="9"/>
      <c r="J61" s="9">
        <f t="shared" si="7"/>
        <v>234017595.2797026</v>
      </c>
      <c r="K61" s="48">
        <v>0</v>
      </c>
      <c r="L61" s="10"/>
      <c r="M61" s="56"/>
      <c r="S61" s="9"/>
    </row>
    <row r="62" spans="1:19" s="18" customFormat="1" x14ac:dyDescent="0.3">
      <c r="B62" s="64"/>
      <c r="C62" s="18">
        <v>12</v>
      </c>
      <c r="D62" s="19">
        <f xml:space="preserve"> N51</f>
        <v>8624531.543369744</v>
      </c>
      <c r="E62" s="19">
        <f t="shared" si="2"/>
        <v>43856732.406766944</v>
      </c>
      <c r="F62" s="19">
        <f t="shared" si="10"/>
        <v>199960857.26829144</v>
      </c>
      <c r="G62" s="18">
        <v>1.7999999999999999E-2</v>
      </c>
      <c r="H62" s="19">
        <f t="shared" si="8"/>
        <v>203560152.6991207</v>
      </c>
      <c r="I62" s="19">
        <f xml:space="preserve"> H62</f>
        <v>203560152.6991207</v>
      </c>
      <c r="J62" s="19">
        <f t="shared" si="7"/>
        <v>247416885.10588765</v>
      </c>
      <c r="K62" s="51">
        <v>0</v>
      </c>
      <c r="L62" s="20">
        <f xml:space="preserve"> I62 / 2</f>
        <v>101780076.34956035</v>
      </c>
      <c r="M62" s="59">
        <f xml:space="preserve"> (F51 + SUM(D52:D62)) - SUM(K52:K62)</f>
        <v>173591510.87227538</v>
      </c>
      <c r="N62" s="19">
        <f xml:space="preserve"> H62 - M62</f>
        <v>29968641.826845318</v>
      </c>
      <c r="O62" s="18">
        <v>0.84</v>
      </c>
      <c r="P62" s="19">
        <f xml:space="preserve"> N62 * O62</f>
        <v>25173659.134550065</v>
      </c>
      <c r="Q62" s="19">
        <f xml:space="preserve"> N62 - P62</f>
        <v>4794982.6922952533</v>
      </c>
      <c r="R62" s="18">
        <f xml:space="preserve"> N62 / M62 * 100</f>
        <v>17.263886739770097</v>
      </c>
      <c r="S62" s="19"/>
    </row>
    <row r="63" spans="1:19" s="8" customFormat="1" x14ac:dyDescent="0.3">
      <c r="A63" s="8">
        <v>6</v>
      </c>
      <c r="B63" s="64">
        <v>2027</v>
      </c>
      <c r="C63" s="8">
        <v>1</v>
      </c>
      <c r="D63" s="9">
        <f>N63</f>
        <v>10981673.029130029</v>
      </c>
      <c r="E63" s="42">
        <f t="shared" si="2"/>
        <v>45053353.590088747</v>
      </c>
      <c r="F63" s="9">
        <f xml:space="preserve"> (H62 / 2) + D63 - K63</f>
        <v>112761749.37869038</v>
      </c>
      <c r="G63" s="8">
        <v>1.7999999999999999E-2</v>
      </c>
      <c r="H63" s="9">
        <f t="shared" si="8"/>
        <v>114791460.8675068</v>
      </c>
      <c r="I63" s="9"/>
      <c r="J63" s="9">
        <f t="shared" si="7"/>
        <v>159844814.45759556</v>
      </c>
      <c r="K63" s="48">
        <v>0</v>
      </c>
      <c r="L63" s="10"/>
      <c r="M63" s="56"/>
      <c r="N63" s="11">
        <f xml:space="preserve"> (L62 / 12) +2500000</f>
        <v>10981673.029130029</v>
      </c>
      <c r="P63" s="9">
        <f xml:space="preserve"> (H62 / 2 )</f>
        <v>101780076.34956035</v>
      </c>
      <c r="S63" s="9"/>
    </row>
    <row r="64" spans="1:19" s="8" customFormat="1" x14ac:dyDescent="0.3">
      <c r="B64" s="64"/>
      <c r="C64" s="8">
        <v>2</v>
      </c>
      <c r="D64" s="9">
        <f>N63</f>
        <v>10981673.029130029</v>
      </c>
      <c r="E64" s="42">
        <f t="shared" si="2"/>
        <v>46271513.954710342</v>
      </c>
      <c r="F64" s="9">
        <f t="shared" ref="F64:F74" si="11" xml:space="preserve"> H63 + D64 - K64</f>
        <v>125773133.89663683</v>
      </c>
      <c r="G64" s="8">
        <v>1.7999999999999999E-2</v>
      </c>
      <c r="H64" s="9">
        <f t="shared" si="8"/>
        <v>128037050.30677629</v>
      </c>
      <c r="I64" s="9"/>
      <c r="J64" s="9">
        <f t="shared" si="7"/>
        <v>174308564.26148662</v>
      </c>
      <c r="K64" s="48">
        <v>0</v>
      </c>
      <c r="L64" s="10"/>
      <c r="M64" s="56"/>
      <c r="S64" s="9"/>
    </row>
    <row r="65" spans="1:19" s="8" customFormat="1" x14ac:dyDescent="0.3">
      <c r="B65" s="64"/>
      <c r="C65" s="8">
        <v>3</v>
      </c>
      <c r="D65" s="9">
        <f>N63</f>
        <v>10981673.029130029</v>
      </c>
      <c r="E65" s="42">
        <f t="shared" si="2"/>
        <v>47511601.205895126</v>
      </c>
      <c r="F65" s="9">
        <f t="shared" si="11"/>
        <v>139018723.33590633</v>
      </c>
      <c r="G65" s="8">
        <v>1.7999999999999999E-2</v>
      </c>
      <c r="H65" s="9">
        <f t="shared" si="8"/>
        <v>141521060.35595265</v>
      </c>
      <c r="I65" s="9"/>
      <c r="J65" s="9">
        <f t="shared" si="7"/>
        <v>189032661.56184778</v>
      </c>
      <c r="K65" s="48">
        <v>0</v>
      </c>
      <c r="L65" s="10"/>
      <c r="M65" s="56"/>
      <c r="S65" s="9"/>
    </row>
    <row r="66" spans="1:19" s="8" customFormat="1" x14ac:dyDescent="0.3">
      <c r="B66" s="64"/>
      <c r="C66" s="8">
        <v>4</v>
      </c>
      <c r="D66" s="9">
        <f>N63</f>
        <v>10981673.029130029</v>
      </c>
      <c r="E66" s="42">
        <f t="shared" si="2"/>
        <v>48774010.027601235</v>
      </c>
      <c r="F66" s="9">
        <f t="shared" si="11"/>
        <v>152502733.38508269</v>
      </c>
      <c r="G66" s="8">
        <v>1.7999999999999999E-2</v>
      </c>
      <c r="H66" s="9">
        <f t="shared" si="8"/>
        <v>155247782.58601418</v>
      </c>
      <c r="I66" s="9"/>
      <c r="J66" s="9">
        <f t="shared" si="7"/>
        <v>204021792.61361542</v>
      </c>
      <c r="K66" s="48">
        <v>0</v>
      </c>
      <c r="L66" s="10"/>
      <c r="M66" s="56"/>
      <c r="S66" s="9"/>
    </row>
    <row r="67" spans="1:19" s="8" customFormat="1" x14ac:dyDescent="0.3">
      <c r="B67" s="64"/>
      <c r="C67" s="8">
        <v>5</v>
      </c>
      <c r="D67" s="9">
        <f>N63</f>
        <v>10981673.029130029</v>
      </c>
      <c r="E67" s="42">
        <f t="shared" si="2"/>
        <v>50059142.208098054</v>
      </c>
      <c r="F67" s="9">
        <f t="shared" si="11"/>
        <v>161434472.92284897</v>
      </c>
      <c r="G67" s="8">
        <v>1.7999999999999999E-2</v>
      </c>
      <c r="H67" s="9">
        <f t="shared" si="8"/>
        <v>164340293.43546024</v>
      </c>
      <c r="I67" s="9"/>
      <c r="J67" s="9">
        <f t="shared" si="7"/>
        <v>214399435.64355829</v>
      </c>
      <c r="K67" s="48">
        <f xml:space="preserve"> Q62</f>
        <v>4794982.6922952533</v>
      </c>
      <c r="L67" s="10"/>
      <c r="M67" s="56"/>
      <c r="S67" s="9"/>
    </row>
    <row r="68" spans="1:19" s="8" customFormat="1" x14ac:dyDescent="0.3">
      <c r="B68" s="64"/>
      <c r="C68" s="8">
        <v>6</v>
      </c>
      <c r="D68" s="9">
        <f>N63</f>
        <v>10981673.029130029</v>
      </c>
      <c r="E68" s="42">
        <f t="shared" si="2"/>
        <v>51367406.76784382</v>
      </c>
      <c r="F68" s="9">
        <f t="shared" si="11"/>
        <v>175321966.46459028</v>
      </c>
      <c r="G68" s="8">
        <v>1.7999999999999999E-2</v>
      </c>
      <c r="H68" s="9">
        <f t="shared" si="8"/>
        <v>178477761.86095291</v>
      </c>
      <c r="I68" s="9"/>
      <c r="J68" s="9">
        <f t="shared" si="7"/>
        <v>229845168.62879673</v>
      </c>
      <c r="K68" s="48">
        <f xml:space="preserve"> Q63</f>
        <v>0</v>
      </c>
      <c r="L68" s="10"/>
      <c r="M68" s="56"/>
      <c r="S68" s="9"/>
    </row>
    <row r="69" spans="1:19" s="8" customFormat="1" x14ac:dyDescent="0.3">
      <c r="B69" s="64"/>
      <c r="C69" s="8">
        <v>7</v>
      </c>
      <c r="D69" s="9">
        <f>N63</f>
        <v>10981673.029130029</v>
      </c>
      <c r="E69" s="42">
        <f t="shared" si="2"/>
        <v>52699220.089665011</v>
      </c>
      <c r="F69" s="9">
        <f t="shared" si="11"/>
        <v>189459434.89008296</v>
      </c>
      <c r="G69" s="8">
        <v>1.7999999999999999E-2</v>
      </c>
      <c r="H69" s="9">
        <f t="shared" si="8"/>
        <v>192869704.71810445</v>
      </c>
      <c r="I69" s="9"/>
      <c r="J69" s="9">
        <f t="shared" si="7"/>
        <v>245568924.80776948</v>
      </c>
      <c r="K69" s="48">
        <v>0</v>
      </c>
      <c r="L69" s="10"/>
      <c r="M69" s="56"/>
      <c r="S69" s="9"/>
    </row>
    <row r="70" spans="1:19" s="8" customFormat="1" x14ac:dyDescent="0.3">
      <c r="B70" s="64"/>
      <c r="C70" s="8">
        <v>8</v>
      </c>
      <c r="D70" s="9">
        <f>N63</f>
        <v>10981673.029130029</v>
      </c>
      <c r="E70" s="42">
        <f t="shared" si="2"/>
        <v>54055006.051278979</v>
      </c>
      <c r="F70" s="9">
        <f t="shared" si="11"/>
        <v>203851377.74723449</v>
      </c>
      <c r="G70" s="8">
        <v>1.7999999999999999E-2</v>
      </c>
      <c r="H70" s="9">
        <f t="shared" si="8"/>
        <v>207520702.54668471</v>
      </c>
      <c r="I70" s="9"/>
      <c r="J70" s="9">
        <f t="shared" si="7"/>
        <v>261575708.59796369</v>
      </c>
      <c r="K70" s="48">
        <v>0</v>
      </c>
      <c r="L70" s="10"/>
      <c r="M70" s="56"/>
      <c r="S70" s="9"/>
    </row>
    <row r="71" spans="1:19" s="8" customFormat="1" x14ac:dyDescent="0.3">
      <c r="B71" s="64"/>
      <c r="C71" s="8">
        <v>9</v>
      </c>
      <c r="D71" s="9">
        <f>N63</f>
        <v>10981673.029130029</v>
      </c>
      <c r="E71" s="42">
        <f t="shared" si="2"/>
        <v>55435196.160201997</v>
      </c>
      <c r="F71" s="9">
        <f t="shared" si="11"/>
        <v>218502375.57581475</v>
      </c>
      <c r="G71" s="8">
        <v>1.7999999999999999E-2</v>
      </c>
      <c r="H71" s="9">
        <f t="shared" si="8"/>
        <v>222435418.33617941</v>
      </c>
      <c r="I71" s="9"/>
      <c r="J71" s="9">
        <f t="shared" si="7"/>
        <v>277870614.4963814</v>
      </c>
      <c r="K71" s="48">
        <v>0</v>
      </c>
      <c r="L71" s="10"/>
      <c r="M71" s="56"/>
      <c r="S71" s="9"/>
    </row>
    <row r="72" spans="1:19" s="8" customFormat="1" x14ac:dyDescent="0.3">
      <c r="B72" s="64"/>
      <c r="C72" s="8">
        <v>10</v>
      </c>
      <c r="D72" s="9">
        <f>N63</f>
        <v>10981673.029130029</v>
      </c>
      <c r="E72" s="42">
        <f t="shared" si="2"/>
        <v>56840229.691085629</v>
      </c>
      <c r="F72" s="9">
        <f t="shared" si="11"/>
        <v>233417091.36530945</v>
      </c>
      <c r="G72" s="8">
        <v>1.7999999999999999E-2</v>
      </c>
      <c r="H72" s="9">
        <f t="shared" si="8"/>
        <v>237618599.00988501</v>
      </c>
      <c r="I72" s="9"/>
      <c r="J72" s="9">
        <f t="shared" si="7"/>
        <v>294458828.70097065</v>
      </c>
      <c r="K72" s="48">
        <v>0</v>
      </c>
      <c r="L72" s="10"/>
      <c r="M72" s="56"/>
      <c r="S72" s="9"/>
    </row>
    <row r="73" spans="1:19" s="8" customFormat="1" x14ac:dyDescent="0.3">
      <c r="B73" s="64"/>
      <c r="C73" s="8">
        <v>11</v>
      </c>
      <c r="D73" s="9">
        <f>N63</f>
        <v>10981673.029130029</v>
      </c>
      <c r="E73" s="42">
        <f t="shared" si="2"/>
        <v>58270553.825525172</v>
      </c>
      <c r="F73" s="9">
        <f t="shared" si="11"/>
        <v>248600272.03901505</v>
      </c>
      <c r="G73" s="8">
        <v>1.7999999999999999E-2</v>
      </c>
      <c r="H73" s="9">
        <f t="shared" si="8"/>
        <v>253075076.93571731</v>
      </c>
      <c r="I73" s="9"/>
      <c r="J73" s="9">
        <f t="shared" si="7"/>
        <v>311345630.76124251</v>
      </c>
      <c r="K73" s="48">
        <v>0</v>
      </c>
      <c r="L73" s="10"/>
      <c r="M73" s="56"/>
      <c r="S73" s="9"/>
    </row>
    <row r="74" spans="1:19" s="18" customFormat="1" x14ac:dyDescent="0.3">
      <c r="B74" s="64"/>
      <c r="C74" s="18">
        <v>12</v>
      </c>
      <c r="D74" s="19">
        <f>N63</f>
        <v>10981673.029130029</v>
      </c>
      <c r="E74" s="19">
        <f t="shared" si="2"/>
        <v>59726623.794384629</v>
      </c>
      <c r="F74" s="19">
        <f t="shared" si="11"/>
        <v>264056749.96484736</v>
      </c>
      <c r="G74" s="18">
        <v>1.7999999999999999E-2</v>
      </c>
      <c r="H74" s="19">
        <f t="shared" si="8"/>
        <v>268809771.46421462</v>
      </c>
      <c r="I74" s="19">
        <f xml:space="preserve"> H74</f>
        <v>268809771.46421462</v>
      </c>
      <c r="J74" s="19">
        <f t="shared" si="7"/>
        <v>328536395.25859928</v>
      </c>
      <c r="K74" s="51">
        <v>0</v>
      </c>
      <c r="L74" s="20">
        <f xml:space="preserve"> I74 / 2</f>
        <v>134404885.73210731</v>
      </c>
      <c r="M74" s="59">
        <f xml:space="preserve"> (F63 + SUM(D64:D74)) - SUM(K64:K74)</f>
        <v>228765170.00682545</v>
      </c>
      <c r="N74" s="19">
        <f xml:space="preserve"> H74 - M74</f>
        <v>40044601.457389176</v>
      </c>
      <c r="O74" s="18">
        <v>0.84</v>
      </c>
      <c r="P74" s="19">
        <f xml:space="preserve"> N74 * O74</f>
        <v>33637465.22420691</v>
      </c>
      <c r="Q74" s="19">
        <f xml:space="preserve"> N74 - P74</f>
        <v>6407136.2331822664</v>
      </c>
      <c r="R74" s="18">
        <f xml:space="preserve"> N74 / M74 * 100</f>
        <v>17.504675845625627</v>
      </c>
      <c r="S74" s="19"/>
    </row>
    <row r="75" spans="1:19" s="8" customFormat="1" x14ac:dyDescent="0.3">
      <c r="A75" s="8">
        <v>7</v>
      </c>
      <c r="B75" s="64">
        <v>2028</v>
      </c>
      <c r="C75" s="8">
        <v>1</v>
      </c>
      <c r="D75" s="9">
        <f xml:space="preserve"> N75</f>
        <v>13700407.144342275</v>
      </c>
      <c r="E75" s="42">
        <f t="shared" si="2"/>
        <v>61208903.022683553</v>
      </c>
      <c r="F75" s="9">
        <f xml:space="preserve"> (H74 / 2) + D75 - K75</f>
        <v>148105292.87644958</v>
      </c>
      <c r="G75" s="8">
        <v>1.7999999999999999E-2</v>
      </c>
      <c r="H75" s="9">
        <f t="shared" si="8"/>
        <v>150771188.14822567</v>
      </c>
      <c r="I75" s="9"/>
      <c r="J75" s="9">
        <f t="shared" si="7"/>
        <v>211980091.17090923</v>
      </c>
      <c r="K75" s="48">
        <v>0</v>
      </c>
      <c r="L75" s="10"/>
      <c r="M75" s="56"/>
      <c r="N75" s="11">
        <f xml:space="preserve"> (L74 / 12) +2500000</f>
        <v>13700407.144342275</v>
      </c>
      <c r="P75" s="9">
        <f xml:space="preserve"> (H74 / 2 )</f>
        <v>134404885.73210731</v>
      </c>
      <c r="S75" s="9"/>
    </row>
    <row r="76" spans="1:19" s="8" customFormat="1" x14ac:dyDescent="0.3">
      <c r="B76" s="64"/>
      <c r="C76" s="8">
        <v>2</v>
      </c>
      <c r="D76" s="9">
        <f xml:space="preserve"> N75</f>
        <v>13700407.144342275</v>
      </c>
      <c r="E76" s="42">
        <f t="shared" si="2"/>
        <v>62717863.277091861</v>
      </c>
      <c r="F76" s="9">
        <f t="shared" ref="F76:F86" si="12" xml:space="preserve"> H75 + D76 - K76</f>
        <v>164471595.29256794</v>
      </c>
      <c r="G76" s="8">
        <v>1.7999999999999999E-2</v>
      </c>
      <c r="H76" s="9">
        <f t="shared" si="8"/>
        <v>167432084.00783417</v>
      </c>
      <c r="I76" s="9"/>
      <c r="J76" s="9">
        <f t="shared" si="7"/>
        <v>230149947.28492603</v>
      </c>
      <c r="K76" s="48">
        <v>0</v>
      </c>
      <c r="L76" s="10"/>
      <c r="M76" s="56"/>
      <c r="S76" s="9"/>
    </row>
    <row r="77" spans="1:19" s="8" customFormat="1" x14ac:dyDescent="0.3">
      <c r="B77" s="64"/>
      <c r="C77" s="8">
        <v>3</v>
      </c>
      <c r="D77" s="9">
        <f xml:space="preserve"> N75</f>
        <v>13700407.144342275</v>
      </c>
      <c r="E77" s="42">
        <f t="shared" si="2"/>
        <v>64253984.816079512</v>
      </c>
      <c r="F77" s="9">
        <f t="shared" si="12"/>
        <v>181132491.15217644</v>
      </c>
      <c r="G77" s="8">
        <v>1.7999999999999999E-2</v>
      </c>
      <c r="H77" s="9">
        <f t="shared" si="8"/>
        <v>184392875.99291563</v>
      </c>
      <c r="I77" s="9"/>
      <c r="J77" s="9">
        <f t="shared" si="7"/>
        <v>248646860.80899513</v>
      </c>
      <c r="K77" s="48">
        <v>0</v>
      </c>
      <c r="L77" s="10"/>
      <c r="M77" s="56"/>
      <c r="S77" s="9"/>
    </row>
    <row r="78" spans="1:19" s="8" customFormat="1" x14ac:dyDescent="0.3">
      <c r="B78" s="64"/>
      <c r="C78" s="8">
        <v>4</v>
      </c>
      <c r="D78" s="9">
        <f xml:space="preserve"> N75</f>
        <v>13700407.144342275</v>
      </c>
      <c r="E78" s="42">
        <f t="shared" ref="E78:E134" si="13" xml:space="preserve"> (E77 + 400000) + ((E77 + 400000) * G78 )</f>
        <v>65817756.54276894</v>
      </c>
      <c r="F78" s="9">
        <f t="shared" si="12"/>
        <v>198093283.1372579</v>
      </c>
      <c r="G78" s="8">
        <v>1.7999999999999999E-2</v>
      </c>
      <c r="H78" s="9">
        <f t="shared" si="8"/>
        <v>201658962.23372856</v>
      </c>
      <c r="I78" s="9"/>
      <c r="J78" s="9">
        <f t="shared" si="7"/>
        <v>267476718.77649748</v>
      </c>
      <c r="K78" s="48">
        <v>0</v>
      </c>
      <c r="L78" s="10"/>
      <c r="M78" s="56"/>
      <c r="S78" s="9"/>
    </row>
    <row r="79" spans="1:19" s="8" customFormat="1" x14ac:dyDescent="0.3">
      <c r="B79" s="64"/>
      <c r="C79" s="8">
        <v>5</v>
      </c>
      <c r="D79" s="9">
        <f xml:space="preserve"> N75</f>
        <v>13700407.144342275</v>
      </c>
      <c r="E79" s="42">
        <f t="shared" si="13"/>
        <v>67409676.160538778</v>
      </c>
      <c r="F79" s="9">
        <f t="shared" si="12"/>
        <v>208952233.14488858</v>
      </c>
      <c r="G79" s="8">
        <v>1.7999999999999999E-2</v>
      </c>
      <c r="H79" s="9">
        <f t="shared" si="8"/>
        <v>212713373.34149659</v>
      </c>
      <c r="I79" s="9"/>
      <c r="J79" s="9">
        <f t="shared" si="7"/>
        <v>280123049.50203538</v>
      </c>
      <c r="K79" s="48">
        <f xml:space="preserve"> Q74</f>
        <v>6407136.2331822664</v>
      </c>
      <c r="L79" s="10"/>
      <c r="M79" s="56"/>
      <c r="S79" s="9"/>
    </row>
    <row r="80" spans="1:19" s="8" customFormat="1" x14ac:dyDescent="0.3">
      <c r="B80" s="64"/>
      <c r="C80" s="8">
        <v>6</v>
      </c>
      <c r="D80" s="9">
        <f xml:space="preserve"> N75</f>
        <v>13700407.144342275</v>
      </c>
      <c r="E80" s="42">
        <f t="shared" si="13"/>
        <v>69030250.331428468</v>
      </c>
      <c r="F80" s="9">
        <f t="shared" si="12"/>
        <v>226413780.48583886</v>
      </c>
      <c r="G80" s="8">
        <v>1.7999999999999999E-2</v>
      </c>
      <c r="H80" s="9">
        <f t="shared" si="8"/>
        <v>230489228.53458396</v>
      </c>
      <c r="I80" s="9"/>
      <c r="J80" s="9">
        <f t="shared" si="7"/>
        <v>299519478.86601245</v>
      </c>
      <c r="K80" s="48">
        <v>0</v>
      </c>
      <c r="L80" s="10"/>
      <c r="M80" s="56"/>
      <c r="S80" s="9"/>
    </row>
    <row r="81" spans="1:19" s="8" customFormat="1" x14ac:dyDescent="0.3">
      <c r="B81" s="64"/>
      <c r="C81" s="8">
        <v>7</v>
      </c>
      <c r="D81" s="9">
        <f xml:space="preserve"> N75</f>
        <v>13700407.144342275</v>
      </c>
      <c r="E81" s="42">
        <f t="shared" si="13"/>
        <v>70679994.837394178</v>
      </c>
      <c r="F81" s="9">
        <f t="shared" si="12"/>
        <v>244189635.67892623</v>
      </c>
      <c r="G81" s="8">
        <v>1.7999999999999999E-2</v>
      </c>
      <c r="H81" s="9">
        <f t="shared" si="8"/>
        <v>248585049.12114689</v>
      </c>
      <c r="I81" s="9"/>
      <c r="J81" s="9">
        <f t="shared" si="7"/>
        <v>319265043.95854104</v>
      </c>
      <c r="K81" s="48">
        <v>0</v>
      </c>
      <c r="L81" s="10"/>
      <c r="M81" s="56"/>
      <c r="S81" s="9"/>
    </row>
    <row r="82" spans="1:19" s="8" customFormat="1" x14ac:dyDescent="0.3">
      <c r="B82" s="64"/>
      <c r="C82" s="8">
        <v>8</v>
      </c>
      <c r="D82" s="9">
        <f xml:space="preserve"> N75</f>
        <v>13700407.144342275</v>
      </c>
      <c r="E82" s="42">
        <f t="shared" si="13"/>
        <v>72359434.744467273</v>
      </c>
      <c r="F82" s="9">
        <f t="shared" si="12"/>
        <v>262285456.26548916</v>
      </c>
      <c r="G82" s="8">
        <v>1.7999999999999999E-2</v>
      </c>
      <c r="H82" s="9">
        <f t="shared" si="8"/>
        <v>267006594.47826797</v>
      </c>
      <c r="I82" s="9"/>
      <c r="J82" s="9">
        <f t="shared" si="7"/>
        <v>339366029.22273523</v>
      </c>
      <c r="K82" s="48">
        <v>0</v>
      </c>
      <c r="L82" s="10"/>
      <c r="M82" s="56"/>
      <c r="S82" s="9"/>
    </row>
    <row r="83" spans="1:19" s="8" customFormat="1" x14ac:dyDescent="0.3">
      <c r="B83" s="64"/>
      <c r="C83" s="8">
        <v>9</v>
      </c>
      <c r="D83" s="9">
        <f xml:space="preserve"> N75</f>
        <v>13700407.144342275</v>
      </c>
      <c r="E83" s="42">
        <f t="shared" si="13"/>
        <v>74069104.569867685</v>
      </c>
      <c r="F83" s="9">
        <f t="shared" si="12"/>
        <v>280707001.62261027</v>
      </c>
      <c r="G83" s="8">
        <v>1.7999999999999999E-2</v>
      </c>
      <c r="H83" s="9">
        <f t="shared" si="8"/>
        <v>285759727.65181726</v>
      </c>
      <c r="I83" s="9"/>
      <c r="J83" s="9">
        <f t="shared" si="7"/>
        <v>359828832.22168493</v>
      </c>
      <c r="K83" s="48">
        <v>0</v>
      </c>
      <c r="L83" s="10"/>
      <c r="M83" s="56"/>
      <c r="S83" s="9"/>
    </row>
    <row r="84" spans="1:19" s="8" customFormat="1" x14ac:dyDescent="0.3">
      <c r="B84" s="64"/>
      <c r="C84" s="8">
        <v>10</v>
      </c>
      <c r="D84" s="9">
        <f xml:space="preserve"> N75</f>
        <v>13700407.144342275</v>
      </c>
      <c r="E84" s="42">
        <f t="shared" si="13"/>
        <v>75809548.452125311</v>
      </c>
      <c r="F84" s="9">
        <f t="shared" si="12"/>
        <v>299460134.79615957</v>
      </c>
      <c r="G84" s="8">
        <v>1.7999999999999999E-2</v>
      </c>
      <c r="H84" s="9">
        <f t="shared" si="8"/>
        <v>304850417.22249043</v>
      </c>
      <c r="I84" s="9"/>
      <c r="J84" s="9">
        <f t="shared" si="7"/>
        <v>380659965.67461574</v>
      </c>
      <c r="K84" s="48">
        <v>0</v>
      </c>
      <c r="L84" s="10"/>
      <c r="M84" s="56"/>
      <c r="S84" s="9"/>
    </row>
    <row r="85" spans="1:19" s="8" customFormat="1" x14ac:dyDescent="0.3">
      <c r="B85" s="64"/>
      <c r="C85" s="8">
        <v>11</v>
      </c>
      <c r="D85" s="9">
        <f xml:space="preserve"> N75</f>
        <v>13700407.144342275</v>
      </c>
      <c r="E85" s="42">
        <f t="shared" si="13"/>
        <v>77581320.324263573</v>
      </c>
      <c r="F85" s="9">
        <f t="shared" si="12"/>
        <v>318550824.36683273</v>
      </c>
      <c r="G85" s="8">
        <v>1.7999999999999999E-2</v>
      </c>
      <c r="H85" s="9">
        <f t="shared" si="8"/>
        <v>324284739.20543569</v>
      </c>
      <c r="I85" s="9"/>
      <c r="J85" s="9">
        <f t="shared" si="7"/>
        <v>401866059.52969927</v>
      </c>
      <c r="K85" s="48">
        <v>0</v>
      </c>
      <c r="L85" s="10"/>
      <c r="M85" s="56"/>
      <c r="S85" s="9"/>
    </row>
    <row r="86" spans="1:19" s="18" customFormat="1" x14ac:dyDescent="0.3">
      <c r="B86" s="64"/>
      <c r="C86" s="18">
        <v>12</v>
      </c>
      <c r="D86" s="19">
        <f xml:space="preserve"> N75</f>
        <v>13700407.144342275</v>
      </c>
      <c r="E86" s="19">
        <f t="shared" si="13"/>
        <v>79384984.090100318</v>
      </c>
      <c r="F86" s="19">
        <f t="shared" si="12"/>
        <v>337985146.349778</v>
      </c>
      <c r="G86" s="18">
        <v>1.7999999999999999E-2</v>
      </c>
      <c r="H86" s="19">
        <f t="shared" si="8"/>
        <v>344068878.984074</v>
      </c>
      <c r="I86" s="19">
        <f xml:space="preserve"> H86</f>
        <v>344068878.984074</v>
      </c>
      <c r="J86" s="19">
        <f t="shared" si="7"/>
        <v>423453863.07417428</v>
      </c>
      <c r="K86" s="51">
        <v>0</v>
      </c>
      <c r="L86" s="20">
        <f xml:space="preserve"> I86 / 2</f>
        <v>172034439.492037</v>
      </c>
      <c r="M86" s="59">
        <f xml:space="preserve"> (F75 + SUM(D76:D86)) - SUM(K76:K86)</f>
        <v>292402635.23103237</v>
      </c>
      <c r="N86" s="19">
        <f xml:space="preserve"> H86 - M86</f>
        <v>51666243.753041625</v>
      </c>
      <c r="O86" s="18">
        <v>0.84</v>
      </c>
      <c r="P86" s="19">
        <f xml:space="preserve"> N86 * O86</f>
        <v>43399644.752554961</v>
      </c>
      <c r="Q86" s="19">
        <f xml:space="preserve"> N86 - P86</f>
        <v>8266599.0004866645</v>
      </c>
      <c r="R86" s="18">
        <f xml:space="preserve"> N86 / M86 * 100</f>
        <v>17.669554760414261</v>
      </c>
      <c r="S86" s="19"/>
    </row>
    <row r="87" spans="1:19" s="8" customFormat="1" x14ac:dyDescent="0.3">
      <c r="A87" s="8">
        <v>8</v>
      </c>
      <c r="B87" s="64">
        <v>2029</v>
      </c>
      <c r="C87" s="8">
        <v>1</v>
      </c>
      <c r="D87" s="9">
        <f xml:space="preserve"> N87</f>
        <v>16836203.291003086</v>
      </c>
      <c r="E87" s="42">
        <f t="shared" si="13"/>
        <v>81221113.803722128</v>
      </c>
      <c r="F87" s="9">
        <f xml:space="preserve"> (H86 / 2) + D87 - K87</f>
        <v>188870642.78304008</v>
      </c>
      <c r="G87" s="8">
        <v>1.7999999999999999E-2</v>
      </c>
      <c r="H87" s="9">
        <f t="shared" si="8"/>
        <v>192270314.35313481</v>
      </c>
      <c r="I87" s="9"/>
      <c r="J87" s="9">
        <f t="shared" si="7"/>
        <v>273491428.15685695</v>
      </c>
      <c r="K87" s="48">
        <v>0</v>
      </c>
      <c r="L87" s="10"/>
      <c r="M87" s="56"/>
      <c r="N87" s="11">
        <f xml:space="preserve"> (L86 / 12) +2500000</f>
        <v>16836203.291003086</v>
      </c>
      <c r="P87" s="9">
        <f xml:space="preserve"> (H86 / 2 )</f>
        <v>172034439.492037</v>
      </c>
      <c r="S87" s="9"/>
    </row>
    <row r="88" spans="1:19" s="8" customFormat="1" x14ac:dyDescent="0.3">
      <c r="B88" s="64"/>
      <c r="C88" s="8">
        <v>2</v>
      </c>
      <c r="D88" s="9">
        <f xml:space="preserve"> N87</f>
        <v>16836203.291003086</v>
      </c>
      <c r="E88" s="42">
        <f t="shared" si="13"/>
        <v>83090293.852189124</v>
      </c>
      <c r="F88" s="9">
        <f t="shared" ref="F88:F98" si="14" xml:space="preserve"> H87 + D88 - K88</f>
        <v>209106517.64413789</v>
      </c>
      <c r="G88" s="8">
        <v>1.7999999999999999E-2</v>
      </c>
      <c r="H88" s="9">
        <f t="shared" si="8"/>
        <v>212870434.96173236</v>
      </c>
      <c r="I88" s="9"/>
      <c r="J88" s="9">
        <f t="shared" si="7"/>
        <v>295960728.81392145</v>
      </c>
      <c r="K88" s="48">
        <v>0</v>
      </c>
      <c r="L88" s="10"/>
      <c r="M88" s="56"/>
      <c r="S88" s="9"/>
    </row>
    <row r="89" spans="1:19" s="8" customFormat="1" x14ac:dyDescent="0.3">
      <c r="B89" s="64"/>
      <c r="C89" s="8">
        <v>3</v>
      </c>
      <c r="D89" s="9">
        <f xml:space="preserve"> N87</f>
        <v>16836203.291003086</v>
      </c>
      <c r="E89" s="42">
        <f t="shared" si="13"/>
        <v>84993119.141528532</v>
      </c>
      <c r="F89" s="9">
        <f t="shared" si="14"/>
        <v>229706638.25273544</v>
      </c>
      <c r="G89" s="8">
        <v>1.7999999999999999E-2</v>
      </c>
      <c r="H89" s="9">
        <f t="shared" si="8"/>
        <v>233841357.74128467</v>
      </c>
      <c r="I89" s="9"/>
      <c r="J89" s="9">
        <f t="shared" si="7"/>
        <v>318834476.88281322</v>
      </c>
      <c r="K89" s="48">
        <v>0</v>
      </c>
      <c r="L89" s="10"/>
      <c r="M89" s="56"/>
      <c r="S89" s="9"/>
    </row>
    <row r="90" spans="1:19" s="8" customFormat="1" x14ac:dyDescent="0.3">
      <c r="B90" s="64"/>
      <c r="C90" s="8">
        <v>4</v>
      </c>
      <c r="D90" s="9">
        <f xml:space="preserve"> N87</f>
        <v>16836203.291003086</v>
      </c>
      <c r="E90" s="42">
        <f t="shared" si="13"/>
        <v>86930195.286076039</v>
      </c>
      <c r="F90" s="9">
        <f t="shared" si="14"/>
        <v>250677561.03228775</v>
      </c>
      <c r="G90" s="8">
        <v>1.7999999999999999E-2</v>
      </c>
      <c r="H90" s="9">
        <f t="shared" si="8"/>
        <v>255189757.13086891</v>
      </c>
      <c r="I90" s="9"/>
      <c r="J90" s="9">
        <f t="shared" si="7"/>
        <v>342119952.41694498</v>
      </c>
      <c r="K90" s="48">
        <v>0</v>
      </c>
      <c r="L90" s="10"/>
      <c r="M90" s="56"/>
      <c r="S90" s="9"/>
    </row>
    <row r="91" spans="1:19" s="8" customFormat="1" x14ac:dyDescent="0.3">
      <c r="B91" s="64"/>
      <c r="C91" s="8">
        <v>5</v>
      </c>
      <c r="D91" s="9">
        <f xml:space="preserve"> N87</f>
        <v>16836203.291003086</v>
      </c>
      <c r="E91" s="42">
        <f t="shared" si="13"/>
        <v>88902138.801225409</v>
      </c>
      <c r="F91" s="9">
        <f t="shared" si="14"/>
        <v>263759361.42138535</v>
      </c>
      <c r="G91" s="8">
        <v>1.7999999999999999E-2</v>
      </c>
      <c r="H91" s="9">
        <f t="shared" si="8"/>
        <v>268507029.9269703</v>
      </c>
      <c r="I91" s="9"/>
      <c r="J91" s="9">
        <f t="shared" si="7"/>
        <v>357409168.72819573</v>
      </c>
      <c r="K91" s="48">
        <f xml:space="preserve"> Q86</f>
        <v>8266599.0004866645</v>
      </c>
      <c r="L91" s="10"/>
      <c r="M91" s="56"/>
      <c r="S91" s="9"/>
    </row>
    <row r="92" spans="1:19" s="8" customFormat="1" x14ac:dyDescent="0.3">
      <c r="B92" s="64"/>
      <c r="C92" s="8">
        <v>6</v>
      </c>
      <c r="D92" s="9">
        <f xml:space="preserve"> N87</f>
        <v>16836203.291003086</v>
      </c>
      <c r="E92" s="42">
        <f t="shared" si="13"/>
        <v>90909577.299647465</v>
      </c>
      <c r="F92" s="9">
        <f t="shared" si="14"/>
        <v>285343233.21797341</v>
      </c>
      <c r="G92" s="8">
        <v>1.7999999999999999E-2</v>
      </c>
      <c r="H92" s="9">
        <f t="shared" si="8"/>
        <v>290479411.41589695</v>
      </c>
      <c r="I92" s="9"/>
      <c r="J92" s="9">
        <f t="shared" ref="J92:J155" si="15" xml:space="preserve"> E92 + H92</f>
        <v>381388988.7155444</v>
      </c>
      <c r="K92" s="48">
        <v>0</v>
      </c>
      <c r="L92" s="10"/>
      <c r="M92" s="56"/>
      <c r="S92" s="9"/>
    </row>
    <row r="93" spans="1:19" s="8" customFormat="1" x14ac:dyDescent="0.3">
      <c r="B93" s="64"/>
      <c r="C93" s="8">
        <v>7</v>
      </c>
      <c r="D93" s="9">
        <f xml:space="preserve"> N87</f>
        <v>16836203.291003086</v>
      </c>
      <c r="E93" s="42">
        <f t="shared" si="13"/>
        <v>92953149.691041127</v>
      </c>
      <c r="F93" s="9">
        <f t="shared" si="14"/>
        <v>307315614.70690006</v>
      </c>
      <c r="G93" s="8">
        <v>1.7999999999999999E-2</v>
      </c>
      <c r="H93" s="9">
        <f t="shared" si="8"/>
        <v>312847295.77162427</v>
      </c>
      <c r="I93" s="9"/>
      <c r="J93" s="9">
        <f t="shared" si="15"/>
        <v>405800445.46266538</v>
      </c>
      <c r="K93" s="48">
        <v>0</v>
      </c>
      <c r="L93" s="10"/>
      <c r="M93" s="56"/>
      <c r="S93" s="9"/>
    </row>
    <row r="94" spans="1:19" s="8" customFormat="1" x14ac:dyDescent="0.3">
      <c r="B94" s="64"/>
      <c r="C94" s="8">
        <v>8</v>
      </c>
      <c r="D94" s="9">
        <f xml:space="preserve"> N87</f>
        <v>16836203.291003086</v>
      </c>
      <c r="E94" s="42">
        <f t="shared" si="13"/>
        <v>95033506.385479867</v>
      </c>
      <c r="F94" s="9">
        <f t="shared" si="14"/>
        <v>329683499.06262738</v>
      </c>
      <c r="G94" s="8">
        <v>1.7999999999999999E-2</v>
      </c>
      <c r="H94" s="9">
        <f t="shared" ref="H94:H157" si="16" xml:space="preserve"> (F94 * G94) + F94</f>
        <v>335617802.04575467</v>
      </c>
      <c r="I94" s="9"/>
      <c r="J94" s="9">
        <f t="shared" si="15"/>
        <v>430651308.43123454</v>
      </c>
      <c r="K94" s="48">
        <v>0</v>
      </c>
      <c r="L94" s="10"/>
      <c r="M94" s="56"/>
      <c r="S94" s="9"/>
    </row>
    <row r="95" spans="1:19" s="8" customFormat="1" x14ac:dyDescent="0.3">
      <c r="B95" s="64"/>
      <c r="C95" s="8">
        <v>9</v>
      </c>
      <c r="D95" s="9">
        <f xml:space="preserve"> N87</f>
        <v>16836203.291003086</v>
      </c>
      <c r="E95" s="42">
        <f t="shared" si="13"/>
        <v>97151309.500418499</v>
      </c>
      <c r="F95" s="9">
        <f t="shared" si="14"/>
        <v>352454005.33675778</v>
      </c>
      <c r="G95" s="8">
        <v>1.7999999999999999E-2</v>
      </c>
      <c r="H95" s="9">
        <f t="shared" si="16"/>
        <v>358798177.43281943</v>
      </c>
      <c r="I95" s="9"/>
      <c r="J95" s="9">
        <f t="shared" si="15"/>
        <v>455949486.93323791</v>
      </c>
      <c r="K95" s="48">
        <v>0</v>
      </c>
      <c r="L95" s="10"/>
      <c r="M95" s="56"/>
      <c r="S95" s="9"/>
    </row>
    <row r="96" spans="1:19" s="8" customFormat="1" x14ac:dyDescent="0.3">
      <c r="B96" s="64"/>
      <c r="C96" s="8">
        <v>10</v>
      </c>
      <c r="D96" s="9">
        <f xml:space="preserve"> N87</f>
        <v>16836203.291003086</v>
      </c>
      <c r="E96" s="42">
        <f t="shared" si="13"/>
        <v>99307233.071426034</v>
      </c>
      <c r="F96" s="9">
        <f t="shared" si="14"/>
        <v>375634380.72382253</v>
      </c>
      <c r="G96" s="8">
        <v>1.7999999999999999E-2</v>
      </c>
      <c r="H96" s="9">
        <f t="shared" si="16"/>
        <v>382395799.57685137</v>
      </c>
      <c r="I96" s="9"/>
      <c r="J96" s="9">
        <f t="shared" si="15"/>
        <v>481703032.6482774</v>
      </c>
      <c r="K96" s="48">
        <v>0</v>
      </c>
      <c r="L96" s="10"/>
      <c r="M96" s="56"/>
      <c r="S96" s="9"/>
    </row>
    <row r="97" spans="1:19" s="8" customFormat="1" x14ac:dyDescent="0.3">
      <c r="B97" s="64"/>
      <c r="C97" s="8">
        <v>11</v>
      </c>
      <c r="D97" s="9">
        <f xml:space="preserve"> N87</f>
        <v>16836203.291003086</v>
      </c>
      <c r="E97" s="42">
        <f t="shared" si="13"/>
        <v>101501963.2667117</v>
      </c>
      <c r="F97" s="9">
        <f t="shared" si="14"/>
        <v>399232002.86785448</v>
      </c>
      <c r="G97" s="8">
        <v>1.7999999999999999E-2</v>
      </c>
      <c r="H97" s="9">
        <f t="shared" si="16"/>
        <v>406418178.91947585</v>
      </c>
      <c r="I97" s="9"/>
      <c r="J97" s="9">
        <f t="shared" si="15"/>
        <v>507920142.18618757</v>
      </c>
      <c r="K97" s="48">
        <v>0</v>
      </c>
      <c r="L97" s="10"/>
      <c r="M97" s="56"/>
      <c r="S97" s="9"/>
    </row>
    <row r="98" spans="1:19" s="18" customFormat="1" x14ac:dyDescent="0.3">
      <c r="B98" s="64"/>
      <c r="C98" s="18">
        <v>12</v>
      </c>
      <c r="D98" s="19">
        <f xml:space="preserve"> N87</f>
        <v>16836203.291003086</v>
      </c>
      <c r="E98" s="19">
        <f t="shared" si="13"/>
        <v>103736198.60551251</v>
      </c>
      <c r="F98" s="19">
        <f t="shared" si="14"/>
        <v>423254382.21047896</v>
      </c>
      <c r="G98" s="18">
        <v>1.7999999999999999E-2</v>
      </c>
      <c r="H98" s="19">
        <f t="shared" si="16"/>
        <v>430872961.0902676</v>
      </c>
      <c r="I98" s="19">
        <f xml:space="preserve"> H98</f>
        <v>430872961.0902676</v>
      </c>
      <c r="J98" s="19">
        <f t="shared" si="15"/>
        <v>534609159.6957801</v>
      </c>
      <c r="K98" s="51">
        <v>0</v>
      </c>
      <c r="L98" s="20">
        <f xml:space="preserve"> I98 / 2</f>
        <v>215436480.5451338</v>
      </c>
      <c r="M98" s="59">
        <f xml:space="preserve"> (F87 + SUM(D88:D98)) - SUM(K88:K98)</f>
        <v>365802279.98358732</v>
      </c>
      <c r="N98" s="19">
        <f xml:space="preserve"> H98 - M98</f>
        <v>65070681.106680274</v>
      </c>
      <c r="O98" s="18">
        <v>0.84</v>
      </c>
      <c r="P98" s="19">
        <f xml:space="preserve"> N98 * O98</f>
        <v>54659372.129611425</v>
      </c>
      <c r="Q98" s="19">
        <f xml:space="preserve"> N98 - P98</f>
        <v>10411308.977068849</v>
      </c>
      <c r="R98" s="18">
        <f xml:space="preserve"> N98 / M98 * 100</f>
        <v>17.788484289819035</v>
      </c>
      <c r="S98" s="19"/>
    </row>
    <row r="99" spans="1:19" s="8" customFormat="1" x14ac:dyDescent="0.3">
      <c r="A99" s="8">
        <v>9</v>
      </c>
      <c r="B99" s="64">
        <v>2030</v>
      </c>
      <c r="C99" s="8">
        <v>1</v>
      </c>
      <c r="D99" s="9">
        <f>N99</f>
        <v>20453040.045427818</v>
      </c>
      <c r="E99" s="42">
        <f t="shared" si="13"/>
        <v>106010650.18041174</v>
      </c>
      <c r="F99" s="9">
        <f xml:space="preserve"> (H98 / 2) + D99 - K99</f>
        <v>235889520.59056163</v>
      </c>
      <c r="G99" s="8">
        <v>1.7999999999999999E-2</v>
      </c>
      <c r="H99" s="9">
        <f t="shared" si="16"/>
        <v>240135531.96119174</v>
      </c>
      <c r="I99" s="9"/>
      <c r="J99" s="9">
        <f t="shared" si="15"/>
        <v>346146182.14160347</v>
      </c>
      <c r="K99" s="48">
        <v>0</v>
      </c>
      <c r="L99" s="10"/>
      <c r="M99" s="56"/>
      <c r="N99" s="11">
        <f xml:space="preserve"> (L98 / 12) +2500000</f>
        <v>20453040.045427818</v>
      </c>
      <c r="P99" s="9">
        <f xml:space="preserve"> (H98 / 2 )</f>
        <v>215436480.5451338</v>
      </c>
      <c r="S99" s="9"/>
    </row>
    <row r="100" spans="1:19" s="8" customFormat="1" x14ac:dyDescent="0.3">
      <c r="B100" s="64"/>
      <c r="C100" s="8">
        <v>2</v>
      </c>
      <c r="D100" s="9">
        <f>N99</f>
        <v>20453040.045427818</v>
      </c>
      <c r="E100" s="42">
        <f t="shared" si="13"/>
        <v>108326041.88365915</v>
      </c>
      <c r="F100" s="9">
        <f t="shared" ref="F100:F110" si="17" xml:space="preserve"> H99 + D100 - K100</f>
        <v>260588572.00661957</v>
      </c>
      <c r="G100" s="8">
        <v>1.7999999999999999E-2</v>
      </c>
      <c r="H100" s="9">
        <f t="shared" si="16"/>
        <v>265279166.30273873</v>
      </c>
      <c r="I100" s="9"/>
      <c r="J100" s="9">
        <f t="shared" si="15"/>
        <v>373605208.18639791</v>
      </c>
      <c r="K100" s="48">
        <v>0</v>
      </c>
      <c r="L100" s="10"/>
      <c r="M100" s="56"/>
      <c r="S100" s="9"/>
    </row>
    <row r="101" spans="1:19" s="8" customFormat="1" x14ac:dyDescent="0.3">
      <c r="B101" s="64"/>
      <c r="C101" s="8">
        <v>3</v>
      </c>
      <c r="D101" s="9">
        <f>N99</f>
        <v>20453040.045427818</v>
      </c>
      <c r="E101" s="42">
        <f t="shared" si="13"/>
        <v>110683110.63756502</v>
      </c>
      <c r="F101" s="9">
        <f t="shared" si="17"/>
        <v>285732206.34816653</v>
      </c>
      <c r="G101" s="8">
        <v>1.7999999999999999E-2</v>
      </c>
      <c r="H101" s="9">
        <f t="shared" si="16"/>
        <v>290875386.06243354</v>
      </c>
      <c r="I101" s="9"/>
      <c r="J101" s="9">
        <f t="shared" si="15"/>
        <v>401558496.69999856</v>
      </c>
      <c r="K101" s="48">
        <v>0</v>
      </c>
      <c r="L101" s="10"/>
      <c r="M101" s="56"/>
      <c r="S101" s="9"/>
    </row>
    <row r="102" spans="1:19" s="8" customFormat="1" x14ac:dyDescent="0.3">
      <c r="B102" s="64"/>
      <c r="C102" s="8">
        <v>4</v>
      </c>
      <c r="D102" s="9">
        <f>N99</f>
        <v>20453040.045427818</v>
      </c>
      <c r="E102" s="42">
        <f t="shared" si="13"/>
        <v>113082606.62904118</v>
      </c>
      <c r="F102" s="9">
        <f t="shared" si="17"/>
        <v>311328426.10786134</v>
      </c>
      <c r="G102" s="8">
        <v>1.7999999999999999E-2</v>
      </c>
      <c r="H102" s="9">
        <f t="shared" si="16"/>
        <v>316932337.77780282</v>
      </c>
      <c r="I102" s="9"/>
      <c r="J102" s="9">
        <f t="shared" si="15"/>
        <v>430014944.40684402</v>
      </c>
      <c r="K102" s="48">
        <v>0</v>
      </c>
      <c r="L102" s="10"/>
      <c r="M102" s="56"/>
      <c r="S102" s="9"/>
    </row>
    <row r="103" spans="1:19" s="8" customFormat="1" x14ac:dyDescent="0.3">
      <c r="B103" s="64"/>
      <c r="C103" s="8">
        <v>5</v>
      </c>
      <c r="D103" s="9">
        <f>N99</f>
        <v>20453040.045427818</v>
      </c>
      <c r="E103" s="42">
        <f t="shared" si="13"/>
        <v>115525293.54836392</v>
      </c>
      <c r="F103" s="9">
        <f t="shared" si="17"/>
        <v>326974068.84616178</v>
      </c>
      <c r="G103" s="8">
        <v>1.7999999999999999E-2</v>
      </c>
      <c r="H103" s="9">
        <f t="shared" si="16"/>
        <v>332859602.08539271</v>
      </c>
      <c r="I103" s="9"/>
      <c r="J103" s="9">
        <f t="shared" si="15"/>
        <v>448384895.63375664</v>
      </c>
      <c r="K103" s="48">
        <f xml:space="preserve"> Q98</f>
        <v>10411308.977068849</v>
      </c>
      <c r="L103" s="10"/>
      <c r="M103" s="56"/>
      <c r="S103" s="9"/>
    </row>
    <row r="104" spans="1:19" s="8" customFormat="1" x14ac:dyDescent="0.3">
      <c r="B104" s="64"/>
      <c r="C104" s="8">
        <v>6</v>
      </c>
      <c r="D104" s="9">
        <f>N99</f>
        <v>20453040.045427818</v>
      </c>
      <c r="E104" s="42">
        <f t="shared" si="13"/>
        <v>118011948.83223447</v>
      </c>
      <c r="F104" s="9">
        <f t="shared" si="17"/>
        <v>353312642.13082051</v>
      </c>
      <c r="G104" s="8">
        <v>1.7999999999999999E-2</v>
      </c>
      <c r="H104" s="9">
        <f t="shared" si="16"/>
        <v>359672269.68917531</v>
      </c>
      <c r="I104" s="9"/>
      <c r="J104" s="9">
        <f t="shared" si="15"/>
        <v>477684218.52140975</v>
      </c>
      <c r="K104" s="48">
        <v>0</v>
      </c>
      <c r="L104" s="10"/>
      <c r="M104" s="56"/>
      <c r="S104" s="9"/>
    </row>
    <row r="105" spans="1:19" s="8" customFormat="1" x14ac:dyDescent="0.3">
      <c r="B105" s="64"/>
      <c r="C105" s="8">
        <v>7</v>
      </c>
      <c r="D105" s="9">
        <f>N99</f>
        <v>20453040.045427818</v>
      </c>
      <c r="E105" s="42">
        <f t="shared" si="13"/>
        <v>120543363.91121469</v>
      </c>
      <c r="F105" s="9">
        <f t="shared" si="17"/>
        <v>380125309.73460311</v>
      </c>
      <c r="G105" s="8">
        <v>1.7999999999999999E-2</v>
      </c>
      <c r="H105" s="9">
        <f t="shared" si="16"/>
        <v>386967565.30982596</v>
      </c>
      <c r="I105" s="9"/>
      <c r="J105" s="9">
        <f t="shared" si="15"/>
        <v>507510929.22104067</v>
      </c>
      <c r="K105" s="48">
        <v>0</v>
      </c>
      <c r="L105" s="10"/>
      <c r="M105" s="56"/>
      <c r="S105" s="9"/>
    </row>
    <row r="106" spans="1:19" s="8" customFormat="1" x14ac:dyDescent="0.3">
      <c r="B106" s="64"/>
      <c r="C106" s="8">
        <v>8</v>
      </c>
      <c r="D106" s="9">
        <f>N99</f>
        <v>20453040.045427818</v>
      </c>
      <c r="E106" s="42">
        <f t="shared" si="13"/>
        <v>123120344.46161656</v>
      </c>
      <c r="F106" s="9">
        <f t="shared" si="17"/>
        <v>407420605.35525376</v>
      </c>
      <c r="G106" s="8">
        <v>1.7999999999999999E-2</v>
      </c>
      <c r="H106" s="9">
        <f t="shared" si="16"/>
        <v>414754176.25164831</v>
      </c>
      <c r="I106" s="9"/>
      <c r="J106" s="9">
        <f t="shared" si="15"/>
        <v>537874520.71326482</v>
      </c>
      <c r="K106" s="48">
        <v>0</v>
      </c>
      <c r="L106" s="10"/>
      <c r="M106" s="56"/>
      <c r="S106" s="9"/>
    </row>
    <row r="107" spans="1:19" s="8" customFormat="1" x14ac:dyDescent="0.3">
      <c r="B107" s="64"/>
      <c r="C107" s="8">
        <v>9</v>
      </c>
      <c r="D107" s="9">
        <f>N99</f>
        <v>20453040.045427818</v>
      </c>
      <c r="E107" s="42">
        <f t="shared" si="13"/>
        <v>125743710.66192566</v>
      </c>
      <c r="F107" s="9">
        <f t="shared" si="17"/>
        <v>435207216.29707611</v>
      </c>
      <c r="G107" s="8">
        <v>1.7999999999999999E-2</v>
      </c>
      <c r="H107" s="9">
        <f t="shared" si="16"/>
        <v>443040946.19042349</v>
      </c>
      <c r="I107" s="9"/>
      <c r="J107" s="9">
        <f t="shared" si="15"/>
        <v>568784656.85234916</v>
      </c>
      <c r="K107" s="48">
        <v>0</v>
      </c>
      <c r="L107" s="10"/>
      <c r="M107" s="56"/>
      <c r="S107" s="9"/>
    </row>
    <row r="108" spans="1:19" s="8" customFormat="1" x14ac:dyDescent="0.3">
      <c r="B108" s="64"/>
      <c r="C108" s="8">
        <v>10</v>
      </c>
      <c r="D108" s="9">
        <f>N99</f>
        <v>20453040.045427818</v>
      </c>
      <c r="E108" s="42">
        <f t="shared" si="13"/>
        <v>128414297.45384032</v>
      </c>
      <c r="F108" s="9">
        <f t="shared" si="17"/>
        <v>463493986.23585129</v>
      </c>
      <c r="G108" s="8">
        <v>1.7999999999999999E-2</v>
      </c>
      <c r="H108" s="9">
        <f t="shared" si="16"/>
        <v>471836877.98809659</v>
      </c>
      <c r="I108" s="9"/>
      <c r="J108" s="9">
        <f t="shared" si="15"/>
        <v>600251175.44193697</v>
      </c>
      <c r="K108" s="48">
        <v>0</v>
      </c>
      <c r="L108" s="10"/>
      <c r="M108" s="56"/>
      <c r="S108" s="9"/>
    </row>
    <row r="109" spans="1:19" s="8" customFormat="1" x14ac:dyDescent="0.3">
      <c r="B109" s="64"/>
      <c r="C109" s="8">
        <v>11</v>
      </c>
      <c r="D109" s="9">
        <f>N99</f>
        <v>20453040.045427818</v>
      </c>
      <c r="E109" s="42">
        <f t="shared" si="13"/>
        <v>131132954.80800945</v>
      </c>
      <c r="F109" s="9">
        <f t="shared" si="17"/>
        <v>492289918.03352439</v>
      </c>
      <c r="G109" s="8">
        <v>1.7999999999999999E-2</v>
      </c>
      <c r="H109" s="9">
        <f t="shared" si="16"/>
        <v>501151136.55812782</v>
      </c>
      <c r="I109" s="9"/>
      <c r="J109" s="9">
        <f t="shared" si="15"/>
        <v>632284091.36613727</v>
      </c>
      <c r="K109" s="48">
        <v>0</v>
      </c>
      <c r="L109" s="10"/>
      <c r="M109" s="56"/>
      <c r="S109" s="9"/>
    </row>
    <row r="110" spans="1:19" s="18" customFormat="1" x14ac:dyDescent="0.3">
      <c r="B110" s="64"/>
      <c r="C110" s="18">
        <v>12</v>
      </c>
      <c r="D110" s="19">
        <f>N99</f>
        <v>20453040.045427818</v>
      </c>
      <c r="E110" s="19">
        <f t="shared" si="13"/>
        <v>133900547.99455361</v>
      </c>
      <c r="F110" s="19">
        <f t="shared" si="17"/>
        <v>521604176.60355562</v>
      </c>
      <c r="G110" s="18">
        <v>1.7999999999999999E-2</v>
      </c>
      <c r="H110" s="19">
        <f t="shared" si="16"/>
        <v>530993051.78241962</v>
      </c>
      <c r="I110" s="19">
        <f xml:space="preserve"> H110</f>
        <v>530993051.78241962</v>
      </c>
      <c r="J110" s="19">
        <f t="shared" si="15"/>
        <v>664893599.77697325</v>
      </c>
      <c r="K110" s="51">
        <v>0</v>
      </c>
      <c r="L110" s="20">
        <f xml:space="preserve"> I110 / 2</f>
        <v>265496525.89120981</v>
      </c>
      <c r="M110" s="59">
        <f xml:space="preserve"> (F99 + SUM(D100:D110)) - SUM(K100:K110)</f>
        <v>450461652.11319882</v>
      </c>
      <c r="N110" s="19">
        <f xml:space="preserve"> H110 - M110</f>
        <v>80531399.669220805</v>
      </c>
      <c r="O110" s="18">
        <v>0.84</v>
      </c>
      <c r="P110" s="19">
        <f xml:space="preserve"> N110 * O110</f>
        <v>67646375.722145468</v>
      </c>
      <c r="Q110" s="19">
        <f xml:space="preserve"> N110 - P110</f>
        <v>12885023.947075337</v>
      </c>
      <c r="R110" s="18">
        <f xml:space="preserve"> N110 / M110 * 100</f>
        <v>17.877526153765395</v>
      </c>
      <c r="S110" s="19"/>
    </row>
    <row r="111" spans="1:19" s="8" customFormat="1" x14ac:dyDescent="0.3">
      <c r="A111" s="8">
        <v>10</v>
      </c>
      <c r="B111" s="64">
        <v>2031</v>
      </c>
      <c r="C111" s="8">
        <v>1</v>
      </c>
      <c r="D111" s="9">
        <f>N111</f>
        <v>24624710.490934152</v>
      </c>
      <c r="E111" s="42">
        <f t="shared" si="13"/>
        <v>136717957.8584556</v>
      </c>
      <c r="F111" s="9">
        <f xml:space="preserve"> (H110 / 2) + D111 - K111</f>
        <v>290121236.38214397</v>
      </c>
      <c r="G111" s="8">
        <v>1.7999999999999999E-2</v>
      </c>
      <c r="H111" s="9">
        <f t="shared" si="16"/>
        <v>295343418.63702255</v>
      </c>
      <c r="I111" s="9"/>
      <c r="J111" s="9">
        <f t="shared" si="15"/>
        <v>432061376.49547815</v>
      </c>
      <c r="K111" s="48">
        <v>0</v>
      </c>
      <c r="L111" s="10"/>
      <c r="M111" s="56"/>
      <c r="N111" s="11">
        <f xml:space="preserve"> (L110 / 12) +2500000</f>
        <v>24624710.490934152</v>
      </c>
      <c r="P111" s="9">
        <f xml:space="preserve"> (H110 / 2 )</f>
        <v>265496525.89120981</v>
      </c>
      <c r="S111" s="9"/>
    </row>
    <row r="112" spans="1:19" s="8" customFormat="1" x14ac:dyDescent="0.3">
      <c r="B112" s="64"/>
      <c r="C112" s="8">
        <v>2</v>
      </c>
      <c r="D112" s="9">
        <f>N111</f>
        <v>24624710.490934152</v>
      </c>
      <c r="E112" s="42">
        <f t="shared" si="13"/>
        <v>139586081.09990779</v>
      </c>
      <c r="F112" s="9">
        <f t="shared" ref="F112:F122" si="18" xml:space="preserve"> H111 + D112 - K112</f>
        <v>319968129.12795669</v>
      </c>
      <c r="G112" s="8">
        <v>1.7999999999999999E-2</v>
      </c>
      <c r="H112" s="9">
        <f t="shared" si="16"/>
        <v>325727555.4522599</v>
      </c>
      <c r="I112" s="9"/>
      <c r="J112" s="9">
        <f t="shared" si="15"/>
        <v>465313636.55216765</v>
      </c>
      <c r="K112" s="48">
        <v>0</v>
      </c>
      <c r="L112" s="10"/>
      <c r="M112" s="56"/>
      <c r="S112" s="9"/>
    </row>
    <row r="113" spans="1:19" s="8" customFormat="1" x14ac:dyDescent="0.3">
      <c r="B113" s="64"/>
      <c r="C113" s="8">
        <v>3</v>
      </c>
      <c r="D113" s="9">
        <f>N111</f>
        <v>24624710.490934152</v>
      </c>
      <c r="E113" s="42">
        <f t="shared" si="13"/>
        <v>142505830.55970612</v>
      </c>
      <c r="F113" s="9">
        <f t="shared" si="18"/>
        <v>350352265.94319403</v>
      </c>
      <c r="G113" s="8">
        <v>1.7999999999999999E-2</v>
      </c>
      <c r="H113" s="9">
        <f t="shared" si="16"/>
        <v>356658606.7301715</v>
      </c>
      <c r="I113" s="9"/>
      <c r="J113" s="9">
        <f t="shared" si="15"/>
        <v>499164437.28987765</v>
      </c>
      <c r="K113" s="48">
        <v>0</v>
      </c>
      <c r="L113" s="10"/>
      <c r="M113" s="56"/>
      <c r="S113" s="9"/>
    </row>
    <row r="114" spans="1:19" s="8" customFormat="1" x14ac:dyDescent="0.3">
      <c r="B114" s="64"/>
      <c r="C114" s="8">
        <v>4</v>
      </c>
      <c r="D114" s="9">
        <f>N111</f>
        <v>24624710.490934152</v>
      </c>
      <c r="E114" s="42">
        <f t="shared" si="13"/>
        <v>145478135.50978082</v>
      </c>
      <c r="F114" s="9">
        <f t="shared" si="18"/>
        <v>381283317.22110564</v>
      </c>
      <c r="G114" s="8">
        <v>1.7999999999999999E-2</v>
      </c>
      <c r="H114" s="9">
        <f t="shared" si="16"/>
        <v>388146416.93108553</v>
      </c>
      <c r="I114" s="9"/>
      <c r="J114" s="9">
        <f t="shared" si="15"/>
        <v>533624552.44086635</v>
      </c>
      <c r="K114" s="48">
        <v>0</v>
      </c>
      <c r="L114" s="10"/>
      <c r="M114" s="56"/>
      <c r="S114" s="9"/>
    </row>
    <row r="115" spans="1:19" s="8" customFormat="1" x14ac:dyDescent="0.3">
      <c r="B115" s="64"/>
      <c r="C115" s="8">
        <v>5</v>
      </c>
      <c r="D115" s="9">
        <f>N111</f>
        <v>24624710.490934152</v>
      </c>
      <c r="E115" s="42">
        <f t="shared" si="13"/>
        <v>148503941.94895688</v>
      </c>
      <c r="F115" s="9">
        <f t="shared" si="18"/>
        <v>399886103.47494435</v>
      </c>
      <c r="G115" s="8">
        <v>1.7999999999999999E-2</v>
      </c>
      <c r="H115" s="9">
        <f t="shared" si="16"/>
        <v>407084053.33749336</v>
      </c>
      <c r="I115" s="9"/>
      <c r="J115" s="9">
        <f t="shared" si="15"/>
        <v>555587995.28645027</v>
      </c>
      <c r="K115" s="48">
        <f xml:space="preserve"> Q110</f>
        <v>12885023.947075337</v>
      </c>
      <c r="L115" s="10"/>
      <c r="M115" s="56"/>
      <c r="S115" s="9"/>
    </row>
    <row r="116" spans="1:19" s="8" customFormat="1" x14ac:dyDescent="0.3">
      <c r="B116" s="64"/>
      <c r="C116" s="8">
        <v>6</v>
      </c>
      <c r="D116" s="9">
        <f>N111</f>
        <v>24624710.490934152</v>
      </c>
      <c r="E116" s="42">
        <f t="shared" si="13"/>
        <v>151584212.9040381</v>
      </c>
      <c r="F116" s="9">
        <f t="shared" si="18"/>
        <v>431708763.82842749</v>
      </c>
      <c r="G116" s="8">
        <v>1.7999999999999999E-2</v>
      </c>
      <c r="H116" s="9">
        <f t="shared" si="16"/>
        <v>439479521.57733917</v>
      </c>
      <c r="I116" s="9"/>
      <c r="J116" s="9">
        <f t="shared" si="15"/>
        <v>591063734.48137724</v>
      </c>
      <c r="K116" s="48">
        <v>0</v>
      </c>
      <c r="L116" s="10"/>
      <c r="M116" s="56"/>
      <c r="S116" s="9"/>
    </row>
    <row r="117" spans="1:19" s="8" customFormat="1" x14ac:dyDescent="0.3">
      <c r="B117" s="64"/>
      <c r="C117" s="8">
        <v>7</v>
      </c>
      <c r="D117" s="9">
        <f>N111</f>
        <v>24624710.490934152</v>
      </c>
      <c r="E117" s="42">
        <f t="shared" si="13"/>
        <v>154719928.73631078</v>
      </c>
      <c r="F117" s="9">
        <f t="shared" si="18"/>
        <v>464104232.06827331</v>
      </c>
      <c r="G117" s="8">
        <v>1.7999999999999999E-2</v>
      </c>
      <c r="H117" s="9">
        <f t="shared" si="16"/>
        <v>472458108.24550223</v>
      </c>
      <c r="I117" s="9"/>
      <c r="J117" s="9">
        <f t="shared" si="15"/>
        <v>627178036.98181295</v>
      </c>
      <c r="K117" s="48">
        <v>0</v>
      </c>
      <c r="L117" s="10"/>
      <c r="M117" s="56"/>
      <c r="S117" s="9"/>
    </row>
    <row r="118" spans="1:19" s="8" customFormat="1" x14ac:dyDescent="0.3">
      <c r="B118" s="64"/>
      <c r="C118" s="8">
        <v>8</v>
      </c>
      <c r="D118" s="9">
        <f>N111</f>
        <v>24624710.490934152</v>
      </c>
      <c r="E118" s="42">
        <f t="shared" si="13"/>
        <v>157912087.45356438</v>
      </c>
      <c r="F118" s="9">
        <f t="shared" si="18"/>
        <v>497082818.73643637</v>
      </c>
      <c r="G118" s="8">
        <v>1.7999999999999999E-2</v>
      </c>
      <c r="H118" s="9">
        <f t="shared" si="16"/>
        <v>506030309.47369224</v>
      </c>
      <c r="I118" s="9"/>
      <c r="J118" s="9">
        <f t="shared" si="15"/>
        <v>663942396.92725658</v>
      </c>
      <c r="K118" s="48">
        <v>0</v>
      </c>
      <c r="L118" s="10"/>
      <c r="M118" s="56"/>
      <c r="S118" s="9"/>
    </row>
    <row r="119" spans="1:19" s="8" customFormat="1" x14ac:dyDescent="0.3">
      <c r="B119" s="64"/>
      <c r="C119" s="8">
        <v>9</v>
      </c>
      <c r="D119" s="9">
        <f>N111</f>
        <v>24624710.490934152</v>
      </c>
      <c r="E119" s="42">
        <f t="shared" si="13"/>
        <v>161161705.02772853</v>
      </c>
      <c r="F119" s="9">
        <f t="shared" si="18"/>
        <v>530655019.96462637</v>
      </c>
      <c r="G119" s="8">
        <v>1.7999999999999999E-2</v>
      </c>
      <c r="H119" s="9">
        <f t="shared" si="16"/>
        <v>540206810.32398963</v>
      </c>
      <c r="I119" s="9"/>
      <c r="J119" s="9">
        <f t="shared" si="15"/>
        <v>701368515.35171819</v>
      </c>
      <c r="K119" s="48">
        <v>0</v>
      </c>
      <c r="L119" s="10"/>
      <c r="M119" s="56"/>
      <c r="S119" s="9"/>
    </row>
    <row r="120" spans="1:19" s="8" customFormat="1" x14ac:dyDescent="0.3">
      <c r="B120" s="64"/>
      <c r="C120" s="8">
        <v>10</v>
      </c>
      <c r="D120" s="9">
        <f>N111</f>
        <v>24624710.490934152</v>
      </c>
      <c r="E120" s="42">
        <f t="shared" si="13"/>
        <v>164469815.71822765</v>
      </c>
      <c r="F120" s="9">
        <f t="shared" si="18"/>
        <v>564831520.81492376</v>
      </c>
      <c r="G120" s="8">
        <v>1.7999999999999999E-2</v>
      </c>
      <c r="H120" s="9">
        <f t="shared" si="16"/>
        <v>574998488.18959236</v>
      </c>
      <c r="I120" s="9"/>
      <c r="J120" s="9">
        <f t="shared" si="15"/>
        <v>739468303.90781999</v>
      </c>
      <c r="K120" s="48">
        <v>0</v>
      </c>
      <c r="L120" s="10"/>
      <c r="M120" s="56"/>
      <c r="S120" s="9"/>
    </row>
    <row r="121" spans="1:19" s="8" customFormat="1" x14ac:dyDescent="0.3">
      <c r="B121" s="64"/>
      <c r="C121" s="8">
        <v>11</v>
      </c>
      <c r="D121" s="9">
        <f>N111</f>
        <v>24624710.490934152</v>
      </c>
      <c r="E121" s="42">
        <f t="shared" si="13"/>
        <v>167837472.40115574</v>
      </c>
      <c r="F121" s="9">
        <f t="shared" si="18"/>
        <v>599623198.68052649</v>
      </c>
      <c r="G121" s="8">
        <v>1.7999999999999999E-2</v>
      </c>
      <c r="H121" s="9">
        <f t="shared" si="16"/>
        <v>610416416.25677598</v>
      </c>
      <c r="I121" s="9"/>
      <c r="J121" s="9">
        <f t="shared" si="15"/>
        <v>778253888.65793169</v>
      </c>
      <c r="K121" s="48">
        <v>0</v>
      </c>
      <c r="L121" s="10"/>
      <c r="M121" s="56"/>
      <c r="S121" s="9"/>
    </row>
    <row r="122" spans="1:19" s="18" customFormat="1" x14ac:dyDescent="0.3">
      <c r="B122" s="64"/>
      <c r="C122" s="18">
        <v>12</v>
      </c>
      <c r="D122" s="19">
        <f>N111</f>
        <v>24624710.490934152</v>
      </c>
      <c r="E122" s="19">
        <f t="shared" si="13"/>
        <v>171265746.90437654</v>
      </c>
      <c r="F122" s="19">
        <f t="shared" si="18"/>
        <v>635041126.74771011</v>
      </c>
      <c r="G122" s="18">
        <v>1.7999999999999999E-2</v>
      </c>
      <c r="H122" s="19">
        <f t="shared" si="16"/>
        <v>646471867.02916884</v>
      </c>
      <c r="I122" s="19">
        <f xml:space="preserve"> H122</f>
        <v>646471867.02916884</v>
      </c>
      <c r="J122" s="19">
        <f t="shared" si="15"/>
        <v>817737613.93354535</v>
      </c>
      <c r="K122" s="51">
        <v>0</v>
      </c>
      <c r="L122" s="20">
        <f xml:space="preserve"> I122 / 2</f>
        <v>323235933.51458442</v>
      </c>
      <c r="M122" s="59">
        <f xml:space="preserve"> (F111 + SUM(D112:D122)) - SUM(K112:K122)</f>
        <v>548108027.83534431</v>
      </c>
      <c r="N122" s="19">
        <f xml:space="preserve"> H122 - M122</f>
        <v>98363839.19382453</v>
      </c>
      <c r="O122" s="18">
        <v>0.84</v>
      </c>
      <c r="P122" s="19">
        <f xml:space="preserve"> N122 * O122</f>
        <v>82625624.922812596</v>
      </c>
      <c r="Q122" s="19">
        <f xml:space="preserve"> N122 - P122</f>
        <v>15738214.271011934</v>
      </c>
      <c r="R122" s="18">
        <f xml:space="preserve"> N122 / M122 * 100</f>
        <v>17.946067964429403</v>
      </c>
      <c r="S122" s="19"/>
    </row>
    <row r="123" spans="1:19" s="8" customFormat="1" x14ac:dyDescent="0.3">
      <c r="A123" s="8">
        <v>11</v>
      </c>
      <c r="B123" s="64">
        <v>2032</v>
      </c>
      <c r="C123" s="8">
        <v>1</v>
      </c>
      <c r="D123" s="9">
        <f>N123</f>
        <v>29436327.792882036</v>
      </c>
      <c r="E123" s="42">
        <f t="shared" si="13"/>
        <v>174755730.34865531</v>
      </c>
      <c r="F123" s="9">
        <f xml:space="preserve"> (H122 / 2) + D123 - K123</f>
        <v>352672261.30746645</v>
      </c>
      <c r="G123" s="8">
        <v>1.7999999999999999E-2</v>
      </c>
      <c r="H123" s="9">
        <f t="shared" si="16"/>
        <v>359020362.01100087</v>
      </c>
      <c r="I123" s="9"/>
      <c r="J123" s="9">
        <f t="shared" si="15"/>
        <v>533776092.35965621</v>
      </c>
      <c r="K123" s="48"/>
      <c r="L123" s="10"/>
      <c r="M123" s="56"/>
      <c r="N123" s="11">
        <f xml:space="preserve"> (L122 / 12) +2500000</f>
        <v>29436327.792882036</v>
      </c>
      <c r="P123" s="9">
        <f xml:space="preserve"> (H122 / 2 )</f>
        <v>323235933.51458442</v>
      </c>
      <c r="S123" s="9"/>
    </row>
    <row r="124" spans="1:19" s="8" customFormat="1" x14ac:dyDescent="0.3">
      <c r="B124" s="64"/>
      <c r="C124" s="8">
        <v>2</v>
      </c>
      <c r="D124" s="9">
        <f>N123</f>
        <v>29436327.792882036</v>
      </c>
      <c r="E124" s="42">
        <f t="shared" si="13"/>
        <v>178308533.4949311</v>
      </c>
      <c r="F124" s="9">
        <f t="shared" ref="F124:F134" si="19" xml:space="preserve"> H123 + D124 - K124</f>
        <v>388456689.8038829</v>
      </c>
      <c r="G124" s="8">
        <v>1.7999999999999999E-2</v>
      </c>
      <c r="H124" s="9">
        <f t="shared" si="16"/>
        <v>395448910.22035277</v>
      </c>
      <c r="I124" s="9"/>
      <c r="J124" s="9">
        <f t="shared" si="15"/>
        <v>573757443.71528387</v>
      </c>
      <c r="K124" s="48"/>
      <c r="L124" s="10"/>
      <c r="M124" s="56"/>
      <c r="S124" s="9"/>
    </row>
    <row r="125" spans="1:19" s="8" customFormat="1" x14ac:dyDescent="0.3">
      <c r="B125" s="64"/>
      <c r="C125" s="8">
        <v>3</v>
      </c>
      <c r="D125" s="9">
        <f>N123</f>
        <v>29436327.792882036</v>
      </c>
      <c r="E125" s="42">
        <f t="shared" si="13"/>
        <v>181925287.09783986</v>
      </c>
      <c r="F125" s="9">
        <f t="shared" si="19"/>
        <v>424885238.01323479</v>
      </c>
      <c r="G125" s="8">
        <v>1.7999999999999999E-2</v>
      </c>
      <c r="H125" s="9">
        <f t="shared" si="16"/>
        <v>432533172.29747301</v>
      </c>
      <c r="I125" s="9"/>
      <c r="J125" s="9">
        <f t="shared" si="15"/>
        <v>614458459.39531291</v>
      </c>
      <c r="K125" s="48"/>
      <c r="L125" s="10"/>
      <c r="M125" s="56"/>
      <c r="S125" s="9"/>
    </row>
    <row r="126" spans="1:19" s="8" customFormat="1" x14ac:dyDescent="0.3">
      <c r="B126" s="64"/>
      <c r="C126" s="8">
        <v>4</v>
      </c>
      <c r="D126" s="9">
        <f>N123</f>
        <v>29436327.792882036</v>
      </c>
      <c r="E126" s="42">
        <f t="shared" si="13"/>
        <v>185607142.26560098</v>
      </c>
      <c r="F126" s="9">
        <f t="shared" si="19"/>
        <v>461969500.09035504</v>
      </c>
      <c r="G126" s="8">
        <v>1.7999999999999999E-2</v>
      </c>
      <c r="H126" s="9">
        <f t="shared" si="16"/>
        <v>470284951.09198141</v>
      </c>
      <c r="I126" s="9"/>
      <c r="J126" s="9">
        <f t="shared" si="15"/>
        <v>655892093.35758233</v>
      </c>
      <c r="K126" s="48"/>
      <c r="L126" s="10"/>
      <c r="M126" s="56"/>
      <c r="S126" s="9"/>
    </row>
    <row r="127" spans="1:19" s="8" customFormat="1" x14ac:dyDescent="0.3">
      <c r="B127" s="64"/>
      <c r="C127" s="8">
        <v>5</v>
      </c>
      <c r="D127" s="9">
        <f>N123</f>
        <v>29436327.792882036</v>
      </c>
      <c r="E127" s="42">
        <f t="shared" si="13"/>
        <v>189355270.8263818</v>
      </c>
      <c r="F127" s="9">
        <f t="shared" si="19"/>
        <v>483983064.61385149</v>
      </c>
      <c r="G127" s="8">
        <v>1.7999999999999999E-2</v>
      </c>
      <c r="H127" s="9">
        <f t="shared" si="16"/>
        <v>492694759.77690083</v>
      </c>
      <c r="I127" s="9"/>
      <c r="J127" s="9">
        <f t="shared" si="15"/>
        <v>682050030.60328269</v>
      </c>
      <c r="K127" s="48">
        <f xml:space="preserve"> Q122</f>
        <v>15738214.271011934</v>
      </c>
      <c r="L127" s="10"/>
      <c r="M127" s="56"/>
      <c r="S127" s="9"/>
    </row>
    <row r="128" spans="1:19" s="8" customFormat="1" x14ac:dyDescent="0.3">
      <c r="B128" s="64"/>
      <c r="C128" s="8">
        <v>6</v>
      </c>
      <c r="D128" s="9">
        <f>N123</f>
        <v>29436327.792882036</v>
      </c>
      <c r="E128" s="42">
        <f t="shared" si="13"/>
        <v>193170865.70125666</v>
      </c>
      <c r="F128" s="9">
        <f t="shared" si="19"/>
        <v>522131087.56978285</v>
      </c>
      <c r="G128" s="8">
        <v>1.7999999999999999E-2</v>
      </c>
      <c r="H128" s="9">
        <f t="shared" si="16"/>
        <v>531529447.14603895</v>
      </c>
      <c r="I128" s="9"/>
      <c r="J128" s="9">
        <f t="shared" si="15"/>
        <v>724700312.84729564</v>
      </c>
      <c r="K128" s="48"/>
      <c r="L128" s="10"/>
      <c r="M128" s="56"/>
      <c r="S128" s="9"/>
    </row>
    <row r="129" spans="1:19" s="8" customFormat="1" x14ac:dyDescent="0.3">
      <c r="B129" s="64"/>
      <c r="C129" s="8">
        <v>7</v>
      </c>
      <c r="D129" s="9">
        <f>N123</f>
        <v>29436327.792882036</v>
      </c>
      <c r="E129" s="42">
        <f t="shared" si="13"/>
        <v>197055141.28387928</v>
      </c>
      <c r="F129" s="9">
        <f t="shared" si="19"/>
        <v>560965774.93892097</v>
      </c>
      <c r="G129" s="8">
        <v>1.7999999999999999E-2</v>
      </c>
      <c r="H129" s="9">
        <f t="shared" si="16"/>
        <v>571063158.88782156</v>
      </c>
      <c r="I129" s="9"/>
      <c r="J129" s="9">
        <f t="shared" si="15"/>
        <v>768118300.17170084</v>
      </c>
      <c r="K129" s="48"/>
      <c r="L129" s="10"/>
      <c r="M129" s="56"/>
      <c r="S129" s="9"/>
    </row>
    <row r="130" spans="1:19" s="8" customFormat="1" x14ac:dyDescent="0.3">
      <c r="B130" s="64"/>
      <c r="C130" s="8">
        <v>8</v>
      </c>
      <c r="D130" s="9">
        <f>N123</f>
        <v>29436327.792882036</v>
      </c>
      <c r="E130" s="42">
        <f t="shared" si="13"/>
        <v>201009333.82698911</v>
      </c>
      <c r="F130" s="9">
        <f t="shared" si="19"/>
        <v>600499486.68070364</v>
      </c>
      <c r="G130" s="8">
        <v>1.7999999999999999E-2</v>
      </c>
      <c r="H130" s="9">
        <f t="shared" si="16"/>
        <v>611308477.44095635</v>
      </c>
      <c r="I130" s="9"/>
      <c r="J130" s="9">
        <f t="shared" si="15"/>
        <v>812317811.26794553</v>
      </c>
      <c r="K130" s="48"/>
      <c r="L130" s="10"/>
      <c r="M130" s="56"/>
      <c r="S130" s="9"/>
    </row>
    <row r="131" spans="1:19" s="8" customFormat="1" x14ac:dyDescent="0.3">
      <c r="B131" s="64"/>
      <c r="C131" s="8">
        <v>9</v>
      </c>
      <c r="D131" s="9">
        <f>N123</f>
        <v>29436327.792882036</v>
      </c>
      <c r="E131" s="42">
        <f t="shared" si="13"/>
        <v>205034701.83587492</v>
      </c>
      <c r="F131" s="9">
        <f t="shared" si="19"/>
        <v>640744805.23383844</v>
      </c>
      <c r="G131" s="8">
        <v>1.7999999999999999E-2</v>
      </c>
      <c r="H131" s="9">
        <f t="shared" si="16"/>
        <v>652278211.72804749</v>
      </c>
      <c r="I131" s="9"/>
      <c r="J131" s="9">
        <f t="shared" si="15"/>
        <v>857312913.56392241</v>
      </c>
      <c r="K131" s="48"/>
      <c r="L131" s="10"/>
      <c r="M131" s="56"/>
      <c r="S131" s="9"/>
    </row>
    <row r="132" spans="1:19" s="8" customFormat="1" x14ac:dyDescent="0.3">
      <c r="B132" s="64"/>
      <c r="C132" s="8">
        <v>10</v>
      </c>
      <c r="D132" s="9">
        <f>N123</f>
        <v>29436327.792882036</v>
      </c>
      <c r="E132" s="42">
        <f t="shared" si="13"/>
        <v>209132526.46892068</v>
      </c>
      <c r="F132" s="9">
        <f t="shared" si="19"/>
        <v>681714539.52092957</v>
      </c>
      <c r="G132" s="8">
        <v>1.7999999999999999E-2</v>
      </c>
      <c r="H132" s="9">
        <f t="shared" si="16"/>
        <v>693985401.23230636</v>
      </c>
      <c r="I132" s="9"/>
      <c r="J132" s="9">
        <f t="shared" si="15"/>
        <v>903117927.70122707</v>
      </c>
      <c r="K132" s="48"/>
      <c r="L132" s="10"/>
      <c r="M132" s="56"/>
      <c r="S132" s="9"/>
    </row>
    <row r="133" spans="1:19" s="8" customFormat="1" x14ac:dyDescent="0.3">
      <c r="B133" s="64"/>
      <c r="C133" s="8">
        <v>11</v>
      </c>
      <c r="D133" s="9">
        <f>N123</f>
        <v>29436327.792882036</v>
      </c>
      <c r="E133" s="42">
        <f t="shared" si="13"/>
        <v>213304111.94536126</v>
      </c>
      <c r="F133" s="9">
        <f t="shared" si="19"/>
        <v>723421729.02518845</v>
      </c>
      <c r="G133" s="8">
        <v>1.7999999999999999E-2</v>
      </c>
      <c r="H133" s="9">
        <f t="shared" si="16"/>
        <v>736443320.1476419</v>
      </c>
      <c r="I133" s="9"/>
      <c r="J133" s="9">
        <f t="shared" si="15"/>
        <v>949747432.09300315</v>
      </c>
      <c r="K133" s="48"/>
      <c r="L133" s="10"/>
      <c r="M133" s="56"/>
      <c r="S133" s="9"/>
    </row>
    <row r="134" spans="1:19" s="18" customFormat="1" x14ac:dyDescent="0.3">
      <c r="B134" s="64"/>
      <c r="C134" s="18">
        <v>12</v>
      </c>
      <c r="D134" s="19">
        <f>N123</f>
        <v>29436327.792882036</v>
      </c>
      <c r="E134" s="19">
        <f t="shared" si="13"/>
        <v>217550785.96037775</v>
      </c>
      <c r="F134" s="19">
        <f t="shared" si="19"/>
        <v>729879647.94052398</v>
      </c>
      <c r="G134" s="18">
        <v>1.7999999999999999E-2</v>
      </c>
      <c r="H134" s="19">
        <f t="shared" si="16"/>
        <v>743017481.6034534</v>
      </c>
      <c r="I134" s="19">
        <f xml:space="preserve"> H134</f>
        <v>743017481.6034534</v>
      </c>
      <c r="J134" s="19">
        <f t="shared" si="15"/>
        <v>960568267.56383109</v>
      </c>
      <c r="K134" s="52">
        <v>36000000</v>
      </c>
      <c r="L134" s="20">
        <f xml:space="preserve"> (I134-K134) / 2</f>
        <v>353508740.8017267</v>
      </c>
      <c r="M134" s="59">
        <f xml:space="preserve"> (F123 + SUM(D124:D134)) - SUM(K124:K134)</f>
        <v>624733652.7581569</v>
      </c>
      <c r="N134" s="19">
        <f xml:space="preserve"> H134 - M134</f>
        <v>118283828.8452965</v>
      </c>
      <c r="O134" s="18">
        <v>0.84</v>
      </c>
      <c r="P134" s="19">
        <f xml:space="preserve"> N134 * O134</f>
        <v>99358416.230049059</v>
      </c>
      <c r="Q134" s="19">
        <f xml:space="preserve"> N134 - P134</f>
        <v>18925412.615247443</v>
      </c>
      <c r="R134" s="18">
        <f xml:space="preserve"> N134 / M134 * 100</f>
        <v>18.933481224051462</v>
      </c>
      <c r="S134" s="19"/>
    </row>
    <row r="135" spans="1:19" s="12" customFormat="1" x14ac:dyDescent="0.3">
      <c r="A135" s="12">
        <v>12</v>
      </c>
      <c r="B135" s="63">
        <v>2033</v>
      </c>
      <c r="C135" s="12">
        <v>1</v>
      </c>
      <c r="D135" s="13">
        <f>N135</f>
        <v>31959061.733477224</v>
      </c>
      <c r="E135" s="42">
        <f xml:space="preserve"> (E134) + ((E134) * G135 )</f>
        <v>221466700.10766456</v>
      </c>
      <c r="F135" s="13">
        <f xml:space="preserve"> (H134 / 2) + D135 - K135</f>
        <v>403467802.53520393</v>
      </c>
      <c r="G135" s="12">
        <v>1.7999999999999999E-2</v>
      </c>
      <c r="H135" s="13">
        <f t="shared" si="16"/>
        <v>410730222.98083758</v>
      </c>
      <c r="I135" s="13"/>
      <c r="J135" s="9">
        <f t="shared" si="15"/>
        <v>632196923.08850217</v>
      </c>
      <c r="K135" s="49">
        <v>0</v>
      </c>
      <c r="L135" s="14"/>
      <c r="M135" s="57"/>
      <c r="N135" s="11">
        <f xml:space="preserve"> (L134 / 12) +2500000</f>
        <v>31959061.733477224</v>
      </c>
      <c r="P135" s="13">
        <f xml:space="preserve"> (H134 - K135) / 2</f>
        <v>371508740.8017267</v>
      </c>
      <c r="Q135" s="16" t="s">
        <v>0</v>
      </c>
      <c r="S135" s="13"/>
    </row>
    <row r="136" spans="1:19" s="12" customFormat="1" x14ac:dyDescent="0.3">
      <c r="B136" s="63"/>
      <c r="C136" s="12">
        <v>2</v>
      </c>
      <c r="D136" s="13">
        <f>N135</f>
        <v>31959061.733477224</v>
      </c>
      <c r="E136" s="42">
        <f xml:space="preserve"> (E135) + ((E135) * G136 )</f>
        <v>225453100.7096025</v>
      </c>
      <c r="F136" s="13">
        <f t="shared" ref="F136:F146" si="20" xml:space="preserve"> H135 + D136 - K136</f>
        <v>442689284.71431482</v>
      </c>
      <c r="G136" s="12">
        <v>1.7999999999999999E-2</v>
      </c>
      <c r="H136" s="13">
        <f t="shared" si="16"/>
        <v>450657691.83917248</v>
      </c>
      <c r="I136" s="13"/>
      <c r="J136" s="9">
        <f t="shared" si="15"/>
        <v>676110792.54877496</v>
      </c>
      <c r="K136" s="49"/>
      <c r="L136" s="14"/>
      <c r="M136" s="57"/>
      <c r="S136" s="13"/>
    </row>
    <row r="137" spans="1:19" s="12" customFormat="1" x14ac:dyDescent="0.3">
      <c r="B137" s="63"/>
      <c r="C137" s="12">
        <v>3</v>
      </c>
      <c r="D137" s="13">
        <f>N135</f>
        <v>31959061.733477224</v>
      </c>
      <c r="E137" s="42">
        <f t="shared" ref="E137:E194" si="21" xml:space="preserve"> (E136) + ((E136) * G137 )</f>
        <v>229511256.52237535</v>
      </c>
      <c r="F137" s="13">
        <f t="shared" si="20"/>
        <v>482616753.57264972</v>
      </c>
      <c r="G137" s="12">
        <v>1.7999999999999999E-2</v>
      </c>
      <c r="H137" s="13">
        <f t="shared" si="16"/>
        <v>491303855.13695741</v>
      </c>
      <c r="I137" s="13"/>
      <c r="J137" s="9">
        <f t="shared" si="15"/>
        <v>720815111.65933275</v>
      </c>
      <c r="K137" s="49"/>
      <c r="L137" s="14"/>
      <c r="M137" s="57"/>
      <c r="S137" s="13"/>
    </row>
    <row r="138" spans="1:19" s="12" customFormat="1" x14ac:dyDescent="0.3">
      <c r="B138" s="63"/>
      <c r="C138" s="12">
        <v>4</v>
      </c>
      <c r="D138" s="13">
        <f>N135</f>
        <v>31959061.733477224</v>
      </c>
      <c r="E138" s="42">
        <f t="shared" si="21"/>
        <v>233642459.13977811</v>
      </c>
      <c r="F138" s="13">
        <f t="shared" si="20"/>
        <v>523262916.87043464</v>
      </c>
      <c r="G138" s="12">
        <v>1.7999999999999999E-2</v>
      </c>
      <c r="H138" s="13">
        <f t="shared" si="16"/>
        <v>532681649.37410247</v>
      </c>
      <c r="I138" s="13"/>
      <c r="J138" s="9">
        <f t="shared" si="15"/>
        <v>766324108.51388061</v>
      </c>
      <c r="K138" s="49"/>
      <c r="L138" s="14"/>
      <c r="M138" s="57"/>
      <c r="S138" s="13"/>
    </row>
    <row r="139" spans="1:19" s="12" customFormat="1" x14ac:dyDescent="0.3">
      <c r="B139" s="63"/>
      <c r="C139" s="12">
        <v>5</v>
      </c>
      <c r="D139" s="13">
        <f>N135</f>
        <v>31959061.733477224</v>
      </c>
      <c r="E139" s="42">
        <f t="shared" si="21"/>
        <v>237848023.4042941</v>
      </c>
      <c r="F139" s="13">
        <f t="shared" si="20"/>
        <v>545715298.49233222</v>
      </c>
      <c r="G139" s="12">
        <v>1.7999999999999999E-2</v>
      </c>
      <c r="H139" s="13">
        <f t="shared" si="16"/>
        <v>555538173.8651942</v>
      </c>
      <c r="I139" s="13"/>
      <c r="J139" s="9">
        <f t="shared" si="15"/>
        <v>793386197.26948833</v>
      </c>
      <c r="K139" s="49">
        <f xml:space="preserve"> Q134</f>
        <v>18925412.615247443</v>
      </c>
      <c r="L139" s="14"/>
      <c r="M139" s="57"/>
      <c r="S139" s="13"/>
    </row>
    <row r="140" spans="1:19" s="12" customFormat="1" x14ac:dyDescent="0.3">
      <c r="B140" s="63"/>
      <c r="C140" s="12">
        <v>6</v>
      </c>
      <c r="D140" s="13">
        <f>N135</f>
        <v>31959061.733477224</v>
      </c>
      <c r="E140" s="42">
        <f t="shared" si="21"/>
        <v>242129287.82557139</v>
      </c>
      <c r="F140" s="13">
        <f t="shared" si="20"/>
        <v>587497235.59867144</v>
      </c>
      <c r="G140" s="12">
        <v>1.7999999999999999E-2</v>
      </c>
      <c r="H140" s="13">
        <f t="shared" si="16"/>
        <v>598072185.8394475</v>
      </c>
      <c r="I140" s="13"/>
      <c r="J140" s="9">
        <f t="shared" si="15"/>
        <v>840201473.66501892</v>
      </c>
      <c r="K140" s="49"/>
      <c r="L140" s="14"/>
      <c r="M140" s="57"/>
      <c r="S140" s="13"/>
    </row>
    <row r="141" spans="1:19" s="12" customFormat="1" x14ac:dyDescent="0.3">
      <c r="B141" s="63"/>
      <c r="C141" s="12">
        <v>7</v>
      </c>
      <c r="D141" s="13">
        <f>N135</f>
        <v>31959061.733477224</v>
      </c>
      <c r="E141" s="42">
        <f t="shared" si="21"/>
        <v>246487615.00643167</v>
      </c>
      <c r="F141" s="13">
        <f t="shared" si="20"/>
        <v>630031247.57292473</v>
      </c>
      <c r="G141" s="12">
        <v>1.7999999999999999E-2</v>
      </c>
      <c r="H141" s="13">
        <f t="shared" si="16"/>
        <v>641371810.02923739</v>
      </c>
      <c r="I141" s="13"/>
      <c r="J141" s="9">
        <f t="shared" si="15"/>
        <v>887859425.03566909</v>
      </c>
      <c r="K141" s="49"/>
      <c r="L141" s="14"/>
      <c r="M141" s="57"/>
      <c r="S141" s="13"/>
    </row>
    <row r="142" spans="1:19" s="12" customFormat="1" x14ac:dyDescent="0.3">
      <c r="B142" s="63"/>
      <c r="C142" s="12">
        <v>8</v>
      </c>
      <c r="D142" s="13">
        <f>N135</f>
        <v>31959061.733477224</v>
      </c>
      <c r="E142" s="42">
        <f t="shared" si="21"/>
        <v>250924392.07654744</v>
      </c>
      <c r="F142" s="13">
        <f t="shared" si="20"/>
        <v>673330871.76271462</v>
      </c>
      <c r="G142" s="12">
        <v>1.7999999999999999E-2</v>
      </c>
      <c r="H142" s="13">
        <f t="shared" si="16"/>
        <v>685450827.45444345</v>
      </c>
      <c r="I142" s="13"/>
      <c r="J142" s="9">
        <f t="shared" si="15"/>
        <v>936375219.53099084</v>
      </c>
      <c r="K142" s="49"/>
      <c r="L142" s="14"/>
      <c r="M142" s="57"/>
      <c r="S142" s="13"/>
    </row>
    <row r="143" spans="1:19" s="12" customFormat="1" x14ac:dyDescent="0.3">
      <c r="B143" s="63"/>
      <c r="C143" s="12">
        <v>9</v>
      </c>
      <c r="D143" s="13">
        <f>N135</f>
        <v>31959061.733477224</v>
      </c>
      <c r="E143" s="42">
        <f t="shared" si="21"/>
        <v>255441031.13392529</v>
      </c>
      <c r="F143" s="13">
        <f t="shared" si="20"/>
        <v>717409889.18792069</v>
      </c>
      <c r="G143" s="12">
        <v>1.7999999999999999E-2</v>
      </c>
      <c r="H143" s="13">
        <f t="shared" si="16"/>
        <v>730323267.19330323</v>
      </c>
      <c r="I143" s="13"/>
      <c r="J143" s="9">
        <f t="shared" si="15"/>
        <v>985764298.32722855</v>
      </c>
      <c r="K143" s="49"/>
      <c r="L143" s="14"/>
      <c r="M143" s="57"/>
      <c r="S143" s="13"/>
    </row>
    <row r="144" spans="1:19" s="12" customFormat="1" x14ac:dyDescent="0.3">
      <c r="B144" s="63"/>
      <c r="C144" s="12">
        <v>10</v>
      </c>
      <c r="D144" s="13">
        <f>N135</f>
        <v>31959061.733477224</v>
      </c>
      <c r="E144" s="42">
        <f t="shared" si="21"/>
        <v>260038969.69433594</v>
      </c>
      <c r="F144" s="13">
        <f t="shared" si="20"/>
        <v>762282328.92678046</v>
      </c>
      <c r="G144" s="12">
        <v>1.7999999999999999E-2</v>
      </c>
      <c r="H144" s="13">
        <f t="shared" si="16"/>
        <v>776003410.84746253</v>
      </c>
      <c r="I144" s="13"/>
      <c r="J144" s="9">
        <f t="shared" si="15"/>
        <v>1036042380.5417985</v>
      </c>
      <c r="K144" s="49"/>
      <c r="L144" s="14"/>
      <c r="M144" s="57"/>
      <c r="S144" s="13"/>
    </row>
    <row r="145" spans="1:19" s="12" customFormat="1" x14ac:dyDescent="0.3">
      <c r="B145" s="63"/>
      <c r="C145" s="12">
        <v>11</v>
      </c>
      <c r="D145" s="13">
        <f>N135</f>
        <v>31959061.733477224</v>
      </c>
      <c r="E145" s="42">
        <f t="shared" si="21"/>
        <v>264719671.14883399</v>
      </c>
      <c r="F145" s="13">
        <f t="shared" si="20"/>
        <v>807962472.58093977</v>
      </c>
      <c r="G145" s="12">
        <v>1.7999999999999999E-2</v>
      </c>
      <c r="H145" s="13">
        <f t="shared" si="16"/>
        <v>822505797.08739674</v>
      </c>
      <c r="I145" s="13"/>
      <c r="J145" s="9">
        <f t="shared" si="15"/>
        <v>1087225468.2362309</v>
      </c>
      <c r="K145" s="49"/>
      <c r="L145" s="14"/>
      <c r="M145" s="57"/>
      <c r="S145" s="13"/>
    </row>
    <row r="146" spans="1:19" s="18" customFormat="1" x14ac:dyDescent="0.3">
      <c r="B146" s="63"/>
      <c r="C146" s="18">
        <v>12</v>
      </c>
      <c r="D146" s="19">
        <f>N135</f>
        <v>31959061.733477224</v>
      </c>
      <c r="E146" s="19">
        <f t="shared" si="21"/>
        <v>269484625.22951299</v>
      </c>
      <c r="F146" s="19">
        <f t="shared" si="20"/>
        <v>818464858.82087398</v>
      </c>
      <c r="G146" s="18">
        <v>1.7999999999999999E-2</v>
      </c>
      <c r="H146" s="19">
        <f t="shared" si="16"/>
        <v>833197226.27964973</v>
      </c>
      <c r="I146" s="19">
        <f xml:space="preserve"> H146</f>
        <v>833197226.27964973</v>
      </c>
      <c r="J146" s="19">
        <f t="shared" si="15"/>
        <v>1102681851.5091627</v>
      </c>
      <c r="K146" s="52">
        <v>36000000</v>
      </c>
      <c r="L146" s="20">
        <f xml:space="preserve"> (I146-K146) / 2</f>
        <v>398598613.13982487</v>
      </c>
      <c r="M146" s="59">
        <f xml:space="preserve"> (F135 + SUM(D136:D146)) - SUM(K136:K146)</f>
        <v>700092068.98820591</v>
      </c>
      <c r="N146" s="19">
        <f xml:space="preserve"> H146 - M146</f>
        <v>133105157.29144382</v>
      </c>
      <c r="O146" s="18">
        <v>0.84</v>
      </c>
      <c r="P146" s="19">
        <f xml:space="preserve"> N146 * O146</f>
        <v>111808332.12481281</v>
      </c>
      <c r="Q146" s="19">
        <f xml:space="preserve"> N146 - P146</f>
        <v>21296825.166631013</v>
      </c>
      <c r="R146" s="18">
        <f xml:space="preserve"> N146 / M146 * 100</f>
        <v>19.0125218078547</v>
      </c>
      <c r="S146" s="19"/>
    </row>
    <row r="147" spans="1:19" s="12" customFormat="1" x14ac:dyDescent="0.3">
      <c r="A147" s="12">
        <v>13</v>
      </c>
      <c r="B147" s="63">
        <v>2034</v>
      </c>
      <c r="C147" s="12">
        <v>1</v>
      </c>
      <c r="D147" s="13">
        <f>N147</f>
        <v>35716551.094985411</v>
      </c>
      <c r="E147" s="42">
        <f t="shared" si="21"/>
        <v>274335348.48364425</v>
      </c>
      <c r="F147" s="13">
        <f xml:space="preserve"> (H146 / 2) + D147 - K147</f>
        <v>452315164.23481029</v>
      </c>
      <c r="G147" s="12">
        <v>1.7999999999999999E-2</v>
      </c>
      <c r="H147" s="13">
        <f t="shared" si="16"/>
        <v>460456837.19103688</v>
      </c>
      <c r="I147" s="13"/>
      <c r="J147" s="9">
        <f t="shared" si="15"/>
        <v>734792185.67468119</v>
      </c>
      <c r="K147" s="49"/>
      <c r="L147" s="14"/>
      <c r="M147" s="57"/>
      <c r="N147" s="11">
        <f xml:space="preserve"> (L146 / 12) +2500000</f>
        <v>35716551.094985411</v>
      </c>
      <c r="P147" s="9">
        <f xml:space="preserve"> (H146 - K147) / 2</f>
        <v>416598613.13982487</v>
      </c>
      <c r="S147" s="13"/>
    </row>
    <row r="148" spans="1:19" s="12" customFormat="1" x14ac:dyDescent="0.3">
      <c r="B148" s="63"/>
      <c r="C148" s="12">
        <v>2</v>
      </c>
      <c r="D148" s="13">
        <f>N147</f>
        <v>35716551.094985411</v>
      </c>
      <c r="E148" s="42">
        <f t="shared" si="21"/>
        <v>279273384.75634986</v>
      </c>
      <c r="F148" s="13">
        <f t="shared" ref="F148:F158" si="22" xml:space="preserve"> H147 + D148 - K148</f>
        <v>496173388.28602231</v>
      </c>
      <c r="G148" s="12">
        <v>1.7999999999999999E-2</v>
      </c>
      <c r="H148" s="13">
        <f t="shared" si="16"/>
        <v>505104509.27517068</v>
      </c>
      <c r="I148" s="13"/>
      <c r="J148" s="9">
        <f t="shared" si="15"/>
        <v>784377894.03152061</v>
      </c>
      <c r="K148" s="49"/>
      <c r="L148" s="14"/>
      <c r="M148" s="57"/>
      <c r="S148" s="13"/>
    </row>
    <row r="149" spans="1:19" s="12" customFormat="1" x14ac:dyDescent="0.3">
      <c r="B149" s="63"/>
      <c r="C149" s="12">
        <v>3</v>
      </c>
      <c r="D149" s="13">
        <f>N147</f>
        <v>35716551.094985411</v>
      </c>
      <c r="E149" s="42">
        <f t="shared" si="21"/>
        <v>284300305.68196416</v>
      </c>
      <c r="F149" s="13">
        <f t="shared" si="22"/>
        <v>540821060.37015605</v>
      </c>
      <c r="G149" s="12">
        <v>1.7999999999999999E-2</v>
      </c>
      <c r="H149" s="13">
        <f t="shared" si="16"/>
        <v>550555839.45681882</v>
      </c>
      <c r="I149" s="13"/>
      <c r="J149" s="9">
        <f t="shared" si="15"/>
        <v>834856145.13878298</v>
      </c>
      <c r="K149" s="49"/>
      <c r="L149" s="14"/>
      <c r="M149" s="57"/>
      <c r="S149" s="13"/>
    </row>
    <row r="150" spans="1:19" s="12" customFormat="1" x14ac:dyDescent="0.3">
      <c r="B150" s="63"/>
      <c r="C150" s="12">
        <v>4</v>
      </c>
      <c r="D150" s="13">
        <f>N147</f>
        <v>35716551.094985411</v>
      </c>
      <c r="E150" s="42">
        <f t="shared" si="21"/>
        <v>289417711.18423951</v>
      </c>
      <c r="F150" s="13">
        <f t="shared" si="22"/>
        <v>586272390.55180418</v>
      </c>
      <c r="G150" s="12">
        <v>1.7999999999999999E-2</v>
      </c>
      <c r="H150" s="13">
        <f t="shared" si="16"/>
        <v>596825293.58173668</v>
      </c>
      <c r="I150" s="13"/>
      <c r="J150" s="9">
        <f t="shared" si="15"/>
        <v>886243004.76597619</v>
      </c>
      <c r="K150" s="49"/>
      <c r="L150" s="14"/>
      <c r="M150" s="57"/>
      <c r="S150" s="13"/>
    </row>
    <row r="151" spans="1:19" s="12" customFormat="1" x14ac:dyDescent="0.3">
      <c r="B151" s="63"/>
      <c r="C151" s="12">
        <v>5</v>
      </c>
      <c r="D151" s="13">
        <f>N147</f>
        <v>35716551.094985411</v>
      </c>
      <c r="E151" s="42">
        <f t="shared" si="21"/>
        <v>294627229.98555583</v>
      </c>
      <c r="F151" s="13">
        <f t="shared" si="22"/>
        <v>611245019.51009107</v>
      </c>
      <c r="G151" s="12">
        <v>1.7999999999999999E-2</v>
      </c>
      <c r="H151" s="13">
        <f t="shared" si="16"/>
        <v>622247429.86127269</v>
      </c>
      <c r="I151" s="13"/>
      <c r="J151" s="9">
        <f t="shared" si="15"/>
        <v>916874659.84682846</v>
      </c>
      <c r="K151" s="49">
        <f xml:space="preserve"> Q146</f>
        <v>21296825.166631013</v>
      </c>
      <c r="L151" s="14"/>
      <c r="M151" s="57"/>
      <c r="S151" s="13"/>
    </row>
    <row r="152" spans="1:19" s="12" customFormat="1" x14ac:dyDescent="0.3">
      <c r="B152" s="63"/>
      <c r="C152" s="12">
        <v>6</v>
      </c>
      <c r="D152" s="13">
        <f>N147</f>
        <v>35716551.094985411</v>
      </c>
      <c r="E152" s="42">
        <f t="shared" si="21"/>
        <v>299930520.12529582</v>
      </c>
      <c r="F152" s="13">
        <f t="shared" si="22"/>
        <v>657963980.95625806</v>
      </c>
      <c r="G152" s="12">
        <v>1.7999999999999999E-2</v>
      </c>
      <c r="H152" s="13">
        <f t="shared" si="16"/>
        <v>669807332.61347067</v>
      </c>
      <c r="I152" s="13"/>
      <c r="J152" s="9">
        <f t="shared" si="15"/>
        <v>969737852.73876643</v>
      </c>
      <c r="K152" s="49"/>
      <c r="L152" s="14"/>
      <c r="M152" s="57"/>
      <c r="S152" s="13"/>
    </row>
    <row r="153" spans="1:19" s="12" customFormat="1" x14ac:dyDescent="0.3">
      <c r="B153" s="63"/>
      <c r="C153" s="12">
        <v>7</v>
      </c>
      <c r="D153" s="13">
        <f>N147</f>
        <v>35716551.094985411</v>
      </c>
      <c r="E153" s="42">
        <f t="shared" si="21"/>
        <v>305329269.48755115</v>
      </c>
      <c r="F153" s="13">
        <f t="shared" si="22"/>
        <v>705523883.70845604</v>
      </c>
      <c r="G153" s="12">
        <v>1.7999999999999999E-2</v>
      </c>
      <c r="H153" s="13">
        <f t="shared" si="16"/>
        <v>718223313.61520827</v>
      </c>
      <c r="I153" s="13"/>
      <c r="J153" s="9">
        <f t="shared" si="15"/>
        <v>1023552583.1027594</v>
      </c>
      <c r="K153" s="49"/>
      <c r="L153" s="14"/>
      <c r="M153" s="57"/>
      <c r="S153" s="13"/>
    </row>
    <row r="154" spans="1:19" s="12" customFormat="1" x14ac:dyDescent="0.3">
      <c r="B154" s="63"/>
      <c r="C154" s="12">
        <v>8</v>
      </c>
      <c r="D154" s="13">
        <f>N147</f>
        <v>35716551.094985411</v>
      </c>
      <c r="E154" s="42">
        <f t="shared" si="21"/>
        <v>310825196.33832705</v>
      </c>
      <c r="F154" s="13">
        <f t="shared" si="22"/>
        <v>753939864.71019363</v>
      </c>
      <c r="G154" s="12">
        <v>1.7999999999999999E-2</v>
      </c>
      <c r="H154" s="13">
        <f t="shared" si="16"/>
        <v>767510782.27497709</v>
      </c>
      <c r="I154" s="13"/>
      <c r="J154" s="9">
        <f t="shared" si="15"/>
        <v>1078335978.6133041</v>
      </c>
      <c r="K154" s="49"/>
      <c r="L154" s="14"/>
      <c r="M154" s="57"/>
      <c r="S154" s="13"/>
    </row>
    <row r="155" spans="1:19" s="12" customFormat="1" x14ac:dyDescent="0.3">
      <c r="B155" s="63"/>
      <c r="C155" s="12">
        <v>9</v>
      </c>
      <c r="D155" s="13">
        <f>N147</f>
        <v>35716551.094985411</v>
      </c>
      <c r="E155" s="42">
        <f t="shared" si="21"/>
        <v>316420049.87241691</v>
      </c>
      <c r="F155" s="13">
        <f t="shared" si="22"/>
        <v>803227333.36996245</v>
      </c>
      <c r="G155" s="12">
        <v>1.7999999999999999E-2</v>
      </c>
      <c r="H155" s="13">
        <f t="shared" si="16"/>
        <v>817685425.3706218</v>
      </c>
      <c r="I155" s="13"/>
      <c r="J155" s="9">
        <f t="shared" si="15"/>
        <v>1134105475.2430387</v>
      </c>
      <c r="K155" s="49"/>
      <c r="L155" s="14"/>
      <c r="M155" s="57"/>
      <c r="S155" s="13"/>
    </row>
    <row r="156" spans="1:19" s="12" customFormat="1" x14ac:dyDescent="0.3">
      <c r="B156" s="63"/>
      <c r="C156" s="12">
        <v>10</v>
      </c>
      <c r="D156" s="13">
        <f>N147</f>
        <v>35716551.094985411</v>
      </c>
      <c r="E156" s="42">
        <f t="shared" si="21"/>
        <v>322115610.77012044</v>
      </c>
      <c r="F156" s="13">
        <f t="shared" si="22"/>
        <v>853401976.46560717</v>
      </c>
      <c r="G156" s="12">
        <v>1.7999999999999999E-2</v>
      </c>
      <c r="H156" s="13">
        <f t="shared" si="16"/>
        <v>868763212.04198813</v>
      </c>
      <c r="I156" s="13"/>
      <c r="J156" s="9">
        <f t="shared" ref="J156:J194" si="23" xml:space="preserve"> E156 + H156</f>
        <v>1190878822.8121085</v>
      </c>
      <c r="K156" s="49"/>
      <c r="L156" s="14"/>
      <c r="M156" s="57"/>
      <c r="S156" s="13"/>
    </row>
    <row r="157" spans="1:19" s="12" customFormat="1" x14ac:dyDescent="0.3">
      <c r="B157" s="63"/>
      <c r="C157" s="12">
        <v>11</v>
      </c>
      <c r="D157" s="13">
        <f>N147</f>
        <v>35716551.094985411</v>
      </c>
      <c r="E157" s="42">
        <f t="shared" si="21"/>
        <v>327913691.76398259</v>
      </c>
      <c r="F157" s="13">
        <f t="shared" si="22"/>
        <v>904479763.1369735</v>
      </c>
      <c r="G157" s="12">
        <v>1.7999999999999999E-2</v>
      </c>
      <c r="H157" s="13">
        <f t="shared" si="16"/>
        <v>920760398.87343907</v>
      </c>
      <c r="I157" s="13"/>
      <c r="J157" s="9">
        <f t="shared" si="23"/>
        <v>1248674090.6374216</v>
      </c>
      <c r="K157" s="49"/>
      <c r="L157" s="14"/>
      <c r="M157" s="57"/>
      <c r="S157" s="13"/>
    </row>
    <row r="158" spans="1:19" s="18" customFormat="1" x14ac:dyDescent="0.3">
      <c r="B158" s="63"/>
      <c r="C158" s="18">
        <v>12</v>
      </c>
      <c r="D158" s="19">
        <f>N147</f>
        <v>35716551.094985411</v>
      </c>
      <c r="E158" s="19">
        <f t="shared" si="21"/>
        <v>333816138.2157343</v>
      </c>
      <c r="F158" s="19">
        <f t="shared" si="22"/>
        <v>920476949.96842444</v>
      </c>
      <c r="G158" s="18">
        <v>1.7999999999999999E-2</v>
      </c>
      <c r="H158" s="19">
        <f t="shared" ref="H158:H194" si="24" xml:space="preserve"> (F158 * G158) + F158</f>
        <v>937045535.06785607</v>
      </c>
      <c r="I158" s="19">
        <f xml:space="preserve"> H158</f>
        <v>937045535.06785607</v>
      </c>
      <c r="J158" s="19">
        <f t="shared" si="23"/>
        <v>1270861673.2835903</v>
      </c>
      <c r="K158" s="52">
        <v>36000000</v>
      </c>
      <c r="L158" s="20">
        <f xml:space="preserve"> (I158-K158) / 2</f>
        <v>450522767.53392804</v>
      </c>
      <c r="M158" s="59">
        <f xml:space="preserve"> (F147 + SUM(D148:D158)) - SUM(K148:K158)</f>
        <v>787900401.11301899</v>
      </c>
      <c r="N158" s="19">
        <f xml:space="preserve"> H158 - M158</f>
        <v>149145133.95483708</v>
      </c>
      <c r="O158" s="18">
        <v>0.84</v>
      </c>
      <c r="P158" s="19">
        <f xml:space="preserve"> N158 * O158</f>
        <v>125281912.52206315</v>
      </c>
      <c r="Q158" s="19">
        <f xml:space="preserve"> N158 - P158</f>
        <v>23863221.432773933</v>
      </c>
      <c r="R158" s="18">
        <f xml:space="preserve"> N158 / M158 * 100</f>
        <v>18.929440033809961</v>
      </c>
      <c r="S158" s="19"/>
    </row>
    <row r="159" spans="1:19" s="12" customFormat="1" x14ac:dyDescent="0.3">
      <c r="A159" s="12">
        <v>14</v>
      </c>
      <c r="B159" s="63">
        <v>2035</v>
      </c>
      <c r="C159" s="12">
        <v>1</v>
      </c>
      <c r="D159" s="13">
        <f>N159</f>
        <v>40043563.961160667</v>
      </c>
      <c r="E159" s="42">
        <f t="shared" si="21"/>
        <v>339824828.70361751</v>
      </c>
      <c r="F159" s="13">
        <f xml:space="preserve"> (H158 / 2) + D159 - K159</f>
        <v>508566331.4950887</v>
      </c>
      <c r="G159" s="12">
        <v>1.7999999999999999E-2</v>
      </c>
      <c r="H159" s="13">
        <f t="shared" si="24"/>
        <v>517720525.46200031</v>
      </c>
      <c r="I159" s="13"/>
      <c r="J159" s="9">
        <f t="shared" si="23"/>
        <v>857545354.16561782</v>
      </c>
      <c r="K159" s="49"/>
      <c r="L159" s="14"/>
      <c r="M159" s="57"/>
      <c r="N159" s="11">
        <f xml:space="preserve"> (L158 / 12) +2500000</f>
        <v>40043563.961160667</v>
      </c>
      <c r="P159" s="9">
        <f xml:space="preserve"> (H158 - K159) / 2</f>
        <v>468522767.53392804</v>
      </c>
      <c r="S159" s="13"/>
    </row>
    <row r="160" spans="1:19" s="12" customFormat="1" x14ac:dyDescent="0.3">
      <c r="B160" s="63"/>
      <c r="C160" s="12">
        <v>2</v>
      </c>
      <c r="D160" s="13">
        <f>N159</f>
        <v>40043563.961160667</v>
      </c>
      <c r="E160" s="42">
        <f t="shared" si="21"/>
        <v>345941675.62028265</v>
      </c>
      <c r="F160" s="13">
        <f t="shared" ref="F160:F170" si="25" xml:space="preserve"> H159 + D160 - K160</f>
        <v>557764089.42316103</v>
      </c>
      <c r="G160" s="12">
        <v>1.7999999999999999E-2</v>
      </c>
      <c r="H160" s="13">
        <f t="shared" si="24"/>
        <v>567803843.03277791</v>
      </c>
      <c r="I160" s="13"/>
      <c r="J160" s="9">
        <f t="shared" si="23"/>
        <v>913745518.65306056</v>
      </c>
      <c r="K160" s="49"/>
      <c r="L160" s="14"/>
      <c r="M160" s="57"/>
      <c r="S160" s="13"/>
    </row>
    <row r="161" spans="1:19" s="12" customFormat="1" x14ac:dyDescent="0.3">
      <c r="B161" s="63"/>
      <c r="C161" s="12">
        <v>3</v>
      </c>
      <c r="D161" s="13">
        <f>N159</f>
        <v>40043563.961160667</v>
      </c>
      <c r="E161" s="42">
        <f t="shared" si="21"/>
        <v>352168625.78144771</v>
      </c>
      <c r="F161" s="13">
        <f t="shared" si="25"/>
        <v>607847406.99393857</v>
      </c>
      <c r="G161" s="12">
        <v>1.7999999999999999E-2</v>
      </c>
      <c r="H161" s="13">
        <f t="shared" si="24"/>
        <v>618788660.31982946</v>
      </c>
      <c r="I161" s="13"/>
      <c r="J161" s="9">
        <f t="shared" si="23"/>
        <v>970957286.10127711</v>
      </c>
      <c r="K161" s="49"/>
      <c r="L161" s="14"/>
      <c r="M161" s="57"/>
      <c r="S161" s="13"/>
    </row>
    <row r="162" spans="1:19" s="12" customFormat="1" x14ac:dyDescent="0.3">
      <c r="B162" s="63"/>
      <c r="C162" s="12">
        <v>4</v>
      </c>
      <c r="D162" s="13">
        <f>N159</f>
        <v>40043563.961160667</v>
      </c>
      <c r="E162" s="42">
        <f t="shared" si="21"/>
        <v>358507661.04551375</v>
      </c>
      <c r="F162" s="13">
        <f t="shared" si="25"/>
        <v>658832224.28099012</v>
      </c>
      <c r="G162" s="12">
        <v>1.7999999999999999E-2</v>
      </c>
      <c r="H162" s="13">
        <f t="shared" si="24"/>
        <v>670691204.318048</v>
      </c>
      <c r="I162" s="13"/>
      <c r="J162" s="9">
        <f t="shared" si="23"/>
        <v>1029198865.3635617</v>
      </c>
      <c r="K162" s="49"/>
      <c r="L162" s="14"/>
      <c r="M162" s="57"/>
      <c r="S162" s="13"/>
    </row>
    <row r="163" spans="1:19" s="12" customFormat="1" x14ac:dyDescent="0.3">
      <c r="B163" s="63"/>
      <c r="C163" s="12">
        <v>5</v>
      </c>
      <c r="D163" s="13">
        <f>N159</f>
        <v>40043563.961160667</v>
      </c>
      <c r="E163" s="42">
        <f t="shared" si="21"/>
        <v>364960798.94433302</v>
      </c>
      <c r="F163" s="13">
        <f t="shared" si="25"/>
        <v>686871546.84643471</v>
      </c>
      <c r="G163" s="12">
        <v>1.7999999999999999E-2</v>
      </c>
      <c r="H163" s="13">
        <f t="shared" si="24"/>
        <v>699235234.68967056</v>
      </c>
      <c r="I163" s="13"/>
      <c r="J163" s="9">
        <f t="shared" si="23"/>
        <v>1064196033.6340036</v>
      </c>
      <c r="K163" s="49">
        <f xml:space="preserve"> Q158</f>
        <v>23863221.432773933</v>
      </c>
      <c r="L163" s="14"/>
      <c r="M163" s="57"/>
      <c r="S163" s="13"/>
    </row>
    <row r="164" spans="1:19" s="12" customFormat="1" x14ac:dyDescent="0.3">
      <c r="B164" s="63"/>
      <c r="C164" s="12">
        <v>6</v>
      </c>
      <c r="D164" s="13">
        <f>N159</f>
        <v>40043563.961160667</v>
      </c>
      <c r="E164" s="42">
        <f t="shared" si="21"/>
        <v>371530093.32533103</v>
      </c>
      <c r="F164" s="13">
        <f t="shared" si="25"/>
        <v>739278798.65083122</v>
      </c>
      <c r="G164" s="12">
        <v>1.7999999999999999E-2</v>
      </c>
      <c r="H164" s="13">
        <f t="shared" si="24"/>
        <v>752585817.02654624</v>
      </c>
      <c r="I164" s="13"/>
      <c r="J164" s="9">
        <f t="shared" si="23"/>
        <v>1124115910.3518772</v>
      </c>
      <c r="K164" s="49"/>
      <c r="L164" s="14"/>
      <c r="M164" s="57"/>
      <c r="S164" s="13"/>
    </row>
    <row r="165" spans="1:19" s="12" customFormat="1" x14ac:dyDescent="0.3">
      <c r="B165" s="63"/>
      <c r="C165" s="12">
        <v>7</v>
      </c>
      <c r="D165" s="13">
        <f>N159</f>
        <v>40043563.961160667</v>
      </c>
      <c r="E165" s="42">
        <f t="shared" si="21"/>
        <v>378217635.00518698</v>
      </c>
      <c r="F165" s="13">
        <f t="shared" si="25"/>
        <v>792629380.9877069</v>
      </c>
      <c r="G165" s="12">
        <v>1.7999999999999999E-2</v>
      </c>
      <c r="H165" s="13">
        <f t="shared" si="24"/>
        <v>806896709.84548557</v>
      </c>
      <c r="I165" s="13"/>
      <c r="J165" s="9">
        <f t="shared" si="23"/>
        <v>1185114344.8506725</v>
      </c>
      <c r="K165" s="49"/>
      <c r="L165" s="14"/>
      <c r="M165" s="57"/>
      <c r="S165" s="13"/>
    </row>
    <row r="166" spans="1:19" s="12" customFormat="1" x14ac:dyDescent="0.3">
      <c r="B166" s="63"/>
      <c r="C166" s="12">
        <v>8</v>
      </c>
      <c r="D166" s="13">
        <f>N159</f>
        <v>40043563.961160667</v>
      </c>
      <c r="E166" s="42">
        <f t="shared" si="21"/>
        <v>385025552.43528032</v>
      </c>
      <c r="F166" s="13">
        <f t="shared" si="25"/>
        <v>846940273.80664623</v>
      </c>
      <c r="G166" s="12">
        <v>1.7999999999999999E-2</v>
      </c>
      <c r="H166" s="13">
        <f t="shared" si="24"/>
        <v>862185198.73516583</v>
      </c>
      <c r="I166" s="13"/>
      <c r="J166" s="9">
        <f t="shared" si="23"/>
        <v>1247210751.1704462</v>
      </c>
      <c r="K166" s="49"/>
      <c r="L166" s="14"/>
      <c r="M166" s="57"/>
      <c r="S166" s="13"/>
    </row>
    <row r="167" spans="1:19" s="12" customFormat="1" x14ac:dyDescent="0.3">
      <c r="B167" s="63"/>
      <c r="C167" s="12">
        <v>9</v>
      </c>
      <c r="D167" s="13">
        <f>N159</f>
        <v>40043563.961160667</v>
      </c>
      <c r="E167" s="42">
        <f t="shared" si="21"/>
        <v>391956012.37911534</v>
      </c>
      <c r="F167" s="13">
        <f t="shared" si="25"/>
        <v>902228762.69632649</v>
      </c>
      <c r="G167" s="12">
        <v>1.7999999999999999E-2</v>
      </c>
      <c r="H167" s="13">
        <f t="shared" si="24"/>
        <v>918468880.42486036</v>
      </c>
      <c r="I167" s="13"/>
      <c r="J167" s="9">
        <f t="shared" si="23"/>
        <v>1310424892.8039756</v>
      </c>
      <c r="K167" s="49"/>
      <c r="L167" s="14"/>
      <c r="M167" s="57"/>
      <c r="S167" s="13"/>
    </row>
    <row r="168" spans="1:19" s="12" customFormat="1" x14ac:dyDescent="0.3">
      <c r="B168" s="63"/>
      <c r="C168" s="12">
        <v>10</v>
      </c>
      <c r="D168" s="13">
        <f>N159</f>
        <v>40043563.961160667</v>
      </c>
      <c r="E168" s="42">
        <f t="shared" si="21"/>
        <v>399011220.60193944</v>
      </c>
      <c r="F168" s="13">
        <f t="shared" si="25"/>
        <v>958512444.38602102</v>
      </c>
      <c r="G168" s="12">
        <v>1.7999999999999999E-2</v>
      </c>
      <c r="H168" s="13">
        <f t="shared" si="24"/>
        <v>975765668.38496935</v>
      </c>
      <c r="I168" s="13"/>
      <c r="J168" s="9">
        <f t="shared" si="23"/>
        <v>1374776888.9869089</v>
      </c>
      <c r="K168" s="49"/>
      <c r="L168" s="14"/>
      <c r="M168" s="57"/>
      <c r="S168" s="13"/>
    </row>
    <row r="169" spans="1:19" s="12" customFormat="1" x14ac:dyDescent="0.3">
      <c r="B169" s="63"/>
      <c r="C169" s="12">
        <v>11</v>
      </c>
      <c r="D169" s="13">
        <f>N159</f>
        <v>40043563.961160667</v>
      </c>
      <c r="E169" s="42">
        <f t="shared" si="21"/>
        <v>406193422.57277435</v>
      </c>
      <c r="F169" s="13">
        <f t="shared" si="25"/>
        <v>1015809232.34613</v>
      </c>
      <c r="G169" s="12">
        <v>1.7999999999999999E-2</v>
      </c>
      <c r="H169" s="13">
        <f t="shared" si="24"/>
        <v>1034093798.5283604</v>
      </c>
      <c r="I169" s="13"/>
      <c r="J169" s="9">
        <f t="shared" si="23"/>
        <v>1440287221.1011348</v>
      </c>
      <c r="K169" s="49"/>
      <c r="L169" s="14"/>
      <c r="M169" s="57"/>
      <c r="S169" s="13"/>
    </row>
    <row r="170" spans="1:19" s="18" customFormat="1" x14ac:dyDescent="0.3">
      <c r="B170" s="63"/>
      <c r="C170" s="18">
        <v>12</v>
      </c>
      <c r="D170" s="19">
        <f>N159</f>
        <v>40043563.961160667</v>
      </c>
      <c r="E170" s="19">
        <f t="shared" si="21"/>
        <v>413504904.1790843</v>
      </c>
      <c r="F170" s="19">
        <f t="shared" si="25"/>
        <v>1038137362.489521</v>
      </c>
      <c r="G170" s="18">
        <v>1.7999999999999999E-2</v>
      </c>
      <c r="H170" s="19">
        <f t="shared" si="24"/>
        <v>1056823835.0143324</v>
      </c>
      <c r="I170" s="19">
        <f xml:space="preserve"> H170</f>
        <v>1056823835.0143324</v>
      </c>
      <c r="J170" s="19">
        <f t="shared" si="23"/>
        <v>1470328739.1934166</v>
      </c>
      <c r="K170" s="52">
        <v>36000000</v>
      </c>
      <c r="L170" s="20">
        <f xml:space="preserve"> (I170-K170) / 2</f>
        <v>510411917.50716621</v>
      </c>
      <c r="M170" s="59">
        <f xml:space="preserve"> (F159 + SUM(D160:D170)) - SUM(K160:K170)</f>
        <v>889182313.63508213</v>
      </c>
      <c r="N170" s="19">
        <f xml:space="preserve"> H170 - M170</f>
        <v>167641521.37925029</v>
      </c>
      <c r="O170" s="18">
        <v>0.84</v>
      </c>
      <c r="P170" s="19">
        <f xml:space="preserve"> N170 * O170</f>
        <v>140818877.95857024</v>
      </c>
      <c r="Q170" s="19">
        <f xml:space="preserve"> N170 - P170</f>
        <v>26822643.420680046</v>
      </c>
      <c r="R170" s="18">
        <f xml:space="preserve"> N170 / M170 * 100</f>
        <v>18.853447578586216</v>
      </c>
      <c r="S170" s="19"/>
    </row>
    <row r="171" spans="1:19" s="12" customFormat="1" x14ac:dyDescent="0.3">
      <c r="A171" s="12">
        <v>15</v>
      </c>
      <c r="B171" s="63">
        <v>2036</v>
      </c>
      <c r="C171" s="12">
        <v>1</v>
      </c>
      <c r="D171" s="13">
        <f>N171</f>
        <v>45034326.458930515</v>
      </c>
      <c r="E171" s="42">
        <f t="shared" si="21"/>
        <v>420947992.45430779</v>
      </c>
      <c r="F171" s="13">
        <f xml:space="preserve"> (H170 / 2) + D171 - K171</f>
        <v>573446243.96609676</v>
      </c>
      <c r="G171" s="12">
        <v>1.7999999999999999E-2</v>
      </c>
      <c r="H171" s="13">
        <f t="shared" si="24"/>
        <v>583768276.35748649</v>
      </c>
      <c r="I171" s="13"/>
      <c r="J171" s="9">
        <f t="shared" si="23"/>
        <v>1004716268.8117943</v>
      </c>
      <c r="K171" s="49"/>
      <c r="L171" s="14"/>
      <c r="M171" s="57"/>
      <c r="N171" s="11">
        <f xml:space="preserve"> (L170 / 12) +2500000</f>
        <v>45034326.458930515</v>
      </c>
      <c r="P171" s="9">
        <f xml:space="preserve"> (H170 - K171) / 2</f>
        <v>528411917.50716621</v>
      </c>
      <c r="S171" s="13"/>
    </row>
    <row r="172" spans="1:19" s="12" customFormat="1" x14ac:dyDescent="0.3">
      <c r="B172" s="63"/>
      <c r="C172" s="12">
        <v>2</v>
      </c>
      <c r="D172" s="13">
        <f>N171</f>
        <v>45034326.458930515</v>
      </c>
      <c r="E172" s="42">
        <f t="shared" si="21"/>
        <v>428525056.31848532</v>
      </c>
      <c r="F172" s="13">
        <f t="shared" ref="F172:F182" si="26" xml:space="preserve"> H171 + D172 - K172</f>
        <v>628802602.81641698</v>
      </c>
      <c r="G172" s="12">
        <v>1.7999999999999999E-2</v>
      </c>
      <c r="H172" s="13">
        <f t="shared" si="24"/>
        <v>640121049.66711247</v>
      </c>
      <c r="I172" s="13"/>
      <c r="J172" s="9">
        <f t="shared" si="23"/>
        <v>1068646105.9855978</v>
      </c>
      <c r="K172" s="49"/>
      <c r="L172" s="14"/>
      <c r="M172" s="57"/>
      <c r="S172" s="13"/>
    </row>
    <row r="173" spans="1:19" s="12" customFormat="1" x14ac:dyDescent="0.3">
      <c r="B173" s="63"/>
      <c r="C173" s="12">
        <v>3</v>
      </c>
      <c r="D173" s="13">
        <f>N171</f>
        <v>45034326.458930515</v>
      </c>
      <c r="E173" s="42">
        <f t="shared" si="21"/>
        <v>436238507.33221805</v>
      </c>
      <c r="F173" s="13">
        <f t="shared" si="26"/>
        <v>685155376.12604296</v>
      </c>
      <c r="G173" s="12">
        <v>1.7999999999999999E-2</v>
      </c>
      <c r="H173" s="13">
        <f t="shared" si="24"/>
        <v>697488172.89631176</v>
      </c>
      <c r="I173" s="13"/>
      <c r="J173" s="9">
        <f t="shared" si="23"/>
        <v>1133726680.2285299</v>
      </c>
      <c r="K173" s="49"/>
      <c r="L173" s="14"/>
      <c r="M173" s="57"/>
      <c r="S173" s="13"/>
    </row>
    <row r="174" spans="1:19" s="12" customFormat="1" x14ac:dyDescent="0.3">
      <c r="B174" s="63"/>
      <c r="C174" s="12">
        <v>4</v>
      </c>
      <c r="D174" s="13">
        <f>N171</f>
        <v>45034326.458930515</v>
      </c>
      <c r="E174" s="42">
        <f t="shared" si="21"/>
        <v>444090800.46419799</v>
      </c>
      <c r="F174" s="13">
        <f t="shared" si="26"/>
        <v>742522499.35524225</v>
      </c>
      <c r="G174" s="12">
        <v>1.7999999999999999E-2</v>
      </c>
      <c r="H174" s="13">
        <f t="shared" si="24"/>
        <v>755887904.34363663</v>
      </c>
      <c r="I174" s="13"/>
      <c r="J174" s="9">
        <f t="shared" si="23"/>
        <v>1199978704.8078346</v>
      </c>
      <c r="K174" s="49"/>
      <c r="L174" s="14"/>
      <c r="M174" s="57"/>
      <c r="S174" s="13"/>
    </row>
    <row r="175" spans="1:19" s="12" customFormat="1" x14ac:dyDescent="0.3">
      <c r="B175" s="63"/>
      <c r="C175" s="12">
        <v>5</v>
      </c>
      <c r="D175" s="13">
        <f>N171</f>
        <v>45034326.458930515</v>
      </c>
      <c r="E175" s="42">
        <f t="shared" si="21"/>
        <v>452084434.87255353</v>
      </c>
      <c r="F175" s="13">
        <f t="shared" si="26"/>
        <v>774099587.38188708</v>
      </c>
      <c r="G175" s="12">
        <v>1.7999999999999999E-2</v>
      </c>
      <c r="H175" s="13">
        <f t="shared" si="24"/>
        <v>788033379.95476103</v>
      </c>
      <c r="I175" s="13"/>
      <c r="J175" s="9">
        <f t="shared" si="23"/>
        <v>1240117814.8273146</v>
      </c>
      <c r="K175" s="49">
        <f xml:space="preserve"> Q170</f>
        <v>26822643.420680046</v>
      </c>
      <c r="L175" s="14"/>
      <c r="M175" s="57"/>
      <c r="S175" s="13"/>
    </row>
    <row r="176" spans="1:19" s="12" customFormat="1" x14ac:dyDescent="0.3">
      <c r="B176" s="63"/>
      <c r="C176" s="12">
        <v>6</v>
      </c>
      <c r="D176" s="13">
        <f>N171</f>
        <v>45034326.458930515</v>
      </c>
      <c r="E176" s="42">
        <f t="shared" si="21"/>
        <v>460221954.70025951</v>
      </c>
      <c r="F176" s="13">
        <f t="shared" si="26"/>
        <v>833067706.41369152</v>
      </c>
      <c r="G176" s="12">
        <v>1.7999999999999999E-2</v>
      </c>
      <c r="H176" s="13">
        <f t="shared" si="24"/>
        <v>848062925.12913799</v>
      </c>
      <c r="I176" s="13"/>
      <c r="J176" s="9">
        <f t="shared" si="23"/>
        <v>1308284879.8293974</v>
      </c>
      <c r="K176" s="49"/>
      <c r="L176" s="14"/>
      <c r="M176" s="57"/>
      <c r="S176" s="13"/>
    </row>
    <row r="177" spans="1:19" s="12" customFormat="1" x14ac:dyDescent="0.3">
      <c r="B177" s="63"/>
      <c r="C177" s="12">
        <v>7</v>
      </c>
      <c r="D177" s="13">
        <f>N171</f>
        <v>45034326.458930515</v>
      </c>
      <c r="E177" s="42">
        <f t="shared" si="21"/>
        <v>468505949.88486415</v>
      </c>
      <c r="F177" s="13">
        <f t="shared" si="26"/>
        <v>893097251.58806849</v>
      </c>
      <c r="G177" s="12">
        <v>1.7999999999999999E-2</v>
      </c>
      <c r="H177" s="13">
        <f t="shared" si="24"/>
        <v>909173002.11665368</v>
      </c>
      <c r="I177" s="13"/>
      <c r="J177" s="9">
        <f t="shared" si="23"/>
        <v>1377678952.0015178</v>
      </c>
      <c r="K177" s="49"/>
      <c r="L177" s="14"/>
      <c r="M177" s="57"/>
      <c r="S177" s="13"/>
    </row>
    <row r="178" spans="1:19" s="12" customFormat="1" x14ac:dyDescent="0.3">
      <c r="B178" s="63"/>
      <c r="C178" s="12">
        <v>8</v>
      </c>
      <c r="D178" s="13">
        <f>N171</f>
        <v>45034326.458930515</v>
      </c>
      <c r="E178" s="42">
        <f t="shared" si="21"/>
        <v>476939056.98279172</v>
      </c>
      <c r="F178" s="13">
        <f t="shared" si="26"/>
        <v>954207328.57558417</v>
      </c>
      <c r="G178" s="12">
        <v>1.7999999999999999E-2</v>
      </c>
      <c r="H178" s="13">
        <f t="shared" si="24"/>
        <v>971383060.4899447</v>
      </c>
      <c r="I178" s="13"/>
      <c r="J178" s="9">
        <f t="shared" si="23"/>
        <v>1448322117.4727364</v>
      </c>
      <c r="K178" s="49"/>
      <c r="L178" s="14"/>
      <c r="M178" s="57"/>
      <c r="S178" s="13"/>
    </row>
    <row r="179" spans="1:19" s="12" customFormat="1" x14ac:dyDescent="0.3">
      <c r="B179" s="63"/>
      <c r="C179" s="12">
        <v>9</v>
      </c>
      <c r="D179" s="13">
        <f>N171</f>
        <v>45034326.458930515</v>
      </c>
      <c r="E179" s="42">
        <f t="shared" si="21"/>
        <v>485523960.00848198</v>
      </c>
      <c r="F179" s="13">
        <f t="shared" si="26"/>
        <v>1016417386.9488752</v>
      </c>
      <c r="G179" s="12">
        <v>1.7999999999999999E-2</v>
      </c>
      <c r="H179" s="13">
        <f t="shared" si="24"/>
        <v>1034712899.913955</v>
      </c>
      <c r="I179" s="13"/>
      <c r="J179" s="9">
        <f t="shared" si="23"/>
        <v>1520236859.922437</v>
      </c>
      <c r="K179" s="49"/>
      <c r="L179" s="14"/>
      <c r="M179" s="57"/>
      <c r="S179" s="13"/>
    </row>
    <row r="180" spans="1:19" s="12" customFormat="1" x14ac:dyDescent="0.3">
      <c r="B180" s="63"/>
      <c r="C180" s="12">
        <v>10</v>
      </c>
      <c r="D180" s="13">
        <f>N171</f>
        <v>45034326.458930515</v>
      </c>
      <c r="E180" s="42">
        <f t="shared" si="21"/>
        <v>494263391.28863466</v>
      </c>
      <c r="F180" s="13">
        <f t="shared" si="26"/>
        <v>1079747226.3728855</v>
      </c>
      <c r="G180" s="12">
        <v>1.7999999999999999E-2</v>
      </c>
      <c r="H180" s="13">
        <f t="shared" si="24"/>
        <v>1099182676.4475975</v>
      </c>
      <c r="I180" s="13"/>
      <c r="J180" s="9">
        <f t="shared" si="23"/>
        <v>1593446067.7362323</v>
      </c>
      <c r="K180" s="49"/>
      <c r="L180" s="14"/>
      <c r="M180" s="57"/>
      <c r="S180" s="13"/>
    </row>
    <row r="181" spans="1:19" s="12" customFormat="1" x14ac:dyDescent="0.3">
      <c r="B181" s="63"/>
      <c r="C181" s="12">
        <v>11</v>
      </c>
      <c r="D181" s="13">
        <f>N171</f>
        <v>45034326.458930515</v>
      </c>
      <c r="E181" s="42">
        <f t="shared" si="21"/>
        <v>503160132.33183008</v>
      </c>
      <c r="F181" s="13">
        <f t="shared" si="26"/>
        <v>1144217002.906528</v>
      </c>
      <c r="G181" s="12">
        <v>1.7999999999999999E-2</v>
      </c>
      <c r="H181" s="13">
        <f t="shared" si="24"/>
        <v>1164812908.9588456</v>
      </c>
      <c r="I181" s="13"/>
      <c r="J181" s="9">
        <f t="shared" si="23"/>
        <v>1667973041.2906756</v>
      </c>
      <c r="K181" s="49"/>
      <c r="L181" s="14"/>
      <c r="M181" s="57"/>
      <c r="S181" s="13"/>
    </row>
    <row r="182" spans="1:19" s="18" customFormat="1" x14ac:dyDescent="0.3">
      <c r="B182" s="63"/>
      <c r="C182" s="18">
        <v>12</v>
      </c>
      <c r="D182" s="19">
        <f>N171</f>
        <v>45034326.458930515</v>
      </c>
      <c r="E182" s="19">
        <f t="shared" si="21"/>
        <v>512217014.71380305</v>
      </c>
      <c r="F182" s="19">
        <f t="shared" si="26"/>
        <v>1173847235.4177761</v>
      </c>
      <c r="G182" s="18">
        <v>1.7999999999999999E-2</v>
      </c>
      <c r="H182" s="19">
        <f t="shared" si="24"/>
        <v>1194976485.6552961</v>
      </c>
      <c r="I182" s="19">
        <f xml:space="preserve"> H182</f>
        <v>1194976485.6552961</v>
      </c>
      <c r="J182" s="19">
        <f t="shared" si="23"/>
        <v>1707193500.3690991</v>
      </c>
      <c r="K182" s="52">
        <v>36000000</v>
      </c>
      <c r="L182" s="20">
        <f xml:space="preserve"> (I182-K182) / 2</f>
        <v>579488242.82764804</v>
      </c>
      <c r="M182" s="59">
        <f xml:space="preserve"> (F171 + SUM(D172:D182)) - SUM(K172:K182)</f>
        <v>1006001191.5936522</v>
      </c>
      <c r="N182" s="19">
        <f xml:space="preserve"> H182 - M182</f>
        <v>188975294.06164384</v>
      </c>
      <c r="O182" s="18">
        <v>0.84</v>
      </c>
      <c r="P182" s="19">
        <f xml:space="preserve"> N182 * O182</f>
        <v>158739247.01178083</v>
      </c>
      <c r="Q182" s="19">
        <f xml:space="preserve"> N182 - P182</f>
        <v>30236047.049863011</v>
      </c>
      <c r="R182" s="18">
        <f xml:space="preserve"> N182 / M182 * 100</f>
        <v>18.784798232920526</v>
      </c>
      <c r="S182" s="19"/>
    </row>
    <row r="183" spans="1:19" s="12" customFormat="1" x14ac:dyDescent="0.3">
      <c r="A183" s="12">
        <v>16</v>
      </c>
      <c r="B183" s="63">
        <v>2037</v>
      </c>
      <c r="C183" s="12">
        <v>1</v>
      </c>
      <c r="D183" s="13">
        <f>N183</f>
        <v>50790686.902304001</v>
      </c>
      <c r="E183" s="42">
        <f t="shared" si="21"/>
        <v>521436920.97865152</v>
      </c>
      <c r="F183" s="13">
        <f xml:space="preserve"> (H182 / 2) + D183 - K183</f>
        <v>648278929.7299521</v>
      </c>
      <c r="G183" s="12">
        <v>1.7999999999999999E-2</v>
      </c>
      <c r="H183" s="13">
        <f t="shared" si="24"/>
        <v>659947950.46509123</v>
      </c>
      <c r="I183" s="13"/>
      <c r="J183" s="9">
        <f t="shared" si="23"/>
        <v>1181384871.4437428</v>
      </c>
      <c r="K183" s="49"/>
      <c r="L183" s="14"/>
      <c r="M183" s="57"/>
      <c r="N183" s="11">
        <f xml:space="preserve"> (L182 / 12) +2500000</f>
        <v>50790686.902304001</v>
      </c>
      <c r="P183" s="9">
        <f xml:space="preserve"> (H182 - K183) / 2</f>
        <v>597488242.82764804</v>
      </c>
      <c r="S183" s="13"/>
    </row>
    <row r="184" spans="1:19" s="12" customFormat="1" x14ac:dyDescent="0.3">
      <c r="B184" s="63"/>
      <c r="C184" s="12">
        <v>2</v>
      </c>
      <c r="D184" s="13">
        <f>N183</f>
        <v>50790686.902304001</v>
      </c>
      <c r="E184" s="42">
        <f t="shared" si="21"/>
        <v>530822785.55626726</v>
      </c>
      <c r="F184" s="13">
        <f t="shared" ref="F184:F194" si="27" xml:space="preserve"> H183 + D184 - K184</f>
        <v>710738637.36739528</v>
      </c>
      <c r="G184" s="12">
        <v>1.7999999999999999E-2</v>
      </c>
      <c r="H184" s="13">
        <f t="shared" si="24"/>
        <v>723531932.84000838</v>
      </c>
      <c r="I184" s="13"/>
      <c r="J184" s="9">
        <f t="shared" si="23"/>
        <v>1254354718.3962755</v>
      </c>
      <c r="K184" s="49"/>
      <c r="L184" s="14"/>
      <c r="M184" s="57"/>
      <c r="S184" s="13"/>
    </row>
    <row r="185" spans="1:19" s="12" customFormat="1" x14ac:dyDescent="0.3">
      <c r="B185" s="63"/>
      <c r="C185" s="12">
        <v>3</v>
      </c>
      <c r="D185" s="13">
        <f>N183</f>
        <v>50790686.902304001</v>
      </c>
      <c r="E185" s="42">
        <f t="shared" si="21"/>
        <v>540377595.69628012</v>
      </c>
      <c r="F185" s="13">
        <f t="shared" si="27"/>
        <v>774322619.74231243</v>
      </c>
      <c r="G185" s="12">
        <v>1.7999999999999999E-2</v>
      </c>
      <c r="H185" s="13">
        <f t="shared" si="24"/>
        <v>788260426.89767408</v>
      </c>
      <c r="I185" s="13"/>
      <c r="J185" s="9">
        <f t="shared" si="23"/>
        <v>1328638022.5939541</v>
      </c>
      <c r="K185" s="49"/>
      <c r="L185" s="14"/>
      <c r="M185" s="57"/>
      <c r="S185" s="13"/>
    </row>
    <row r="186" spans="1:19" s="12" customFormat="1" x14ac:dyDescent="0.3">
      <c r="B186" s="63"/>
      <c r="C186" s="12">
        <v>4</v>
      </c>
      <c r="D186" s="13">
        <f>N183</f>
        <v>50790686.902304001</v>
      </c>
      <c r="E186" s="42">
        <f t="shared" si="21"/>
        <v>550104392.41881311</v>
      </c>
      <c r="F186" s="13">
        <f t="shared" si="27"/>
        <v>839051113.79997814</v>
      </c>
      <c r="G186" s="12">
        <v>1.7999999999999999E-2</v>
      </c>
      <c r="H186" s="13">
        <f t="shared" si="24"/>
        <v>854154033.8483777</v>
      </c>
      <c r="I186" s="13"/>
      <c r="J186" s="9">
        <f t="shared" si="23"/>
        <v>1404258426.2671909</v>
      </c>
      <c r="K186" s="49"/>
      <c r="L186" s="14"/>
      <c r="M186" s="57"/>
      <c r="S186" s="13"/>
    </row>
    <row r="187" spans="1:19" s="12" customFormat="1" x14ac:dyDescent="0.3">
      <c r="B187" s="63"/>
      <c r="C187" s="12">
        <v>5</v>
      </c>
      <c r="D187" s="13">
        <f>N183</f>
        <v>50790686.902304001</v>
      </c>
      <c r="E187" s="42">
        <f t="shared" si="21"/>
        <v>560006271.48235178</v>
      </c>
      <c r="F187" s="13">
        <f t="shared" si="27"/>
        <v>874708673.70081878</v>
      </c>
      <c r="G187" s="12">
        <v>1.7999999999999999E-2</v>
      </c>
      <c r="H187" s="13">
        <f t="shared" si="24"/>
        <v>890453429.82743347</v>
      </c>
      <c r="I187" s="13"/>
      <c r="J187" s="9">
        <f t="shared" si="23"/>
        <v>1450459701.3097854</v>
      </c>
      <c r="K187" s="49">
        <f xml:space="preserve"> Q182</f>
        <v>30236047.049863011</v>
      </c>
      <c r="L187" s="14"/>
      <c r="M187" s="57"/>
      <c r="S187" s="13"/>
    </row>
    <row r="188" spans="1:19" s="12" customFormat="1" x14ac:dyDescent="0.3">
      <c r="B188" s="63"/>
      <c r="C188" s="12">
        <v>6</v>
      </c>
      <c r="D188" s="13">
        <f>N183</f>
        <v>50790686.902304001</v>
      </c>
      <c r="E188" s="42">
        <f t="shared" si="21"/>
        <v>570086384.36903405</v>
      </c>
      <c r="F188" s="13">
        <f t="shared" si="27"/>
        <v>941244116.72973752</v>
      </c>
      <c r="G188" s="12">
        <v>1.7999999999999999E-2</v>
      </c>
      <c r="H188" s="13">
        <f t="shared" si="24"/>
        <v>958186510.83087277</v>
      </c>
      <c r="I188" s="13"/>
      <c r="J188" s="9">
        <f t="shared" si="23"/>
        <v>1528272895.1999068</v>
      </c>
      <c r="K188" s="49"/>
      <c r="L188" s="14"/>
      <c r="M188" s="57"/>
      <c r="S188" s="13"/>
    </row>
    <row r="189" spans="1:19" s="12" customFormat="1" x14ac:dyDescent="0.3">
      <c r="B189" s="63"/>
      <c r="C189" s="12">
        <v>7</v>
      </c>
      <c r="D189" s="13">
        <f>N183</f>
        <v>50790686.902304001</v>
      </c>
      <c r="E189" s="42">
        <f t="shared" si="21"/>
        <v>580347939.28767669</v>
      </c>
      <c r="F189" s="13">
        <f t="shared" si="27"/>
        <v>1008977197.7331768</v>
      </c>
      <c r="G189" s="12">
        <v>1.7999999999999999E-2</v>
      </c>
      <c r="H189" s="13">
        <f t="shared" si="24"/>
        <v>1027138787.292374</v>
      </c>
      <c r="I189" s="13"/>
      <c r="J189" s="9">
        <f t="shared" si="23"/>
        <v>1607486726.5800507</v>
      </c>
      <c r="K189" s="49"/>
      <c r="L189" s="14"/>
      <c r="M189" s="57"/>
      <c r="S189" s="13"/>
    </row>
    <row r="190" spans="1:19" s="12" customFormat="1" x14ac:dyDescent="0.3">
      <c r="B190" s="63"/>
      <c r="C190" s="12">
        <v>8</v>
      </c>
      <c r="D190" s="13">
        <f>N183</f>
        <v>50790686.902304001</v>
      </c>
      <c r="E190" s="42">
        <f t="shared" si="21"/>
        <v>590794202.19485486</v>
      </c>
      <c r="F190" s="13">
        <f t="shared" si="27"/>
        <v>1077929474.1946781</v>
      </c>
      <c r="G190" s="12">
        <v>1.7999999999999999E-2</v>
      </c>
      <c r="H190" s="13">
        <f t="shared" si="24"/>
        <v>1097332204.7301822</v>
      </c>
      <c r="I190" s="13"/>
      <c r="J190" s="9">
        <f t="shared" si="23"/>
        <v>1688126406.9250369</v>
      </c>
      <c r="K190" s="49"/>
      <c r="L190" s="14"/>
      <c r="M190" s="57"/>
      <c r="S190" s="13"/>
    </row>
    <row r="191" spans="1:19" s="12" customFormat="1" x14ac:dyDescent="0.3">
      <c r="B191" s="63"/>
      <c r="C191" s="12">
        <v>9</v>
      </c>
      <c r="D191" s="13">
        <f>N183</f>
        <v>50790686.902304001</v>
      </c>
      <c r="E191" s="42">
        <f t="shared" si="21"/>
        <v>601428497.83436227</v>
      </c>
      <c r="F191" s="13">
        <f t="shared" si="27"/>
        <v>1148122891.6324861</v>
      </c>
      <c r="G191" s="12">
        <v>1.7999999999999999E-2</v>
      </c>
      <c r="H191" s="13">
        <f t="shared" si="24"/>
        <v>1168789103.6818709</v>
      </c>
      <c r="I191" s="13"/>
      <c r="J191" s="9">
        <f t="shared" si="23"/>
        <v>1770217601.5162332</v>
      </c>
      <c r="K191" s="49"/>
      <c r="L191" s="14"/>
      <c r="M191" s="57"/>
      <c r="S191" s="13"/>
    </row>
    <row r="192" spans="1:19" s="12" customFormat="1" x14ac:dyDescent="0.3">
      <c r="B192" s="63"/>
      <c r="C192" s="12">
        <v>10</v>
      </c>
      <c r="D192" s="13">
        <f>N183</f>
        <v>50790686.902304001</v>
      </c>
      <c r="E192" s="42">
        <f t="shared" si="21"/>
        <v>612254210.79538083</v>
      </c>
      <c r="F192" s="13">
        <f t="shared" si="27"/>
        <v>1219579790.5841749</v>
      </c>
      <c r="G192" s="12">
        <v>1.7999999999999999E-2</v>
      </c>
      <c r="H192" s="13">
        <f t="shared" si="24"/>
        <v>1241532226.8146901</v>
      </c>
      <c r="I192" s="13"/>
      <c r="J192" s="9">
        <f t="shared" si="23"/>
        <v>1853786437.6100709</v>
      </c>
      <c r="K192" s="49"/>
      <c r="L192" s="14"/>
      <c r="M192" s="57"/>
      <c r="S192" s="13"/>
    </row>
    <row r="193" spans="1:19" s="12" customFormat="1" x14ac:dyDescent="0.3">
      <c r="B193" s="63"/>
      <c r="C193" s="12">
        <v>11</v>
      </c>
      <c r="D193" s="13">
        <f>N183</f>
        <v>50790686.902304001</v>
      </c>
      <c r="E193" s="42">
        <f t="shared" si="21"/>
        <v>623274786.58969772</v>
      </c>
      <c r="F193" s="13">
        <f t="shared" si="27"/>
        <v>1292322913.716994</v>
      </c>
      <c r="G193" s="12">
        <v>1.7999999999999999E-2</v>
      </c>
      <c r="H193" s="13">
        <f t="shared" si="24"/>
        <v>1315584726.1638999</v>
      </c>
      <c r="I193" s="13"/>
      <c r="J193" s="9">
        <f t="shared" si="23"/>
        <v>1938859512.7535977</v>
      </c>
      <c r="K193" s="49"/>
      <c r="L193" s="14"/>
      <c r="M193" s="57"/>
      <c r="S193" s="13"/>
    </row>
    <row r="194" spans="1:19" s="18" customFormat="1" x14ac:dyDescent="0.3">
      <c r="B194" s="63"/>
      <c r="C194" s="18">
        <v>12</v>
      </c>
      <c r="D194" s="19">
        <f>N183</f>
        <v>50790686.902304001</v>
      </c>
      <c r="E194" s="19">
        <f t="shared" si="21"/>
        <v>634493732.74831223</v>
      </c>
      <c r="F194" s="19">
        <f t="shared" si="27"/>
        <v>1330375413.0662038</v>
      </c>
      <c r="G194" s="18">
        <v>1.7999999999999999E-2</v>
      </c>
      <c r="H194" s="19">
        <f t="shared" si="24"/>
        <v>1354322170.5013955</v>
      </c>
      <c r="I194" s="19">
        <f xml:space="preserve"> H194</f>
        <v>1354322170.5013955</v>
      </c>
      <c r="J194" s="19">
        <f t="shared" si="23"/>
        <v>1988815903.2497077</v>
      </c>
      <c r="K194" s="52">
        <v>36000000</v>
      </c>
      <c r="L194" s="20">
        <f xml:space="preserve"> (I194-K194) / 2</f>
        <v>659161085.25069773</v>
      </c>
      <c r="M194" s="59">
        <f xml:space="preserve"> (F183 + SUM(D184:D194)) - SUM(K184:K194)</f>
        <v>1140740438.605433</v>
      </c>
      <c r="N194" s="19">
        <f xml:space="preserve"> H194 - M194</f>
        <v>213581731.89596248</v>
      </c>
      <c r="O194" s="18">
        <v>0.84</v>
      </c>
      <c r="P194" s="19">
        <f xml:space="preserve"> N194 * O194</f>
        <v>179408654.79260847</v>
      </c>
      <c r="Q194" s="19">
        <f xml:space="preserve"> N194 - P194</f>
        <v>34173077.103354007</v>
      </c>
      <c r="R194" s="18">
        <f xml:space="preserve"> N194 / M194 * 100</f>
        <v>18.723078858944316</v>
      </c>
      <c r="S194" s="19"/>
    </row>
    <row r="195" spans="1:19" s="3" customFormat="1" x14ac:dyDescent="0.3">
      <c r="A195" s="3">
        <v>17</v>
      </c>
      <c r="B195" s="65">
        <v>2038</v>
      </c>
      <c r="C195" s="3">
        <v>1</v>
      </c>
      <c r="D195" s="4"/>
      <c r="E195" s="4"/>
      <c r="F195" s="4"/>
      <c r="H195" s="4"/>
      <c r="I195" s="4"/>
      <c r="J195" s="4"/>
      <c r="K195" s="53"/>
      <c r="L195" s="5"/>
      <c r="M195" s="60"/>
      <c r="N195" s="11"/>
      <c r="P195" s="9"/>
      <c r="Q195" s="7"/>
      <c r="S195" s="4"/>
    </row>
    <row r="196" spans="1:19" s="3" customFormat="1" x14ac:dyDescent="0.3">
      <c r="A196" s="62" t="s">
        <v>44</v>
      </c>
      <c r="B196" s="65"/>
      <c r="C196" s="3">
        <v>2</v>
      </c>
      <c r="D196" s="4"/>
      <c r="E196" s="4"/>
      <c r="F196" s="4"/>
      <c r="H196" s="4"/>
      <c r="I196" s="4"/>
      <c r="J196" s="4"/>
      <c r="K196" s="53"/>
      <c r="L196" s="5"/>
      <c r="M196" s="60"/>
      <c r="S196" s="4"/>
    </row>
    <row r="197" spans="1:19" s="3" customFormat="1" x14ac:dyDescent="0.3">
      <c r="B197" s="65"/>
      <c r="C197" s="3">
        <v>3</v>
      </c>
      <c r="D197" s="4"/>
      <c r="E197" s="4"/>
      <c r="F197" s="4"/>
      <c r="H197" s="4"/>
      <c r="I197" s="4"/>
      <c r="J197" s="4"/>
      <c r="K197" s="53"/>
      <c r="L197" s="5"/>
      <c r="M197" s="60"/>
      <c r="S197" s="4"/>
    </row>
    <row r="198" spans="1:19" s="3" customFormat="1" x14ac:dyDescent="0.3">
      <c r="B198" s="65"/>
      <c r="C198" s="3">
        <v>4</v>
      </c>
      <c r="D198" s="4"/>
      <c r="E198" s="4"/>
      <c r="F198" s="4"/>
      <c r="H198" s="4"/>
      <c r="I198" s="4"/>
      <c r="J198" s="4"/>
      <c r="K198" s="53"/>
      <c r="L198" s="5"/>
      <c r="M198" s="60"/>
      <c r="S198" s="4"/>
    </row>
    <row r="199" spans="1:19" s="3" customFormat="1" x14ac:dyDescent="0.3">
      <c r="B199" s="65"/>
      <c r="C199" s="3">
        <v>5</v>
      </c>
      <c r="D199" s="4"/>
      <c r="E199" s="4"/>
      <c r="F199" s="4"/>
      <c r="H199" s="4"/>
      <c r="I199" s="4"/>
      <c r="J199" s="4"/>
      <c r="K199" s="53"/>
      <c r="L199" s="5"/>
      <c r="M199" s="60"/>
      <c r="S199" s="4"/>
    </row>
    <row r="200" spans="1:19" s="3" customFormat="1" x14ac:dyDescent="0.3">
      <c r="B200" s="65"/>
      <c r="C200" s="3">
        <v>6</v>
      </c>
      <c r="D200" s="4"/>
      <c r="E200" s="4"/>
      <c r="F200" s="4"/>
      <c r="H200" s="4"/>
      <c r="I200" s="4"/>
      <c r="J200" s="4"/>
      <c r="K200" s="53"/>
      <c r="L200" s="5"/>
      <c r="M200" s="60"/>
      <c r="S200" s="4"/>
    </row>
    <row r="201" spans="1:19" s="3" customFormat="1" x14ac:dyDescent="0.3">
      <c r="B201" s="65"/>
      <c r="C201" s="3">
        <v>7</v>
      </c>
      <c r="D201" s="4"/>
      <c r="E201" s="4"/>
      <c r="F201" s="4"/>
      <c r="H201" s="4"/>
      <c r="I201" s="4"/>
      <c r="J201" s="4"/>
      <c r="K201" s="53"/>
      <c r="L201" s="5"/>
      <c r="M201" s="60"/>
      <c r="S201" s="4"/>
    </row>
    <row r="202" spans="1:19" s="3" customFormat="1" x14ac:dyDescent="0.3">
      <c r="B202" s="65"/>
      <c r="C202" s="3">
        <v>8</v>
      </c>
      <c r="D202" s="4"/>
      <c r="E202" s="4"/>
      <c r="F202" s="4"/>
      <c r="H202" s="4"/>
      <c r="I202" s="4"/>
      <c r="J202" s="4"/>
      <c r="K202" s="53"/>
      <c r="L202" s="5"/>
      <c r="M202" s="60"/>
      <c r="S202" s="4"/>
    </row>
    <row r="203" spans="1:19" s="3" customFormat="1" x14ac:dyDescent="0.3">
      <c r="B203" s="65"/>
      <c r="C203" s="3">
        <v>9</v>
      </c>
      <c r="D203" s="4"/>
      <c r="E203" s="4"/>
      <c r="F203" s="4"/>
      <c r="H203" s="4"/>
      <c r="I203" s="4"/>
      <c r="J203" s="4"/>
      <c r="K203" s="53"/>
      <c r="L203" s="5"/>
      <c r="M203" s="60"/>
      <c r="S203" s="4"/>
    </row>
    <row r="204" spans="1:19" s="3" customFormat="1" x14ac:dyDescent="0.3">
      <c r="B204" s="65"/>
      <c r="C204" s="3">
        <v>10</v>
      </c>
      <c r="D204" s="4"/>
      <c r="E204" s="4"/>
      <c r="F204" s="4"/>
      <c r="H204" s="4"/>
      <c r="I204" s="4"/>
      <c r="J204" s="4"/>
      <c r="K204" s="53"/>
      <c r="L204" s="5"/>
      <c r="M204" s="60"/>
      <c r="S204" s="4"/>
    </row>
    <row r="205" spans="1:19" s="3" customFormat="1" x14ac:dyDescent="0.3">
      <c r="B205" s="65"/>
      <c r="C205" s="3">
        <v>11</v>
      </c>
      <c r="D205" s="4"/>
      <c r="E205" s="4"/>
      <c r="F205" s="4"/>
      <c r="H205" s="4"/>
      <c r="I205" s="4"/>
      <c r="J205" s="4"/>
      <c r="K205" s="53"/>
      <c r="L205" s="5"/>
      <c r="M205" s="60"/>
      <c r="S205" s="4"/>
    </row>
    <row r="206" spans="1:19" s="3" customFormat="1" x14ac:dyDescent="0.3">
      <c r="B206" s="65"/>
      <c r="C206" s="3">
        <v>12</v>
      </c>
      <c r="D206" s="4"/>
      <c r="E206" s="4"/>
      <c r="F206" s="4"/>
      <c r="H206" s="4"/>
      <c r="I206" s="19"/>
      <c r="J206" s="19"/>
      <c r="K206" s="54"/>
      <c r="L206" s="17"/>
      <c r="M206" s="61"/>
      <c r="N206" s="9"/>
      <c r="P206" s="4"/>
      <c r="Q206" s="4"/>
      <c r="S206" s="4"/>
    </row>
    <row r="207" spans="1:19" s="3" customFormat="1" x14ac:dyDescent="0.3">
      <c r="A207" s="3">
        <v>18</v>
      </c>
      <c r="B207" s="65">
        <v>2039</v>
      </c>
      <c r="C207" s="3">
        <v>1</v>
      </c>
      <c r="D207" s="4"/>
      <c r="E207" s="4"/>
      <c r="F207" s="4"/>
      <c r="H207" s="4"/>
      <c r="I207" s="4"/>
      <c r="J207" s="4"/>
      <c r="K207" s="53"/>
      <c r="L207" s="5"/>
      <c r="M207" s="60"/>
      <c r="N207" s="6"/>
      <c r="P207" s="9"/>
      <c r="S207" s="4"/>
    </row>
    <row r="208" spans="1:19" s="3" customFormat="1" x14ac:dyDescent="0.3">
      <c r="B208" s="65"/>
      <c r="C208" s="3">
        <v>2</v>
      </c>
      <c r="D208" s="4"/>
      <c r="E208" s="4"/>
      <c r="F208" s="4"/>
      <c r="H208" s="4"/>
      <c r="I208" s="4"/>
      <c r="J208" s="4"/>
      <c r="K208" s="53"/>
      <c r="L208" s="5"/>
      <c r="M208" s="60"/>
      <c r="S208" s="4"/>
    </row>
    <row r="209" spans="1:19" s="3" customFormat="1" x14ac:dyDescent="0.3">
      <c r="B209" s="65"/>
      <c r="C209" s="3">
        <v>3</v>
      </c>
      <c r="D209" s="4"/>
      <c r="E209" s="4"/>
      <c r="F209" s="4"/>
      <c r="H209" s="4"/>
      <c r="I209" s="4"/>
      <c r="J209" s="4"/>
      <c r="K209" s="53"/>
      <c r="L209" s="5"/>
      <c r="M209" s="60"/>
      <c r="S209" s="4"/>
    </row>
    <row r="210" spans="1:19" s="3" customFormat="1" x14ac:dyDescent="0.3">
      <c r="B210" s="65"/>
      <c r="C210" s="3">
        <v>4</v>
      </c>
      <c r="D210" s="4"/>
      <c r="E210" s="4"/>
      <c r="F210" s="4"/>
      <c r="H210" s="4"/>
      <c r="I210" s="4"/>
      <c r="J210" s="4"/>
      <c r="K210" s="53"/>
      <c r="L210" s="5"/>
      <c r="M210" s="60"/>
      <c r="S210" s="4"/>
    </row>
    <row r="211" spans="1:19" s="3" customFormat="1" x14ac:dyDescent="0.3">
      <c r="B211" s="65"/>
      <c r="C211" s="3">
        <v>5</v>
      </c>
      <c r="D211" s="4"/>
      <c r="E211" s="4"/>
      <c r="F211" s="4"/>
      <c r="H211" s="4"/>
      <c r="I211" s="4"/>
      <c r="J211" s="4"/>
      <c r="K211" s="53"/>
      <c r="L211" s="5"/>
      <c r="M211" s="60"/>
      <c r="S211" s="4"/>
    </row>
    <row r="212" spans="1:19" s="3" customFormat="1" x14ac:dyDescent="0.3">
      <c r="B212" s="65"/>
      <c r="C212" s="3">
        <v>6</v>
      </c>
      <c r="D212" s="4"/>
      <c r="E212" s="4"/>
      <c r="F212" s="4"/>
      <c r="H212" s="4"/>
      <c r="I212" s="4"/>
      <c r="J212" s="4"/>
      <c r="K212" s="53"/>
      <c r="L212" s="5"/>
      <c r="M212" s="60"/>
      <c r="S212" s="4"/>
    </row>
    <row r="213" spans="1:19" s="3" customFormat="1" x14ac:dyDescent="0.3">
      <c r="B213" s="65"/>
      <c r="C213" s="3">
        <v>7</v>
      </c>
      <c r="D213" s="4"/>
      <c r="E213" s="4"/>
      <c r="F213" s="4"/>
      <c r="H213" s="4"/>
      <c r="I213" s="4"/>
      <c r="J213" s="4"/>
      <c r="K213" s="53"/>
      <c r="L213" s="5"/>
      <c r="M213" s="60"/>
      <c r="S213" s="4"/>
    </row>
    <row r="214" spans="1:19" s="3" customFormat="1" x14ac:dyDescent="0.3">
      <c r="B214" s="65"/>
      <c r="C214" s="3">
        <v>8</v>
      </c>
      <c r="D214" s="4"/>
      <c r="E214" s="4"/>
      <c r="F214" s="4"/>
      <c r="H214" s="4"/>
      <c r="I214" s="4"/>
      <c r="J214" s="4"/>
      <c r="K214" s="53"/>
      <c r="L214" s="5"/>
      <c r="M214" s="60"/>
      <c r="S214" s="4"/>
    </row>
    <row r="215" spans="1:19" s="3" customFormat="1" x14ac:dyDescent="0.3">
      <c r="B215" s="65"/>
      <c r="C215" s="3">
        <v>9</v>
      </c>
      <c r="D215" s="4"/>
      <c r="E215" s="4"/>
      <c r="F215" s="4"/>
      <c r="H215" s="4"/>
      <c r="I215" s="4"/>
      <c r="J215" s="4"/>
      <c r="K215" s="53"/>
      <c r="L215" s="5"/>
      <c r="M215" s="60"/>
      <c r="S215" s="4"/>
    </row>
    <row r="216" spans="1:19" s="3" customFormat="1" x14ac:dyDescent="0.3">
      <c r="B216" s="65"/>
      <c r="C216" s="3">
        <v>10</v>
      </c>
      <c r="D216" s="4"/>
      <c r="E216" s="4"/>
      <c r="F216" s="4"/>
      <c r="H216" s="4"/>
      <c r="I216" s="4"/>
      <c r="J216" s="4"/>
      <c r="K216" s="53"/>
      <c r="L216" s="5"/>
      <c r="M216" s="60"/>
      <c r="S216" s="4"/>
    </row>
    <row r="217" spans="1:19" s="3" customFormat="1" x14ac:dyDescent="0.3">
      <c r="B217" s="65"/>
      <c r="C217" s="3">
        <v>11</v>
      </c>
      <c r="D217" s="4"/>
      <c r="E217" s="4"/>
      <c r="F217" s="4"/>
      <c r="H217" s="4"/>
      <c r="I217" s="4"/>
      <c r="J217" s="4"/>
      <c r="K217" s="53"/>
      <c r="L217" s="5"/>
      <c r="M217" s="60"/>
      <c r="S217" s="4"/>
    </row>
    <row r="218" spans="1:19" s="3" customFormat="1" x14ac:dyDescent="0.3">
      <c r="B218" s="65"/>
      <c r="C218" s="3">
        <v>12</v>
      </c>
      <c r="D218" s="4"/>
      <c r="E218" s="4"/>
      <c r="F218" s="4"/>
      <c r="H218" s="4"/>
      <c r="I218" s="19"/>
      <c r="J218" s="19"/>
      <c r="K218" s="54"/>
      <c r="L218" s="17"/>
      <c r="M218" s="61"/>
      <c r="N218" s="9"/>
      <c r="P218" s="4"/>
      <c r="Q218" s="4"/>
      <c r="S218" s="4"/>
    </row>
    <row r="219" spans="1:19" s="3" customFormat="1" x14ac:dyDescent="0.3">
      <c r="A219" s="3">
        <v>19</v>
      </c>
      <c r="B219" s="65">
        <v>2040</v>
      </c>
      <c r="C219" s="3">
        <v>1</v>
      </c>
      <c r="D219" s="4"/>
      <c r="E219" s="4"/>
      <c r="F219" s="4"/>
      <c r="H219" s="4"/>
      <c r="I219" s="4"/>
      <c r="J219" s="4"/>
      <c r="K219" s="53"/>
      <c r="L219" s="5"/>
      <c r="M219" s="60"/>
      <c r="N219" s="6"/>
      <c r="P219" s="9"/>
      <c r="S219" s="4"/>
    </row>
    <row r="220" spans="1:19" s="3" customFormat="1" x14ac:dyDescent="0.3">
      <c r="B220" s="65"/>
      <c r="C220" s="3">
        <v>2</v>
      </c>
      <c r="D220" s="4"/>
      <c r="E220" s="4"/>
      <c r="F220" s="4"/>
      <c r="H220" s="4"/>
      <c r="I220" s="4"/>
      <c r="J220" s="4"/>
      <c r="K220" s="53"/>
      <c r="L220" s="5"/>
      <c r="M220" s="60"/>
      <c r="S220" s="4"/>
    </row>
    <row r="221" spans="1:19" s="3" customFormat="1" x14ac:dyDescent="0.3">
      <c r="B221" s="65"/>
      <c r="C221" s="3">
        <v>3</v>
      </c>
      <c r="D221" s="4"/>
      <c r="E221" s="4"/>
      <c r="F221" s="4"/>
      <c r="H221" s="4"/>
      <c r="I221" s="4"/>
      <c r="J221" s="4"/>
      <c r="K221" s="53"/>
      <c r="L221" s="5"/>
      <c r="M221" s="60"/>
      <c r="S221" s="4"/>
    </row>
    <row r="222" spans="1:19" s="3" customFormat="1" x14ac:dyDescent="0.3">
      <c r="B222" s="65"/>
      <c r="C222" s="3">
        <v>4</v>
      </c>
      <c r="D222" s="4"/>
      <c r="E222" s="4"/>
      <c r="F222" s="4"/>
      <c r="H222" s="4"/>
      <c r="I222" s="4"/>
      <c r="J222" s="4"/>
      <c r="K222" s="53"/>
      <c r="L222" s="5"/>
      <c r="M222" s="60"/>
      <c r="S222" s="4"/>
    </row>
    <row r="223" spans="1:19" s="3" customFormat="1" x14ac:dyDescent="0.3">
      <c r="B223" s="65"/>
      <c r="C223" s="3">
        <v>5</v>
      </c>
      <c r="D223" s="4"/>
      <c r="E223" s="4"/>
      <c r="F223" s="4"/>
      <c r="H223" s="4"/>
      <c r="I223" s="4"/>
      <c r="J223" s="4"/>
      <c r="K223" s="53"/>
      <c r="L223" s="5"/>
      <c r="M223" s="60"/>
      <c r="S223" s="4"/>
    </row>
    <row r="224" spans="1:19" s="3" customFormat="1" x14ac:dyDescent="0.3">
      <c r="B224" s="65"/>
      <c r="C224" s="3">
        <v>6</v>
      </c>
      <c r="D224" s="4"/>
      <c r="E224" s="4"/>
      <c r="F224" s="4"/>
      <c r="H224" s="4"/>
      <c r="I224" s="4"/>
      <c r="J224" s="4"/>
      <c r="K224" s="53"/>
      <c r="L224" s="5"/>
      <c r="M224" s="60"/>
      <c r="S224" s="4"/>
    </row>
    <row r="225" spans="1:19" s="3" customFormat="1" x14ac:dyDescent="0.3">
      <c r="B225" s="65"/>
      <c r="C225" s="3">
        <v>7</v>
      </c>
      <c r="D225" s="4"/>
      <c r="E225" s="4"/>
      <c r="F225" s="4"/>
      <c r="H225" s="4"/>
      <c r="I225" s="4"/>
      <c r="J225" s="4"/>
      <c r="K225" s="53"/>
      <c r="L225" s="5"/>
      <c r="M225" s="60"/>
      <c r="S225" s="4"/>
    </row>
    <row r="226" spans="1:19" s="3" customFormat="1" x14ac:dyDescent="0.3">
      <c r="B226" s="65"/>
      <c r="C226" s="3">
        <v>8</v>
      </c>
      <c r="D226" s="4"/>
      <c r="E226" s="4"/>
      <c r="F226" s="4"/>
      <c r="H226" s="4"/>
      <c r="I226" s="4"/>
      <c r="J226" s="4"/>
      <c r="K226" s="53"/>
      <c r="L226" s="5"/>
      <c r="M226" s="60"/>
      <c r="S226" s="4"/>
    </row>
    <row r="227" spans="1:19" s="3" customFormat="1" x14ac:dyDescent="0.3">
      <c r="B227" s="65"/>
      <c r="C227" s="3">
        <v>9</v>
      </c>
      <c r="D227" s="4"/>
      <c r="E227" s="4"/>
      <c r="F227" s="4"/>
      <c r="H227" s="4"/>
      <c r="I227" s="4"/>
      <c r="J227" s="4"/>
      <c r="K227" s="53"/>
      <c r="L227" s="5"/>
      <c r="M227" s="60"/>
      <c r="S227" s="4"/>
    </row>
    <row r="228" spans="1:19" s="3" customFormat="1" x14ac:dyDescent="0.3">
      <c r="B228" s="65"/>
      <c r="C228" s="3">
        <v>10</v>
      </c>
      <c r="D228" s="4"/>
      <c r="E228" s="4"/>
      <c r="F228" s="4"/>
      <c r="H228" s="4"/>
      <c r="I228" s="4"/>
      <c r="J228" s="4"/>
      <c r="K228" s="53"/>
      <c r="L228" s="5"/>
      <c r="M228" s="60"/>
      <c r="S228" s="4"/>
    </row>
    <row r="229" spans="1:19" s="3" customFormat="1" x14ac:dyDescent="0.3">
      <c r="B229" s="65"/>
      <c r="C229" s="3">
        <v>11</v>
      </c>
      <c r="D229" s="4"/>
      <c r="E229" s="4"/>
      <c r="F229" s="4"/>
      <c r="H229" s="4"/>
      <c r="I229" s="4"/>
      <c r="J229" s="4"/>
      <c r="K229" s="53"/>
      <c r="L229" s="5"/>
      <c r="M229" s="60"/>
      <c r="S229" s="4"/>
    </row>
    <row r="230" spans="1:19" s="3" customFormat="1" x14ac:dyDescent="0.3">
      <c r="B230" s="65"/>
      <c r="C230" s="3">
        <v>12</v>
      </c>
      <c r="D230" s="4"/>
      <c r="E230" s="4"/>
      <c r="F230" s="4"/>
      <c r="H230" s="4"/>
      <c r="I230" s="19"/>
      <c r="J230" s="19"/>
      <c r="K230" s="54"/>
      <c r="L230" s="17"/>
      <c r="M230" s="61"/>
      <c r="N230" s="9"/>
      <c r="P230" s="4"/>
      <c r="Q230" s="4"/>
      <c r="S230" s="4"/>
    </row>
    <row r="231" spans="1:19" s="3" customFormat="1" x14ac:dyDescent="0.3">
      <c r="A231" s="3">
        <v>20</v>
      </c>
      <c r="B231" s="65">
        <v>2041</v>
      </c>
      <c r="C231" s="3">
        <v>1</v>
      </c>
      <c r="D231" s="4"/>
      <c r="E231" s="4"/>
      <c r="F231" s="4"/>
      <c r="H231" s="4"/>
      <c r="I231" s="4"/>
      <c r="J231" s="4"/>
      <c r="K231" s="53"/>
      <c r="L231" s="5"/>
      <c r="M231" s="60"/>
      <c r="N231" s="6"/>
      <c r="P231" s="9"/>
      <c r="S231" s="4"/>
    </row>
    <row r="232" spans="1:19" s="3" customFormat="1" x14ac:dyDescent="0.3">
      <c r="B232" s="65"/>
      <c r="C232" s="3">
        <v>2</v>
      </c>
      <c r="D232" s="4"/>
      <c r="E232" s="4"/>
      <c r="F232" s="4"/>
      <c r="H232" s="4"/>
      <c r="I232" s="4"/>
      <c r="J232" s="4"/>
      <c r="K232" s="53"/>
      <c r="L232" s="5"/>
      <c r="M232" s="60"/>
      <c r="S232" s="4"/>
    </row>
    <row r="233" spans="1:19" s="3" customFormat="1" x14ac:dyDescent="0.3">
      <c r="B233" s="65"/>
      <c r="C233" s="3">
        <v>3</v>
      </c>
      <c r="D233" s="4"/>
      <c r="E233" s="4"/>
      <c r="F233" s="4"/>
      <c r="H233" s="4"/>
      <c r="I233" s="4"/>
      <c r="J233" s="4"/>
      <c r="K233" s="53"/>
      <c r="L233" s="5"/>
      <c r="M233" s="60"/>
      <c r="S233" s="4"/>
    </row>
    <row r="234" spans="1:19" s="3" customFormat="1" x14ac:dyDescent="0.3">
      <c r="B234" s="65"/>
      <c r="C234" s="3">
        <v>4</v>
      </c>
      <c r="D234" s="4"/>
      <c r="E234" s="4"/>
      <c r="F234" s="4"/>
      <c r="H234" s="4"/>
      <c r="I234" s="4"/>
      <c r="J234" s="4"/>
      <c r="K234" s="53"/>
      <c r="L234" s="5"/>
      <c r="M234" s="60"/>
      <c r="S234" s="4"/>
    </row>
    <row r="235" spans="1:19" s="3" customFormat="1" x14ac:dyDescent="0.3">
      <c r="B235" s="65"/>
      <c r="C235" s="3">
        <v>5</v>
      </c>
      <c r="D235" s="4"/>
      <c r="E235" s="4"/>
      <c r="F235" s="4"/>
      <c r="H235" s="4"/>
      <c r="I235" s="4"/>
      <c r="J235" s="4"/>
      <c r="K235" s="53"/>
      <c r="L235" s="5"/>
      <c r="M235" s="60"/>
      <c r="S235" s="4"/>
    </row>
    <row r="236" spans="1:19" s="3" customFormat="1" x14ac:dyDescent="0.3">
      <c r="B236" s="65"/>
      <c r="C236" s="3">
        <v>6</v>
      </c>
      <c r="D236" s="4"/>
      <c r="E236" s="4"/>
      <c r="F236" s="4"/>
      <c r="H236" s="4"/>
      <c r="I236" s="4"/>
      <c r="J236" s="4"/>
      <c r="K236" s="53"/>
      <c r="L236" s="5"/>
      <c r="M236" s="60"/>
      <c r="S236" s="4"/>
    </row>
    <row r="237" spans="1:19" s="3" customFormat="1" x14ac:dyDescent="0.3">
      <c r="B237" s="65"/>
      <c r="C237" s="3">
        <v>7</v>
      </c>
      <c r="D237" s="4"/>
      <c r="E237" s="4"/>
      <c r="F237" s="4"/>
      <c r="H237" s="4"/>
      <c r="I237" s="4"/>
      <c r="J237" s="4"/>
      <c r="K237" s="53"/>
      <c r="L237" s="5"/>
      <c r="M237" s="60"/>
      <c r="S237" s="4"/>
    </row>
    <row r="238" spans="1:19" s="3" customFormat="1" x14ac:dyDescent="0.3">
      <c r="B238" s="65"/>
      <c r="C238" s="3">
        <v>8</v>
      </c>
      <c r="D238" s="4"/>
      <c r="E238" s="4"/>
      <c r="F238" s="4"/>
      <c r="H238" s="4"/>
      <c r="I238" s="4"/>
      <c r="J238" s="4"/>
      <c r="K238" s="53"/>
      <c r="L238" s="5"/>
      <c r="M238" s="60"/>
      <c r="S238" s="4"/>
    </row>
    <row r="239" spans="1:19" s="3" customFormat="1" x14ac:dyDescent="0.3">
      <c r="B239" s="65"/>
      <c r="C239" s="3">
        <v>9</v>
      </c>
      <c r="D239" s="4"/>
      <c r="E239" s="4"/>
      <c r="F239" s="4"/>
      <c r="H239" s="4"/>
      <c r="I239" s="4"/>
      <c r="J239" s="4"/>
      <c r="K239" s="53"/>
      <c r="L239" s="5"/>
      <c r="M239" s="60"/>
      <c r="S239" s="4"/>
    </row>
    <row r="240" spans="1:19" s="3" customFormat="1" x14ac:dyDescent="0.3">
      <c r="B240" s="65"/>
      <c r="C240" s="3">
        <v>10</v>
      </c>
      <c r="D240" s="4"/>
      <c r="E240" s="4"/>
      <c r="F240" s="4"/>
      <c r="H240" s="4"/>
      <c r="I240" s="4"/>
      <c r="J240" s="4"/>
      <c r="K240" s="53"/>
      <c r="L240" s="5"/>
      <c r="M240" s="60"/>
      <c r="S240" s="4"/>
    </row>
    <row r="241" spans="1:19" s="3" customFormat="1" x14ac:dyDescent="0.3">
      <c r="B241" s="65"/>
      <c r="C241" s="3">
        <v>11</v>
      </c>
      <c r="D241" s="4"/>
      <c r="E241" s="4"/>
      <c r="F241" s="4"/>
      <c r="H241" s="4"/>
      <c r="I241" s="4"/>
      <c r="J241" s="4"/>
      <c r="K241" s="53"/>
      <c r="L241" s="5"/>
      <c r="M241" s="60"/>
      <c r="S241" s="4"/>
    </row>
    <row r="242" spans="1:19" s="3" customFormat="1" x14ac:dyDescent="0.3">
      <c r="B242" s="65"/>
      <c r="C242" s="3">
        <v>12</v>
      </c>
      <c r="D242" s="4"/>
      <c r="E242" s="4"/>
      <c r="F242" s="4"/>
      <c r="H242" s="4"/>
      <c r="I242" s="19"/>
      <c r="J242" s="19"/>
      <c r="K242" s="54"/>
      <c r="L242" s="17"/>
      <c r="M242" s="61"/>
      <c r="N242" s="9"/>
      <c r="P242" s="4"/>
      <c r="Q242" s="4"/>
      <c r="S242" s="4"/>
    </row>
    <row r="243" spans="1:19" s="3" customFormat="1" x14ac:dyDescent="0.3">
      <c r="A243" s="3">
        <v>21</v>
      </c>
      <c r="B243" s="65">
        <v>2042</v>
      </c>
      <c r="C243" s="3">
        <v>1</v>
      </c>
      <c r="D243" s="4"/>
      <c r="E243" s="4"/>
      <c r="F243" s="4"/>
      <c r="H243" s="4"/>
      <c r="I243" s="4"/>
      <c r="J243" s="4"/>
      <c r="K243" s="53"/>
      <c r="L243" s="5"/>
      <c r="M243" s="60"/>
      <c r="N243" s="6"/>
      <c r="P243" s="9"/>
      <c r="S243" s="4"/>
    </row>
    <row r="244" spans="1:19" x14ac:dyDescent="0.3">
      <c r="A244" s="3"/>
      <c r="B244" s="65"/>
      <c r="C244" s="3">
        <v>2</v>
      </c>
      <c r="D244" s="4"/>
      <c r="E244" s="4"/>
      <c r="F244" s="4"/>
      <c r="G244" s="3"/>
      <c r="H244" s="4"/>
      <c r="I244" s="4"/>
      <c r="J244" s="4"/>
      <c r="K244" s="53"/>
      <c r="L244" s="5"/>
      <c r="M244" s="60"/>
      <c r="N244" s="3"/>
      <c r="O244" s="3"/>
      <c r="P244" s="3"/>
      <c r="Q244" s="3"/>
      <c r="R244" s="3"/>
    </row>
    <row r="245" spans="1:19" x14ac:dyDescent="0.3">
      <c r="A245" s="3"/>
      <c r="B245" s="65"/>
      <c r="C245" s="3">
        <v>3</v>
      </c>
      <c r="D245" s="4"/>
      <c r="E245" s="4"/>
      <c r="F245" s="4"/>
      <c r="G245" s="3"/>
      <c r="H245" s="4"/>
      <c r="I245" s="4"/>
      <c r="J245" s="4"/>
      <c r="K245" s="53"/>
      <c r="L245" s="5"/>
      <c r="M245" s="60"/>
      <c r="N245" s="3"/>
      <c r="O245" s="3"/>
      <c r="P245" s="3"/>
      <c r="Q245" s="3"/>
      <c r="R245" s="3"/>
    </row>
    <row r="246" spans="1:19" x14ac:dyDescent="0.3">
      <c r="A246" s="3"/>
      <c r="B246" s="65"/>
      <c r="C246" s="3">
        <v>4</v>
      </c>
      <c r="D246" s="4"/>
      <c r="E246" s="4"/>
      <c r="F246" s="4"/>
      <c r="G246" s="3"/>
      <c r="H246" s="4"/>
      <c r="I246" s="4"/>
      <c r="J246" s="4"/>
      <c r="K246" s="53"/>
      <c r="L246" s="5"/>
      <c r="M246" s="60"/>
      <c r="N246" s="3"/>
      <c r="O246" s="3"/>
      <c r="P246" s="3"/>
      <c r="Q246" s="3"/>
      <c r="R246" s="3"/>
    </row>
    <row r="247" spans="1:19" x14ac:dyDescent="0.3">
      <c r="A247" s="3"/>
      <c r="B247" s="65"/>
      <c r="C247" s="3">
        <v>5</v>
      </c>
      <c r="D247" s="4"/>
      <c r="E247" s="4"/>
      <c r="F247" s="4"/>
      <c r="G247" s="3"/>
      <c r="H247" s="4"/>
      <c r="I247" s="4"/>
      <c r="J247" s="4"/>
      <c r="K247" s="53"/>
      <c r="L247" s="5"/>
      <c r="M247" s="60"/>
      <c r="N247" s="3"/>
      <c r="O247" s="3"/>
      <c r="P247" s="3"/>
      <c r="Q247" s="3"/>
      <c r="R247" s="3"/>
    </row>
    <row r="248" spans="1:19" x14ac:dyDescent="0.3">
      <c r="A248" s="3"/>
      <c r="B248" s="65"/>
      <c r="C248" s="3">
        <v>6</v>
      </c>
      <c r="D248" s="4"/>
      <c r="E248" s="4"/>
      <c r="F248" s="4"/>
      <c r="G248" s="3"/>
      <c r="H248" s="4"/>
      <c r="I248" s="4"/>
      <c r="J248" s="4"/>
      <c r="K248" s="53"/>
      <c r="L248" s="5"/>
      <c r="M248" s="60"/>
      <c r="N248" s="3"/>
      <c r="O248" s="3"/>
      <c r="P248" s="3"/>
      <c r="Q248" s="3"/>
      <c r="R248" s="3"/>
    </row>
    <row r="249" spans="1:19" x14ac:dyDescent="0.3">
      <c r="A249" s="3"/>
      <c r="B249" s="65"/>
      <c r="C249" s="3">
        <v>7</v>
      </c>
      <c r="D249" s="4"/>
      <c r="E249" s="4"/>
      <c r="F249" s="4"/>
      <c r="G249" s="3"/>
      <c r="H249" s="4"/>
      <c r="I249" s="4"/>
      <c r="J249" s="4"/>
      <c r="K249" s="53"/>
      <c r="L249" s="5"/>
      <c r="M249" s="60"/>
      <c r="N249" s="3"/>
      <c r="O249" s="3"/>
      <c r="P249" s="3"/>
      <c r="Q249" s="3"/>
      <c r="R249" s="3"/>
    </row>
    <row r="250" spans="1:19" x14ac:dyDescent="0.3">
      <c r="A250" s="3"/>
      <c r="B250" s="65"/>
      <c r="C250" s="3">
        <v>8</v>
      </c>
      <c r="D250" s="4"/>
      <c r="E250" s="4"/>
      <c r="F250" s="4"/>
      <c r="G250" s="3"/>
      <c r="H250" s="4"/>
      <c r="I250" s="4"/>
      <c r="J250" s="4"/>
      <c r="K250" s="53"/>
      <c r="L250" s="5"/>
      <c r="M250" s="60"/>
      <c r="N250" s="3"/>
      <c r="O250" s="3"/>
      <c r="P250" s="3"/>
      <c r="Q250" s="3"/>
      <c r="R250" s="3"/>
    </row>
    <row r="251" spans="1:19" x14ac:dyDescent="0.3">
      <c r="A251" s="3"/>
      <c r="B251" s="65"/>
      <c r="C251" s="3">
        <v>9</v>
      </c>
      <c r="D251" s="4"/>
      <c r="E251" s="4"/>
      <c r="F251" s="4"/>
      <c r="G251" s="3"/>
      <c r="H251" s="4"/>
      <c r="I251" s="4"/>
      <c r="J251" s="4"/>
      <c r="K251" s="53"/>
      <c r="L251" s="5"/>
      <c r="M251" s="60"/>
      <c r="N251" s="3"/>
      <c r="O251" s="3"/>
      <c r="P251" s="3"/>
      <c r="Q251" s="3"/>
      <c r="R251" s="3"/>
    </row>
    <row r="252" spans="1:19" x14ac:dyDescent="0.3">
      <c r="A252" s="3"/>
      <c r="B252" s="65"/>
      <c r="C252" s="3">
        <v>10</v>
      </c>
      <c r="D252" s="4"/>
      <c r="E252" s="4"/>
      <c r="F252" s="4"/>
      <c r="G252" s="3"/>
      <c r="H252" s="4"/>
      <c r="I252" s="4"/>
      <c r="J252" s="4"/>
      <c r="K252" s="53"/>
      <c r="L252" s="5"/>
      <c r="M252" s="60"/>
      <c r="N252" s="3"/>
      <c r="O252" s="3"/>
      <c r="P252" s="3"/>
      <c r="Q252" s="3"/>
      <c r="R252" s="3"/>
    </row>
    <row r="253" spans="1:19" x14ac:dyDescent="0.3">
      <c r="A253" s="3"/>
      <c r="B253" s="65"/>
      <c r="C253" s="3">
        <v>11</v>
      </c>
      <c r="D253" s="4"/>
      <c r="E253" s="4"/>
      <c r="F253" s="4"/>
      <c r="G253" s="3"/>
      <c r="H253" s="4"/>
      <c r="I253" s="4"/>
      <c r="J253" s="4"/>
      <c r="K253" s="53"/>
      <c r="L253" s="5"/>
      <c r="M253" s="60"/>
      <c r="N253" s="3"/>
      <c r="O253" s="3"/>
      <c r="P253" s="3"/>
      <c r="Q253" s="3"/>
      <c r="R253" s="3"/>
    </row>
    <row r="254" spans="1:19" x14ac:dyDescent="0.3">
      <c r="A254" s="3"/>
      <c r="B254" s="65"/>
      <c r="C254" s="3">
        <v>12</v>
      </c>
      <c r="D254" s="4"/>
      <c r="E254" s="4"/>
      <c r="F254" s="4"/>
      <c r="G254" s="3"/>
      <c r="H254" s="4"/>
      <c r="I254" s="19"/>
      <c r="J254" s="19"/>
      <c r="K254" s="53"/>
      <c r="L254" s="5"/>
      <c r="M254" s="61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I5" sqref="I5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67"/>
      <c r="C1" s="67"/>
    </row>
    <row r="2" spans="2:6" x14ac:dyDescent="0.3">
      <c r="B2" s="66" t="s">
        <v>34</v>
      </c>
      <c r="C2" s="66"/>
      <c r="E2" s="66" t="s">
        <v>38</v>
      </c>
      <c r="F2" s="66"/>
    </row>
    <row r="3" spans="2:6" x14ac:dyDescent="0.3">
      <c r="B3" s="28" t="s">
        <v>31</v>
      </c>
      <c r="C3" s="28" t="s">
        <v>32</v>
      </c>
      <c r="E3" s="28" t="s">
        <v>31</v>
      </c>
      <c r="F3" s="28" t="s">
        <v>32</v>
      </c>
    </row>
    <row r="4" spans="2:6" x14ac:dyDescent="0.3">
      <c r="B4" s="27">
        <v>1</v>
      </c>
      <c r="C4" s="31">
        <v>17215</v>
      </c>
      <c r="E4" s="27">
        <v>1</v>
      </c>
      <c r="F4" s="31">
        <v>3020</v>
      </c>
    </row>
    <row r="5" spans="2:6" x14ac:dyDescent="0.3">
      <c r="B5" s="27">
        <v>2</v>
      </c>
      <c r="C5" s="31">
        <v>-77107</v>
      </c>
      <c r="E5" s="27">
        <v>2</v>
      </c>
      <c r="F5" s="31">
        <v>-3342</v>
      </c>
    </row>
    <row r="6" spans="2:6" x14ac:dyDescent="0.3">
      <c r="B6" s="27">
        <v>3</v>
      </c>
      <c r="C6" s="31">
        <v>77453</v>
      </c>
      <c r="E6" s="27">
        <v>3</v>
      </c>
      <c r="F6" s="32">
        <v>38771</v>
      </c>
    </row>
    <row r="7" spans="2:6" x14ac:dyDescent="0.3">
      <c r="B7" s="27">
        <v>4</v>
      </c>
      <c r="C7" s="31">
        <v>16450</v>
      </c>
      <c r="E7" s="27">
        <v>4</v>
      </c>
      <c r="F7" s="31">
        <v>0</v>
      </c>
    </row>
    <row r="8" spans="2:6" x14ac:dyDescent="0.3">
      <c r="B8" s="27">
        <v>5</v>
      </c>
      <c r="C8" s="31">
        <v>6818</v>
      </c>
      <c r="E8" s="27">
        <v>5</v>
      </c>
      <c r="F8" s="31">
        <v>0</v>
      </c>
    </row>
    <row r="9" spans="2:6" x14ac:dyDescent="0.3">
      <c r="B9" s="27">
        <v>6</v>
      </c>
      <c r="C9" s="31">
        <v>24585</v>
      </c>
      <c r="E9" s="27">
        <v>6</v>
      </c>
      <c r="F9" s="32">
        <v>0</v>
      </c>
    </row>
    <row r="10" spans="2:6" x14ac:dyDescent="0.3">
      <c r="B10" s="27">
        <v>7</v>
      </c>
      <c r="C10" s="31">
        <v>0</v>
      </c>
      <c r="E10" s="27">
        <v>7</v>
      </c>
      <c r="F10" s="31">
        <v>0</v>
      </c>
    </row>
    <row r="11" spans="2:6" x14ac:dyDescent="0.3">
      <c r="B11" s="27">
        <v>8</v>
      </c>
      <c r="C11" s="31">
        <v>0</v>
      </c>
      <c r="E11" s="27">
        <v>8</v>
      </c>
      <c r="F11" s="31">
        <v>0</v>
      </c>
    </row>
    <row r="12" spans="2:6" x14ac:dyDescent="0.3">
      <c r="B12" s="30">
        <v>9</v>
      </c>
      <c r="C12" s="32">
        <v>0</v>
      </c>
      <c r="E12" s="30">
        <v>9</v>
      </c>
      <c r="F12" s="32">
        <v>0</v>
      </c>
    </row>
    <row r="13" spans="2:6" x14ac:dyDescent="0.3">
      <c r="B13" s="27">
        <v>10</v>
      </c>
      <c r="C13" s="31">
        <v>0</v>
      </c>
      <c r="E13" s="27">
        <v>10</v>
      </c>
      <c r="F13" s="31">
        <v>0</v>
      </c>
    </row>
    <row r="14" spans="2:6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</row>
    <row r="15" spans="2:6" x14ac:dyDescent="0.3">
      <c r="B15" s="28" t="s">
        <v>35</v>
      </c>
      <c r="C15" s="29">
        <v>1061029</v>
      </c>
      <c r="E15" s="28" t="s">
        <v>21</v>
      </c>
      <c r="F15" s="29">
        <v>1126443</v>
      </c>
    </row>
    <row r="16" spans="2:6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</row>
    <row r="17" spans="2:6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시나리오_old</vt:lpstr>
      <vt:lpstr>시나리오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2022-09-30T02:18:19Z</dcterms:modified>
</cp:coreProperties>
</file>