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D:\3.sbg\workspace\MyStock\"/>
    </mc:Choice>
  </mc:AlternateContent>
  <xr:revisionPtr revIDLastSave="0" documentId="13_ncr:1_{3C51CBEE-7EA4-41E8-8983-2D1528C47ADE}" xr6:coauthVersionLast="36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시나리오" sheetId="4" r:id="rId1"/>
    <sheet name="생활패턴" sheetId="5" r:id="rId2"/>
    <sheet name="단타일지" sheetId="9" r:id="rId3"/>
    <sheet name="일정확인" sheetId="10" r:id="rId4"/>
    <sheet name="내자산" sheetId="1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8" i="5" l="1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3" i="5" l="1"/>
  <c r="P14" i="5"/>
  <c r="P12" i="5"/>
  <c r="P11" i="5"/>
  <c r="P10" i="5"/>
  <c r="P9" i="5"/>
  <c r="P8" i="5"/>
  <c r="P7" i="5"/>
  <c r="P6" i="5"/>
  <c r="P5" i="5"/>
  <c r="P4" i="5"/>
  <c r="P3" i="5"/>
  <c r="Q3" i="5" s="1"/>
  <c r="R3" i="5" s="1"/>
  <c r="C4" i="5" s="1"/>
  <c r="C32" i="9"/>
  <c r="C34" i="9" s="1"/>
  <c r="Q4" i="5" l="1"/>
  <c r="R4" i="5" s="1"/>
  <c r="C5" i="5" s="1"/>
  <c r="Q5" i="5" s="1"/>
  <c r="R5" i="5" s="1"/>
  <c r="C6" i="5" s="1"/>
  <c r="Q6" i="5" s="1"/>
  <c r="R6" i="5" s="1"/>
  <c r="C7" i="5" s="1"/>
  <c r="Q7" i="5" s="1"/>
  <c r="R7" i="5" s="1"/>
  <c r="C8" i="5" s="1"/>
  <c r="Q8" i="5" s="1"/>
  <c r="R8" i="5" s="1"/>
  <c r="C9" i="5" s="1"/>
  <c r="Q9" i="5" s="1"/>
  <c r="R9" i="5" s="1"/>
  <c r="C10" i="5" s="1"/>
  <c r="Q10" i="5" s="1"/>
  <c r="R10" i="5" s="1"/>
  <c r="C11" i="5" s="1"/>
  <c r="Q11" i="5" s="1"/>
  <c r="R11" i="5" s="1"/>
  <c r="C12" i="5" s="1"/>
  <c r="Q12" i="5" s="1"/>
  <c r="R12" i="5" s="1"/>
  <c r="C13" i="5" s="1"/>
  <c r="Q13" i="5" s="1"/>
  <c r="R13" i="5" s="1"/>
  <c r="C14" i="5" s="1"/>
  <c r="Q14" i="5" s="1"/>
  <c r="R14" i="5" s="1"/>
  <c r="C15" i="5" s="1"/>
  <c r="Q15" i="5" s="1"/>
  <c r="R15" i="5" s="1"/>
  <c r="C16" i="5" s="1"/>
  <c r="Q16" i="5" s="1"/>
  <c r="R16" i="5" s="1"/>
  <c r="C17" i="5" s="1"/>
  <c r="Q17" i="5" s="1"/>
  <c r="R17" i="5" s="1"/>
  <c r="C18" i="5" s="1"/>
  <c r="Q18" i="5" s="1"/>
  <c r="R18" i="5" s="1"/>
  <c r="C19" i="5" s="1"/>
  <c r="Q19" i="5" s="1"/>
  <c r="R19" i="5" s="1"/>
  <c r="C20" i="5" s="1"/>
  <c r="Q20" i="5" s="1"/>
  <c r="R20" i="5" s="1"/>
  <c r="C21" i="5" s="1"/>
  <c r="Q21" i="5" s="1"/>
  <c r="R21" i="5" s="1"/>
  <c r="C22" i="5" s="1"/>
  <c r="Q22" i="5" s="1"/>
  <c r="R22" i="5" s="1"/>
  <c r="C23" i="5" s="1"/>
  <c r="Q23" i="5" s="1"/>
  <c r="R23" i="5" s="1"/>
  <c r="C24" i="5" s="1"/>
  <c r="Q24" i="5" s="1"/>
  <c r="R24" i="5" s="1"/>
  <c r="C25" i="5" s="1"/>
  <c r="Q25" i="5" s="1"/>
  <c r="R25" i="5" s="1"/>
  <c r="C26" i="5" s="1"/>
  <c r="Q26" i="5" s="1"/>
  <c r="R26" i="5" s="1"/>
  <c r="C27" i="5" s="1"/>
  <c r="Q27" i="5" s="1"/>
  <c r="R27" i="5" s="1"/>
  <c r="C28" i="5" s="1"/>
  <c r="Q28" i="5" s="1"/>
  <c r="R28" i="5" s="1"/>
  <c r="C29" i="5" s="1"/>
  <c r="Q29" i="5" s="1"/>
  <c r="R29" i="5" s="1"/>
  <c r="C30" i="5" s="1"/>
  <c r="Q30" i="5" s="1"/>
  <c r="R30" i="5" s="1"/>
  <c r="C31" i="5" s="1"/>
  <c r="Q31" i="5" s="1"/>
  <c r="R31" i="5" s="1"/>
  <c r="C32" i="5" s="1"/>
  <c r="Q32" i="5" s="1"/>
  <c r="R32" i="5" s="1"/>
  <c r="C33" i="5" s="1"/>
  <c r="Q33" i="5" s="1"/>
  <c r="R33" i="5" s="1"/>
  <c r="C34" i="5" s="1"/>
  <c r="Q34" i="5" s="1"/>
  <c r="R34" i="5" s="1"/>
  <c r="C35" i="5" s="1"/>
  <c r="Q35" i="5" s="1"/>
  <c r="R35" i="5" s="1"/>
  <c r="C36" i="5" s="1"/>
  <c r="Q36" i="5" s="1"/>
  <c r="R36" i="5" s="1"/>
  <c r="C37" i="5" s="1"/>
  <c r="Q37" i="5" s="1"/>
  <c r="R37" i="5" s="1"/>
  <c r="C38" i="5" s="1"/>
  <c r="Q38" i="5" s="1"/>
  <c r="R38" i="5" s="1"/>
  <c r="C35" i="9"/>
  <c r="O14" i="9" l="1"/>
  <c r="O17" i="9" s="1"/>
  <c r="L14" i="9"/>
  <c r="L17" i="9" s="1"/>
  <c r="O16" i="9" l="1"/>
  <c r="L16" i="9"/>
  <c r="G27" i="11"/>
  <c r="H27" i="11" s="1"/>
  <c r="I27" i="11" s="1"/>
  <c r="J27" i="11" s="1"/>
  <c r="K27" i="11" s="1"/>
  <c r="G26" i="11"/>
  <c r="H26" i="11" s="1"/>
  <c r="I26" i="11" s="1"/>
  <c r="J26" i="11" s="1"/>
  <c r="K26" i="11" s="1"/>
  <c r="F27" i="11"/>
  <c r="F26" i="11"/>
  <c r="G25" i="11"/>
  <c r="H25" i="11" s="1"/>
  <c r="I25" i="11" s="1"/>
  <c r="J25" i="11" s="1"/>
  <c r="K25" i="11" s="1"/>
  <c r="G24" i="11"/>
  <c r="H24" i="11" s="1"/>
  <c r="I24" i="11" s="1"/>
  <c r="J24" i="11" s="1"/>
  <c r="K24" i="11" s="1"/>
  <c r="G23" i="11"/>
  <c r="H23" i="11" s="1"/>
  <c r="I23" i="11" s="1"/>
  <c r="J23" i="11" s="1"/>
  <c r="K23" i="11" s="1"/>
  <c r="F25" i="11"/>
  <c r="F24" i="11"/>
  <c r="F23" i="11"/>
  <c r="F22" i="11"/>
  <c r="K19" i="11"/>
  <c r="G22" i="11"/>
  <c r="H22" i="11" s="1"/>
  <c r="I22" i="11" s="1"/>
  <c r="J22" i="11" s="1"/>
  <c r="K22" i="11" s="1"/>
  <c r="I14" i="9" l="1"/>
  <c r="I16" i="9" s="1"/>
  <c r="I17" i="9" l="1"/>
  <c r="E12" i="4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E71" i="4" s="1"/>
  <c r="E72" i="4" s="1"/>
  <c r="E73" i="4" s="1"/>
  <c r="E74" i="4" s="1"/>
  <c r="E75" i="4" s="1"/>
  <c r="E76" i="4" s="1"/>
  <c r="E77" i="4" s="1"/>
  <c r="E78" i="4" s="1"/>
  <c r="E79" i="4" s="1"/>
  <c r="E80" i="4" s="1"/>
  <c r="E81" i="4" s="1"/>
  <c r="E82" i="4" s="1"/>
  <c r="E83" i="4" s="1"/>
  <c r="E84" i="4" s="1"/>
  <c r="E85" i="4" s="1"/>
  <c r="E86" i="4" s="1"/>
  <c r="E87" i="4" s="1"/>
  <c r="E88" i="4" s="1"/>
  <c r="E89" i="4" s="1"/>
  <c r="E90" i="4" s="1"/>
  <c r="E91" i="4" s="1"/>
  <c r="E92" i="4" s="1"/>
  <c r="E93" i="4" s="1"/>
  <c r="E94" i="4" s="1"/>
  <c r="E95" i="4" s="1"/>
  <c r="E96" i="4" s="1"/>
  <c r="E97" i="4" s="1"/>
  <c r="E98" i="4" s="1"/>
  <c r="E99" i="4" s="1"/>
  <c r="E100" i="4" s="1"/>
  <c r="E101" i="4" s="1"/>
  <c r="E102" i="4" s="1"/>
  <c r="E103" i="4" s="1"/>
  <c r="E104" i="4" s="1"/>
  <c r="E105" i="4" s="1"/>
  <c r="E106" i="4" s="1"/>
  <c r="E107" i="4" s="1"/>
  <c r="E108" i="4" s="1"/>
  <c r="E109" i="4" s="1"/>
  <c r="E110" i="4" s="1"/>
  <c r="E111" i="4" s="1"/>
  <c r="E112" i="4" s="1"/>
  <c r="E113" i="4" s="1"/>
  <c r="E114" i="4" s="1"/>
  <c r="E115" i="4" s="1"/>
  <c r="E116" i="4" s="1"/>
  <c r="E117" i="4" s="1"/>
  <c r="E118" i="4" s="1"/>
  <c r="E119" i="4" s="1"/>
  <c r="E120" i="4" s="1"/>
  <c r="E121" i="4" s="1"/>
  <c r="E122" i="4" s="1"/>
  <c r="E123" i="4" s="1"/>
  <c r="E124" i="4" s="1"/>
  <c r="E125" i="4" s="1"/>
  <c r="E126" i="4" s="1"/>
  <c r="E127" i="4" s="1"/>
  <c r="E128" i="4" s="1"/>
  <c r="E129" i="4" s="1"/>
  <c r="E130" i="4" s="1"/>
  <c r="E131" i="4" s="1"/>
  <c r="E132" i="4" s="1"/>
  <c r="E133" i="4" s="1"/>
  <c r="E134" i="4" s="1"/>
  <c r="E135" i="4" s="1"/>
  <c r="E136" i="4" s="1"/>
  <c r="E137" i="4" s="1"/>
  <c r="E138" i="4" s="1"/>
  <c r="E139" i="4" s="1"/>
  <c r="E140" i="4" s="1"/>
  <c r="E141" i="4" s="1"/>
  <c r="E142" i="4" s="1"/>
  <c r="E143" i="4" s="1"/>
  <c r="E144" i="4" s="1"/>
  <c r="E145" i="4" s="1"/>
  <c r="E146" i="4" s="1"/>
  <c r="E147" i="4" s="1"/>
  <c r="E148" i="4" s="1"/>
  <c r="E149" i="4" s="1"/>
  <c r="E150" i="4" s="1"/>
  <c r="E151" i="4" s="1"/>
  <c r="E152" i="4" s="1"/>
  <c r="E153" i="4" s="1"/>
  <c r="E154" i="4" s="1"/>
  <c r="E155" i="4" s="1"/>
  <c r="E156" i="4" s="1"/>
  <c r="E157" i="4" s="1"/>
  <c r="E158" i="4" s="1"/>
  <c r="E159" i="4" s="1"/>
  <c r="E160" i="4" s="1"/>
  <c r="E161" i="4" s="1"/>
  <c r="E162" i="4" s="1"/>
  <c r="E163" i="4" s="1"/>
  <c r="E164" i="4" s="1"/>
  <c r="E165" i="4" s="1"/>
  <c r="E166" i="4" s="1"/>
  <c r="E167" i="4" s="1"/>
  <c r="E168" i="4" s="1"/>
  <c r="E169" i="4" s="1"/>
  <c r="E170" i="4" s="1"/>
  <c r="E171" i="4" s="1"/>
  <c r="E172" i="4" s="1"/>
  <c r="E173" i="4" s="1"/>
  <c r="E174" i="4" s="1"/>
  <c r="E175" i="4" s="1"/>
  <c r="E176" i="4" s="1"/>
  <c r="E177" i="4" s="1"/>
  <c r="E178" i="4" s="1"/>
  <c r="E179" i="4" s="1"/>
  <c r="E180" i="4" s="1"/>
  <c r="E181" i="4" s="1"/>
  <c r="E182" i="4" s="1"/>
  <c r="E183" i="4" s="1"/>
  <c r="E184" i="4" s="1"/>
  <c r="E185" i="4" s="1"/>
  <c r="E186" i="4" s="1"/>
  <c r="E187" i="4" s="1"/>
  <c r="E188" i="4" s="1"/>
  <c r="E189" i="4" s="1"/>
  <c r="E190" i="4" s="1"/>
  <c r="E191" i="4" s="1"/>
  <c r="E192" i="4" s="1"/>
  <c r="E193" i="4" s="1"/>
  <c r="E194" i="4" s="1"/>
  <c r="K68" i="4"/>
  <c r="M14" i="4"/>
  <c r="F3" i="4"/>
  <c r="H3" i="4" s="1"/>
  <c r="F4" i="4" s="1"/>
  <c r="H4" i="4" s="1"/>
  <c r="F5" i="4" s="1"/>
  <c r="H5" i="4" s="1"/>
  <c r="F6" i="4" s="1"/>
  <c r="H6" i="4" s="1"/>
  <c r="F7" i="4" s="1"/>
  <c r="H7" i="4" s="1"/>
  <c r="F8" i="4" s="1"/>
  <c r="H8" i="4" s="1"/>
  <c r="F9" i="4" s="1"/>
  <c r="H9" i="4" s="1"/>
  <c r="F10" i="4" s="1"/>
  <c r="H10" i="4" s="1"/>
  <c r="F11" i="4" s="1"/>
  <c r="H11" i="4" s="1"/>
  <c r="F12" i="4" s="1"/>
  <c r="H12" i="4" s="1"/>
  <c r="F13" i="4" s="1"/>
  <c r="H13" i="4" s="1"/>
  <c r="F14" i="4" s="1"/>
  <c r="H14" i="4" s="1"/>
  <c r="I14" i="4" l="1"/>
  <c r="L14" i="4" s="1"/>
  <c r="N15" i="4" s="1"/>
  <c r="P15" i="4"/>
  <c r="N14" i="4"/>
  <c r="R14" i="4" l="1"/>
  <c r="P14" i="4"/>
  <c r="Q14" i="4" s="1"/>
  <c r="K19" i="4" s="1"/>
  <c r="D23" i="4"/>
  <c r="D18" i="4"/>
  <c r="D22" i="4"/>
  <c r="D17" i="4"/>
  <c r="D15" i="4"/>
  <c r="D24" i="4"/>
  <c r="D19" i="4"/>
  <c r="D25" i="4"/>
  <c r="D21" i="4"/>
  <c r="D16" i="4"/>
  <c r="D20" i="4"/>
  <c r="D26" i="4"/>
  <c r="F15" i="4" l="1"/>
  <c r="H15" i="4" s="1"/>
  <c r="J15" i="4" s="1"/>
  <c r="F14" i="9"/>
  <c r="F17" i="9" s="1"/>
  <c r="M26" i="4" l="1"/>
  <c r="F16" i="4"/>
  <c r="H16" i="4" s="1"/>
  <c r="J16" i="4" s="1"/>
  <c r="F16" i="9"/>
  <c r="C14" i="9"/>
  <c r="C16" i="9" s="1"/>
  <c r="F17" i="4" l="1"/>
  <c r="H17" i="4" s="1"/>
  <c r="J17" i="4" s="1"/>
  <c r="C17" i="9"/>
  <c r="F18" i="4" l="1"/>
  <c r="H18" i="4" s="1"/>
  <c r="J18" i="4" s="1"/>
  <c r="F19" i="4" l="1"/>
  <c r="H19" i="4" s="1"/>
  <c r="J19" i="4" s="1"/>
  <c r="F20" i="4" l="1"/>
  <c r="H20" i="4" s="1"/>
  <c r="J20" i="4" s="1"/>
  <c r="F21" i="4" l="1"/>
  <c r="H21" i="4" s="1"/>
  <c r="J21" i="4" s="1"/>
  <c r="F22" i="4" l="1"/>
  <c r="H22" i="4" s="1"/>
  <c r="J22" i="4" s="1"/>
  <c r="F23" i="4" l="1"/>
  <c r="H23" i="4" s="1"/>
  <c r="J23" i="4" s="1"/>
  <c r="F24" i="4" l="1"/>
  <c r="H24" i="4" s="1"/>
  <c r="J24" i="4" s="1"/>
  <c r="F25" i="4" l="1"/>
  <c r="H25" i="4" s="1"/>
  <c r="J25" i="4" s="1"/>
  <c r="F26" i="4" l="1"/>
  <c r="H26" i="4" s="1"/>
  <c r="J26" i="4" s="1"/>
  <c r="N26" i="4" l="1"/>
  <c r="P26" i="4" s="1"/>
  <c r="Q26" i="4" s="1"/>
  <c r="K31" i="4" s="1"/>
  <c r="P27" i="4"/>
  <c r="I26" i="4"/>
  <c r="L26" i="4" s="1"/>
  <c r="N27" i="4" s="1"/>
  <c r="D29" i="4" s="1"/>
  <c r="D30" i="4" l="1"/>
  <c r="R26" i="4"/>
  <c r="D27" i="4"/>
  <c r="F27" i="4" s="1"/>
  <c r="H27" i="4" s="1"/>
  <c r="J27" i="4" s="1"/>
  <c r="D28" i="4"/>
  <c r="D35" i="4"/>
  <c r="D36" i="4"/>
  <c r="D37" i="4"/>
  <c r="D38" i="4"/>
  <c r="D31" i="4"/>
  <c r="D34" i="4"/>
  <c r="D32" i="4"/>
  <c r="D33" i="4"/>
  <c r="M38" i="4" l="1"/>
  <c r="F28" i="4"/>
  <c r="H28" i="4" s="1"/>
  <c r="J28" i="4" s="1"/>
  <c r="F29" i="4" l="1"/>
  <c r="H29" i="4" s="1"/>
  <c r="J29" i="4" s="1"/>
  <c r="F30" i="4" l="1"/>
  <c r="H30" i="4" s="1"/>
  <c r="J30" i="4" s="1"/>
  <c r="F31" i="4" l="1"/>
  <c r="H31" i="4" s="1"/>
  <c r="J31" i="4" s="1"/>
  <c r="F32" i="4" l="1"/>
  <c r="H32" i="4" s="1"/>
  <c r="J32" i="4" s="1"/>
  <c r="F33" i="4" l="1"/>
  <c r="H33" i="4" s="1"/>
  <c r="J33" i="4" s="1"/>
  <c r="F34" i="4" l="1"/>
  <c r="H34" i="4" s="1"/>
  <c r="J34" i="4" s="1"/>
  <c r="F35" i="4" l="1"/>
  <c r="H35" i="4" s="1"/>
  <c r="J35" i="4" s="1"/>
  <c r="F36" i="4" l="1"/>
  <c r="H36" i="4" s="1"/>
  <c r="J36" i="4" s="1"/>
  <c r="F37" i="4" l="1"/>
  <c r="H37" i="4" s="1"/>
  <c r="J37" i="4" s="1"/>
  <c r="F38" i="4" l="1"/>
  <c r="H38" i="4" s="1"/>
  <c r="J38" i="4" s="1"/>
  <c r="I38" i="4" l="1"/>
  <c r="L38" i="4" s="1"/>
  <c r="N39" i="4" s="1"/>
  <c r="N38" i="4"/>
  <c r="P39" i="4"/>
  <c r="D39" i="4" l="1"/>
  <c r="D47" i="4"/>
  <c r="D45" i="4"/>
  <c r="D49" i="4"/>
  <c r="D41" i="4"/>
  <c r="D48" i="4"/>
  <c r="D46" i="4"/>
  <c r="D43" i="4"/>
  <c r="D44" i="4"/>
  <c r="D42" i="4"/>
  <c r="D40" i="4"/>
  <c r="D50" i="4"/>
  <c r="P38" i="4"/>
  <c r="Q38" i="4" s="1"/>
  <c r="K43" i="4" s="1"/>
  <c r="R38" i="4"/>
  <c r="F39" i="4" l="1"/>
  <c r="M50" i="4" s="1"/>
  <c r="H39" i="4" l="1"/>
  <c r="J39" i="4" s="1"/>
  <c r="F40" i="4" l="1"/>
  <c r="H40" i="4" s="1"/>
  <c r="J40" i="4" s="1"/>
  <c r="F41" i="4" l="1"/>
  <c r="H41" i="4" s="1"/>
  <c r="J41" i="4" s="1"/>
  <c r="F42" i="4" l="1"/>
  <c r="H42" i="4" s="1"/>
  <c r="J42" i="4" s="1"/>
  <c r="F43" i="4" l="1"/>
  <c r="H43" i="4" s="1"/>
  <c r="J43" i="4" s="1"/>
  <c r="F44" i="4" l="1"/>
  <c r="H44" i="4" s="1"/>
  <c r="J44" i="4" s="1"/>
  <c r="F45" i="4" l="1"/>
  <c r="H45" i="4" s="1"/>
  <c r="J45" i="4" s="1"/>
  <c r="F46" i="4" l="1"/>
  <c r="H46" i="4" s="1"/>
  <c r="J46" i="4" s="1"/>
  <c r="F47" i="4" l="1"/>
  <c r="H47" i="4" s="1"/>
  <c r="J47" i="4" s="1"/>
  <c r="F48" i="4" l="1"/>
  <c r="H48" i="4" s="1"/>
  <c r="J48" i="4" s="1"/>
  <c r="F49" i="4" l="1"/>
  <c r="H49" i="4" s="1"/>
  <c r="J49" i="4" s="1"/>
  <c r="F50" i="4" l="1"/>
  <c r="H50" i="4" s="1"/>
  <c r="J50" i="4" s="1"/>
  <c r="N50" i="4" l="1"/>
  <c r="R50" i="4" s="1"/>
  <c r="P51" i="4"/>
  <c r="I50" i="4"/>
  <c r="L50" i="4" s="1"/>
  <c r="N51" i="4" s="1"/>
  <c r="D59" i="4" s="1"/>
  <c r="P50" i="4" l="1"/>
  <c r="Q50" i="4" s="1"/>
  <c r="K55" i="4" s="1"/>
  <c r="D52" i="4"/>
  <c r="D62" i="4"/>
  <c r="D60" i="4"/>
  <c r="D61" i="4"/>
  <c r="D58" i="4"/>
  <c r="D53" i="4"/>
  <c r="D55" i="4"/>
  <c r="D56" i="4"/>
  <c r="D54" i="4"/>
  <c r="D57" i="4"/>
  <c r="D51" i="4"/>
  <c r="F51" i="4" l="1"/>
  <c r="M62" i="4" s="1"/>
  <c r="H51" i="4" l="1"/>
  <c r="F52" i="4" l="1"/>
  <c r="H52" i="4" s="1"/>
  <c r="J51" i="4"/>
  <c r="J52" i="4" l="1"/>
  <c r="F53" i="4"/>
  <c r="H53" i="4" s="1"/>
  <c r="J53" i="4" l="1"/>
  <c r="F54" i="4"/>
  <c r="H54" i="4" s="1"/>
  <c r="J54" i="4" l="1"/>
  <c r="F55" i="4"/>
  <c r="H55" i="4" s="1"/>
  <c r="J55" i="4" l="1"/>
  <c r="F56" i="4"/>
  <c r="H56" i="4" s="1"/>
  <c r="J56" i="4" l="1"/>
  <c r="F57" i="4"/>
  <c r="H57" i="4" s="1"/>
  <c r="J57" i="4" l="1"/>
  <c r="F58" i="4"/>
  <c r="H58" i="4" s="1"/>
  <c r="J58" i="4" l="1"/>
  <c r="F59" i="4"/>
  <c r="H59" i="4" s="1"/>
  <c r="J59" i="4" l="1"/>
  <c r="F60" i="4"/>
  <c r="H60" i="4" s="1"/>
  <c r="J60" i="4" l="1"/>
  <c r="F61" i="4"/>
  <c r="H61" i="4" s="1"/>
  <c r="J61" i="4" l="1"/>
  <c r="F62" i="4"/>
  <c r="H62" i="4" s="1"/>
  <c r="J62" i="4" l="1"/>
  <c r="I62" i="4"/>
  <c r="L62" i="4" s="1"/>
  <c r="N63" i="4" s="1"/>
  <c r="D68" i="4" s="1"/>
  <c r="P63" i="4"/>
  <c r="N62" i="4"/>
  <c r="P62" i="4" l="1"/>
  <c r="Q62" i="4" s="1"/>
  <c r="K67" i="4" s="1"/>
  <c r="R62" i="4"/>
  <c r="D66" i="4"/>
  <c r="D74" i="4"/>
  <c r="D73" i="4"/>
  <c r="D69" i="4"/>
  <c r="D70" i="4"/>
  <c r="D67" i="4"/>
  <c r="D71" i="4"/>
  <c r="D72" i="4"/>
  <c r="D63" i="4"/>
  <c r="D64" i="4"/>
  <c r="D65" i="4"/>
  <c r="F63" i="4" l="1"/>
  <c r="H63" i="4" l="1"/>
  <c r="M74" i="4"/>
  <c r="F64" i="4" l="1"/>
  <c r="H64" i="4" s="1"/>
  <c r="J63" i="4"/>
  <c r="F65" i="4" l="1"/>
  <c r="H65" i="4" s="1"/>
  <c r="J64" i="4"/>
  <c r="J65" i="4" l="1"/>
  <c r="F66" i="4"/>
  <c r="H66" i="4" s="1"/>
  <c r="J66" i="4" l="1"/>
  <c r="F67" i="4"/>
  <c r="H67" i="4" s="1"/>
  <c r="J67" i="4" l="1"/>
  <c r="F68" i="4"/>
  <c r="H68" i="4" s="1"/>
  <c r="J68" i="4" l="1"/>
  <c r="F69" i="4"/>
  <c r="H69" i="4" s="1"/>
  <c r="J69" i="4" l="1"/>
  <c r="F70" i="4"/>
  <c r="H70" i="4" s="1"/>
  <c r="J70" i="4" l="1"/>
  <c r="F71" i="4"/>
  <c r="H71" i="4" s="1"/>
  <c r="J71" i="4" l="1"/>
  <c r="F72" i="4"/>
  <c r="H72" i="4" s="1"/>
  <c r="J72" i="4" l="1"/>
  <c r="F73" i="4"/>
  <c r="H73" i="4" s="1"/>
  <c r="J73" i="4" l="1"/>
  <c r="F74" i="4"/>
  <c r="H74" i="4" s="1"/>
  <c r="J74" i="4" l="1"/>
  <c r="N74" i="4"/>
  <c r="P75" i="4"/>
  <c r="I74" i="4"/>
  <c r="L74" i="4" s="1"/>
  <c r="N75" i="4" s="1"/>
  <c r="D82" i="4" l="1"/>
  <c r="D79" i="4"/>
  <c r="D77" i="4"/>
  <c r="D80" i="4"/>
  <c r="D83" i="4"/>
  <c r="D76" i="4"/>
  <c r="D85" i="4"/>
  <c r="D86" i="4"/>
  <c r="D75" i="4"/>
  <c r="D78" i="4"/>
  <c r="D84" i="4"/>
  <c r="D81" i="4"/>
  <c r="R74" i="4"/>
  <c r="P74" i="4"/>
  <c r="Q74" i="4" s="1"/>
  <c r="K79" i="4" s="1"/>
  <c r="F75" i="4" l="1"/>
  <c r="M86" i="4" l="1"/>
  <c r="H75" i="4"/>
  <c r="F76" i="4" l="1"/>
  <c r="H76" i="4" s="1"/>
  <c r="J75" i="4"/>
  <c r="F77" i="4" l="1"/>
  <c r="H77" i="4" s="1"/>
  <c r="J76" i="4"/>
  <c r="F78" i="4" l="1"/>
  <c r="H78" i="4" s="1"/>
  <c r="J77" i="4"/>
  <c r="J78" i="4" l="1"/>
  <c r="F79" i="4"/>
  <c r="H79" i="4" s="1"/>
  <c r="J79" i="4" l="1"/>
  <c r="F80" i="4"/>
  <c r="H80" i="4" s="1"/>
  <c r="J80" i="4" l="1"/>
  <c r="F81" i="4"/>
  <c r="H81" i="4" s="1"/>
  <c r="J81" i="4" l="1"/>
  <c r="F82" i="4"/>
  <c r="H82" i="4" s="1"/>
  <c r="J82" i="4" l="1"/>
  <c r="F83" i="4"/>
  <c r="H83" i="4" s="1"/>
  <c r="J83" i="4" l="1"/>
  <c r="F84" i="4"/>
  <c r="H84" i="4" s="1"/>
  <c r="J84" i="4" l="1"/>
  <c r="F85" i="4"/>
  <c r="H85" i="4" s="1"/>
  <c r="J85" i="4" l="1"/>
  <c r="F86" i="4"/>
  <c r="H86" i="4" s="1"/>
  <c r="J86" i="4" l="1"/>
  <c r="I86" i="4"/>
  <c r="L86" i="4" s="1"/>
  <c r="N87" i="4" s="1"/>
  <c r="P87" i="4"/>
  <c r="N86" i="4"/>
  <c r="P86" i="4" l="1"/>
  <c r="Q86" i="4" s="1"/>
  <c r="K91" i="4" s="1"/>
  <c r="R86" i="4"/>
  <c r="D97" i="4"/>
  <c r="D87" i="4"/>
  <c r="D95" i="4"/>
  <c r="D91" i="4"/>
  <c r="D88" i="4"/>
  <c r="D92" i="4"/>
  <c r="D96" i="4"/>
  <c r="D94" i="4"/>
  <c r="D90" i="4"/>
  <c r="D89" i="4"/>
  <c r="D93" i="4"/>
  <c r="D98" i="4"/>
  <c r="F87" i="4" l="1"/>
  <c r="H87" i="4" l="1"/>
  <c r="M98" i="4"/>
  <c r="F88" i="4" l="1"/>
  <c r="H88" i="4" s="1"/>
  <c r="J87" i="4"/>
  <c r="F89" i="4" l="1"/>
  <c r="H89" i="4" s="1"/>
  <c r="J88" i="4"/>
  <c r="F90" i="4" l="1"/>
  <c r="H90" i="4" s="1"/>
  <c r="J89" i="4"/>
  <c r="J90" i="4" l="1"/>
  <c r="F91" i="4"/>
  <c r="H91" i="4" s="1"/>
  <c r="J91" i="4" l="1"/>
  <c r="F92" i="4"/>
  <c r="H92" i="4" s="1"/>
  <c r="J92" i="4" l="1"/>
  <c r="F93" i="4"/>
  <c r="H93" i="4" s="1"/>
  <c r="J93" i="4" l="1"/>
  <c r="F94" i="4"/>
  <c r="H94" i="4" s="1"/>
  <c r="J94" i="4" l="1"/>
  <c r="F95" i="4"/>
  <c r="H95" i="4" s="1"/>
  <c r="J95" i="4" l="1"/>
  <c r="F96" i="4"/>
  <c r="H96" i="4" s="1"/>
  <c r="J96" i="4" l="1"/>
  <c r="F97" i="4"/>
  <c r="H97" i="4" s="1"/>
  <c r="J97" i="4" l="1"/>
  <c r="F98" i="4"/>
  <c r="H98" i="4" s="1"/>
  <c r="J98" i="4" l="1"/>
  <c r="I98" i="4"/>
  <c r="L98" i="4" s="1"/>
  <c r="N99" i="4" s="1"/>
  <c r="N98" i="4"/>
  <c r="P99" i="4"/>
  <c r="P98" i="4" l="1"/>
  <c r="Q98" i="4" s="1"/>
  <c r="K103" i="4" s="1"/>
  <c r="R98" i="4"/>
  <c r="D102" i="4"/>
  <c r="D104" i="4"/>
  <c r="D99" i="4"/>
  <c r="D100" i="4"/>
  <c r="D101" i="4"/>
  <c r="D109" i="4"/>
  <c r="D108" i="4"/>
  <c r="D103" i="4"/>
  <c r="D106" i="4"/>
  <c r="D105" i="4"/>
  <c r="D110" i="4"/>
  <c r="D107" i="4"/>
  <c r="F99" i="4" l="1"/>
  <c r="H99" i="4" l="1"/>
  <c r="M110" i="4"/>
  <c r="F100" i="4" l="1"/>
  <c r="H100" i="4" s="1"/>
  <c r="J99" i="4"/>
  <c r="F101" i="4" l="1"/>
  <c r="H101" i="4" s="1"/>
  <c r="J100" i="4"/>
  <c r="F102" i="4" l="1"/>
  <c r="H102" i="4" s="1"/>
  <c r="J101" i="4"/>
  <c r="F103" i="4" l="1"/>
  <c r="H103" i="4" s="1"/>
  <c r="J102" i="4"/>
  <c r="F104" i="4" l="1"/>
  <c r="H104" i="4" s="1"/>
  <c r="J103" i="4"/>
  <c r="J104" i="4" l="1"/>
  <c r="F105" i="4"/>
  <c r="H105" i="4" s="1"/>
  <c r="J105" i="4" l="1"/>
  <c r="F106" i="4"/>
  <c r="H106" i="4" s="1"/>
  <c r="J106" i="4" l="1"/>
  <c r="F107" i="4"/>
  <c r="H107" i="4" s="1"/>
  <c r="J107" i="4" l="1"/>
  <c r="F108" i="4"/>
  <c r="H108" i="4" s="1"/>
  <c r="J108" i="4" l="1"/>
  <c r="F109" i="4"/>
  <c r="H109" i="4" s="1"/>
  <c r="J109" i="4" l="1"/>
  <c r="F110" i="4"/>
  <c r="H110" i="4" s="1"/>
  <c r="J110" i="4" l="1"/>
  <c r="P111" i="4"/>
  <c r="N110" i="4"/>
  <c r="I110" i="4"/>
  <c r="L110" i="4" s="1"/>
  <c r="N111" i="4" s="1"/>
  <c r="D121" i="4" l="1"/>
  <c r="D112" i="4"/>
  <c r="D122" i="4"/>
  <c r="D116" i="4"/>
  <c r="D117" i="4"/>
  <c r="D114" i="4"/>
  <c r="D115" i="4"/>
  <c r="D111" i="4"/>
  <c r="D119" i="4"/>
  <c r="D118" i="4"/>
  <c r="D113" i="4"/>
  <c r="D120" i="4"/>
  <c r="P110" i="4"/>
  <c r="Q110" i="4" s="1"/>
  <c r="K115" i="4" s="1"/>
  <c r="R110" i="4"/>
  <c r="F111" i="4" l="1"/>
  <c r="H111" i="4" l="1"/>
  <c r="M122" i="4"/>
  <c r="F112" i="4" l="1"/>
  <c r="H112" i="4" s="1"/>
  <c r="J111" i="4"/>
  <c r="F113" i="4" l="1"/>
  <c r="H113" i="4" s="1"/>
  <c r="J112" i="4"/>
  <c r="F114" i="4" l="1"/>
  <c r="H114" i="4" s="1"/>
  <c r="J113" i="4"/>
  <c r="F115" i="4" l="1"/>
  <c r="H115" i="4" s="1"/>
  <c r="J114" i="4"/>
  <c r="F116" i="4" l="1"/>
  <c r="H116" i="4" s="1"/>
  <c r="J115" i="4"/>
  <c r="J116" i="4" l="1"/>
  <c r="F117" i="4"/>
  <c r="H117" i="4" s="1"/>
  <c r="J117" i="4" l="1"/>
  <c r="F118" i="4"/>
  <c r="H118" i="4" s="1"/>
  <c r="J118" i="4" l="1"/>
  <c r="F119" i="4"/>
  <c r="H119" i="4" s="1"/>
  <c r="J119" i="4" l="1"/>
  <c r="F120" i="4"/>
  <c r="H120" i="4" s="1"/>
  <c r="J120" i="4" l="1"/>
  <c r="F121" i="4"/>
  <c r="H121" i="4" s="1"/>
  <c r="J121" i="4" l="1"/>
  <c r="F122" i="4"/>
  <c r="H122" i="4" s="1"/>
  <c r="J122" i="4" l="1"/>
  <c r="I122" i="4"/>
  <c r="L122" i="4" s="1"/>
  <c r="N123" i="4" s="1"/>
  <c r="N122" i="4"/>
  <c r="P123" i="4"/>
  <c r="D131" i="4" l="1"/>
  <c r="D130" i="4"/>
  <c r="D125" i="4"/>
  <c r="D133" i="4"/>
  <c r="D126" i="4"/>
  <c r="D123" i="4"/>
  <c r="D129" i="4"/>
  <c r="D124" i="4"/>
  <c r="D134" i="4"/>
  <c r="D128" i="4"/>
  <c r="D132" i="4"/>
  <c r="D127" i="4"/>
  <c r="P122" i="4"/>
  <c r="Q122" i="4" s="1"/>
  <c r="K127" i="4" s="1"/>
  <c r="R122" i="4"/>
  <c r="F123" i="4" l="1"/>
  <c r="M134" i="4" l="1"/>
  <c r="H123" i="4"/>
  <c r="F124" i="4" l="1"/>
  <c r="H124" i="4" s="1"/>
  <c r="J123" i="4"/>
  <c r="F125" i="4" l="1"/>
  <c r="H125" i="4" s="1"/>
  <c r="J124" i="4"/>
  <c r="F126" i="4" l="1"/>
  <c r="H126" i="4" s="1"/>
  <c r="J125" i="4"/>
  <c r="F127" i="4" l="1"/>
  <c r="H127" i="4" s="1"/>
  <c r="J126" i="4"/>
  <c r="F128" i="4" l="1"/>
  <c r="H128" i="4" s="1"/>
  <c r="J127" i="4"/>
  <c r="F129" i="4" l="1"/>
  <c r="H129" i="4" s="1"/>
  <c r="J128" i="4"/>
  <c r="J129" i="4" l="1"/>
  <c r="F130" i="4"/>
  <c r="H130" i="4" s="1"/>
  <c r="J130" i="4" l="1"/>
  <c r="F131" i="4"/>
  <c r="H131" i="4" s="1"/>
  <c r="J131" i="4" l="1"/>
  <c r="F132" i="4"/>
  <c r="H132" i="4" s="1"/>
  <c r="J132" i="4" l="1"/>
  <c r="F133" i="4"/>
  <c r="H133" i="4" s="1"/>
  <c r="J133" i="4" l="1"/>
  <c r="F134" i="4"/>
  <c r="H134" i="4" s="1"/>
  <c r="J134" i="4" l="1"/>
  <c r="I134" i="4"/>
  <c r="L134" i="4" s="1"/>
  <c r="N135" i="4" s="1"/>
  <c r="P135" i="4"/>
  <c r="N134" i="4"/>
  <c r="R134" i="4" l="1"/>
  <c r="P134" i="4"/>
  <c r="Q134" i="4" s="1"/>
  <c r="K139" i="4" s="1"/>
  <c r="D143" i="4"/>
  <c r="D142" i="4"/>
  <c r="D141" i="4"/>
  <c r="D144" i="4"/>
  <c r="D139" i="4"/>
  <c r="D140" i="4"/>
  <c r="D138" i="4"/>
  <c r="D145" i="4"/>
  <c r="D137" i="4"/>
  <c r="D135" i="4"/>
  <c r="D146" i="4"/>
  <c r="D136" i="4"/>
  <c r="F135" i="4" l="1"/>
  <c r="H135" i="4" l="1"/>
  <c r="M146" i="4"/>
  <c r="F136" i="4" l="1"/>
  <c r="H136" i="4" s="1"/>
  <c r="J135" i="4"/>
  <c r="F137" i="4" l="1"/>
  <c r="H137" i="4" s="1"/>
  <c r="J136" i="4"/>
  <c r="F138" i="4" l="1"/>
  <c r="H138" i="4" s="1"/>
  <c r="J137" i="4"/>
  <c r="F139" i="4" l="1"/>
  <c r="H139" i="4" s="1"/>
  <c r="J138" i="4"/>
  <c r="F140" i="4" l="1"/>
  <c r="H140" i="4" s="1"/>
  <c r="J139" i="4"/>
  <c r="F141" i="4" l="1"/>
  <c r="H141" i="4" s="1"/>
  <c r="J140" i="4"/>
  <c r="F142" i="4" l="1"/>
  <c r="H142" i="4" s="1"/>
  <c r="J141" i="4"/>
  <c r="J142" i="4" l="1"/>
  <c r="F143" i="4"/>
  <c r="H143" i="4" s="1"/>
  <c r="J143" i="4" l="1"/>
  <c r="F144" i="4"/>
  <c r="H144" i="4" s="1"/>
  <c r="J144" i="4" l="1"/>
  <c r="F145" i="4"/>
  <c r="H145" i="4" s="1"/>
  <c r="J145" i="4" l="1"/>
  <c r="F146" i="4"/>
  <c r="H146" i="4" s="1"/>
  <c r="J146" i="4" l="1"/>
  <c r="I146" i="4"/>
  <c r="L146" i="4" s="1"/>
  <c r="N147" i="4" s="1"/>
  <c r="P147" i="4"/>
  <c r="N146" i="4"/>
  <c r="D158" i="4" l="1"/>
  <c r="D147" i="4"/>
  <c r="D154" i="4"/>
  <c r="D155" i="4"/>
  <c r="D149" i="4"/>
  <c r="D153" i="4"/>
  <c r="D156" i="4"/>
  <c r="D151" i="4"/>
  <c r="D157" i="4"/>
  <c r="D150" i="4"/>
  <c r="D148" i="4"/>
  <c r="D152" i="4"/>
  <c r="R146" i="4"/>
  <c r="P146" i="4"/>
  <c r="Q146" i="4" s="1"/>
  <c r="K151" i="4" s="1"/>
  <c r="F147" i="4" l="1"/>
  <c r="M158" i="4" l="1"/>
  <c r="H147" i="4"/>
  <c r="F148" i="4" l="1"/>
  <c r="H148" i="4" s="1"/>
  <c r="J147" i="4"/>
  <c r="F149" i="4" l="1"/>
  <c r="H149" i="4" s="1"/>
  <c r="J148" i="4"/>
  <c r="F150" i="4" l="1"/>
  <c r="H150" i="4" s="1"/>
  <c r="J149" i="4"/>
  <c r="F151" i="4" l="1"/>
  <c r="H151" i="4" s="1"/>
  <c r="J150" i="4"/>
  <c r="F152" i="4" l="1"/>
  <c r="H152" i="4" s="1"/>
  <c r="J151" i="4"/>
  <c r="F153" i="4" l="1"/>
  <c r="H153" i="4" s="1"/>
  <c r="J152" i="4"/>
  <c r="F154" i="4" l="1"/>
  <c r="H154" i="4" s="1"/>
  <c r="J153" i="4"/>
  <c r="F155" i="4" l="1"/>
  <c r="H155" i="4" s="1"/>
  <c r="J154" i="4"/>
  <c r="J155" i="4" l="1"/>
  <c r="F156" i="4"/>
  <c r="H156" i="4" s="1"/>
  <c r="J156" i="4" l="1"/>
  <c r="F157" i="4"/>
  <c r="H157" i="4" s="1"/>
  <c r="J157" i="4" l="1"/>
  <c r="F158" i="4"/>
  <c r="H158" i="4" s="1"/>
  <c r="J158" i="4" l="1"/>
  <c r="I158" i="4"/>
  <c r="L158" i="4" s="1"/>
  <c r="N159" i="4" s="1"/>
  <c r="P159" i="4"/>
  <c r="N158" i="4"/>
  <c r="D159" i="4" l="1"/>
  <c r="D165" i="4"/>
  <c r="D166" i="4"/>
  <c r="D160" i="4"/>
  <c r="D170" i="4"/>
  <c r="D161" i="4"/>
  <c r="D164" i="4"/>
  <c r="D167" i="4"/>
  <c r="D168" i="4"/>
  <c r="D162" i="4"/>
  <c r="D163" i="4"/>
  <c r="D169" i="4"/>
  <c r="P158" i="4"/>
  <c r="Q158" i="4" s="1"/>
  <c r="K163" i="4" s="1"/>
  <c r="R158" i="4"/>
  <c r="F159" i="4" l="1"/>
  <c r="M170" i="4" l="1"/>
  <c r="H159" i="4"/>
  <c r="F160" i="4" l="1"/>
  <c r="H160" i="4" s="1"/>
  <c r="J159" i="4"/>
  <c r="F161" i="4" l="1"/>
  <c r="H161" i="4" s="1"/>
  <c r="J160" i="4"/>
  <c r="F162" i="4" l="1"/>
  <c r="H162" i="4" s="1"/>
  <c r="J161" i="4"/>
  <c r="F163" i="4" l="1"/>
  <c r="H163" i="4" s="1"/>
  <c r="J162" i="4"/>
  <c r="F164" i="4" l="1"/>
  <c r="H164" i="4" s="1"/>
  <c r="J163" i="4"/>
  <c r="F165" i="4" l="1"/>
  <c r="H165" i="4" s="1"/>
  <c r="J164" i="4"/>
  <c r="F166" i="4" l="1"/>
  <c r="H166" i="4" s="1"/>
  <c r="J165" i="4"/>
  <c r="F167" i="4" l="1"/>
  <c r="H167" i="4" s="1"/>
  <c r="J166" i="4"/>
  <c r="F168" i="4" l="1"/>
  <c r="H168" i="4" s="1"/>
  <c r="J167" i="4"/>
  <c r="J168" i="4" l="1"/>
  <c r="F169" i="4"/>
  <c r="H169" i="4" s="1"/>
  <c r="J169" i="4" l="1"/>
  <c r="F170" i="4"/>
  <c r="H170" i="4" s="1"/>
  <c r="J170" i="4" l="1"/>
  <c r="P171" i="4"/>
  <c r="N170" i="4"/>
  <c r="I170" i="4"/>
  <c r="L170" i="4" s="1"/>
  <c r="N171" i="4" s="1"/>
  <c r="D175" i="4" l="1"/>
  <c r="D174" i="4"/>
  <c r="D172" i="4"/>
  <c r="D176" i="4"/>
  <c r="D178" i="4"/>
  <c r="D177" i="4"/>
  <c r="D171" i="4"/>
  <c r="D179" i="4"/>
  <c r="D173" i="4"/>
  <c r="D181" i="4"/>
  <c r="D182" i="4"/>
  <c r="D180" i="4"/>
  <c r="R170" i="4"/>
  <c r="P170" i="4"/>
  <c r="Q170" i="4" s="1"/>
  <c r="K175" i="4" s="1"/>
  <c r="F171" i="4" l="1"/>
  <c r="M182" i="4" l="1"/>
  <c r="H171" i="4"/>
  <c r="F172" i="4" l="1"/>
  <c r="H172" i="4" s="1"/>
  <c r="J171" i="4"/>
  <c r="F173" i="4" l="1"/>
  <c r="H173" i="4" s="1"/>
  <c r="J172" i="4"/>
  <c r="F174" i="4" l="1"/>
  <c r="H174" i="4" s="1"/>
  <c r="J173" i="4"/>
  <c r="F175" i="4" l="1"/>
  <c r="H175" i="4" s="1"/>
  <c r="J174" i="4"/>
  <c r="F176" i="4" l="1"/>
  <c r="H176" i="4" s="1"/>
  <c r="J175" i="4"/>
  <c r="F177" i="4" l="1"/>
  <c r="H177" i="4" s="1"/>
  <c r="J176" i="4"/>
  <c r="F178" i="4" l="1"/>
  <c r="H178" i="4" s="1"/>
  <c r="J177" i="4"/>
  <c r="F179" i="4" l="1"/>
  <c r="H179" i="4" s="1"/>
  <c r="J178" i="4"/>
  <c r="F180" i="4" l="1"/>
  <c r="H180" i="4" s="1"/>
  <c r="J179" i="4"/>
  <c r="F181" i="4" l="1"/>
  <c r="H181" i="4" s="1"/>
  <c r="J180" i="4"/>
  <c r="J181" i="4" l="1"/>
  <c r="F182" i="4"/>
  <c r="H182" i="4" s="1"/>
  <c r="J182" i="4" l="1"/>
  <c r="I182" i="4"/>
  <c r="L182" i="4" s="1"/>
  <c r="N183" i="4" s="1"/>
  <c r="N182" i="4"/>
  <c r="P183" i="4"/>
  <c r="P182" i="4" l="1"/>
  <c r="Q182" i="4" s="1"/>
  <c r="K187" i="4" s="1"/>
  <c r="R182" i="4"/>
  <c r="D187" i="4"/>
  <c r="D183" i="4"/>
  <c r="D193" i="4"/>
  <c r="D190" i="4"/>
  <c r="D191" i="4"/>
  <c r="D194" i="4"/>
  <c r="D192" i="4"/>
  <c r="D184" i="4"/>
  <c r="D188" i="4"/>
  <c r="D186" i="4"/>
  <c r="D189" i="4"/>
  <c r="D185" i="4"/>
  <c r="F183" i="4" l="1"/>
  <c r="H183" i="4" l="1"/>
  <c r="M194" i="4"/>
  <c r="F184" i="4" l="1"/>
  <c r="H184" i="4" s="1"/>
  <c r="J183" i="4"/>
  <c r="F185" i="4" l="1"/>
  <c r="H185" i="4" s="1"/>
  <c r="J184" i="4"/>
  <c r="F186" i="4" l="1"/>
  <c r="H186" i="4" s="1"/>
  <c r="J185" i="4"/>
  <c r="F187" i="4" l="1"/>
  <c r="H187" i="4" s="1"/>
  <c r="J186" i="4"/>
  <c r="F188" i="4" l="1"/>
  <c r="H188" i="4" s="1"/>
  <c r="J187" i="4"/>
  <c r="F189" i="4" l="1"/>
  <c r="H189" i="4" s="1"/>
  <c r="J188" i="4"/>
  <c r="F190" i="4" l="1"/>
  <c r="H190" i="4" s="1"/>
  <c r="J189" i="4"/>
  <c r="F191" i="4" l="1"/>
  <c r="H191" i="4" s="1"/>
  <c r="J190" i="4"/>
  <c r="F192" i="4" l="1"/>
  <c r="H192" i="4" s="1"/>
  <c r="J191" i="4"/>
  <c r="F193" i="4" l="1"/>
  <c r="H193" i="4" s="1"/>
  <c r="J192" i="4"/>
  <c r="F194" i="4" l="1"/>
  <c r="H194" i="4" s="1"/>
  <c r="J193" i="4"/>
  <c r="J194" i="4" l="1"/>
  <c r="I194" i="4"/>
  <c r="L194" i="4" s="1"/>
  <c r="N194" i="4"/>
  <c r="R194" i="4" l="1"/>
  <c r="P194" i="4"/>
  <c r="Q194" i="4" s="1"/>
</calcChain>
</file>

<file path=xl/sharedStrings.xml><?xml version="1.0" encoding="utf-8"?>
<sst xmlns="http://schemas.openxmlformats.org/spreadsheetml/2006/main" count="248" uniqueCount="187">
  <si>
    <t>[전업투자]</t>
    <phoneticPr fontId="1" type="noConversion"/>
  </si>
  <si>
    <t>세금</t>
    <phoneticPr fontId="1" type="noConversion"/>
  </si>
  <si>
    <t>투자</t>
    <phoneticPr fontId="1" type="noConversion"/>
  </si>
  <si>
    <t>생활비(카드)</t>
    <phoneticPr fontId="1" type="noConversion"/>
  </si>
  <si>
    <t>임차료</t>
    <phoneticPr fontId="1" type="noConversion"/>
  </si>
  <si>
    <t>주택</t>
    <phoneticPr fontId="1" type="noConversion"/>
  </si>
  <si>
    <t>보험</t>
    <phoneticPr fontId="1" type="noConversion"/>
  </si>
  <si>
    <t>전기료</t>
    <phoneticPr fontId="1" type="noConversion"/>
  </si>
  <si>
    <t>통신비</t>
    <phoneticPr fontId="1" type="noConversion"/>
  </si>
  <si>
    <t>병원비</t>
    <phoneticPr fontId="1" type="noConversion"/>
  </si>
  <si>
    <t>여행</t>
    <phoneticPr fontId="1" type="noConversion"/>
  </si>
  <si>
    <t>기타</t>
    <phoneticPr fontId="1" type="noConversion"/>
  </si>
  <si>
    <t>버퍼</t>
    <phoneticPr fontId="1" type="noConversion"/>
  </si>
  <si>
    <t>교통비</t>
    <phoneticPr fontId="1" type="noConversion"/>
  </si>
  <si>
    <t>합계</t>
    <phoneticPr fontId="1" type="noConversion"/>
  </si>
  <si>
    <t>원금</t>
    <phoneticPr fontId="1" type="noConversion"/>
  </si>
  <si>
    <t>목표수익율</t>
    <phoneticPr fontId="1" type="noConversion"/>
  </si>
  <si>
    <t>목표금</t>
    <phoneticPr fontId="1" type="noConversion"/>
  </si>
  <si>
    <t>기준</t>
    <phoneticPr fontId="1" type="noConversion"/>
  </si>
  <si>
    <t>합산금액</t>
    <phoneticPr fontId="1" type="noConversion"/>
  </si>
  <si>
    <t>차감금</t>
    <phoneticPr fontId="1" type="noConversion"/>
  </si>
  <si>
    <t>매매횟수</t>
    <phoneticPr fontId="1" type="noConversion"/>
  </si>
  <si>
    <t>수익</t>
    <phoneticPr fontId="1" type="noConversion"/>
  </si>
  <si>
    <t>합산</t>
    <phoneticPr fontId="1" type="noConversion"/>
  </si>
  <si>
    <t>원금</t>
    <phoneticPr fontId="1" type="noConversion"/>
  </si>
  <si>
    <t>수익율(%)</t>
    <phoneticPr fontId="1" type="noConversion"/>
  </si>
  <si>
    <t>총합산</t>
    <phoneticPr fontId="1" type="noConversion"/>
  </si>
  <si>
    <t>퇴직</t>
    <phoneticPr fontId="1" type="noConversion"/>
  </si>
  <si>
    <t>목표 - 퇴직</t>
    <phoneticPr fontId="1" type="noConversion"/>
  </si>
  <si>
    <t>합산</t>
    <phoneticPr fontId="1" type="noConversion"/>
  </si>
  <si>
    <t>자본금</t>
    <phoneticPr fontId="1" type="noConversion"/>
  </si>
  <si>
    <t>연금 계획</t>
    <phoneticPr fontId="1" type="noConversion"/>
  </si>
  <si>
    <t>이전</t>
    <phoneticPr fontId="1" type="noConversion"/>
  </si>
  <si>
    <t>예측</t>
    <phoneticPr fontId="1" type="noConversion"/>
  </si>
  <si>
    <t>발표</t>
    <phoneticPr fontId="1" type="noConversion"/>
  </si>
  <si>
    <t>ISM 제조업구매자지수</t>
    <phoneticPr fontId="1" type="noConversion"/>
  </si>
  <si>
    <t>ISM 비제조업구매자지수</t>
    <phoneticPr fontId="1" type="noConversion"/>
  </si>
  <si>
    <t>생산자물가지수 YOY</t>
    <phoneticPr fontId="1" type="noConversion"/>
  </si>
  <si>
    <t>소비자물가지수 YOY</t>
    <phoneticPr fontId="1" type="noConversion"/>
  </si>
  <si>
    <t>근원소비자물가지수 YOY</t>
    <phoneticPr fontId="1" type="noConversion"/>
  </si>
  <si>
    <t xml:space="preserve">신규실업수당청구건수 </t>
    <phoneticPr fontId="1" type="noConversion"/>
  </si>
  <si>
    <t>219k</t>
    <phoneticPr fontId="1" type="noConversion"/>
  </si>
  <si>
    <t>225k</t>
    <phoneticPr fontId="1" type="noConversion"/>
  </si>
  <si>
    <t>원유재고</t>
    <phoneticPr fontId="1" type="noConversion"/>
  </si>
  <si>
    <t>건축승인건수</t>
    <phoneticPr fontId="1" type="noConversion"/>
  </si>
  <si>
    <t>유가선물(USOI) 10월 마감</t>
    <phoneticPr fontId="1" type="noConversion"/>
  </si>
  <si>
    <t>필라델피아제조업활동지수</t>
    <phoneticPr fontId="1" type="noConversion"/>
  </si>
  <si>
    <t>기존주택판매</t>
    <phoneticPr fontId="1" type="noConversion"/>
  </si>
  <si>
    <t>근원생산자물가지수 YOY</t>
    <phoneticPr fontId="1" type="noConversion"/>
  </si>
  <si>
    <t>S-RIM</t>
    <phoneticPr fontId="1" type="noConversion"/>
  </si>
  <si>
    <t>기업가치 = 자기자본 + 초과이익/할인율 = B0 + (B0 * (ROE - ke)) / ke</t>
    <phoneticPr fontId="1" type="noConversion"/>
  </si>
  <si>
    <t>신용등급금리</t>
    <phoneticPr fontId="1" type="noConversion"/>
  </si>
  <si>
    <t>BBB- 기준</t>
    <phoneticPr fontId="1" type="noConversion"/>
  </si>
  <si>
    <t>https://www.kisrating.com/ratingsStatistics/statics_spread.do#</t>
    <phoneticPr fontId="1" type="noConversion"/>
  </si>
  <si>
    <t>등급분포 - 등급별 금리스프레드 - 수익률(2022.10.20)</t>
  </si>
  <si>
    <t>구분</t>
  </si>
  <si>
    <t>3월</t>
  </si>
  <si>
    <t>6월</t>
  </si>
  <si>
    <t>9월</t>
  </si>
  <si>
    <t>1년</t>
  </si>
  <si>
    <t>1년6월</t>
  </si>
  <si>
    <t>2년</t>
  </si>
  <si>
    <t>3년</t>
  </si>
  <si>
    <t>5년</t>
  </si>
  <si>
    <t>국고채</t>
  </si>
  <si>
    <t>3.01</t>
  </si>
  <si>
    <t>3.33</t>
  </si>
  <si>
    <t>3.49</t>
  </si>
  <si>
    <t>3.69</t>
  </si>
  <si>
    <t>3.92</t>
  </si>
  <si>
    <t>4.33</t>
  </si>
  <si>
    <t>4.35</t>
  </si>
  <si>
    <t>4.47</t>
  </si>
  <si>
    <t>AAA</t>
  </si>
  <si>
    <t>3.85</t>
  </si>
  <si>
    <t>4.36</t>
  </si>
  <si>
    <t>4.78</t>
  </si>
  <si>
    <t>4.97</t>
  </si>
  <si>
    <t>5.20</t>
  </si>
  <si>
    <t>5.41</t>
  </si>
  <si>
    <t>5.46</t>
  </si>
  <si>
    <t>5.53</t>
  </si>
  <si>
    <t>AA+</t>
  </si>
  <si>
    <t>3.93</t>
  </si>
  <si>
    <t>4.45</t>
  </si>
  <si>
    <t>4.84</t>
  </si>
  <si>
    <t>5.02</t>
  </si>
  <si>
    <t>5.25</t>
  </si>
  <si>
    <t>5.45</t>
  </si>
  <si>
    <t>5.51</t>
  </si>
  <si>
    <t>5.59</t>
  </si>
  <si>
    <t>AA</t>
  </si>
  <si>
    <t>3.98</t>
  </si>
  <si>
    <t>4.49</t>
  </si>
  <si>
    <t>4.89</t>
  </si>
  <si>
    <t>5.06</t>
  </si>
  <si>
    <t>5.28</t>
  </si>
  <si>
    <t>5.50</t>
  </si>
  <si>
    <t>5.56</t>
  </si>
  <si>
    <t>5.65</t>
  </si>
  <si>
    <t>AA-</t>
  </si>
  <si>
    <t>4.00</t>
  </si>
  <si>
    <t>4.51</t>
  </si>
  <si>
    <t>4.91</t>
  </si>
  <si>
    <t>5.09</t>
  </si>
  <si>
    <t>5.31</t>
  </si>
  <si>
    <t>5.55</t>
  </si>
  <si>
    <t>5.61</t>
  </si>
  <si>
    <t>5.76</t>
  </si>
  <si>
    <t>A+</t>
  </si>
  <si>
    <t>4.19</t>
  </si>
  <si>
    <t>4.68</t>
  </si>
  <si>
    <t>5.08</t>
  </si>
  <si>
    <t>5.24</t>
  </si>
  <si>
    <t>5.75</t>
  </si>
  <si>
    <t>6.14</t>
  </si>
  <si>
    <t>A</t>
  </si>
  <si>
    <t>4.83</t>
  </si>
  <si>
    <t>5.42</t>
  </si>
  <si>
    <t>5.64</t>
  </si>
  <si>
    <t>5.86</t>
  </si>
  <si>
    <t>6.07</t>
  </si>
  <si>
    <t>6.59</t>
  </si>
  <si>
    <t>A-</t>
  </si>
  <si>
    <t>4.54</t>
  </si>
  <si>
    <t>5.48</t>
  </si>
  <si>
    <t>5.67</t>
  </si>
  <si>
    <t>5.92</t>
  </si>
  <si>
    <t>6.22</t>
  </si>
  <si>
    <t>6.52</t>
  </si>
  <si>
    <t>7.19</t>
  </si>
  <si>
    <t>BBB+</t>
  </si>
  <si>
    <t>5.19</t>
  </si>
  <si>
    <t>6.00</t>
  </si>
  <si>
    <t>6.74</t>
  </si>
  <si>
    <t>7.11</t>
  </si>
  <si>
    <t>7.71</t>
  </si>
  <si>
    <t>8.44</t>
  </si>
  <si>
    <t>9.07</t>
  </si>
  <si>
    <t>9.27</t>
  </si>
  <si>
    <t>BBB</t>
  </si>
  <si>
    <t>5.57</t>
  </si>
  <si>
    <t>6.50</t>
  </si>
  <si>
    <t>7.32</t>
  </si>
  <si>
    <t>7.78</t>
  </si>
  <si>
    <t>8.52</t>
  </si>
  <si>
    <t>9.38</t>
  </si>
  <si>
    <t>10.12</t>
  </si>
  <si>
    <t>10.32</t>
  </si>
  <si>
    <t>BBB-</t>
  </si>
  <si>
    <t>6.24</t>
  </si>
  <si>
    <t>7.30</t>
  </si>
  <si>
    <t>8.25</t>
  </si>
  <si>
    <t>8.77</t>
  </si>
  <si>
    <t>9.63</t>
  </si>
  <si>
    <t>10.53</t>
  </si>
  <si>
    <t>11.48</t>
  </si>
  <si>
    <t>11.74</t>
  </si>
  <si>
    <t>두산퓨어셀</t>
    <phoneticPr fontId="1" type="noConversion"/>
  </si>
  <si>
    <t>ROE</t>
    <phoneticPr fontId="1" type="noConversion"/>
  </si>
  <si>
    <t>자기자본
지배주주총계</t>
    <phoneticPr fontId="1" type="noConversion"/>
  </si>
  <si>
    <t>유동
주식수</t>
    <phoneticPr fontId="1" type="noConversion"/>
  </si>
  <si>
    <t>드림씨아이에스</t>
    <phoneticPr fontId="1" type="noConversion"/>
  </si>
  <si>
    <t>대신증권</t>
    <phoneticPr fontId="1" type="noConversion"/>
  </si>
  <si>
    <t>주택구입부담지수</t>
    <phoneticPr fontId="1" type="noConversion"/>
  </si>
  <si>
    <t>ISM제조업지수(제조업 PMI)</t>
    <phoneticPr fontId="1" type="noConversion"/>
  </si>
  <si>
    <t>100이면 소득의 25프로 원리금상환의미</t>
    <phoneticPr fontId="1" type="noConversion"/>
  </si>
  <si>
    <t>50기준 51이면 1프로 정도 생산경기 활성화 49면 1프로정도 경기 침체</t>
    <phoneticPr fontId="1" type="noConversion"/>
  </si>
  <si>
    <t>https://houstat.hf.go.kr/research/portal/theme/indexStatPage.do</t>
    <phoneticPr fontId="1" type="noConversion"/>
  </si>
  <si>
    <t>22년 8월 현재 매매법</t>
    <phoneticPr fontId="1" type="noConversion"/>
  </si>
  <si>
    <t>22년 9월 현재 매매법</t>
    <phoneticPr fontId="1" type="noConversion"/>
  </si>
  <si>
    <t>22년 10월 현재 매매법</t>
    <phoneticPr fontId="1" type="noConversion"/>
  </si>
  <si>
    <t>22년 11월 현재 매매법</t>
    <phoneticPr fontId="1" type="noConversion"/>
  </si>
  <si>
    <t>22년 12월 현재 매매법</t>
    <phoneticPr fontId="1" type="noConversion"/>
  </si>
  <si>
    <t>23년 1월 현재 매매법</t>
    <phoneticPr fontId="1" type="noConversion"/>
  </si>
  <si>
    <t>생활패턴1</t>
    <phoneticPr fontId="1" type="noConversion"/>
  </si>
  <si>
    <t>생활패턴2</t>
    <phoneticPr fontId="1" type="noConversion"/>
  </si>
  <si>
    <t>생활패턴3</t>
  </si>
  <si>
    <t>생활패턴4</t>
  </si>
  <si>
    <t>생활패턴5</t>
  </si>
  <si>
    <t>생활패턴6</t>
  </si>
  <si>
    <t>생활패턴7</t>
  </si>
  <si>
    <t>생활패턴8</t>
  </si>
  <si>
    <t>생활패턴9</t>
  </si>
  <si>
    <t>생활패턴10</t>
  </si>
  <si>
    <t>생활패턴11</t>
  </si>
  <si>
    <t>생활패턴12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</si>
</sst>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&quot;₩&quot;#,##0"/>
    <numFmt numFmtId="177" formatCode="&quot;₩&quot;#,##0_);[Red]\(&quot;₩&quot;#,##0\)"/>
    <numFmt numFmtId="178" formatCode="&quot;₩&quot;#,##0.00"/>
    <numFmt numFmtId="179" formatCode="0_ "/>
    <numFmt numFmtId="180" formatCode="#,##0.00000_ "/>
    <numFmt numFmtId="181" formatCode="0.00000_ "/>
  </numFmts>
  <fonts count="2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rgb="FF000000"/>
      <name val="Tahoma"/>
      <family val="2"/>
    </font>
    <font>
      <b/>
      <sz val="11"/>
      <color rgb="FF202124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DADCE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0" borderId="9" applyNumberFormat="0" applyAlignment="0" applyProtection="0">
      <alignment vertical="center"/>
    </xf>
    <xf numFmtId="0" fontId="11" fillId="11" borderId="10" applyNumberFormat="0" applyAlignment="0" applyProtection="0">
      <alignment vertical="center"/>
    </xf>
    <xf numFmtId="0" fontId="12" fillId="11" borderId="9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12" borderId="1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3" borderId="1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3" borderId="1" xfId="0" applyFill="1" applyBorder="1">
      <alignment vertical="center"/>
    </xf>
    <xf numFmtId="176" fontId="0" fillId="3" borderId="1" xfId="0" applyNumberFormat="1" applyFill="1" applyBorder="1">
      <alignment vertical="center"/>
    </xf>
    <xf numFmtId="177" fontId="0" fillId="3" borderId="1" xfId="0" applyNumberFormat="1" applyFill="1" applyBorder="1">
      <alignment vertical="center"/>
    </xf>
    <xf numFmtId="178" fontId="0" fillId="3" borderId="1" xfId="0" applyNumberForma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177" fontId="0" fillId="2" borderId="1" xfId="0" applyNumberFormat="1" applyFill="1" applyBorder="1">
      <alignment vertical="center"/>
    </xf>
    <xf numFmtId="0" fontId="2" fillId="2" borderId="1" xfId="0" applyFont="1" applyFill="1" applyBorder="1">
      <alignment vertical="center"/>
    </xf>
    <xf numFmtId="177" fontId="2" fillId="2" borderId="1" xfId="0" applyNumberFormat="1" applyFont="1" applyFill="1" applyBorder="1">
      <alignment vertical="center"/>
    </xf>
    <xf numFmtId="0" fontId="0" fillId="4" borderId="1" xfId="0" applyFill="1" applyBorder="1">
      <alignment vertical="center"/>
    </xf>
    <xf numFmtId="176" fontId="0" fillId="4" borderId="1" xfId="0" applyNumberFormat="1" applyFill="1" applyBorder="1">
      <alignment vertical="center"/>
    </xf>
    <xf numFmtId="177" fontId="0" fillId="4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176" fontId="0" fillId="5" borderId="1" xfId="0" applyNumberFormat="1" applyFill="1" applyBorder="1">
      <alignment vertical="center"/>
    </xf>
    <xf numFmtId="177" fontId="0" fillId="5" borderId="1" xfId="0" applyNumberFormat="1" applyFill="1" applyBorder="1">
      <alignment vertical="center"/>
    </xf>
    <xf numFmtId="0" fontId="0" fillId="0" borderId="0" xfId="0" applyAlignment="1">
      <alignment horizontal="center" vertical="center"/>
    </xf>
    <xf numFmtId="0" fontId="3" fillId="5" borderId="1" xfId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6" fontId="0" fillId="0" borderId="2" xfId="0" applyNumberFormat="1" applyBorder="1" applyAlignment="1">
      <alignment horizontal="right" vertical="center"/>
    </xf>
    <xf numFmtId="0" fontId="2" fillId="0" borderId="1" xfId="0" applyFont="1" applyBorder="1">
      <alignment vertical="center"/>
    </xf>
    <xf numFmtId="177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>
      <alignment vertical="center"/>
    </xf>
    <xf numFmtId="176" fontId="0" fillId="7" borderId="1" xfId="0" applyNumberFormat="1" applyFill="1" applyBorder="1">
      <alignment vertical="center"/>
    </xf>
    <xf numFmtId="177" fontId="2" fillId="0" borderId="4" xfId="0" applyNumberFormat="1" applyFont="1" applyBorder="1" applyAlignment="1">
      <alignment horizontal="center" vertical="center"/>
    </xf>
    <xf numFmtId="177" fontId="2" fillId="0" borderId="4" xfId="0" applyNumberFormat="1" applyFont="1" applyBorder="1">
      <alignment vertical="center"/>
    </xf>
    <xf numFmtId="177" fontId="0" fillId="5" borderId="4" xfId="0" applyNumberFormat="1" applyFill="1" applyBorder="1">
      <alignment vertical="center"/>
    </xf>
    <xf numFmtId="177" fontId="0" fillId="0" borderId="4" xfId="0" applyNumberFormat="1" applyBorder="1">
      <alignment vertical="center"/>
    </xf>
    <xf numFmtId="177" fontId="0" fillId="2" borderId="4" xfId="0" applyNumberFormat="1" applyFill="1" applyBorder="1">
      <alignment vertical="center"/>
    </xf>
    <xf numFmtId="177" fontId="0" fillId="4" borderId="4" xfId="0" applyNumberFormat="1" applyFill="1" applyBorder="1">
      <alignment vertical="center"/>
    </xf>
    <xf numFmtId="177" fontId="2" fillId="4" borderId="4" xfId="0" applyNumberFormat="1" applyFont="1" applyFill="1" applyBorder="1">
      <alignment vertical="center"/>
    </xf>
    <xf numFmtId="177" fontId="0" fillId="3" borderId="4" xfId="0" applyNumberFormat="1" applyFill="1" applyBorder="1">
      <alignment vertical="center"/>
    </xf>
    <xf numFmtId="177" fontId="2" fillId="2" borderId="4" xfId="0" applyNumberFormat="1" applyFont="1" applyFill="1" applyBorder="1">
      <alignment vertical="center"/>
    </xf>
    <xf numFmtId="0" fontId="0" fillId="5" borderId="5" xfId="0" applyFill="1" applyBorder="1">
      <alignment vertical="center"/>
    </xf>
    <xf numFmtId="0" fontId="0" fillId="0" borderId="5" xfId="0" applyBorder="1">
      <alignment vertical="center"/>
    </xf>
    <xf numFmtId="0" fontId="0" fillId="2" borderId="5" xfId="0" applyFill="1" applyBorder="1">
      <alignment vertical="center"/>
    </xf>
    <xf numFmtId="176" fontId="0" fillId="4" borderId="5" xfId="0" applyNumberFormat="1" applyFill="1" applyBorder="1">
      <alignment vertical="center"/>
    </xf>
    <xf numFmtId="0" fontId="0" fillId="3" borderId="5" xfId="0" applyFill="1" applyBorder="1">
      <alignment vertical="center"/>
    </xf>
    <xf numFmtId="176" fontId="0" fillId="3" borderId="5" xfId="0" applyNumberForma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right"/>
    </xf>
    <xf numFmtId="0" fontId="19" fillId="0" borderId="0" xfId="35">
      <alignment vertical="center"/>
    </xf>
    <xf numFmtId="3" fontId="0" fillId="0" borderId="1" xfId="0" applyNumberFormat="1" applyBorder="1">
      <alignment vertical="center"/>
    </xf>
    <xf numFmtId="49" fontId="21" fillId="39" borderId="1" xfId="0" applyNumberFormat="1" applyFont="1" applyFill="1" applyBorder="1" applyAlignment="1">
      <alignment horizontal="center" vertical="center" wrapText="1"/>
    </xf>
    <xf numFmtId="49" fontId="21" fillId="39" borderId="1" xfId="0" applyNumberFormat="1" applyFont="1" applyFill="1" applyBorder="1" applyAlignment="1">
      <alignment horizontal="left" vertical="center" wrapText="1"/>
    </xf>
    <xf numFmtId="179" fontId="0" fillId="0" borderId="1" xfId="0" applyNumberFormat="1" applyBorder="1">
      <alignment vertical="center"/>
    </xf>
    <xf numFmtId="181" fontId="0" fillId="0" borderId="0" xfId="0" applyNumberFormat="1">
      <alignment vertical="center"/>
    </xf>
    <xf numFmtId="0" fontId="23" fillId="0" borderId="1" xfId="0" applyFont="1" applyBorder="1">
      <alignment vertical="center"/>
    </xf>
    <xf numFmtId="3" fontId="23" fillId="0" borderId="1" xfId="0" applyNumberFormat="1" applyFont="1" applyBorder="1">
      <alignment vertical="center"/>
    </xf>
    <xf numFmtId="181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180" fontId="0" fillId="0" borderId="5" xfId="0" applyNumberFormat="1" applyBorder="1">
      <alignment vertical="center"/>
    </xf>
    <xf numFmtId="0" fontId="21" fillId="0" borderId="0" xfId="0" applyFont="1">
      <alignment vertical="center"/>
    </xf>
    <xf numFmtId="0" fontId="22" fillId="38" borderId="15" xfId="0" applyFont="1" applyFill="1" applyBorder="1" applyAlignment="1">
      <alignment horizontal="center" vertical="center" wrapText="1"/>
    </xf>
    <xf numFmtId="49" fontId="21" fillId="39" borderId="15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4" fillId="39" borderId="16" xfId="0" applyFont="1" applyFill="1" applyBorder="1" applyAlignment="1">
      <alignment vertical="center" wrapText="1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0" fontId="0" fillId="40" borderId="1" xfId="0" applyFill="1" applyBorder="1">
      <alignment vertical="center"/>
    </xf>
    <xf numFmtId="176" fontId="0" fillId="40" borderId="1" xfId="0" applyNumberFormat="1" applyFill="1" applyBorder="1">
      <alignment vertical="center"/>
    </xf>
    <xf numFmtId="177" fontId="0" fillId="40" borderId="4" xfId="0" applyNumberFormat="1" applyFill="1" applyBorder="1">
      <alignment vertical="center"/>
    </xf>
    <xf numFmtId="177" fontId="0" fillId="40" borderId="1" xfId="0" applyNumberFormat="1" applyFill="1" applyBorder="1">
      <alignment vertical="center"/>
    </xf>
    <xf numFmtId="0" fontId="0" fillId="40" borderId="5" xfId="0" applyFill="1" applyBorder="1">
      <alignment vertical="center"/>
    </xf>
    <xf numFmtId="0" fontId="0" fillId="40" borderId="0" xfId="0" applyFill="1">
      <alignment vertical="center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40" borderId="0" xfId="0" applyNumberFormat="1" applyFill="1">
      <alignment vertical="center"/>
    </xf>
    <xf numFmtId="176" fontId="0" fillId="40" borderId="18" xfId="0" applyNumberFormat="1" applyFill="1" applyBorder="1">
      <alignment vertical="center"/>
    </xf>
  </cellXfs>
  <cellStyles count="43">
    <cellStyle name="20% - 강조색1" xfId="18" builtinId="30" customBuiltin="1"/>
    <cellStyle name="20% - 강조색2" xfId="21" builtinId="34" customBuiltin="1"/>
    <cellStyle name="20% - 강조색3" xfId="24" builtinId="38" customBuiltin="1"/>
    <cellStyle name="20% - 강조색4" xfId="27" builtinId="42" customBuiltin="1"/>
    <cellStyle name="20% - 강조색5" xfId="30" builtinId="46" customBuiltin="1"/>
    <cellStyle name="20% - 강조색6" xfId="33" builtinId="50" customBuiltin="1"/>
    <cellStyle name="40% - 강조색1" xfId="19" builtinId="31" customBuiltin="1"/>
    <cellStyle name="40% - 강조색2" xfId="22" builtinId="35" customBuiltin="1"/>
    <cellStyle name="40% - 강조색3" xfId="25" builtinId="39" customBuiltin="1"/>
    <cellStyle name="40% - 강조색4" xfId="28" builtinId="43" customBuiltin="1"/>
    <cellStyle name="40% - 강조색5" xfId="31" builtinId="47" customBuiltin="1"/>
    <cellStyle name="40% - 강조색6" xfId="34" builtinId="51" customBuiltin="1"/>
    <cellStyle name="60% - 강조색1 2" xfId="37" xr:uid="{00000000-0005-0000-0000-000030000000}"/>
    <cellStyle name="60% - 강조색2 2" xfId="38" xr:uid="{00000000-0005-0000-0000-000031000000}"/>
    <cellStyle name="60% - 강조색3 2" xfId="39" xr:uid="{00000000-0005-0000-0000-000032000000}"/>
    <cellStyle name="60% - 강조색4 2" xfId="40" xr:uid="{00000000-0005-0000-0000-000033000000}"/>
    <cellStyle name="60% - 강조색5 2" xfId="41" xr:uid="{00000000-0005-0000-0000-000034000000}"/>
    <cellStyle name="60% - 강조색6 2" xfId="42" xr:uid="{00000000-0005-0000-0000-000035000000}"/>
    <cellStyle name="강조색1" xfId="17" builtinId="29" customBuiltin="1"/>
    <cellStyle name="강조색2" xfId="20" builtinId="33" customBuiltin="1"/>
    <cellStyle name="강조색3" xfId="23" builtinId="37" customBuiltin="1"/>
    <cellStyle name="강조색4" xfId="26" builtinId="41" customBuiltin="1"/>
    <cellStyle name="강조색5" xfId="29" builtinId="45" customBuiltin="1"/>
    <cellStyle name="강조색6" xfId="32" builtinId="49" customBuiltin="1"/>
    <cellStyle name="경고문" xfId="13" builtinId="11" customBuiltin="1"/>
    <cellStyle name="계산" xfId="10" builtinId="22" customBuiltin="1"/>
    <cellStyle name="나쁨" xfId="1" builtinId="27" customBuiltin="1"/>
    <cellStyle name="메모" xfId="14" builtinId="10" customBuiltin="1"/>
    <cellStyle name="보통 2" xfId="36" xr:uid="{00000000-0005-0000-0000-000036000000}"/>
    <cellStyle name="설명 텍스트" xfId="15" builtinId="53" customBuiltin="1"/>
    <cellStyle name="셀 확인" xfId="12" builtinId="23" customBuiltin="1"/>
    <cellStyle name="연결된 셀" xfId="11" builtinId="24" customBuiltin="1"/>
    <cellStyle name="요약" xfId="16" builtinId="25" customBuiltin="1"/>
    <cellStyle name="입력" xfId="8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9" builtinId="21" customBuiltin="1"/>
    <cellStyle name="표준" xfId="0" builtinId="0"/>
    <cellStyle name="하이퍼링크" xfId="35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houstat.hf.go.kr/research/portal/theme/indexStatPage.d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kisrating.com/ratingsStatistics/statics_spread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4"/>
  <sheetViews>
    <sheetView topLeftCell="B34" workbookViewId="0">
      <selection activeCell="C50" sqref="A50:XFD50"/>
    </sheetView>
  </sheetViews>
  <sheetFormatPr defaultRowHeight="16.5" x14ac:dyDescent="0.3"/>
  <cols>
    <col min="4" max="4" width="12.875" bestFit="1" customWidth="1"/>
    <col min="5" max="5" width="14.125" customWidth="1"/>
    <col min="6" max="6" width="21.875" bestFit="1" customWidth="1"/>
    <col min="8" max="10" width="14.375" bestFit="1" customWidth="1"/>
    <col min="11" max="11" width="14.25" style="2" bestFit="1" customWidth="1"/>
    <col min="12" max="12" width="13.625" style="10" bestFit="1" customWidth="1"/>
    <col min="13" max="13" width="14.375" bestFit="1" customWidth="1"/>
    <col min="14" max="14" width="15.875" customWidth="1"/>
    <col min="16" max="16" width="12.875" bestFit="1" customWidth="1"/>
    <col min="17" max="17" width="15.625" customWidth="1"/>
    <col min="19" max="19" width="12.875" style="1" bestFit="1" customWidth="1"/>
  </cols>
  <sheetData>
    <row r="1" spans="1:19" x14ac:dyDescent="0.3">
      <c r="A1" s="31"/>
      <c r="B1" s="31"/>
      <c r="C1" s="31"/>
      <c r="D1" s="26" t="s">
        <v>15</v>
      </c>
      <c r="E1" s="26" t="s">
        <v>27</v>
      </c>
      <c r="F1" s="26" t="s">
        <v>19</v>
      </c>
      <c r="G1" s="26" t="s">
        <v>16</v>
      </c>
      <c r="H1" s="26" t="s">
        <v>17</v>
      </c>
      <c r="I1" s="26" t="s">
        <v>28</v>
      </c>
      <c r="J1" s="26" t="s">
        <v>29</v>
      </c>
      <c r="K1" s="35" t="s">
        <v>20</v>
      </c>
      <c r="L1" s="32" t="s">
        <v>30</v>
      </c>
      <c r="Q1" s="23" t="s">
        <v>1</v>
      </c>
    </row>
    <row r="2" spans="1:19" x14ac:dyDescent="0.3">
      <c r="A2" s="31" t="s">
        <v>18</v>
      </c>
      <c r="B2" s="31"/>
      <c r="C2" s="31"/>
      <c r="D2" s="31"/>
      <c r="E2" s="31"/>
      <c r="F2" s="31">
        <v>0</v>
      </c>
      <c r="G2" s="31"/>
      <c r="H2" s="31">
        <v>0</v>
      </c>
      <c r="I2" s="31"/>
      <c r="J2" s="31"/>
      <c r="K2" s="36"/>
      <c r="L2" s="33"/>
    </row>
    <row r="3" spans="1:19" s="20" customFormat="1" x14ac:dyDescent="0.3">
      <c r="A3" s="20">
        <v>1</v>
      </c>
      <c r="B3" s="80">
        <v>2022</v>
      </c>
      <c r="C3" s="20">
        <v>1</v>
      </c>
      <c r="D3" s="21">
        <v>5000000</v>
      </c>
      <c r="E3" s="21"/>
      <c r="F3" s="21">
        <f t="shared" ref="F3:F14" si="0" xml:space="preserve"> H2 + D3 - K3</f>
        <v>5000000</v>
      </c>
      <c r="G3" s="20">
        <v>0.01</v>
      </c>
      <c r="H3" s="21">
        <f xml:space="preserve"> (F3 * G3) + F3</f>
        <v>5050000</v>
      </c>
      <c r="I3" s="21"/>
      <c r="J3" s="21"/>
      <c r="K3" s="37">
        <v>0</v>
      </c>
      <c r="L3" s="22"/>
      <c r="M3" s="44"/>
      <c r="S3" s="21"/>
    </row>
    <row r="4" spans="1:19" s="20" customFormat="1" x14ac:dyDescent="0.3">
      <c r="B4" s="80"/>
      <c r="C4" s="20">
        <v>2</v>
      </c>
      <c r="D4" s="21">
        <v>0</v>
      </c>
      <c r="E4" s="21"/>
      <c r="F4" s="21">
        <f t="shared" si="0"/>
        <v>5050000</v>
      </c>
      <c r="G4" s="20">
        <v>0.01</v>
      </c>
      <c r="H4" s="21">
        <f xml:space="preserve"> (F4 * G4) + F4</f>
        <v>5100500</v>
      </c>
      <c r="I4" s="21"/>
      <c r="J4" s="21"/>
      <c r="K4" s="37">
        <v>0</v>
      </c>
      <c r="L4" s="22"/>
      <c r="M4" s="44"/>
      <c r="S4" s="21"/>
    </row>
    <row r="5" spans="1:19" s="20" customFormat="1" x14ac:dyDescent="0.3">
      <c r="B5" s="80"/>
      <c r="C5" s="20">
        <v>3</v>
      </c>
      <c r="D5" s="21">
        <v>1500000</v>
      </c>
      <c r="E5" s="21"/>
      <c r="F5" s="21">
        <f t="shared" si="0"/>
        <v>6600500</v>
      </c>
      <c r="G5" s="20">
        <v>0.01</v>
      </c>
      <c r="H5" s="21">
        <f xml:space="preserve"> (F5 * G5) + F5</f>
        <v>6666505</v>
      </c>
      <c r="I5" s="21"/>
      <c r="J5" s="21"/>
      <c r="K5" s="37">
        <v>0</v>
      </c>
      <c r="L5" s="22"/>
      <c r="M5" s="44"/>
      <c r="S5" s="21"/>
    </row>
    <row r="6" spans="1:19" s="20" customFormat="1" x14ac:dyDescent="0.3">
      <c r="B6" s="80"/>
      <c r="C6" s="20">
        <v>4</v>
      </c>
      <c r="D6" s="21">
        <v>3500000</v>
      </c>
      <c r="E6" s="21"/>
      <c r="F6" s="21">
        <f t="shared" si="0"/>
        <v>10166505</v>
      </c>
      <c r="G6" s="20">
        <v>0.01</v>
      </c>
      <c r="H6" s="21">
        <f t="shared" ref="H6:H14" si="1" xml:space="preserve"> (F6 * G6) + F6</f>
        <v>10268170.050000001</v>
      </c>
      <c r="I6" s="21"/>
      <c r="J6" s="21"/>
      <c r="K6" s="37">
        <v>0</v>
      </c>
      <c r="L6" s="22"/>
      <c r="M6" s="44"/>
      <c r="S6" s="21"/>
    </row>
    <row r="7" spans="1:19" s="20" customFormat="1" x14ac:dyDescent="0.3">
      <c r="B7" s="80"/>
      <c r="C7" s="20">
        <v>5</v>
      </c>
      <c r="D7" s="21">
        <v>2520000</v>
      </c>
      <c r="E7" s="21"/>
      <c r="F7" s="21">
        <f t="shared" si="0"/>
        <v>11788170.050000001</v>
      </c>
      <c r="G7" s="20">
        <v>0.01</v>
      </c>
      <c r="H7" s="21">
        <f t="shared" si="1"/>
        <v>11906051.750500001</v>
      </c>
      <c r="I7" s="21"/>
      <c r="J7" s="21"/>
      <c r="K7" s="37">
        <v>1000000</v>
      </c>
      <c r="L7" s="22"/>
      <c r="M7" s="44"/>
      <c r="N7" s="24"/>
      <c r="S7" s="21"/>
    </row>
    <row r="8" spans="1:19" s="20" customFormat="1" x14ac:dyDescent="0.3">
      <c r="B8" s="80"/>
      <c r="C8" s="20">
        <v>6</v>
      </c>
      <c r="D8" s="21">
        <v>2500000</v>
      </c>
      <c r="E8" s="21"/>
      <c r="F8" s="21">
        <f t="shared" si="0"/>
        <v>14406051.750500001</v>
      </c>
      <c r="G8" s="20">
        <v>0.01</v>
      </c>
      <c r="H8" s="21">
        <f t="shared" si="1"/>
        <v>14550112.268005</v>
      </c>
      <c r="I8" s="21"/>
      <c r="J8" s="21"/>
      <c r="K8" s="37">
        <v>0</v>
      </c>
      <c r="L8" s="22"/>
      <c r="M8" s="44"/>
      <c r="S8" s="21"/>
    </row>
    <row r="9" spans="1:19" s="20" customFormat="1" x14ac:dyDescent="0.3">
      <c r="B9" s="80"/>
      <c r="C9" s="20">
        <v>7</v>
      </c>
      <c r="D9" s="21">
        <v>2500000</v>
      </c>
      <c r="E9" s="21"/>
      <c r="F9" s="21">
        <f t="shared" si="0"/>
        <v>16450112.268004999</v>
      </c>
      <c r="G9" s="20">
        <v>0.01</v>
      </c>
      <c r="H9" s="21">
        <f t="shared" si="1"/>
        <v>16614613.390685048</v>
      </c>
      <c r="I9" s="21"/>
      <c r="J9" s="21"/>
      <c r="K9" s="37">
        <v>600000</v>
      </c>
      <c r="L9" s="22"/>
      <c r="M9" s="44"/>
      <c r="S9" s="21"/>
    </row>
    <row r="10" spans="1:19" s="20" customFormat="1" x14ac:dyDescent="0.3">
      <c r="B10" s="80"/>
      <c r="C10" s="20">
        <v>8</v>
      </c>
      <c r="D10" s="21">
        <v>2500000</v>
      </c>
      <c r="E10" s="21"/>
      <c r="F10" s="21">
        <f t="shared" si="0"/>
        <v>14058069.390685048</v>
      </c>
      <c r="G10" s="20">
        <v>0.01</v>
      </c>
      <c r="H10" s="21">
        <f t="shared" si="1"/>
        <v>14198650.084591899</v>
      </c>
      <c r="I10" s="21"/>
      <c r="J10" s="21"/>
      <c r="K10" s="37">
        <v>5056544</v>
      </c>
      <c r="L10" s="22"/>
      <c r="M10" s="44"/>
      <c r="S10" s="21"/>
    </row>
    <row r="11" spans="1:19" s="20" customFormat="1" x14ac:dyDescent="0.3">
      <c r="B11" s="80"/>
      <c r="C11" s="20">
        <v>9</v>
      </c>
      <c r="D11" s="21">
        <v>1800000</v>
      </c>
      <c r="E11" s="21">
        <v>4141561</v>
      </c>
      <c r="F11" s="21">
        <f t="shared" si="0"/>
        <v>14398650.084591899</v>
      </c>
      <c r="G11" s="20">
        <v>1.7999999999999999E-2</v>
      </c>
      <c r="H11" s="21">
        <f t="shared" si="1"/>
        <v>14657825.786114553</v>
      </c>
      <c r="I11" s="21"/>
      <c r="J11" s="21"/>
      <c r="K11" s="37">
        <v>1600000</v>
      </c>
      <c r="L11" s="22"/>
      <c r="M11" s="44"/>
      <c r="S11" s="21"/>
    </row>
    <row r="12" spans="1:19" s="20" customFormat="1" x14ac:dyDescent="0.3">
      <c r="B12" s="80"/>
      <c r="C12" s="20">
        <v>10</v>
      </c>
      <c r="D12" s="21">
        <v>4500000</v>
      </c>
      <c r="E12" s="21">
        <f xml:space="preserve"> (E11 + 400000) + ((E11 + 400000) * G12 )</f>
        <v>4132820.51</v>
      </c>
      <c r="F12" s="21">
        <f t="shared" si="0"/>
        <v>15457825.786114551</v>
      </c>
      <c r="G12" s="20">
        <v>-0.09</v>
      </c>
      <c r="H12" s="21">
        <f t="shared" si="1"/>
        <v>14066621.465364242</v>
      </c>
      <c r="I12" s="21"/>
      <c r="J12" s="21"/>
      <c r="K12" s="37">
        <v>3700000</v>
      </c>
      <c r="L12" s="22"/>
      <c r="M12" s="44"/>
      <c r="S12" s="21"/>
    </row>
    <row r="13" spans="1:19" s="20" customFormat="1" x14ac:dyDescent="0.3">
      <c r="B13" s="80"/>
      <c r="C13" s="20">
        <v>11</v>
      </c>
      <c r="D13" s="21">
        <v>3500000</v>
      </c>
      <c r="E13" s="21">
        <f xml:space="preserve"> (E12 + 400000) + ((E12 + 400000) * G13 )</f>
        <v>4614411.2791799996</v>
      </c>
      <c r="F13" s="21">
        <f t="shared" si="0"/>
        <v>17566621.46536424</v>
      </c>
      <c r="G13" s="20">
        <v>1.7999999999999999E-2</v>
      </c>
      <c r="H13" s="21">
        <f t="shared" si="1"/>
        <v>17882820.651740797</v>
      </c>
      <c r="I13" s="21"/>
      <c r="J13" s="21"/>
      <c r="K13" s="37">
        <v>0</v>
      </c>
      <c r="L13" s="22"/>
      <c r="M13" s="44"/>
      <c r="S13" s="21"/>
    </row>
    <row r="14" spans="1:19" s="17" customFormat="1" x14ac:dyDescent="0.3">
      <c r="B14" s="80"/>
      <c r="C14" s="17">
        <v>12</v>
      </c>
      <c r="D14" s="18">
        <v>2500000</v>
      </c>
      <c r="E14" s="18">
        <f t="shared" ref="E14:E77" si="2" xml:space="preserve"> (E13 + 400000) + ((E13 + 400000) * G14 )</f>
        <v>4793777.1828960795</v>
      </c>
      <c r="F14" s="18">
        <f t="shared" si="0"/>
        <v>19382820.651740797</v>
      </c>
      <c r="G14" s="17">
        <v>-4.3999999999999997E-2</v>
      </c>
      <c r="H14" s="18">
        <f t="shared" si="1"/>
        <v>18529976.543064203</v>
      </c>
      <c r="I14" s="18">
        <f xml:space="preserve"> H14 - E14</f>
        <v>13736199.360168124</v>
      </c>
      <c r="J14" s="18"/>
      <c r="K14" s="40">
        <v>1000000</v>
      </c>
      <c r="L14" s="19">
        <f xml:space="preserve"> I14 / 2</f>
        <v>6868099.6800840618</v>
      </c>
      <c r="M14" s="47">
        <f xml:space="preserve"> (H2 + SUM(D3:D14)) - SUM(K3:K14)</f>
        <v>19363456</v>
      </c>
      <c r="N14" s="18">
        <f xml:space="preserve"> H14 - M14</f>
        <v>-833479.45693579689</v>
      </c>
      <c r="O14" s="17">
        <v>0.84</v>
      </c>
      <c r="P14" s="18">
        <f xml:space="preserve"> N14 * O14</f>
        <v>-700122.7438260694</v>
      </c>
      <c r="Q14" s="18">
        <f xml:space="preserve"> N14 - P14</f>
        <v>-133356.71310972748</v>
      </c>
      <c r="R14" s="17">
        <f xml:space="preserve"> N14 / M14 * 100</f>
        <v>-4.3043940964660274</v>
      </c>
      <c r="S14" s="18"/>
    </row>
    <row r="15" spans="1:19" s="8" customFormat="1" x14ac:dyDescent="0.3">
      <c r="A15" s="8">
        <v>2</v>
      </c>
      <c r="B15" s="80">
        <v>2023</v>
      </c>
      <c r="C15" s="8">
        <v>1</v>
      </c>
      <c r="D15" s="9">
        <f xml:space="preserve"> N15</f>
        <v>3072341.6400070051</v>
      </c>
      <c r="E15" s="34">
        <f t="shared" si="2"/>
        <v>5287265.1721882094</v>
      </c>
      <c r="F15" s="11">
        <f xml:space="preserve"> (I14 / 2) + D15 - K15</f>
        <v>9940441.3200910669</v>
      </c>
      <c r="G15" s="8">
        <v>1.7999999999999999E-2</v>
      </c>
      <c r="H15" s="9">
        <f xml:space="preserve"> (F15 * G15) + F15</f>
        <v>10119369.263852706</v>
      </c>
      <c r="I15" s="9"/>
      <c r="J15" s="9">
        <f xml:space="preserve"> D15 + H15</f>
        <v>13191710.903859712</v>
      </c>
      <c r="K15" s="38">
        <v>0</v>
      </c>
      <c r="L15" s="10"/>
      <c r="M15" s="45"/>
      <c r="N15" s="11">
        <f xml:space="preserve"> (L14 / 12) +2500000</f>
        <v>3072341.6400070051</v>
      </c>
      <c r="P15" s="9">
        <f xml:space="preserve"> (H14 / 2 )</f>
        <v>9264988.2715321016</v>
      </c>
      <c r="S15" s="9"/>
    </row>
    <row r="16" spans="1:19" s="8" customFormat="1" x14ac:dyDescent="0.3">
      <c r="B16" s="80"/>
      <c r="C16" s="8">
        <v>2</v>
      </c>
      <c r="D16" s="9">
        <f xml:space="preserve"> N15</f>
        <v>3072341.6400070051</v>
      </c>
      <c r="E16" s="34">
        <f t="shared" si="2"/>
        <v>5789635.9452875974</v>
      </c>
      <c r="F16" s="9">
        <f t="shared" ref="F16:F26" si="3" xml:space="preserve"> H15 + D16 - K16</f>
        <v>13191710.903859712</v>
      </c>
      <c r="G16" s="8">
        <v>1.7999999999999999E-2</v>
      </c>
      <c r="H16" s="11">
        <f xml:space="preserve"> (F16 * G16) + F16</f>
        <v>13429161.700129187</v>
      </c>
      <c r="I16" s="9"/>
      <c r="J16" s="9">
        <f xml:space="preserve"> D16 + H16</f>
        <v>16501503.340136193</v>
      </c>
      <c r="K16" s="38">
        <v>0</v>
      </c>
      <c r="L16" s="10"/>
      <c r="M16" s="45"/>
      <c r="S16" s="9"/>
    </row>
    <row r="17" spans="1:19" s="8" customFormat="1" x14ac:dyDescent="0.3">
      <c r="B17" s="80"/>
      <c r="C17" s="8">
        <v>3</v>
      </c>
      <c r="D17" s="9">
        <f xml:space="preserve"> N15</f>
        <v>3072341.6400070051</v>
      </c>
      <c r="E17" s="34">
        <f t="shared" si="2"/>
        <v>6301049.3923027739</v>
      </c>
      <c r="F17" s="9">
        <f t="shared" si="3"/>
        <v>16501503.340136193</v>
      </c>
      <c r="G17" s="8">
        <v>1.7999999999999999E-2</v>
      </c>
      <c r="H17" s="9">
        <f xml:space="preserve"> (F17 * G17) + F17</f>
        <v>16798530.400258645</v>
      </c>
      <c r="I17" s="9"/>
      <c r="J17" s="9">
        <f t="shared" ref="J17:J80" si="4" xml:space="preserve"> D17 + H17</f>
        <v>19870872.04026565</v>
      </c>
      <c r="K17" s="38">
        <v>0</v>
      </c>
      <c r="L17" s="10"/>
      <c r="M17" s="45"/>
      <c r="S17" s="9"/>
    </row>
    <row r="18" spans="1:19" s="8" customFormat="1" x14ac:dyDescent="0.3">
      <c r="B18" s="80"/>
      <c r="C18" s="8">
        <v>4</v>
      </c>
      <c r="D18" s="9">
        <f xml:space="preserve"> N15</f>
        <v>3072341.6400070051</v>
      </c>
      <c r="E18" s="34">
        <f t="shared" si="2"/>
        <v>6821668.2813642239</v>
      </c>
      <c r="F18" s="9">
        <f t="shared" si="3"/>
        <v>19870872.04026565</v>
      </c>
      <c r="G18" s="8">
        <v>1.7999999999999999E-2</v>
      </c>
      <c r="H18" s="9">
        <f t="shared" ref="H18:H26" si="5" xml:space="preserve"> (F18 * G18) + F18</f>
        <v>20228547.736990429</v>
      </c>
      <c r="I18" s="9"/>
      <c r="J18" s="9">
        <f t="shared" si="4"/>
        <v>23300889.376997434</v>
      </c>
      <c r="K18" s="38">
        <v>0</v>
      </c>
      <c r="L18" s="10"/>
      <c r="M18" s="45"/>
      <c r="S18" s="9"/>
    </row>
    <row r="19" spans="1:19" s="8" customFormat="1" x14ac:dyDescent="0.3">
      <c r="B19" s="80"/>
      <c r="C19" s="8">
        <v>5</v>
      </c>
      <c r="D19" s="9">
        <f xml:space="preserve"> N15</f>
        <v>3072341.6400070051</v>
      </c>
      <c r="E19" s="34">
        <f t="shared" si="2"/>
        <v>7351658.3104287796</v>
      </c>
      <c r="F19" s="9">
        <f t="shared" si="3"/>
        <v>23434246.090107162</v>
      </c>
      <c r="G19" s="8">
        <v>1.7999999999999999E-2</v>
      </c>
      <c r="H19" s="9">
        <f t="shared" si="5"/>
        <v>23856062.519729089</v>
      </c>
      <c r="I19" s="9"/>
      <c r="J19" s="9">
        <f t="shared" si="4"/>
        <v>26928404.159736093</v>
      </c>
      <c r="K19" s="38">
        <f xml:space="preserve"> Q14</f>
        <v>-133356.71310972748</v>
      </c>
      <c r="L19" s="10"/>
      <c r="M19" s="45"/>
      <c r="S19" s="9"/>
    </row>
    <row r="20" spans="1:19" s="8" customFormat="1" x14ac:dyDescent="0.3">
      <c r="B20" s="80"/>
      <c r="C20" s="8">
        <v>6</v>
      </c>
      <c r="D20" s="9">
        <f xml:space="preserve"> N15</f>
        <v>3072341.6400070051</v>
      </c>
      <c r="E20" s="34">
        <f t="shared" si="2"/>
        <v>7891188.1600164976</v>
      </c>
      <c r="F20" s="9">
        <f t="shared" si="3"/>
        <v>26928404.159736093</v>
      </c>
      <c r="G20" s="8">
        <v>1.7999999999999999E-2</v>
      </c>
      <c r="H20" s="9">
        <f t="shared" si="5"/>
        <v>27413115.434611343</v>
      </c>
      <c r="I20" s="9"/>
      <c r="J20" s="9">
        <f t="shared" si="4"/>
        <v>30485457.074618347</v>
      </c>
      <c r="K20" s="38">
        <v>0</v>
      </c>
      <c r="L20" s="10"/>
      <c r="M20" s="45"/>
      <c r="S20" s="9"/>
    </row>
    <row r="21" spans="1:19" s="8" customFormat="1" x14ac:dyDescent="0.3">
      <c r="B21" s="80"/>
      <c r="C21" s="8">
        <v>7</v>
      </c>
      <c r="D21" s="9">
        <f xml:space="preserve"> N15</f>
        <v>3072341.6400070051</v>
      </c>
      <c r="E21" s="34">
        <f t="shared" si="2"/>
        <v>8440429.5468967948</v>
      </c>
      <c r="F21" s="9">
        <f t="shared" si="3"/>
        <v>30485457.074618347</v>
      </c>
      <c r="G21" s="8">
        <v>1.7999999999999999E-2</v>
      </c>
      <c r="H21" s="9">
        <f t="shared" si="5"/>
        <v>31034195.301961478</v>
      </c>
      <c r="I21" s="9"/>
      <c r="J21" s="9">
        <f t="shared" si="4"/>
        <v>34106536.941968486</v>
      </c>
      <c r="K21" s="38">
        <v>0</v>
      </c>
      <c r="L21" s="10"/>
      <c r="M21" s="45"/>
      <c r="S21" s="9"/>
    </row>
    <row r="22" spans="1:19" s="8" customFormat="1" x14ac:dyDescent="0.3">
      <c r="B22" s="80"/>
      <c r="C22" s="8">
        <v>8</v>
      </c>
      <c r="D22" s="9">
        <f xml:space="preserve"> N15</f>
        <v>3072341.6400070051</v>
      </c>
      <c r="E22" s="34">
        <f t="shared" si="2"/>
        <v>8999557.2787409369</v>
      </c>
      <c r="F22" s="9">
        <f t="shared" si="3"/>
        <v>34106536.941968486</v>
      </c>
      <c r="G22" s="8">
        <v>1.7999999999999999E-2</v>
      </c>
      <c r="H22" s="9">
        <f t="shared" si="5"/>
        <v>34720454.606923915</v>
      </c>
      <c r="I22" s="9"/>
      <c r="J22" s="9">
        <f t="shared" si="4"/>
        <v>37792796.24693092</v>
      </c>
      <c r="K22" s="38">
        <v>0</v>
      </c>
      <c r="L22" s="10"/>
      <c r="M22" s="45"/>
      <c r="S22" s="9"/>
    </row>
    <row r="23" spans="1:19" s="8" customFormat="1" x14ac:dyDescent="0.3">
      <c r="B23" s="80"/>
      <c r="C23" s="8">
        <v>9</v>
      </c>
      <c r="D23" s="9">
        <f xml:space="preserve"> N15</f>
        <v>3072341.6400070051</v>
      </c>
      <c r="E23" s="34">
        <f t="shared" si="2"/>
        <v>9568749.3097582739</v>
      </c>
      <c r="F23" s="9">
        <f t="shared" si="3"/>
        <v>37792796.24693092</v>
      </c>
      <c r="G23" s="8">
        <v>1.7999999999999999E-2</v>
      </c>
      <c r="H23" s="9">
        <f t="shared" si="5"/>
        <v>38473066.579375677</v>
      </c>
      <c r="I23" s="9"/>
      <c r="J23" s="9">
        <f t="shared" si="4"/>
        <v>41545408.219382681</v>
      </c>
      <c r="K23" s="38">
        <v>0</v>
      </c>
      <c r="L23" s="10"/>
      <c r="M23" s="45"/>
      <c r="S23" s="9"/>
    </row>
    <row r="24" spans="1:19" s="8" customFormat="1" x14ac:dyDescent="0.3">
      <c r="B24" s="80"/>
      <c r="C24" s="8">
        <v>10</v>
      </c>
      <c r="D24" s="9">
        <f xml:space="preserve"> N15</f>
        <v>3072341.6400070051</v>
      </c>
      <c r="E24" s="34">
        <f t="shared" si="2"/>
        <v>10148186.797333922</v>
      </c>
      <c r="F24" s="9">
        <f t="shared" si="3"/>
        <v>41545408.219382681</v>
      </c>
      <c r="G24" s="8">
        <v>1.7999999999999999E-2</v>
      </c>
      <c r="H24" s="9">
        <f t="shared" si="5"/>
        <v>42293225.567331567</v>
      </c>
      <c r="I24" s="9"/>
      <c r="J24" s="9">
        <f t="shared" si="4"/>
        <v>45365567.207338572</v>
      </c>
      <c r="K24" s="38">
        <v>0</v>
      </c>
      <c r="L24" s="10"/>
      <c r="M24" s="45"/>
      <c r="S24" s="9"/>
    </row>
    <row r="25" spans="1:19" s="8" customFormat="1" x14ac:dyDescent="0.3">
      <c r="B25" s="80"/>
      <c r="C25" s="8">
        <v>11</v>
      </c>
      <c r="D25" s="9">
        <f xml:space="preserve"> N15</f>
        <v>3072341.6400070051</v>
      </c>
      <c r="E25" s="34">
        <f t="shared" si="2"/>
        <v>10738054.159685932</v>
      </c>
      <c r="F25" s="9">
        <f t="shared" si="3"/>
        <v>45365567.207338572</v>
      </c>
      <c r="G25" s="8">
        <v>1.7999999999999999E-2</v>
      </c>
      <c r="H25" s="9">
        <f t="shared" si="5"/>
        <v>46182147.417070664</v>
      </c>
      <c r="I25" s="9"/>
      <c r="J25" s="9">
        <f t="shared" si="4"/>
        <v>49254489.057077669</v>
      </c>
      <c r="K25" s="38">
        <v>0</v>
      </c>
      <c r="L25" s="10"/>
      <c r="M25" s="45"/>
      <c r="S25" s="9"/>
    </row>
    <row r="26" spans="1:19" s="17" customFormat="1" x14ac:dyDescent="0.3">
      <c r="B26" s="80"/>
      <c r="C26" s="17">
        <v>12</v>
      </c>
      <c r="D26" s="18">
        <f xml:space="preserve"> N15</f>
        <v>3072341.6400070051</v>
      </c>
      <c r="E26" s="18">
        <f t="shared" si="2"/>
        <v>11338539.13456028</v>
      </c>
      <c r="F26" s="18">
        <f t="shared" si="3"/>
        <v>49254489.057077669</v>
      </c>
      <c r="G26" s="17">
        <v>1.7999999999999999E-2</v>
      </c>
      <c r="H26" s="18">
        <f t="shared" si="5"/>
        <v>50141069.860105067</v>
      </c>
      <c r="I26" s="18">
        <f xml:space="preserve"> H26</f>
        <v>50141069.860105067</v>
      </c>
      <c r="J26" s="9">
        <f t="shared" si="4"/>
        <v>53213411.500112072</v>
      </c>
      <c r="K26" s="40">
        <v>0</v>
      </c>
      <c r="L26" s="19">
        <f xml:space="preserve"> I26 / 2</f>
        <v>25070534.930052534</v>
      </c>
      <c r="M26" s="47">
        <f xml:space="preserve"> (F15 + SUM(D16:D26)) - SUM(K15:K26)</f>
        <v>43869556.073277846</v>
      </c>
      <c r="N26" s="18">
        <f xml:space="preserve"> H26 - M26</f>
        <v>6271513.7868272215</v>
      </c>
      <c r="O26" s="17">
        <v>0.84</v>
      </c>
      <c r="P26" s="18">
        <f xml:space="preserve"> N26 * O26</f>
        <v>5268071.5809348663</v>
      </c>
      <c r="Q26" s="18">
        <f xml:space="preserve"> N26 - P26</f>
        <v>1003442.2058923552</v>
      </c>
      <c r="R26" s="17">
        <f xml:space="preserve"> N26 / M26 * 100</f>
        <v>14.295822315483548</v>
      </c>
      <c r="S26" s="18"/>
    </row>
    <row r="27" spans="1:19" s="8" customFormat="1" x14ac:dyDescent="0.3">
      <c r="A27" s="8">
        <v>3</v>
      </c>
      <c r="B27" s="80">
        <v>2024</v>
      </c>
      <c r="C27" s="8">
        <v>1</v>
      </c>
      <c r="D27" s="9">
        <f>N27</f>
        <v>4589211.2441710448</v>
      </c>
      <c r="E27" s="34">
        <f t="shared" si="2"/>
        <v>11949832.838982364</v>
      </c>
      <c r="F27" s="11">
        <f xml:space="preserve"> (I26 / 2) + D27 - K27</f>
        <v>29659746.174223579</v>
      </c>
      <c r="G27" s="8">
        <v>1.7999999999999999E-2</v>
      </c>
      <c r="H27" s="9">
        <f xml:space="preserve"> (F27 * G27) + F27</f>
        <v>30193621.605359603</v>
      </c>
      <c r="I27" s="9"/>
      <c r="J27" s="9">
        <f t="shared" si="4"/>
        <v>34782832.849530645</v>
      </c>
      <c r="K27" s="38">
        <v>0</v>
      </c>
      <c r="L27" s="10"/>
      <c r="M27" s="45"/>
      <c r="N27" s="11">
        <f xml:space="preserve"> (L26 / 12) +2500000</f>
        <v>4589211.2441710448</v>
      </c>
      <c r="P27" s="9">
        <f xml:space="preserve"> (H26 / 2 )</f>
        <v>25070534.930052534</v>
      </c>
      <c r="S27" s="9"/>
    </row>
    <row r="28" spans="1:19" s="72" customFormat="1" x14ac:dyDescent="0.3">
      <c r="B28" s="80"/>
      <c r="C28" s="72">
        <v>2</v>
      </c>
      <c r="D28" s="73">
        <f>N27</f>
        <v>4589211.2441710448</v>
      </c>
      <c r="E28" s="73">
        <f t="shared" si="2"/>
        <v>12572129.830084046</v>
      </c>
      <c r="F28" s="73">
        <f t="shared" ref="F28:F38" si="6" xml:space="preserve"> H27 + D28 - K28</f>
        <v>34782832.849530645</v>
      </c>
      <c r="G28" s="72">
        <v>1.7999999999999999E-2</v>
      </c>
      <c r="H28" s="73">
        <f xml:space="preserve"> (F28 * G28) + F28</f>
        <v>35408923.840822197</v>
      </c>
      <c r="I28" s="73"/>
      <c r="J28" s="73">
        <f t="shared" si="4"/>
        <v>39998135.084993243</v>
      </c>
      <c r="K28" s="74">
        <v>0</v>
      </c>
      <c r="L28" s="75"/>
      <c r="M28" s="76"/>
      <c r="S28" s="73"/>
    </row>
    <row r="29" spans="1:19" s="8" customFormat="1" x14ac:dyDescent="0.3">
      <c r="B29" s="80"/>
      <c r="C29" s="8">
        <v>3</v>
      </c>
      <c r="D29" s="9">
        <f>N27</f>
        <v>4589211.2441710448</v>
      </c>
      <c r="E29" s="34">
        <f t="shared" si="2"/>
        <v>13205628.167025559</v>
      </c>
      <c r="F29" s="9">
        <f t="shared" si="6"/>
        <v>39998135.084993243</v>
      </c>
      <c r="G29" s="8">
        <v>1.7999999999999999E-2</v>
      </c>
      <c r="H29" s="9">
        <f xml:space="preserve"> (F29 * G29) + F29</f>
        <v>40718101.516523123</v>
      </c>
      <c r="I29" s="9"/>
      <c r="J29" s="9">
        <f t="shared" si="4"/>
        <v>45307312.760694169</v>
      </c>
      <c r="K29" s="38">
        <v>0</v>
      </c>
      <c r="L29" s="10"/>
      <c r="M29" s="45"/>
      <c r="S29" s="9"/>
    </row>
    <row r="30" spans="1:19" s="8" customFormat="1" x14ac:dyDescent="0.3">
      <c r="B30" s="80"/>
      <c r="C30" s="8">
        <v>4</v>
      </c>
      <c r="D30" s="9">
        <f>N27</f>
        <v>4589211.2441710448</v>
      </c>
      <c r="E30" s="34">
        <f t="shared" si="2"/>
        <v>13850529.474032018</v>
      </c>
      <c r="F30" s="9">
        <f t="shared" si="6"/>
        <v>45307312.760694169</v>
      </c>
      <c r="G30" s="8">
        <v>1.7999999999999999E-2</v>
      </c>
      <c r="H30" s="9">
        <f t="shared" ref="H30:H93" si="7" xml:space="preserve"> (F30 * G30) + F30</f>
        <v>46122844.390386663</v>
      </c>
      <c r="I30" s="9"/>
      <c r="J30" s="9">
        <f t="shared" si="4"/>
        <v>50712055.634557709</v>
      </c>
      <c r="K30" s="38">
        <v>0</v>
      </c>
      <c r="L30" s="10"/>
      <c r="M30" s="45"/>
      <c r="S30" s="9"/>
    </row>
    <row r="31" spans="1:19" s="8" customFormat="1" x14ac:dyDescent="0.3">
      <c r="B31" s="80"/>
      <c r="C31" s="8">
        <v>5</v>
      </c>
      <c r="D31" s="9">
        <f>N27</f>
        <v>4589211.2441710448</v>
      </c>
      <c r="E31" s="34">
        <f t="shared" si="2"/>
        <v>14507039.004564594</v>
      </c>
      <c r="F31" s="9">
        <f t="shared" si="6"/>
        <v>49708613.428665355</v>
      </c>
      <c r="G31" s="8">
        <v>1.7999999999999999E-2</v>
      </c>
      <c r="H31" s="9">
        <f t="shared" si="7"/>
        <v>50603368.470381334</v>
      </c>
      <c r="I31" s="9"/>
      <c r="J31" s="9">
        <f t="shared" si="4"/>
        <v>55192579.71455238</v>
      </c>
      <c r="K31" s="38">
        <f xml:space="preserve"> Q26</f>
        <v>1003442.2058923552</v>
      </c>
      <c r="L31" s="10"/>
      <c r="M31" s="45"/>
      <c r="S31" s="9"/>
    </row>
    <row r="32" spans="1:19" s="8" customFormat="1" x14ac:dyDescent="0.3">
      <c r="B32" s="80"/>
      <c r="C32" s="8">
        <v>6</v>
      </c>
      <c r="D32" s="9">
        <f>N27</f>
        <v>4589211.2441710448</v>
      </c>
      <c r="E32" s="34">
        <f t="shared" si="2"/>
        <v>15175365.706646757</v>
      </c>
      <c r="F32" s="9">
        <f t="shared" si="6"/>
        <v>55192579.71455238</v>
      </c>
      <c r="G32" s="8">
        <v>1.7999999999999999E-2</v>
      </c>
      <c r="H32" s="9">
        <f t="shared" si="7"/>
        <v>56186046.149414323</v>
      </c>
      <c r="I32" s="9"/>
      <c r="J32" s="9">
        <f t="shared" si="4"/>
        <v>60775257.393585369</v>
      </c>
      <c r="K32" s="38">
        <v>0</v>
      </c>
      <c r="L32" s="10"/>
      <c r="M32" s="45"/>
      <c r="S32" s="9"/>
    </row>
    <row r="33" spans="1:19" s="8" customFormat="1" x14ac:dyDescent="0.3">
      <c r="B33" s="80"/>
      <c r="C33" s="8">
        <v>7</v>
      </c>
      <c r="D33" s="9">
        <f>N27</f>
        <v>4589211.2441710448</v>
      </c>
      <c r="E33" s="34">
        <f t="shared" si="2"/>
        <v>15855722.289366398</v>
      </c>
      <c r="F33" s="9">
        <f t="shared" si="6"/>
        <v>60775257.393585369</v>
      </c>
      <c r="G33" s="8">
        <v>1.7999999999999999E-2</v>
      </c>
      <c r="H33" s="9">
        <f t="shared" si="7"/>
        <v>61869212.026669905</v>
      </c>
      <c r="I33" s="9"/>
      <c r="J33" s="9">
        <f t="shared" si="4"/>
        <v>66458423.27084095</v>
      </c>
      <c r="K33" s="38">
        <v>0</v>
      </c>
      <c r="L33" s="10"/>
      <c r="M33" s="45"/>
      <c r="S33" s="9"/>
    </row>
    <row r="34" spans="1:19" s="8" customFormat="1" x14ac:dyDescent="0.3">
      <c r="B34" s="80"/>
      <c r="C34" s="8">
        <v>8</v>
      </c>
      <c r="D34" s="9">
        <f>N27</f>
        <v>4589211.2441710448</v>
      </c>
      <c r="E34" s="34">
        <f t="shared" si="2"/>
        <v>16548325.290574994</v>
      </c>
      <c r="F34" s="9">
        <f t="shared" si="6"/>
        <v>66458423.27084095</v>
      </c>
      <c r="G34" s="8">
        <v>1.7999999999999999E-2</v>
      </c>
      <c r="H34" s="9">
        <f t="shared" si="7"/>
        <v>67654674.889716089</v>
      </c>
      <c r="I34" s="9"/>
      <c r="J34" s="9">
        <f t="shared" si="4"/>
        <v>72243886.133887127</v>
      </c>
      <c r="K34" s="38">
        <v>0</v>
      </c>
      <c r="L34" s="10"/>
      <c r="M34" s="45"/>
      <c r="S34" s="9"/>
    </row>
    <row r="35" spans="1:19" s="8" customFormat="1" x14ac:dyDescent="0.3">
      <c r="B35" s="80"/>
      <c r="C35" s="8">
        <v>9</v>
      </c>
      <c r="D35" s="9">
        <f>N27</f>
        <v>4589211.2441710448</v>
      </c>
      <c r="E35" s="34">
        <f t="shared" si="2"/>
        <v>17253395.145805344</v>
      </c>
      <c r="F35" s="9">
        <f t="shared" si="6"/>
        <v>72243886.133887127</v>
      </c>
      <c r="G35" s="8">
        <v>1.7999999999999999E-2</v>
      </c>
      <c r="H35" s="9">
        <f t="shared" si="7"/>
        <v>73544276.084297091</v>
      </c>
      <c r="I35" s="9"/>
      <c r="J35" s="9">
        <f t="shared" si="4"/>
        <v>78133487.328468129</v>
      </c>
      <c r="K35" s="38">
        <v>0</v>
      </c>
      <c r="L35" s="10"/>
      <c r="M35" s="45"/>
      <c r="S35" s="9"/>
    </row>
    <row r="36" spans="1:19" s="8" customFormat="1" x14ac:dyDescent="0.3">
      <c r="B36" s="80"/>
      <c r="C36" s="8">
        <v>10</v>
      </c>
      <c r="D36" s="9">
        <f>N27</f>
        <v>4589211.2441710448</v>
      </c>
      <c r="E36" s="34">
        <f t="shared" si="2"/>
        <v>17971156.25842984</v>
      </c>
      <c r="F36" s="9">
        <f t="shared" si="6"/>
        <v>78133487.328468129</v>
      </c>
      <c r="G36" s="8">
        <v>1.7999999999999999E-2</v>
      </c>
      <c r="H36" s="9">
        <f t="shared" si="7"/>
        <v>79539890.100380555</v>
      </c>
      <c r="I36" s="9"/>
      <c r="J36" s="9">
        <f t="shared" si="4"/>
        <v>84129101.344551593</v>
      </c>
      <c r="K36" s="38">
        <v>0</v>
      </c>
      <c r="L36" s="10"/>
      <c r="M36" s="45"/>
      <c r="S36" s="9"/>
    </row>
    <row r="37" spans="1:19" s="8" customFormat="1" x14ac:dyDescent="0.3">
      <c r="B37" s="80"/>
      <c r="C37" s="8">
        <v>11</v>
      </c>
      <c r="D37" s="9">
        <f>N27</f>
        <v>4589211.2441710448</v>
      </c>
      <c r="E37" s="34">
        <f t="shared" si="2"/>
        <v>18701837.071081579</v>
      </c>
      <c r="F37" s="9">
        <f t="shared" si="6"/>
        <v>84129101.344551593</v>
      </c>
      <c r="G37" s="8">
        <v>1.7999999999999999E-2</v>
      </c>
      <c r="H37" s="9">
        <f t="shared" si="7"/>
        <v>85643425.16875352</v>
      </c>
      <c r="I37" s="9"/>
      <c r="J37" s="9">
        <f t="shared" si="4"/>
        <v>90232636.412924558</v>
      </c>
      <c r="K37" s="38">
        <v>0</v>
      </c>
      <c r="L37" s="10"/>
      <c r="M37" s="45"/>
      <c r="S37" s="9"/>
    </row>
    <row r="38" spans="1:19" s="17" customFormat="1" x14ac:dyDescent="0.3">
      <c r="B38" s="80"/>
      <c r="C38" s="17">
        <v>12</v>
      </c>
      <c r="D38" s="18">
        <f>N27</f>
        <v>4589211.2441710448</v>
      </c>
      <c r="E38" s="18">
        <f t="shared" si="2"/>
        <v>19445670.138361048</v>
      </c>
      <c r="F38" s="18">
        <f t="shared" si="6"/>
        <v>90232636.412924558</v>
      </c>
      <c r="G38" s="17">
        <v>1.7999999999999999E-2</v>
      </c>
      <c r="H38" s="18">
        <f t="shared" si="7"/>
        <v>91856823.868357196</v>
      </c>
      <c r="I38" s="18">
        <f xml:space="preserve"> H38</f>
        <v>91856823.868357196</v>
      </c>
      <c r="J38" s="9">
        <f t="shared" si="4"/>
        <v>96446035.112528235</v>
      </c>
      <c r="K38" s="40">
        <v>0</v>
      </c>
      <c r="L38" s="19">
        <f xml:space="preserve"> I38 / 2</f>
        <v>45928411.934178598</v>
      </c>
      <c r="M38" s="47">
        <f xml:space="preserve"> (F27 + SUM(D28:D38)) - SUM(K27:K38)</f>
        <v>79137627.654212713</v>
      </c>
      <c r="N38" s="18">
        <f xml:space="preserve"> H38 - M38</f>
        <v>12719196.214144483</v>
      </c>
      <c r="O38" s="17">
        <v>0.84</v>
      </c>
      <c r="P38" s="18">
        <f xml:space="preserve"> N38 * O38</f>
        <v>10684124.819881365</v>
      </c>
      <c r="Q38" s="18">
        <f xml:space="preserve"> N38 - P38</f>
        <v>2035071.3942631185</v>
      </c>
      <c r="R38" s="17">
        <f xml:space="preserve"> N38 / M38 * 100</f>
        <v>16.072248551245778</v>
      </c>
      <c r="S38" s="18"/>
    </row>
    <row r="39" spans="1:19" s="8" customFormat="1" x14ac:dyDescent="0.3">
      <c r="A39" s="8">
        <v>4</v>
      </c>
      <c r="B39" s="80">
        <v>2025</v>
      </c>
      <c r="C39" s="8">
        <v>1</v>
      </c>
      <c r="D39" s="9">
        <f>N39</f>
        <v>6327367.6611815505</v>
      </c>
      <c r="E39" s="34">
        <f t="shared" si="2"/>
        <v>20202892.200851548</v>
      </c>
      <c r="F39" s="9">
        <f xml:space="preserve"> (H38 / 2) + D39 - K39</f>
        <v>52255779.595360145</v>
      </c>
      <c r="G39" s="8">
        <v>1.7999999999999999E-2</v>
      </c>
      <c r="H39" s="9">
        <f t="shared" si="7"/>
        <v>53196383.628076628</v>
      </c>
      <c r="I39" s="9"/>
      <c r="J39" s="9">
        <f t="shared" si="4"/>
        <v>59523751.289258182</v>
      </c>
      <c r="K39" s="38">
        <v>0</v>
      </c>
      <c r="L39" s="10"/>
      <c r="M39" s="45"/>
      <c r="N39" s="11">
        <f xml:space="preserve"> (L38 / 12) +2500000</f>
        <v>6327367.6611815505</v>
      </c>
      <c r="P39" s="9">
        <f xml:space="preserve"> (H38 / 2 )</f>
        <v>45928411.934178598</v>
      </c>
      <c r="S39" s="9"/>
    </row>
    <row r="40" spans="1:19" s="8" customFormat="1" x14ac:dyDescent="0.3">
      <c r="B40" s="80"/>
      <c r="C40" s="8">
        <v>2</v>
      </c>
      <c r="D40" s="9">
        <f>N39</f>
        <v>6327367.6611815505</v>
      </c>
      <c r="E40" s="34">
        <f t="shared" si="2"/>
        <v>20973744.260466877</v>
      </c>
      <c r="F40" s="9">
        <f t="shared" ref="F40:F50" si="8" xml:space="preserve"> H39 + D40 - K40</f>
        <v>59523751.289258182</v>
      </c>
      <c r="G40" s="8">
        <v>1.7999999999999999E-2</v>
      </c>
      <c r="H40" s="9">
        <f t="shared" si="7"/>
        <v>60595178.812464826</v>
      </c>
      <c r="I40" s="9"/>
      <c r="J40" s="9">
        <f t="shared" si="4"/>
        <v>66922546.473646373</v>
      </c>
      <c r="K40" s="38">
        <v>0</v>
      </c>
      <c r="L40" s="10"/>
      <c r="M40" s="45"/>
      <c r="S40" s="9"/>
    </row>
    <row r="41" spans="1:19" s="8" customFormat="1" x14ac:dyDescent="0.3">
      <c r="B41" s="80"/>
      <c r="C41" s="8">
        <v>3</v>
      </c>
      <c r="D41" s="9">
        <f>N39</f>
        <v>6327367.6611815505</v>
      </c>
      <c r="E41" s="34">
        <f t="shared" si="2"/>
        <v>21758471.657155283</v>
      </c>
      <c r="F41" s="9">
        <f t="shared" si="8"/>
        <v>66922546.473646373</v>
      </c>
      <c r="G41" s="8">
        <v>1.7999999999999999E-2</v>
      </c>
      <c r="H41" s="9">
        <f t="shared" si="7"/>
        <v>68127152.310172006</v>
      </c>
      <c r="I41" s="9"/>
      <c r="J41" s="9">
        <f t="shared" si="4"/>
        <v>74454519.971353561</v>
      </c>
      <c r="K41" s="38">
        <v>0</v>
      </c>
      <c r="L41" s="10"/>
      <c r="M41" s="45"/>
      <c r="S41" s="9"/>
    </row>
    <row r="42" spans="1:19" s="8" customFormat="1" x14ac:dyDescent="0.3">
      <c r="B42" s="80"/>
      <c r="C42" s="8">
        <v>4</v>
      </c>
      <c r="D42" s="9">
        <f>N39</f>
        <v>6327367.6611815505</v>
      </c>
      <c r="E42" s="34">
        <f t="shared" si="2"/>
        <v>22557324.146984078</v>
      </c>
      <c r="F42" s="9">
        <f t="shared" si="8"/>
        <v>74454519.971353561</v>
      </c>
      <c r="G42" s="8">
        <v>1.7999999999999999E-2</v>
      </c>
      <c r="H42" s="9">
        <f t="shared" si="7"/>
        <v>75794701.33083792</v>
      </c>
      <c r="I42" s="9"/>
      <c r="J42" s="9">
        <f t="shared" si="4"/>
        <v>82122068.992019475</v>
      </c>
      <c r="K42" s="38">
        <v>0</v>
      </c>
      <c r="L42" s="10"/>
      <c r="M42" s="45"/>
      <c r="S42" s="9"/>
    </row>
    <row r="43" spans="1:19" s="8" customFormat="1" x14ac:dyDescent="0.3">
      <c r="B43" s="80"/>
      <c r="C43" s="8">
        <v>5</v>
      </c>
      <c r="D43" s="9">
        <f>N39</f>
        <v>6327367.6611815505</v>
      </c>
      <c r="E43" s="34">
        <f t="shared" si="2"/>
        <v>23370555.981629793</v>
      </c>
      <c r="F43" s="9">
        <f t="shared" si="8"/>
        <v>80086997.597756356</v>
      </c>
      <c r="G43" s="8">
        <v>1.7999999999999999E-2</v>
      </c>
      <c r="H43" s="9">
        <f t="shared" si="7"/>
        <v>81528563.554515973</v>
      </c>
      <c r="I43" s="9"/>
      <c r="J43" s="9">
        <f t="shared" si="4"/>
        <v>87855931.215697527</v>
      </c>
      <c r="K43" s="38">
        <f xml:space="preserve"> Q38</f>
        <v>2035071.3942631185</v>
      </c>
      <c r="L43" s="10"/>
      <c r="M43" s="45"/>
      <c r="S43" s="9"/>
    </row>
    <row r="44" spans="1:19" s="8" customFormat="1" x14ac:dyDescent="0.3">
      <c r="B44" s="80"/>
      <c r="C44" s="8">
        <v>6</v>
      </c>
      <c r="D44" s="9">
        <f>N39</f>
        <v>6327367.6611815505</v>
      </c>
      <c r="E44" s="34">
        <f t="shared" si="2"/>
        <v>24198425.98929913</v>
      </c>
      <c r="F44" s="9">
        <f t="shared" si="8"/>
        <v>87855931.215697527</v>
      </c>
      <c r="G44" s="8">
        <v>1.7999999999999999E-2</v>
      </c>
      <c r="H44" s="9">
        <f t="shared" si="7"/>
        <v>89437337.977580085</v>
      </c>
      <c r="I44" s="9"/>
      <c r="J44" s="9">
        <f t="shared" si="4"/>
        <v>95764705.63876164</v>
      </c>
      <c r="K44" s="38">
        <v>0</v>
      </c>
      <c r="L44" s="10"/>
      <c r="M44" s="45"/>
      <c r="S44" s="9"/>
    </row>
    <row r="45" spans="1:19" s="8" customFormat="1" x14ac:dyDescent="0.3">
      <c r="B45" s="80"/>
      <c r="C45" s="8">
        <v>7</v>
      </c>
      <c r="D45" s="9">
        <f>N39</f>
        <v>6327367.6611815505</v>
      </c>
      <c r="E45" s="34">
        <f t="shared" si="2"/>
        <v>25041197.657106515</v>
      </c>
      <c r="F45" s="9">
        <f t="shared" si="8"/>
        <v>95764705.63876164</v>
      </c>
      <c r="G45" s="8">
        <v>1.7999999999999999E-2</v>
      </c>
      <c r="H45" s="9">
        <f t="shared" si="7"/>
        <v>97488470.340259343</v>
      </c>
      <c r="I45" s="9"/>
      <c r="J45" s="9">
        <f t="shared" si="4"/>
        <v>103815838.0014409</v>
      </c>
      <c r="K45" s="38">
        <v>0</v>
      </c>
      <c r="L45" s="10"/>
      <c r="M45" s="45"/>
      <c r="S45" s="9"/>
    </row>
    <row r="46" spans="1:19" s="8" customFormat="1" x14ac:dyDescent="0.3">
      <c r="B46" s="80"/>
      <c r="C46" s="8">
        <v>8</v>
      </c>
      <c r="D46" s="9">
        <f>N39</f>
        <v>6327367.6611815505</v>
      </c>
      <c r="E46" s="34">
        <f t="shared" si="2"/>
        <v>25899139.214934431</v>
      </c>
      <c r="F46" s="9">
        <f t="shared" si="8"/>
        <v>103815838.0014409</v>
      </c>
      <c r="G46" s="8">
        <v>1.7999999999999999E-2</v>
      </c>
      <c r="H46" s="9">
        <f t="shared" si="7"/>
        <v>105684523.08546683</v>
      </c>
      <c r="I46" s="9"/>
      <c r="J46" s="9">
        <f t="shared" si="4"/>
        <v>112011890.74664839</v>
      </c>
      <c r="K46" s="38">
        <v>0</v>
      </c>
      <c r="L46" s="10"/>
      <c r="M46" s="45"/>
      <c r="S46" s="9"/>
    </row>
    <row r="47" spans="1:19" s="8" customFormat="1" x14ac:dyDescent="0.3">
      <c r="B47" s="80"/>
      <c r="C47" s="8">
        <v>9</v>
      </c>
      <c r="D47" s="9">
        <f>N39</f>
        <v>6327367.6611815505</v>
      </c>
      <c r="E47" s="34">
        <f t="shared" si="2"/>
        <v>26772523.72080325</v>
      </c>
      <c r="F47" s="9">
        <f t="shared" si="8"/>
        <v>112011890.74664839</v>
      </c>
      <c r="G47" s="8">
        <v>1.7999999999999999E-2</v>
      </c>
      <c r="H47" s="9">
        <f t="shared" si="7"/>
        <v>114028104.78008805</v>
      </c>
      <c r="I47" s="9"/>
      <c r="J47" s="9">
        <f t="shared" si="4"/>
        <v>120355472.44126961</v>
      </c>
      <c r="K47" s="38">
        <v>0</v>
      </c>
      <c r="L47" s="10"/>
      <c r="M47" s="45"/>
      <c r="S47" s="9"/>
    </row>
    <row r="48" spans="1:19" s="8" customFormat="1" x14ac:dyDescent="0.3">
      <c r="B48" s="80"/>
      <c r="C48" s="8">
        <v>10</v>
      </c>
      <c r="D48" s="9">
        <f>N39</f>
        <v>6327367.6611815505</v>
      </c>
      <c r="E48" s="34">
        <f t="shared" si="2"/>
        <v>27661629.147777706</v>
      </c>
      <c r="F48" s="9">
        <f t="shared" si="8"/>
        <v>120355472.44126961</v>
      </c>
      <c r="G48" s="8">
        <v>1.7999999999999999E-2</v>
      </c>
      <c r="H48" s="9">
        <f t="shared" si="7"/>
        <v>122521870.94521245</v>
      </c>
      <c r="I48" s="9"/>
      <c r="J48" s="9">
        <f t="shared" si="4"/>
        <v>128849238.60639401</v>
      </c>
      <c r="K48" s="38">
        <v>0</v>
      </c>
      <c r="L48" s="10"/>
      <c r="M48" s="45"/>
      <c r="S48" s="9"/>
    </row>
    <row r="49" spans="1:19" s="8" customFormat="1" x14ac:dyDescent="0.3">
      <c r="B49" s="80"/>
      <c r="C49" s="8">
        <v>11</v>
      </c>
      <c r="D49" s="9">
        <f>N39</f>
        <v>6327367.6611815505</v>
      </c>
      <c r="E49" s="34">
        <f t="shared" si="2"/>
        <v>28566738.472437706</v>
      </c>
      <c r="F49" s="9">
        <f t="shared" si="8"/>
        <v>128849238.60639401</v>
      </c>
      <c r="G49" s="8">
        <v>1.7999999999999999E-2</v>
      </c>
      <c r="H49" s="9">
        <f t="shared" si="7"/>
        <v>131168524.9013091</v>
      </c>
      <c r="I49" s="9"/>
      <c r="J49" s="9">
        <f t="shared" si="4"/>
        <v>137495892.56249064</v>
      </c>
      <c r="K49" s="38">
        <v>0</v>
      </c>
      <c r="L49" s="10"/>
      <c r="M49" s="45"/>
      <c r="S49" s="9"/>
    </row>
    <row r="50" spans="1:19" s="17" customFormat="1" x14ac:dyDescent="0.3">
      <c r="B50" s="80"/>
      <c r="C50" s="17">
        <v>12</v>
      </c>
      <c r="D50" s="18">
        <f>N39</f>
        <v>6327367.6611815505</v>
      </c>
      <c r="E50" s="18">
        <f t="shared" si="2"/>
        <v>29488139.764941584</v>
      </c>
      <c r="F50" s="18">
        <f t="shared" si="8"/>
        <v>137495892.56249064</v>
      </c>
      <c r="G50" s="17">
        <v>1.7999999999999999E-2</v>
      </c>
      <c r="H50" s="18">
        <f t="shared" si="7"/>
        <v>139970818.62861547</v>
      </c>
      <c r="I50" s="18">
        <f xml:space="preserve"> H50</f>
        <v>139970818.62861547</v>
      </c>
      <c r="J50" s="9">
        <f t="shared" si="4"/>
        <v>146298186.28979701</v>
      </c>
      <c r="K50" s="40">
        <v>0</v>
      </c>
      <c r="L50" s="19">
        <f xml:space="preserve"> I50 / 2</f>
        <v>69985409.314307734</v>
      </c>
      <c r="M50" s="47">
        <f xml:space="preserve"> (F39 + SUM(D40:D50)) - SUM(K40:K50)</f>
        <v>119821752.47409409</v>
      </c>
      <c r="N50" s="18">
        <f xml:space="preserve"> H50 - M50</f>
        <v>20149066.154521376</v>
      </c>
      <c r="O50" s="17">
        <v>0.84</v>
      </c>
      <c r="P50" s="18">
        <f xml:space="preserve"> N50 * O50</f>
        <v>16925215.569797955</v>
      </c>
      <c r="Q50" s="18">
        <f xml:space="preserve"> N50 - P50</f>
        <v>3223850.5847234204</v>
      </c>
      <c r="R50" s="17">
        <f xml:space="preserve"> N50 / M50 * 100</f>
        <v>16.815866684037758</v>
      </c>
      <c r="S50" s="18"/>
    </row>
    <row r="51" spans="1:19" s="8" customFormat="1" x14ac:dyDescent="0.3">
      <c r="A51" s="8">
        <v>5</v>
      </c>
      <c r="B51" s="80">
        <v>2026</v>
      </c>
      <c r="C51" s="8">
        <v>1</v>
      </c>
      <c r="D51" s="9">
        <f xml:space="preserve"> N51</f>
        <v>8332117.4428589782</v>
      </c>
      <c r="E51" s="34">
        <f t="shared" si="2"/>
        <v>30426126.280710533</v>
      </c>
      <c r="F51" s="9">
        <f xml:space="preserve"> (H50 / 2) + D51 - K51</f>
        <v>78317526.757166713</v>
      </c>
      <c r="G51" s="8">
        <v>1.7999999999999999E-2</v>
      </c>
      <c r="H51" s="9">
        <f t="shared" si="7"/>
        <v>79727242.238795713</v>
      </c>
      <c r="I51" s="9"/>
      <c r="J51" s="9">
        <f t="shared" si="4"/>
        <v>88059359.681654692</v>
      </c>
      <c r="K51" s="38">
        <v>0</v>
      </c>
      <c r="L51" s="10"/>
      <c r="M51" s="45"/>
      <c r="N51" s="11">
        <f xml:space="preserve"> (L50 / 12) +2500000</f>
        <v>8332117.4428589782</v>
      </c>
      <c r="P51" s="9">
        <f xml:space="preserve"> (H50 / 2 )</f>
        <v>69985409.314307734</v>
      </c>
      <c r="S51" s="9"/>
    </row>
    <row r="52" spans="1:19" s="72" customFormat="1" x14ac:dyDescent="0.3">
      <c r="B52" s="80"/>
      <c r="C52" s="72">
        <v>2</v>
      </c>
      <c r="D52" s="73">
        <f xml:space="preserve"> N51</f>
        <v>8332117.4428589782</v>
      </c>
      <c r="E52" s="73">
        <f t="shared" si="2"/>
        <v>31380996.553763323</v>
      </c>
      <c r="F52" s="73">
        <f t="shared" ref="F52:F62" si="9" xml:space="preserve"> H51 + D52 - K52</f>
        <v>88059359.681654692</v>
      </c>
      <c r="G52" s="72">
        <v>1.7999999999999999E-2</v>
      </c>
      <c r="H52" s="73">
        <f t="shared" si="7"/>
        <v>89644428.155924469</v>
      </c>
      <c r="I52" s="73"/>
      <c r="J52" s="73">
        <f t="shared" si="4"/>
        <v>97976545.598783448</v>
      </c>
      <c r="K52" s="74">
        <v>0</v>
      </c>
      <c r="L52" s="75"/>
      <c r="M52" s="76"/>
      <c r="S52" s="73"/>
    </row>
    <row r="53" spans="1:19" s="8" customFormat="1" x14ac:dyDescent="0.3">
      <c r="B53" s="80"/>
      <c r="C53" s="8">
        <v>3</v>
      </c>
      <c r="D53" s="9">
        <f xml:space="preserve"> N51</f>
        <v>8332117.4428589782</v>
      </c>
      <c r="E53" s="34">
        <f t="shared" si="2"/>
        <v>32353054.491731063</v>
      </c>
      <c r="F53" s="9">
        <f t="shared" si="9"/>
        <v>97976545.598783448</v>
      </c>
      <c r="G53" s="8">
        <v>1.7999999999999999E-2</v>
      </c>
      <c r="H53" s="9">
        <f t="shared" si="7"/>
        <v>99740123.41956155</v>
      </c>
      <c r="I53" s="9"/>
      <c r="J53" s="9">
        <f t="shared" si="4"/>
        <v>108072240.86242053</v>
      </c>
      <c r="K53" s="38">
        <v>0</v>
      </c>
      <c r="L53" s="10"/>
      <c r="M53" s="45"/>
      <c r="S53" s="9"/>
    </row>
    <row r="54" spans="1:19" s="8" customFormat="1" x14ac:dyDescent="0.3">
      <c r="B54" s="80"/>
      <c r="C54" s="8">
        <v>4</v>
      </c>
      <c r="D54" s="9">
        <f xml:space="preserve"> N51</f>
        <v>8332117.4428589782</v>
      </c>
      <c r="E54" s="34">
        <f t="shared" si="2"/>
        <v>33342609.472582221</v>
      </c>
      <c r="F54" s="9">
        <f t="shared" si="9"/>
        <v>108072240.86242053</v>
      </c>
      <c r="G54" s="8">
        <v>1.7999999999999999E-2</v>
      </c>
      <c r="H54" s="9">
        <f t="shared" si="7"/>
        <v>110017541.1979441</v>
      </c>
      <c r="I54" s="9"/>
      <c r="J54" s="9">
        <f t="shared" si="4"/>
        <v>118349658.64080308</v>
      </c>
      <c r="K54" s="38">
        <v>0</v>
      </c>
      <c r="L54" s="10"/>
      <c r="M54" s="45"/>
      <c r="S54" s="9"/>
    </row>
    <row r="55" spans="1:19" s="8" customFormat="1" x14ac:dyDescent="0.3">
      <c r="B55" s="80"/>
      <c r="C55" s="8">
        <v>5</v>
      </c>
      <c r="D55" s="9">
        <f xml:space="preserve"> N51</f>
        <v>8332117.4428589782</v>
      </c>
      <c r="E55" s="34">
        <f t="shared" si="2"/>
        <v>34349976.443088703</v>
      </c>
      <c r="F55" s="9">
        <f t="shared" si="9"/>
        <v>115125808.05607966</v>
      </c>
      <c r="G55" s="8">
        <v>1.7999999999999999E-2</v>
      </c>
      <c r="H55" s="9">
        <f t="shared" si="7"/>
        <v>117198072.60108909</v>
      </c>
      <c r="I55" s="9"/>
      <c r="J55" s="9">
        <f t="shared" si="4"/>
        <v>125530190.04394807</v>
      </c>
      <c r="K55" s="38">
        <f xml:space="preserve"> Q50</f>
        <v>3223850.5847234204</v>
      </c>
      <c r="L55" s="10"/>
      <c r="M55" s="45"/>
      <c r="S55" s="9"/>
    </row>
    <row r="56" spans="1:19" s="8" customFormat="1" x14ac:dyDescent="0.3">
      <c r="B56" s="80"/>
      <c r="C56" s="8">
        <v>6</v>
      </c>
      <c r="D56" s="9">
        <f xml:space="preserve"> N51</f>
        <v>8332117.4428589782</v>
      </c>
      <c r="E56" s="34">
        <f t="shared" si="2"/>
        <v>35375476.0190643</v>
      </c>
      <c r="F56" s="9">
        <f t="shared" si="9"/>
        <v>125530190.04394807</v>
      </c>
      <c r="G56" s="8">
        <v>1.7999999999999999E-2</v>
      </c>
      <c r="H56" s="9">
        <f t="shared" si="7"/>
        <v>127789733.46473913</v>
      </c>
      <c r="I56" s="9"/>
      <c r="J56" s="9">
        <f t="shared" si="4"/>
        <v>136121850.90759811</v>
      </c>
      <c r="K56" s="38">
        <v>0</v>
      </c>
      <c r="L56" s="10"/>
      <c r="M56" s="45"/>
      <c r="S56" s="9"/>
    </row>
    <row r="57" spans="1:19" s="8" customFormat="1" x14ac:dyDescent="0.3">
      <c r="B57" s="80"/>
      <c r="C57" s="8">
        <v>7</v>
      </c>
      <c r="D57" s="9">
        <f xml:space="preserve"> N51</f>
        <v>8332117.4428589782</v>
      </c>
      <c r="E57" s="34">
        <f t="shared" si="2"/>
        <v>36419434.587407455</v>
      </c>
      <c r="F57" s="9">
        <f t="shared" si="9"/>
        <v>136121850.90759811</v>
      </c>
      <c r="G57" s="8">
        <v>1.7999999999999999E-2</v>
      </c>
      <c r="H57" s="9">
        <f t="shared" si="7"/>
        <v>138572044.22393489</v>
      </c>
      <c r="I57" s="9"/>
      <c r="J57" s="9">
        <f t="shared" si="4"/>
        <v>146904161.66679385</v>
      </c>
      <c r="K57" s="38">
        <v>0</v>
      </c>
      <c r="L57" s="10"/>
      <c r="M57" s="45"/>
      <c r="S57" s="9"/>
    </row>
    <row r="58" spans="1:19" s="8" customFormat="1" x14ac:dyDescent="0.3">
      <c r="B58" s="80"/>
      <c r="C58" s="8">
        <v>8</v>
      </c>
      <c r="D58" s="9">
        <f xml:space="preserve"> N51</f>
        <v>8332117.4428589782</v>
      </c>
      <c r="E58" s="34">
        <f t="shared" si="2"/>
        <v>37482184.409980789</v>
      </c>
      <c r="F58" s="9">
        <f t="shared" si="9"/>
        <v>146904161.66679385</v>
      </c>
      <c r="G58" s="8">
        <v>1.7999999999999999E-2</v>
      </c>
      <c r="H58" s="9">
        <f t="shared" si="7"/>
        <v>149548436.57679614</v>
      </c>
      <c r="I58" s="9"/>
      <c r="J58" s="9">
        <f t="shared" si="4"/>
        <v>157880554.01965511</v>
      </c>
      <c r="K58" s="38">
        <v>0</v>
      </c>
      <c r="L58" s="10"/>
      <c r="M58" s="45"/>
      <c r="S58" s="9"/>
    </row>
    <row r="59" spans="1:19" s="8" customFormat="1" x14ac:dyDescent="0.3">
      <c r="B59" s="80"/>
      <c r="C59" s="8">
        <v>9</v>
      </c>
      <c r="D59" s="9">
        <f xml:space="preserve"> N51</f>
        <v>8332117.4428589782</v>
      </c>
      <c r="E59" s="34">
        <f t="shared" si="2"/>
        <v>38564063.729360446</v>
      </c>
      <c r="F59" s="9">
        <f t="shared" si="9"/>
        <v>157880554.01965511</v>
      </c>
      <c r="G59" s="8">
        <v>1.7999999999999999E-2</v>
      </c>
      <c r="H59" s="9">
        <f t="shared" si="7"/>
        <v>160722403.99200889</v>
      </c>
      <c r="I59" s="9"/>
      <c r="J59" s="9">
        <f t="shared" si="4"/>
        <v>169054521.43486786</v>
      </c>
      <c r="K59" s="38">
        <v>0</v>
      </c>
      <c r="L59" s="10"/>
      <c r="M59" s="45"/>
      <c r="S59" s="9"/>
    </row>
    <row r="60" spans="1:19" s="8" customFormat="1" x14ac:dyDescent="0.3">
      <c r="B60" s="80"/>
      <c r="C60" s="8">
        <v>10</v>
      </c>
      <c r="D60" s="9">
        <f xml:space="preserve"> N51</f>
        <v>8332117.4428589782</v>
      </c>
      <c r="E60" s="34">
        <f t="shared" si="2"/>
        <v>39665416.876488931</v>
      </c>
      <c r="F60" s="9">
        <f t="shared" si="9"/>
        <v>169054521.43486786</v>
      </c>
      <c r="G60" s="8">
        <v>1.7999999999999999E-2</v>
      </c>
      <c r="H60" s="9">
        <f t="shared" si="7"/>
        <v>172097502.82069549</v>
      </c>
      <c r="I60" s="9"/>
      <c r="J60" s="9">
        <f t="shared" si="4"/>
        <v>180429620.26355445</v>
      </c>
      <c r="K60" s="38">
        <v>0</v>
      </c>
      <c r="L60" s="10"/>
      <c r="M60" s="45"/>
      <c r="S60" s="9"/>
    </row>
    <row r="61" spans="1:19" s="8" customFormat="1" x14ac:dyDescent="0.3">
      <c r="B61" s="80"/>
      <c r="C61" s="8">
        <v>11</v>
      </c>
      <c r="D61" s="9">
        <f xml:space="preserve"> N51</f>
        <v>8332117.4428589782</v>
      </c>
      <c r="E61" s="34">
        <f t="shared" si="2"/>
        <v>40786594.380265735</v>
      </c>
      <c r="F61" s="9">
        <f t="shared" si="9"/>
        <v>180429620.26355445</v>
      </c>
      <c r="G61" s="8">
        <v>1.7999999999999999E-2</v>
      </c>
      <c r="H61" s="9">
        <f t="shared" si="7"/>
        <v>183677353.42829844</v>
      </c>
      <c r="I61" s="9"/>
      <c r="J61" s="9">
        <f t="shared" si="4"/>
        <v>192009470.87115741</v>
      </c>
      <c r="K61" s="38">
        <v>0</v>
      </c>
      <c r="L61" s="10"/>
      <c r="M61" s="45"/>
      <c r="S61" s="9"/>
    </row>
    <row r="62" spans="1:19" s="17" customFormat="1" x14ac:dyDescent="0.3">
      <c r="B62" s="80"/>
      <c r="C62" s="17">
        <v>12</v>
      </c>
      <c r="D62" s="18">
        <f xml:space="preserve"> N51</f>
        <v>8332117.4428589782</v>
      </c>
      <c r="E62" s="18">
        <f t="shared" si="2"/>
        <v>41927953.079110518</v>
      </c>
      <c r="F62" s="18">
        <f t="shared" si="9"/>
        <v>192009470.87115741</v>
      </c>
      <c r="G62" s="17">
        <v>1.7999999999999999E-2</v>
      </c>
      <c r="H62" s="18">
        <f t="shared" si="7"/>
        <v>195465641.34683824</v>
      </c>
      <c r="I62" s="18">
        <f xml:space="preserve"> H62</f>
        <v>195465641.34683824</v>
      </c>
      <c r="J62" s="9">
        <f t="shared" si="4"/>
        <v>203797758.7896972</v>
      </c>
      <c r="K62" s="40">
        <v>0</v>
      </c>
      <c r="L62" s="19">
        <f xml:space="preserve"> I62 / 2</f>
        <v>97732820.673419118</v>
      </c>
      <c r="M62" s="47">
        <f xml:space="preserve"> (F51 + SUM(D52:D62)) - SUM(K52:K62)</f>
        <v>166746968.04389206</v>
      </c>
      <c r="N62" s="18">
        <f xml:space="preserve"> H62 - M62</f>
        <v>28718673.30294618</v>
      </c>
      <c r="O62" s="17">
        <v>0.84</v>
      </c>
      <c r="P62" s="18">
        <f xml:space="preserve"> N62 * O62</f>
        <v>24123685.574474789</v>
      </c>
      <c r="Q62" s="18">
        <f xml:space="preserve"> N62 - P62</f>
        <v>4594987.7284713909</v>
      </c>
      <c r="R62" s="17">
        <f xml:space="preserve"> N62 / M62 * 100</f>
        <v>17.222905843413415</v>
      </c>
      <c r="S62" s="18"/>
    </row>
    <row r="63" spans="1:19" s="8" customFormat="1" x14ac:dyDescent="0.3">
      <c r="A63" s="8">
        <v>6</v>
      </c>
      <c r="B63" s="80">
        <v>2027</v>
      </c>
      <c r="C63" s="8">
        <v>1</v>
      </c>
      <c r="D63" s="9">
        <f>N63</f>
        <v>10644401.722784925</v>
      </c>
      <c r="E63" s="34">
        <f t="shared" si="2"/>
        <v>43089856.234534509</v>
      </c>
      <c r="F63" s="9">
        <f xml:space="preserve"> (H62 / 2) + D63 - K63</f>
        <v>108377222.39620404</v>
      </c>
      <c r="G63" s="8">
        <v>1.7999999999999999E-2</v>
      </c>
      <c r="H63" s="9">
        <f t="shared" si="7"/>
        <v>110328012.39933571</v>
      </c>
      <c r="I63" s="9"/>
      <c r="J63" s="9">
        <f t="shared" si="4"/>
        <v>120972414.12212063</v>
      </c>
      <c r="K63" s="38">
        <v>0</v>
      </c>
      <c r="L63" s="10"/>
      <c r="M63" s="45"/>
      <c r="N63" s="11">
        <f xml:space="preserve"> (L62 / 12) +2500000</f>
        <v>10644401.722784925</v>
      </c>
      <c r="P63" s="9">
        <f xml:space="preserve"> (H62 / 2 )</f>
        <v>97732820.673419118</v>
      </c>
      <c r="S63" s="9"/>
    </row>
    <row r="64" spans="1:19" s="8" customFormat="1" x14ac:dyDescent="0.3">
      <c r="B64" s="80"/>
      <c r="C64" s="8">
        <v>2</v>
      </c>
      <c r="D64" s="9">
        <f>N63</f>
        <v>10644401.722784925</v>
      </c>
      <c r="E64" s="34">
        <f t="shared" si="2"/>
        <v>44272673.646756127</v>
      </c>
      <c r="F64" s="9">
        <f t="shared" ref="F64:F74" si="10" xml:space="preserve"> H63 + D64 - K64</f>
        <v>120972414.12212063</v>
      </c>
      <c r="G64" s="8">
        <v>1.7999999999999999E-2</v>
      </c>
      <c r="H64" s="9">
        <f t="shared" si="7"/>
        <v>123149917.5763188</v>
      </c>
      <c r="I64" s="9"/>
      <c r="J64" s="9">
        <f t="shared" si="4"/>
        <v>133794319.29910372</v>
      </c>
      <c r="K64" s="38">
        <v>0</v>
      </c>
      <c r="L64" s="10"/>
      <c r="M64" s="45"/>
      <c r="S64" s="9"/>
    </row>
    <row r="65" spans="1:19" s="8" customFormat="1" x14ac:dyDescent="0.3">
      <c r="B65" s="80"/>
      <c r="C65" s="8">
        <v>3</v>
      </c>
      <c r="D65" s="9">
        <f>N63</f>
        <v>10644401.722784925</v>
      </c>
      <c r="E65" s="34">
        <f t="shared" si="2"/>
        <v>45476781.772397734</v>
      </c>
      <c r="F65" s="9">
        <f t="shared" si="10"/>
        <v>133794319.29910372</v>
      </c>
      <c r="G65" s="8">
        <v>1.7999999999999999E-2</v>
      </c>
      <c r="H65" s="9">
        <f t="shared" si="7"/>
        <v>136202617.0464876</v>
      </c>
      <c r="I65" s="9"/>
      <c r="J65" s="9">
        <f t="shared" si="4"/>
        <v>146847018.76927254</v>
      </c>
      <c r="K65" s="38">
        <v>0</v>
      </c>
      <c r="L65" s="10"/>
      <c r="M65" s="45"/>
      <c r="S65" s="9"/>
    </row>
    <row r="66" spans="1:19" s="8" customFormat="1" x14ac:dyDescent="0.3">
      <c r="B66" s="80"/>
      <c r="C66" s="8">
        <v>4</v>
      </c>
      <c r="D66" s="9">
        <f>N63</f>
        <v>10644401.722784925</v>
      </c>
      <c r="E66" s="34">
        <f t="shared" si="2"/>
        <v>46702563.844300896</v>
      </c>
      <c r="F66" s="9">
        <f t="shared" si="10"/>
        <v>146847018.76927254</v>
      </c>
      <c r="G66" s="8">
        <v>1.7999999999999999E-2</v>
      </c>
      <c r="H66" s="9">
        <f t="shared" si="7"/>
        <v>149490265.10711944</v>
      </c>
      <c r="I66" s="9"/>
      <c r="J66" s="9">
        <f t="shared" si="4"/>
        <v>160134666.82990438</v>
      </c>
      <c r="K66" s="38">
        <v>0</v>
      </c>
      <c r="L66" s="10"/>
      <c r="M66" s="45"/>
      <c r="S66" s="9"/>
    </row>
    <row r="67" spans="1:19" s="8" customFormat="1" x14ac:dyDescent="0.3">
      <c r="B67" s="80"/>
      <c r="C67" s="8">
        <v>5</v>
      </c>
      <c r="D67" s="9">
        <f>N63</f>
        <v>10644401.722784925</v>
      </c>
      <c r="E67" s="34">
        <f t="shared" si="2"/>
        <v>47950409.99349831</v>
      </c>
      <c r="F67" s="9">
        <f t="shared" si="10"/>
        <v>155539679.10143298</v>
      </c>
      <c r="G67" s="8">
        <v>1.7999999999999999E-2</v>
      </c>
      <c r="H67" s="9">
        <f t="shared" si="7"/>
        <v>158339393.32525876</v>
      </c>
      <c r="I67" s="9"/>
      <c r="J67" s="9">
        <f t="shared" si="4"/>
        <v>168983795.0480437</v>
      </c>
      <c r="K67" s="38">
        <f xml:space="preserve"> Q62</f>
        <v>4594987.7284713909</v>
      </c>
      <c r="L67" s="10"/>
      <c r="M67" s="45"/>
      <c r="S67" s="9"/>
    </row>
    <row r="68" spans="1:19" s="8" customFormat="1" x14ac:dyDescent="0.3">
      <c r="B68" s="80"/>
      <c r="C68" s="8">
        <v>6</v>
      </c>
      <c r="D68" s="9">
        <f>N63</f>
        <v>10644401.722784925</v>
      </c>
      <c r="E68" s="34">
        <f t="shared" si="2"/>
        <v>49220717.373381279</v>
      </c>
      <c r="F68" s="9">
        <f t="shared" si="10"/>
        <v>168983795.0480437</v>
      </c>
      <c r="G68" s="8">
        <v>1.7999999999999999E-2</v>
      </c>
      <c r="H68" s="9">
        <f t="shared" si="7"/>
        <v>172025503.35890847</v>
      </c>
      <c r="I68" s="9"/>
      <c r="J68" s="9">
        <f t="shared" si="4"/>
        <v>182669905.08169341</v>
      </c>
      <c r="K68" s="38">
        <f xml:space="preserve"> Q63</f>
        <v>0</v>
      </c>
      <c r="L68" s="10"/>
      <c r="M68" s="45"/>
      <c r="S68" s="9"/>
    </row>
    <row r="69" spans="1:19" s="8" customFormat="1" x14ac:dyDescent="0.3">
      <c r="B69" s="80"/>
      <c r="C69" s="8">
        <v>7</v>
      </c>
      <c r="D69" s="9">
        <f>N63</f>
        <v>10644401.722784925</v>
      </c>
      <c r="E69" s="34">
        <f t="shared" si="2"/>
        <v>50513890.286102146</v>
      </c>
      <c r="F69" s="9">
        <f t="shared" si="10"/>
        <v>182669905.08169341</v>
      </c>
      <c r="G69" s="8">
        <v>1.7999999999999999E-2</v>
      </c>
      <c r="H69" s="9">
        <f t="shared" si="7"/>
        <v>185957963.37316388</v>
      </c>
      <c r="I69" s="9"/>
      <c r="J69" s="9">
        <f t="shared" si="4"/>
        <v>196602365.09594882</v>
      </c>
      <c r="K69" s="38">
        <v>0</v>
      </c>
      <c r="L69" s="10"/>
      <c r="M69" s="45"/>
      <c r="S69" s="9"/>
    </row>
    <row r="70" spans="1:19" s="8" customFormat="1" x14ac:dyDescent="0.3">
      <c r="B70" s="80"/>
      <c r="C70" s="8">
        <v>8</v>
      </c>
      <c r="D70" s="9">
        <f>N63</f>
        <v>10644401.722784925</v>
      </c>
      <c r="E70" s="34">
        <f t="shared" si="2"/>
        <v>51830340.311251983</v>
      </c>
      <c r="F70" s="9">
        <f t="shared" si="10"/>
        <v>196602365.09594882</v>
      </c>
      <c r="G70" s="8">
        <v>1.7999999999999999E-2</v>
      </c>
      <c r="H70" s="9">
        <f t="shared" si="7"/>
        <v>200141207.66767588</v>
      </c>
      <c r="I70" s="9"/>
      <c r="J70" s="9">
        <f t="shared" si="4"/>
        <v>210785609.39046082</v>
      </c>
      <c r="K70" s="38">
        <v>0</v>
      </c>
      <c r="L70" s="10"/>
      <c r="M70" s="45"/>
      <c r="S70" s="9"/>
    </row>
    <row r="71" spans="1:19" s="8" customFormat="1" x14ac:dyDescent="0.3">
      <c r="B71" s="80"/>
      <c r="C71" s="8">
        <v>9</v>
      </c>
      <c r="D71" s="9">
        <f>N63</f>
        <v>10644401.722784925</v>
      </c>
      <c r="E71" s="34">
        <f t="shared" si="2"/>
        <v>53170486.436854519</v>
      </c>
      <c r="F71" s="9">
        <f t="shared" si="10"/>
        <v>210785609.39046082</v>
      </c>
      <c r="G71" s="8">
        <v>1.7999999999999999E-2</v>
      </c>
      <c r="H71" s="9">
        <f t="shared" si="7"/>
        <v>214579750.35948911</v>
      </c>
      <c r="I71" s="9"/>
      <c r="J71" s="9">
        <f t="shared" si="4"/>
        <v>225224152.08227405</v>
      </c>
      <c r="K71" s="38">
        <v>0</v>
      </c>
      <c r="L71" s="10"/>
      <c r="M71" s="45"/>
      <c r="S71" s="9"/>
    </row>
    <row r="72" spans="1:19" s="8" customFormat="1" x14ac:dyDescent="0.3">
      <c r="B72" s="80"/>
      <c r="C72" s="8">
        <v>10</v>
      </c>
      <c r="D72" s="9">
        <f>N63</f>
        <v>10644401.722784925</v>
      </c>
      <c r="E72" s="34">
        <f t="shared" si="2"/>
        <v>54534755.192717902</v>
      </c>
      <c r="F72" s="9">
        <f t="shared" si="10"/>
        <v>225224152.08227405</v>
      </c>
      <c r="G72" s="8">
        <v>1.7999999999999999E-2</v>
      </c>
      <c r="H72" s="9">
        <f t="shared" si="7"/>
        <v>229278186.81975499</v>
      </c>
      <c r="I72" s="9"/>
      <c r="J72" s="9">
        <f t="shared" si="4"/>
        <v>239922588.54253992</v>
      </c>
      <c r="K72" s="38">
        <v>0</v>
      </c>
      <c r="L72" s="10"/>
      <c r="M72" s="45"/>
      <c r="S72" s="9"/>
    </row>
    <row r="73" spans="1:19" s="8" customFormat="1" x14ac:dyDescent="0.3">
      <c r="B73" s="80"/>
      <c r="C73" s="8">
        <v>11</v>
      </c>
      <c r="D73" s="9">
        <f>N63</f>
        <v>10644401.722784925</v>
      </c>
      <c r="E73" s="34">
        <f t="shared" si="2"/>
        <v>55923580.786186822</v>
      </c>
      <c r="F73" s="9">
        <f t="shared" si="10"/>
        <v>239922588.54253992</v>
      </c>
      <c r="G73" s="8">
        <v>1.7999999999999999E-2</v>
      </c>
      <c r="H73" s="9">
        <f t="shared" si="7"/>
        <v>244241195.13630563</v>
      </c>
      <c r="I73" s="9"/>
      <c r="J73" s="9">
        <f t="shared" si="4"/>
        <v>254885596.85909057</v>
      </c>
      <c r="K73" s="38">
        <v>0</v>
      </c>
      <c r="L73" s="10"/>
      <c r="M73" s="45"/>
      <c r="S73" s="9"/>
    </row>
    <row r="74" spans="1:19" s="17" customFormat="1" x14ac:dyDescent="0.3">
      <c r="B74" s="80"/>
      <c r="C74" s="17">
        <v>12</v>
      </c>
      <c r="D74" s="18">
        <f>N63</f>
        <v>10644401.722784925</v>
      </c>
      <c r="E74" s="18">
        <f t="shared" si="2"/>
        <v>57337405.240338184</v>
      </c>
      <c r="F74" s="18">
        <f t="shared" si="10"/>
        <v>254885596.85909057</v>
      </c>
      <c r="G74" s="17">
        <v>1.7999999999999999E-2</v>
      </c>
      <c r="H74" s="18">
        <f t="shared" si="7"/>
        <v>259473537.6025542</v>
      </c>
      <c r="I74" s="18">
        <f xml:space="preserve"> H74</f>
        <v>259473537.6025542</v>
      </c>
      <c r="J74" s="9">
        <f t="shared" si="4"/>
        <v>270117939.32533914</v>
      </c>
      <c r="K74" s="40">
        <v>0</v>
      </c>
      <c r="L74" s="19">
        <f xml:space="preserve"> I74 / 2</f>
        <v>129736768.8012771</v>
      </c>
      <c r="M74" s="47">
        <f xml:space="preserve"> (F63 + SUM(D64:D74)) - SUM(K64:K74)</f>
        <v>220870653.61836678</v>
      </c>
      <c r="N74" s="18">
        <f xml:space="preserve"> H74 - M74</f>
        <v>38602883.984187424</v>
      </c>
      <c r="O74" s="17">
        <v>0.84</v>
      </c>
      <c r="P74" s="18">
        <f xml:space="preserve"> N74 * O74</f>
        <v>32426422.546717435</v>
      </c>
      <c r="Q74" s="18">
        <f xml:space="preserve"> N74 - P74</f>
        <v>6176461.4374699891</v>
      </c>
      <c r="R74" s="17">
        <f xml:space="preserve"> N74 / M74 * 100</f>
        <v>17.477597567528253</v>
      </c>
      <c r="S74" s="18"/>
    </row>
    <row r="75" spans="1:19" s="8" customFormat="1" x14ac:dyDescent="0.3">
      <c r="A75" s="8">
        <v>7</v>
      </c>
      <c r="B75" s="80">
        <v>2028</v>
      </c>
      <c r="C75" s="8">
        <v>1</v>
      </c>
      <c r="D75" s="9">
        <f xml:space="preserve"> N75</f>
        <v>13311397.400106424</v>
      </c>
      <c r="E75" s="34">
        <f t="shared" si="2"/>
        <v>58776678.534664273</v>
      </c>
      <c r="F75" s="9">
        <f xml:space="preserve"> (H74 / 2) + D75 - K75</f>
        <v>143048166.20138353</v>
      </c>
      <c r="G75" s="8">
        <v>1.7999999999999999E-2</v>
      </c>
      <c r="H75" s="9">
        <f t="shared" si="7"/>
        <v>145623033.19300842</v>
      </c>
      <c r="I75" s="9"/>
      <c r="J75" s="9">
        <f t="shared" si="4"/>
        <v>158934430.59311485</v>
      </c>
      <c r="K75" s="38">
        <v>0</v>
      </c>
      <c r="L75" s="10"/>
      <c r="M75" s="45"/>
      <c r="N75" s="11">
        <f xml:space="preserve"> (L74 / 12) +2500000</f>
        <v>13311397.400106424</v>
      </c>
      <c r="P75" s="9">
        <f xml:space="preserve"> (H74 / 2 )</f>
        <v>129736768.8012771</v>
      </c>
      <c r="S75" s="9"/>
    </row>
    <row r="76" spans="1:19" s="8" customFormat="1" x14ac:dyDescent="0.3">
      <c r="B76" s="80"/>
      <c r="C76" s="8">
        <v>2</v>
      </c>
      <c r="D76" s="9">
        <f xml:space="preserve"> N75</f>
        <v>13311397.400106424</v>
      </c>
      <c r="E76" s="34">
        <f t="shared" si="2"/>
        <v>60241858.748288229</v>
      </c>
      <c r="F76" s="9">
        <f t="shared" ref="F76:F86" si="11" xml:space="preserve"> H75 + D76 - K76</f>
        <v>158934430.59311485</v>
      </c>
      <c r="G76" s="8">
        <v>1.7999999999999999E-2</v>
      </c>
      <c r="H76" s="9">
        <f t="shared" si="7"/>
        <v>161795250.34379092</v>
      </c>
      <c r="I76" s="9"/>
      <c r="J76" s="9">
        <f t="shared" si="4"/>
        <v>175106647.74389735</v>
      </c>
      <c r="K76" s="38">
        <v>0</v>
      </c>
      <c r="L76" s="10"/>
      <c r="M76" s="45"/>
      <c r="S76" s="9"/>
    </row>
    <row r="77" spans="1:19" s="8" customFormat="1" x14ac:dyDescent="0.3">
      <c r="B77" s="80"/>
      <c r="C77" s="8">
        <v>3</v>
      </c>
      <c r="D77" s="9">
        <f xml:space="preserve"> N75</f>
        <v>13311397.400106424</v>
      </c>
      <c r="E77" s="34">
        <f t="shared" si="2"/>
        <v>61733412.205757417</v>
      </c>
      <c r="F77" s="9">
        <f t="shared" si="11"/>
        <v>175106647.74389735</v>
      </c>
      <c r="G77" s="8">
        <v>1.7999999999999999E-2</v>
      </c>
      <c r="H77" s="9">
        <f t="shared" si="7"/>
        <v>178258567.4032875</v>
      </c>
      <c r="I77" s="9"/>
      <c r="J77" s="9">
        <f t="shared" si="4"/>
        <v>191569964.80339393</v>
      </c>
      <c r="K77" s="38">
        <v>0</v>
      </c>
      <c r="L77" s="10"/>
      <c r="M77" s="45"/>
      <c r="S77" s="9"/>
    </row>
    <row r="78" spans="1:19" s="8" customFormat="1" x14ac:dyDescent="0.3">
      <c r="B78" s="80"/>
      <c r="C78" s="8">
        <v>4</v>
      </c>
      <c r="D78" s="9">
        <f xml:space="preserve"> N75</f>
        <v>13311397.400106424</v>
      </c>
      <c r="E78" s="34">
        <f t="shared" ref="E78:E134" si="12" xml:space="preserve"> (E77 + 400000) + ((E77 + 400000) * G78 )</f>
        <v>63251813.625461049</v>
      </c>
      <c r="F78" s="9">
        <f t="shared" si="11"/>
        <v>191569964.80339393</v>
      </c>
      <c r="G78" s="8">
        <v>1.7999999999999999E-2</v>
      </c>
      <c r="H78" s="9">
        <f t="shared" si="7"/>
        <v>195018224.16985503</v>
      </c>
      <c r="I78" s="9"/>
      <c r="J78" s="9">
        <f t="shared" si="4"/>
        <v>208329621.56996146</v>
      </c>
      <c r="K78" s="38">
        <v>0</v>
      </c>
      <c r="L78" s="10"/>
      <c r="M78" s="45"/>
      <c r="S78" s="9"/>
    </row>
    <row r="79" spans="1:19" s="8" customFormat="1" x14ac:dyDescent="0.3">
      <c r="B79" s="80"/>
      <c r="C79" s="8">
        <v>5</v>
      </c>
      <c r="D79" s="9">
        <f xml:space="preserve"> N75</f>
        <v>13311397.400106424</v>
      </c>
      <c r="E79" s="34">
        <f t="shared" si="12"/>
        <v>64797546.270719349</v>
      </c>
      <c r="F79" s="9">
        <f t="shared" si="11"/>
        <v>202153160.13249147</v>
      </c>
      <c r="G79" s="8">
        <v>1.7999999999999999E-2</v>
      </c>
      <c r="H79" s="9">
        <f t="shared" si="7"/>
        <v>205791917.01487631</v>
      </c>
      <c r="I79" s="9"/>
      <c r="J79" s="9">
        <f t="shared" si="4"/>
        <v>219103314.41498274</v>
      </c>
      <c r="K79" s="38">
        <f xml:space="preserve"> Q74</f>
        <v>6176461.4374699891</v>
      </c>
      <c r="L79" s="10"/>
      <c r="M79" s="45"/>
      <c r="S79" s="9"/>
    </row>
    <row r="80" spans="1:19" s="8" customFormat="1" x14ac:dyDescent="0.3">
      <c r="B80" s="80"/>
      <c r="C80" s="8">
        <v>6</v>
      </c>
      <c r="D80" s="9">
        <f xml:space="preserve"> N75</f>
        <v>13311397.400106424</v>
      </c>
      <c r="E80" s="34">
        <f t="shared" si="12"/>
        <v>66371102.103592299</v>
      </c>
      <c r="F80" s="9">
        <f t="shared" si="11"/>
        <v>219103314.41498274</v>
      </c>
      <c r="G80" s="8">
        <v>1.7999999999999999E-2</v>
      </c>
      <c r="H80" s="9">
        <f t="shared" si="7"/>
        <v>223047174.07445243</v>
      </c>
      <c r="I80" s="9"/>
      <c r="J80" s="9">
        <f t="shared" si="4"/>
        <v>236358571.47455886</v>
      </c>
      <c r="K80" s="38">
        <v>0</v>
      </c>
      <c r="L80" s="10"/>
      <c r="M80" s="45"/>
      <c r="S80" s="9"/>
    </row>
    <row r="81" spans="1:19" s="8" customFormat="1" x14ac:dyDescent="0.3">
      <c r="B81" s="80"/>
      <c r="C81" s="8">
        <v>7</v>
      </c>
      <c r="D81" s="9">
        <f xml:space="preserve"> N75</f>
        <v>13311397.400106424</v>
      </c>
      <c r="E81" s="34">
        <f t="shared" si="12"/>
        <v>67972981.941456959</v>
      </c>
      <c r="F81" s="9">
        <f t="shared" si="11"/>
        <v>236358571.47455886</v>
      </c>
      <c r="G81" s="8">
        <v>1.7999999999999999E-2</v>
      </c>
      <c r="H81" s="9">
        <f t="shared" si="7"/>
        <v>240613025.76110092</v>
      </c>
      <c r="I81" s="9"/>
      <c r="J81" s="9">
        <f t="shared" ref="J81:J144" si="13" xml:space="preserve"> D81 + H81</f>
        <v>253924423.16120735</v>
      </c>
      <c r="K81" s="38">
        <v>0</v>
      </c>
      <c r="L81" s="10"/>
      <c r="M81" s="45"/>
      <c r="S81" s="9"/>
    </row>
    <row r="82" spans="1:19" s="8" customFormat="1" x14ac:dyDescent="0.3">
      <c r="B82" s="80"/>
      <c r="C82" s="8">
        <v>8</v>
      </c>
      <c r="D82" s="9">
        <f xml:space="preserve"> N75</f>
        <v>13311397.400106424</v>
      </c>
      <c r="E82" s="34">
        <f t="shared" si="12"/>
        <v>69603695.616403177</v>
      </c>
      <c r="F82" s="9">
        <f t="shared" si="11"/>
        <v>253924423.16120735</v>
      </c>
      <c r="G82" s="8">
        <v>1.7999999999999999E-2</v>
      </c>
      <c r="H82" s="9">
        <f t="shared" si="7"/>
        <v>258495062.77810907</v>
      </c>
      <c r="I82" s="9"/>
      <c r="J82" s="9">
        <f t="shared" si="13"/>
        <v>271806460.1782155</v>
      </c>
      <c r="K82" s="38">
        <v>0</v>
      </c>
      <c r="L82" s="10"/>
      <c r="M82" s="45"/>
      <c r="S82" s="9"/>
    </row>
    <row r="83" spans="1:19" s="8" customFormat="1" x14ac:dyDescent="0.3">
      <c r="B83" s="80"/>
      <c r="C83" s="8">
        <v>9</v>
      </c>
      <c r="D83" s="9">
        <f xml:space="preserve"> N75</f>
        <v>13311397.400106424</v>
      </c>
      <c r="E83" s="34">
        <f t="shared" si="12"/>
        <v>71263762.137498438</v>
      </c>
      <c r="F83" s="9">
        <f t="shared" si="11"/>
        <v>271806460.1782155</v>
      </c>
      <c r="G83" s="8">
        <v>1.7999999999999999E-2</v>
      </c>
      <c r="H83" s="9">
        <f t="shared" si="7"/>
        <v>276698976.4614234</v>
      </c>
      <c r="I83" s="9"/>
      <c r="J83" s="9">
        <f t="shared" si="13"/>
        <v>290010373.86152983</v>
      </c>
      <c r="K83" s="38">
        <v>0</v>
      </c>
      <c r="L83" s="10"/>
      <c r="M83" s="45"/>
      <c r="S83" s="9"/>
    </row>
    <row r="84" spans="1:19" s="8" customFormat="1" x14ac:dyDescent="0.3">
      <c r="B84" s="80"/>
      <c r="C84" s="8">
        <v>10</v>
      </c>
      <c r="D84" s="9">
        <f xml:space="preserve"> N75</f>
        <v>13311397.400106424</v>
      </c>
      <c r="E84" s="34">
        <f t="shared" si="12"/>
        <v>72953709.855973408</v>
      </c>
      <c r="F84" s="9">
        <f t="shared" si="11"/>
        <v>290010373.86152983</v>
      </c>
      <c r="G84" s="8">
        <v>1.7999999999999999E-2</v>
      </c>
      <c r="H84" s="9">
        <f t="shared" si="7"/>
        <v>295230560.59103739</v>
      </c>
      <c r="I84" s="9"/>
      <c r="J84" s="9">
        <f t="shared" si="13"/>
        <v>308541957.99114382</v>
      </c>
      <c r="K84" s="38">
        <v>0</v>
      </c>
      <c r="L84" s="10"/>
      <c r="M84" s="45"/>
      <c r="S84" s="9"/>
    </row>
    <row r="85" spans="1:19" s="8" customFormat="1" x14ac:dyDescent="0.3">
      <c r="B85" s="80"/>
      <c r="C85" s="8">
        <v>11</v>
      </c>
      <c r="D85" s="9">
        <f xml:space="preserve"> N75</f>
        <v>13311397.400106424</v>
      </c>
      <c r="E85" s="34">
        <f t="shared" si="12"/>
        <v>74674076.633380935</v>
      </c>
      <c r="F85" s="9">
        <f t="shared" si="11"/>
        <v>308541957.99114382</v>
      </c>
      <c r="G85" s="8">
        <v>1.7999999999999999E-2</v>
      </c>
      <c r="H85" s="9">
        <f t="shared" si="7"/>
        <v>314095713.2349844</v>
      </c>
      <c r="I85" s="9"/>
      <c r="J85" s="9">
        <f t="shared" si="13"/>
        <v>327407110.63509083</v>
      </c>
      <c r="K85" s="38">
        <v>0</v>
      </c>
      <c r="L85" s="10"/>
      <c r="M85" s="45"/>
      <c r="S85" s="9"/>
    </row>
    <row r="86" spans="1:19" s="17" customFormat="1" x14ac:dyDescent="0.3">
      <c r="B86" s="80"/>
      <c r="C86" s="17">
        <v>12</v>
      </c>
      <c r="D86" s="18">
        <f xml:space="preserve"> N75</f>
        <v>13311397.400106424</v>
      </c>
      <c r="E86" s="18">
        <f t="shared" si="12"/>
        <v>76425410.012781799</v>
      </c>
      <c r="F86" s="18">
        <f t="shared" si="11"/>
        <v>327407110.63509083</v>
      </c>
      <c r="G86" s="17">
        <v>1.7999999999999999E-2</v>
      </c>
      <c r="H86" s="18">
        <f t="shared" si="7"/>
        <v>333300438.62652248</v>
      </c>
      <c r="I86" s="18">
        <f xml:space="preserve"> H86</f>
        <v>333300438.62652248</v>
      </c>
      <c r="J86" s="9">
        <f t="shared" si="13"/>
        <v>346611836.02662891</v>
      </c>
      <c r="K86" s="40">
        <v>0</v>
      </c>
      <c r="L86" s="19">
        <f xml:space="preserve"> I86 / 2</f>
        <v>166650219.31326124</v>
      </c>
      <c r="M86" s="47">
        <f xml:space="preserve"> (F75 + SUM(D76:D86)) - SUM(K76:K86)</f>
        <v>283297076.16508424</v>
      </c>
      <c r="N86" s="18">
        <f xml:space="preserve"> H86 - M86</f>
        <v>50003362.461438239</v>
      </c>
      <c r="O86" s="17">
        <v>0.84</v>
      </c>
      <c r="P86" s="18">
        <f xml:space="preserve"> N86 * O86</f>
        <v>42002824.467608117</v>
      </c>
      <c r="Q86" s="18">
        <f xml:space="preserve"> N86 - P86</f>
        <v>8000537.9938301221</v>
      </c>
      <c r="R86" s="17">
        <f xml:space="preserve"> N86 / M86 * 100</f>
        <v>17.650504247456489</v>
      </c>
      <c r="S86" s="18"/>
    </row>
    <row r="87" spans="1:19" s="8" customFormat="1" x14ac:dyDescent="0.3">
      <c r="A87" s="8">
        <v>8</v>
      </c>
      <c r="B87" s="80">
        <v>2029</v>
      </c>
      <c r="C87" s="8">
        <v>1</v>
      </c>
      <c r="D87" s="9">
        <f xml:space="preserve"> N87</f>
        <v>16387518.276105104</v>
      </c>
      <c r="E87" s="34">
        <f t="shared" si="12"/>
        <v>78208267.393011868</v>
      </c>
      <c r="F87" s="9">
        <f xml:space="preserve"> (H86 / 2) + D87 - K87</f>
        <v>183037737.58936635</v>
      </c>
      <c r="G87" s="8">
        <v>1.7999999999999999E-2</v>
      </c>
      <c r="H87" s="9">
        <f t="shared" si="7"/>
        <v>186332416.86597493</v>
      </c>
      <c r="I87" s="9"/>
      <c r="J87" s="9">
        <f t="shared" si="13"/>
        <v>202719935.14208004</v>
      </c>
      <c r="K87" s="38">
        <v>0</v>
      </c>
      <c r="L87" s="10"/>
      <c r="M87" s="45"/>
      <c r="N87" s="11">
        <f xml:space="preserve"> (L86 / 12) +2500000</f>
        <v>16387518.276105104</v>
      </c>
      <c r="P87" s="9">
        <f xml:space="preserve"> (H86 / 2 )</f>
        <v>166650219.31326124</v>
      </c>
      <c r="S87" s="9"/>
    </row>
    <row r="88" spans="1:19" s="8" customFormat="1" x14ac:dyDescent="0.3">
      <c r="B88" s="80"/>
      <c r="C88" s="8">
        <v>2</v>
      </c>
      <c r="D88" s="9">
        <f xml:space="preserve"> N87</f>
        <v>16387518.276105104</v>
      </c>
      <c r="E88" s="34">
        <f t="shared" si="12"/>
        <v>80023216.206086084</v>
      </c>
      <c r="F88" s="9">
        <f t="shared" ref="F88:F98" si="14" xml:space="preserve"> H87 + D88 - K88</f>
        <v>202719935.14208004</v>
      </c>
      <c r="G88" s="8">
        <v>1.7999999999999999E-2</v>
      </c>
      <c r="H88" s="9">
        <f t="shared" si="7"/>
        <v>206368893.97463748</v>
      </c>
      <c r="I88" s="9"/>
      <c r="J88" s="9">
        <f t="shared" si="13"/>
        <v>222756412.25074258</v>
      </c>
      <c r="K88" s="38">
        <v>0</v>
      </c>
      <c r="L88" s="10"/>
      <c r="M88" s="45"/>
      <c r="S88" s="9"/>
    </row>
    <row r="89" spans="1:19" s="8" customFormat="1" x14ac:dyDescent="0.3">
      <c r="B89" s="80"/>
      <c r="C89" s="8">
        <v>3</v>
      </c>
      <c r="D89" s="9">
        <f xml:space="preserve"> N87</f>
        <v>16387518.276105104</v>
      </c>
      <c r="E89" s="34">
        <f t="shared" si="12"/>
        <v>81870834.097795635</v>
      </c>
      <c r="F89" s="9">
        <f t="shared" si="14"/>
        <v>222756412.25074258</v>
      </c>
      <c r="G89" s="8">
        <v>1.7999999999999999E-2</v>
      </c>
      <c r="H89" s="9">
        <f t="shared" si="7"/>
        <v>226766027.67125595</v>
      </c>
      <c r="I89" s="9"/>
      <c r="J89" s="9">
        <f t="shared" si="13"/>
        <v>243153545.94736105</v>
      </c>
      <c r="K89" s="38">
        <v>0</v>
      </c>
      <c r="L89" s="10"/>
      <c r="M89" s="45"/>
      <c r="S89" s="9"/>
    </row>
    <row r="90" spans="1:19" s="8" customFormat="1" x14ac:dyDescent="0.3">
      <c r="B90" s="80"/>
      <c r="C90" s="8">
        <v>4</v>
      </c>
      <c r="D90" s="9">
        <f xml:space="preserve"> N87</f>
        <v>16387518.276105104</v>
      </c>
      <c r="E90" s="34">
        <f t="shared" si="12"/>
        <v>83751709.111555964</v>
      </c>
      <c r="F90" s="9">
        <f t="shared" si="14"/>
        <v>243153545.94736105</v>
      </c>
      <c r="G90" s="8">
        <v>1.7999999999999999E-2</v>
      </c>
      <c r="H90" s="9">
        <f t="shared" si="7"/>
        <v>247530309.77441356</v>
      </c>
      <c r="I90" s="9"/>
      <c r="J90" s="9">
        <f t="shared" si="13"/>
        <v>263917828.05051866</v>
      </c>
      <c r="K90" s="38">
        <v>0</v>
      </c>
      <c r="L90" s="10"/>
      <c r="M90" s="45"/>
      <c r="S90" s="9"/>
    </row>
    <row r="91" spans="1:19" s="8" customFormat="1" x14ac:dyDescent="0.3">
      <c r="B91" s="80"/>
      <c r="C91" s="8">
        <v>5</v>
      </c>
      <c r="D91" s="9">
        <f xml:space="preserve"> N87</f>
        <v>16387518.276105104</v>
      </c>
      <c r="E91" s="34">
        <f t="shared" si="12"/>
        <v>85666439.875563964</v>
      </c>
      <c r="F91" s="9">
        <f t="shared" si="14"/>
        <v>255917290.05668855</v>
      </c>
      <c r="G91" s="8">
        <v>1.7999999999999999E-2</v>
      </c>
      <c r="H91" s="9">
        <f t="shared" si="7"/>
        <v>260523801.27770895</v>
      </c>
      <c r="I91" s="9"/>
      <c r="J91" s="9">
        <f t="shared" si="13"/>
        <v>276911319.55381405</v>
      </c>
      <c r="K91" s="38">
        <f xml:space="preserve"> Q86</f>
        <v>8000537.9938301221</v>
      </c>
      <c r="L91" s="10"/>
      <c r="M91" s="45"/>
      <c r="S91" s="9"/>
    </row>
    <row r="92" spans="1:19" s="8" customFormat="1" x14ac:dyDescent="0.3">
      <c r="B92" s="80"/>
      <c r="C92" s="8">
        <v>6</v>
      </c>
      <c r="D92" s="9">
        <f xml:space="preserve"> N87</f>
        <v>16387518.276105104</v>
      </c>
      <c r="E92" s="34">
        <f t="shared" si="12"/>
        <v>87615635.793324113</v>
      </c>
      <c r="F92" s="9">
        <f t="shared" si="14"/>
        <v>276911319.55381405</v>
      </c>
      <c r="G92" s="8">
        <v>1.7999999999999999E-2</v>
      </c>
      <c r="H92" s="9">
        <f t="shared" si="7"/>
        <v>281895723.30578274</v>
      </c>
      <c r="I92" s="9"/>
      <c r="J92" s="9">
        <f t="shared" si="13"/>
        <v>298283241.58188784</v>
      </c>
      <c r="K92" s="38">
        <v>0</v>
      </c>
      <c r="L92" s="10"/>
      <c r="M92" s="45"/>
      <c r="S92" s="9"/>
    </row>
    <row r="93" spans="1:19" s="8" customFormat="1" x14ac:dyDescent="0.3">
      <c r="B93" s="80"/>
      <c r="C93" s="8">
        <v>7</v>
      </c>
      <c r="D93" s="9">
        <f xml:space="preserve"> N87</f>
        <v>16387518.276105104</v>
      </c>
      <c r="E93" s="34">
        <f t="shared" si="12"/>
        <v>89599917.237603948</v>
      </c>
      <c r="F93" s="9">
        <f t="shared" si="14"/>
        <v>298283241.58188784</v>
      </c>
      <c r="G93" s="8">
        <v>1.7999999999999999E-2</v>
      </c>
      <c r="H93" s="9">
        <f t="shared" si="7"/>
        <v>303652339.93036181</v>
      </c>
      <c r="I93" s="9"/>
      <c r="J93" s="9">
        <f t="shared" si="13"/>
        <v>320039858.20646691</v>
      </c>
      <c r="K93" s="38">
        <v>0</v>
      </c>
      <c r="L93" s="10"/>
      <c r="M93" s="45"/>
      <c r="S93" s="9"/>
    </row>
    <row r="94" spans="1:19" s="8" customFormat="1" x14ac:dyDescent="0.3">
      <c r="B94" s="80"/>
      <c r="C94" s="8">
        <v>8</v>
      </c>
      <c r="D94" s="9">
        <f xml:space="preserve"> N87</f>
        <v>16387518.276105104</v>
      </c>
      <c r="E94" s="34">
        <f t="shared" si="12"/>
        <v>91619915.747880816</v>
      </c>
      <c r="F94" s="9">
        <f t="shared" si="14"/>
        <v>320039858.20646691</v>
      </c>
      <c r="G94" s="8">
        <v>1.7999999999999999E-2</v>
      </c>
      <c r="H94" s="9">
        <f t="shared" ref="H94:H157" si="15" xml:space="preserve"> (F94 * G94) + F94</f>
        <v>325800575.65418333</v>
      </c>
      <c r="I94" s="9"/>
      <c r="J94" s="9">
        <f t="shared" si="13"/>
        <v>342188093.93028843</v>
      </c>
      <c r="K94" s="38">
        <v>0</v>
      </c>
      <c r="L94" s="10"/>
      <c r="M94" s="45"/>
      <c r="S94" s="9"/>
    </row>
    <row r="95" spans="1:19" s="8" customFormat="1" x14ac:dyDescent="0.3">
      <c r="B95" s="80"/>
      <c r="C95" s="8">
        <v>9</v>
      </c>
      <c r="D95" s="9">
        <f xml:space="preserve"> N87</f>
        <v>16387518.276105104</v>
      </c>
      <c r="E95" s="34">
        <f t="shared" si="12"/>
        <v>93676274.231342673</v>
      </c>
      <c r="F95" s="9">
        <f t="shared" si="14"/>
        <v>342188093.93028843</v>
      </c>
      <c r="G95" s="8">
        <v>1.7999999999999999E-2</v>
      </c>
      <c r="H95" s="9">
        <f t="shared" si="15"/>
        <v>348347479.62103361</v>
      </c>
      <c r="I95" s="9"/>
      <c r="J95" s="9">
        <f t="shared" si="13"/>
        <v>364734997.89713871</v>
      </c>
      <c r="K95" s="38">
        <v>0</v>
      </c>
      <c r="L95" s="10"/>
      <c r="M95" s="45"/>
      <c r="S95" s="9"/>
    </row>
    <row r="96" spans="1:19" s="8" customFormat="1" x14ac:dyDescent="0.3">
      <c r="B96" s="80"/>
      <c r="C96" s="8">
        <v>10</v>
      </c>
      <c r="D96" s="9">
        <f xml:space="preserve"> N87</f>
        <v>16387518.276105104</v>
      </c>
      <c r="E96" s="34">
        <f t="shared" si="12"/>
        <v>95769647.167506844</v>
      </c>
      <c r="F96" s="9">
        <f t="shared" si="14"/>
        <v>364734997.89713871</v>
      </c>
      <c r="G96" s="8">
        <v>1.7999999999999999E-2</v>
      </c>
      <c r="H96" s="9">
        <f t="shared" si="15"/>
        <v>371300227.8592872</v>
      </c>
      <c r="I96" s="9"/>
      <c r="J96" s="9">
        <f t="shared" si="13"/>
        <v>387687746.13539231</v>
      </c>
      <c r="K96" s="38">
        <v>0</v>
      </c>
      <c r="L96" s="10"/>
      <c r="M96" s="45"/>
      <c r="S96" s="9"/>
    </row>
    <row r="97" spans="1:19" s="8" customFormat="1" x14ac:dyDescent="0.3">
      <c r="B97" s="80"/>
      <c r="C97" s="8">
        <v>11</v>
      </c>
      <c r="D97" s="9">
        <f xml:space="preserve"> N87</f>
        <v>16387518.276105104</v>
      </c>
      <c r="E97" s="34">
        <f t="shared" si="12"/>
        <v>97900700.816521972</v>
      </c>
      <c r="F97" s="9">
        <f t="shared" si="14"/>
        <v>387687746.13539231</v>
      </c>
      <c r="G97" s="8">
        <v>1.7999999999999999E-2</v>
      </c>
      <c r="H97" s="9">
        <f t="shared" si="15"/>
        <v>394666125.5658294</v>
      </c>
      <c r="I97" s="9"/>
      <c r="J97" s="9">
        <f t="shared" si="13"/>
        <v>411053643.8419345</v>
      </c>
      <c r="K97" s="38">
        <v>0</v>
      </c>
      <c r="L97" s="10"/>
      <c r="M97" s="45"/>
      <c r="S97" s="9"/>
    </row>
    <row r="98" spans="1:19" s="17" customFormat="1" x14ac:dyDescent="0.3">
      <c r="B98" s="80"/>
      <c r="C98" s="17">
        <v>12</v>
      </c>
      <c r="D98" s="18">
        <f xml:space="preserve"> N87</f>
        <v>16387518.276105104</v>
      </c>
      <c r="E98" s="18">
        <f t="shared" si="12"/>
        <v>100070113.43121937</v>
      </c>
      <c r="F98" s="18">
        <f t="shared" si="14"/>
        <v>411053643.8419345</v>
      </c>
      <c r="G98" s="17">
        <v>1.7999999999999999E-2</v>
      </c>
      <c r="H98" s="18">
        <f t="shared" si="15"/>
        <v>418452609.43108934</v>
      </c>
      <c r="I98" s="18">
        <f xml:space="preserve"> H98</f>
        <v>418452609.43108934</v>
      </c>
      <c r="J98" s="9">
        <f t="shared" si="13"/>
        <v>434840127.70719445</v>
      </c>
      <c r="K98" s="40">
        <v>0</v>
      </c>
      <c r="L98" s="19">
        <f xml:space="preserve"> I98 / 2</f>
        <v>209226304.71554467</v>
      </c>
      <c r="M98" s="47">
        <f xml:space="preserve"> (F87 + SUM(D88:D98)) - SUM(K88:K98)</f>
        <v>355299900.63269234</v>
      </c>
      <c r="N98" s="18">
        <f xml:space="preserve"> H98 - M98</f>
        <v>63152708.798397005</v>
      </c>
      <c r="O98" s="17">
        <v>0.84</v>
      </c>
      <c r="P98" s="18">
        <f xml:space="preserve"> N98 * O98</f>
        <v>53048275.390653484</v>
      </c>
      <c r="Q98" s="18">
        <f xml:space="preserve"> N98 - P98</f>
        <v>10104433.407743521</v>
      </c>
      <c r="R98" s="17">
        <f xml:space="preserve"> N98 / M98 * 100</f>
        <v>17.774479724294668</v>
      </c>
      <c r="S98" s="18"/>
    </row>
    <row r="99" spans="1:19" s="8" customFormat="1" x14ac:dyDescent="0.3">
      <c r="A99" s="8">
        <v>9</v>
      </c>
      <c r="B99" s="80">
        <v>2030</v>
      </c>
      <c r="C99" s="8">
        <v>1</v>
      </c>
      <c r="D99" s="9">
        <f>N99</f>
        <v>19935525.392962057</v>
      </c>
      <c r="E99" s="34">
        <f t="shared" si="12"/>
        <v>102278575.47298132</v>
      </c>
      <c r="F99" s="9">
        <f xml:space="preserve"> (H98 / 2) + D99 - K99</f>
        <v>229161830.10850674</v>
      </c>
      <c r="G99" s="8">
        <v>1.7999999999999999E-2</v>
      </c>
      <c r="H99" s="9">
        <f t="shared" si="15"/>
        <v>233286743.05045986</v>
      </c>
      <c r="I99" s="9"/>
      <c r="J99" s="9">
        <f t="shared" si="13"/>
        <v>253222268.44342193</v>
      </c>
      <c r="K99" s="38">
        <v>0</v>
      </c>
      <c r="L99" s="10"/>
      <c r="M99" s="45"/>
      <c r="N99" s="11">
        <f xml:space="preserve"> (L98 / 12) +2500000</f>
        <v>19935525.392962057</v>
      </c>
      <c r="P99" s="9">
        <f xml:space="preserve"> (H98 / 2 )</f>
        <v>209226304.71554467</v>
      </c>
      <c r="S99" s="9"/>
    </row>
    <row r="100" spans="1:19" s="8" customFormat="1" x14ac:dyDescent="0.3">
      <c r="B100" s="80"/>
      <c r="C100" s="8">
        <v>2</v>
      </c>
      <c r="D100" s="9">
        <f>N99</f>
        <v>19935525.392962057</v>
      </c>
      <c r="E100" s="34">
        <f t="shared" si="12"/>
        <v>104526789.83149499</v>
      </c>
      <c r="F100" s="9">
        <f t="shared" ref="F100:F110" si="16" xml:space="preserve"> H99 + D100 - K100</f>
        <v>253222268.44342193</v>
      </c>
      <c r="G100" s="8">
        <v>1.7999999999999999E-2</v>
      </c>
      <c r="H100" s="9">
        <f t="shared" si="15"/>
        <v>257780269.27540353</v>
      </c>
      <c r="I100" s="9"/>
      <c r="J100" s="9">
        <f t="shared" si="13"/>
        <v>277715794.6683656</v>
      </c>
      <c r="K100" s="38">
        <v>0</v>
      </c>
      <c r="L100" s="10"/>
      <c r="M100" s="45"/>
      <c r="S100" s="9"/>
    </row>
    <row r="101" spans="1:19" s="8" customFormat="1" x14ac:dyDescent="0.3">
      <c r="B101" s="80"/>
      <c r="C101" s="8">
        <v>3</v>
      </c>
      <c r="D101" s="9">
        <f>N99</f>
        <v>19935525.392962057</v>
      </c>
      <c r="E101" s="34">
        <f t="shared" si="12"/>
        <v>106815472.0484619</v>
      </c>
      <c r="F101" s="9">
        <f t="shared" si="16"/>
        <v>277715794.6683656</v>
      </c>
      <c r="G101" s="8">
        <v>1.7999999999999999E-2</v>
      </c>
      <c r="H101" s="9">
        <f t="shared" si="15"/>
        <v>282714678.97239619</v>
      </c>
      <c r="I101" s="9"/>
      <c r="J101" s="9">
        <f t="shared" si="13"/>
        <v>302650204.36535823</v>
      </c>
      <c r="K101" s="38">
        <v>0</v>
      </c>
      <c r="L101" s="10"/>
      <c r="M101" s="45"/>
      <c r="S101" s="9"/>
    </row>
    <row r="102" spans="1:19" s="8" customFormat="1" x14ac:dyDescent="0.3">
      <c r="B102" s="80"/>
      <c r="C102" s="8">
        <v>4</v>
      </c>
      <c r="D102" s="9">
        <f>N99</f>
        <v>19935525.392962057</v>
      </c>
      <c r="E102" s="34">
        <f t="shared" si="12"/>
        <v>109145350.54533422</v>
      </c>
      <c r="F102" s="9">
        <f t="shared" si="16"/>
        <v>302650204.36535823</v>
      </c>
      <c r="G102" s="8">
        <v>1.7999999999999999E-2</v>
      </c>
      <c r="H102" s="9">
        <f t="shared" si="15"/>
        <v>308097908.0439347</v>
      </c>
      <c r="I102" s="9"/>
      <c r="J102" s="9">
        <f t="shared" si="13"/>
        <v>328033433.43689674</v>
      </c>
      <c r="K102" s="38">
        <v>0</v>
      </c>
      <c r="L102" s="10"/>
      <c r="M102" s="45"/>
      <c r="S102" s="9"/>
    </row>
    <row r="103" spans="1:19" s="8" customFormat="1" x14ac:dyDescent="0.3">
      <c r="B103" s="80"/>
      <c r="C103" s="8">
        <v>5</v>
      </c>
      <c r="D103" s="9">
        <f>N99</f>
        <v>19935525.392962057</v>
      </c>
      <c r="E103" s="34">
        <f t="shared" si="12"/>
        <v>111517166.85515024</v>
      </c>
      <c r="F103" s="9">
        <f t="shared" si="16"/>
        <v>317929000.02915323</v>
      </c>
      <c r="G103" s="8">
        <v>1.7999999999999999E-2</v>
      </c>
      <c r="H103" s="9">
        <f t="shared" si="15"/>
        <v>323651722.02967799</v>
      </c>
      <c r="I103" s="9"/>
      <c r="J103" s="9">
        <f t="shared" si="13"/>
        <v>343587247.42264003</v>
      </c>
      <c r="K103" s="38">
        <f xml:space="preserve"> Q98</f>
        <v>10104433.407743521</v>
      </c>
      <c r="L103" s="10"/>
      <c r="M103" s="45"/>
      <c r="S103" s="9"/>
    </row>
    <row r="104" spans="1:19" s="8" customFormat="1" x14ac:dyDescent="0.3">
      <c r="B104" s="80"/>
      <c r="C104" s="8">
        <v>6</v>
      </c>
      <c r="D104" s="9">
        <f>N99</f>
        <v>19935525.392962057</v>
      </c>
      <c r="E104" s="34">
        <f t="shared" si="12"/>
        <v>113931675.85854295</v>
      </c>
      <c r="F104" s="9">
        <f t="shared" si="16"/>
        <v>343587247.42264003</v>
      </c>
      <c r="G104" s="8">
        <v>1.7999999999999999E-2</v>
      </c>
      <c r="H104" s="9">
        <f t="shared" si="15"/>
        <v>349771817.87624753</v>
      </c>
      <c r="I104" s="9"/>
      <c r="J104" s="9">
        <f t="shared" si="13"/>
        <v>369707343.26920956</v>
      </c>
      <c r="K104" s="38">
        <v>0</v>
      </c>
      <c r="L104" s="10"/>
      <c r="M104" s="45"/>
      <c r="S104" s="9"/>
    </row>
    <row r="105" spans="1:19" s="8" customFormat="1" x14ac:dyDescent="0.3">
      <c r="B105" s="80"/>
      <c r="C105" s="8">
        <v>7</v>
      </c>
      <c r="D105" s="9">
        <f>N99</f>
        <v>19935525.392962057</v>
      </c>
      <c r="E105" s="34">
        <f t="shared" si="12"/>
        <v>116389646.02399673</v>
      </c>
      <c r="F105" s="9">
        <f t="shared" si="16"/>
        <v>369707343.26920956</v>
      </c>
      <c r="G105" s="8">
        <v>1.7999999999999999E-2</v>
      </c>
      <c r="H105" s="9">
        <f t="shared" si="15"/>
        <v>376362075.44805533</v>
      </c>
      <c r="I105" s="9"/>
      <c r="J105" s="9">
        <f t="shared" si="13"/>
        <v>396297600.84101737</v>
      </c>
      <c r="K105" s="38">
        <v>0</v>
      </c>
      <c r="L105" s="10"/>
      <c r="M105" s="45"/>
      <c r="S105" s="9"/>
    </row>
    <row r="106" spans="1:19" s="8" customFormat="1" x14ac:dyDescent="0.3">
      <c r="B106" s="80"/>
      <c r="C106" s="8">
        <v>8</v>
      </c>
      <c r="D106" s="9">
        <f>N99</f>
        <v>19935525.392962057</v>
      </c>
      <c r="E106" s="34">
        <f t="shared" si="12"/>
        <v>118891859.65242867</v>
      </c>
      <c r="F106" s="9">
        <f t="shared" si="16"/>
        <v>396297600.84101737</v>
      </c>
      <c r="G106" s="8">
        <v>1.7999999999999999E-2</v>
      </c>
      <c r="H106" s="9">
        <f t="shared" si="15"/>
        <v>403430957.65615571</v>
      </c>
      <c r="I106" s="9"/>
      <c r="J106" s="9">
        <f t="shared" si="13"/>
        <v>423366483.04911774</v>
      </c>
      <c r="K106" s="38">
        <v>0</v>
      </c>
      <c r="L106" s="10"/>
      <c r="M106" s="45"/>
      <c r="S106" s="9"/>
    </row>
    <row r="107" spans="1:19" s="8" customFormat="1" x14ac:dyDescent="0.3">
      <c r="B107" s="80"/>
      <c r="C107" s="8">
        <v>9</v>
      </c>
      <c r="D107" s="9">
        <f>N99</f>
        <v>19935525.392962057</v>
      </c>
      <c r="E107" s="34">
        <f t="shared" si="12"/>
        <v>121439113.12617239</v>
      </c>
      <c r="F107" s="9">
        <f t="shared" si="16"/>
        <v>423366483.04911774</v>
      </c>
      <c r="G107" s="8">
        <v>1.7999999999999999E-2</v>
      </c>
      <c r="H107" s="9">
        <f t="shared" si="15"/>
        <v>430987079.74400187</v>
      </c>
      <c r="I107" s="9"/>
      <c r="J107" s="9">
        <f t="shared" si="13"/>
        <v>450922605.1369639</v>
      </c>
      <c r="K107" s="38">
        <v>0</v>
      </c>
      <c r="L107" s="10"/>
      <c r="M107" s="45"/>
      <c r="S107" s="9"/>
    </row>
    <row r="108" spans="1:19" s="8" customFormat="1" x14ac:dyDescent="0.3">
      <c r="B108" s="80"/>
      <c r="C108" s="8">
        <v>10</v>
      </c>
      <c r="D108" s="9">
        <f>N99</f>
        <v>19935525.392962057</v>
      </c>
      <c r="E108" s="34">
        <f t="shared" si="12"/>
        <v>124032217.16244349</v>
      </c>
      <c r="F108" s="9">
        <f t="shared" si="16"/>
        <v>450922605.1369639</v>
      </c>
      <c r="G108" s="8">
        <v>1.7999999999999999E-2</v>
      </c>
      <c r="H108" s="9">
        <f t="shared" si="15"/>
        <v>459039212.02942926</v>
      </c>
      <c r="I108" s="9"/>
      <c r="J108" s="9">
        <f t="shared" si="13"/>
        <v>478974737.4223913</v>
      </c>
      <c r="K108" s="38">
        <v>0</v>
      </c>
      <c r="L108" s="10"/>
      <c r="M108" s="45"/>
      <c r="S108" s="9"/>
    </row>
    <row r="109" spans="1:19" s="8" customFormat="1" x14ac:dyDescent="0.3">
      <c r="B109" s="80"/>
      <c r="C109" s="8">
        <v>11</v>
      </c>
      <c r="D109" s="9">
        <f>N99</f>
        <v>19935525.392962057</v>
      </c>
      <c r="E109" s="34">
        <f t="shared" si="12"/>
        <v>126671997.07136747</v>
      </c>
      <c r="F109" s="9">
        <f t="shared" si="16"/>
        <v>478974737.4223913</v>
      </c>
      <c r="G109" s="8">
        <v>1.7999999999999999E-2</v>
      </c>
      <c r="H109" s="9">
        <f t="shared" si="15"/>
        <v>487596282.69599432</v>
      </c>
      <c r="I109" s="9"/>
      <c r="J109" s="9">
        <f t="shared" si="13"/>
        <v>507531808.08895636</v>
      </c>
      <c r="K109" s="38">
        <v>0</v>
      </c>
      <c r="L109" s="10"/>
      <c r="M109" s="45"/>
      <c r="S109" s="9"/>
    </row>
    <row r="110" spans="1:19" s="17" customFormat="1" x14ac:dyDescent="0.3">
      <c r="B110" s="80"/>
      <c r="C110" s="17">
        <v>12</v>
      </c>
      <c r="D110" s="18">
        <f>N99</f>
        <v>19935525.392962057</v>
      </c>
      <c r="E110" s="18">
        <f t="shared" si="12"/>
        <v>129359293.01865208</v>
      </c>
      <c r="F110" s="18">
        <f t="shared" si="16"/>
        <v>507531808.08895636</v>
      </c>
      <c r="G110" s="17">
        <v>1.7999999999999999E-2</v>
      </c>
      <c r="H110" s="18">
        <f t="shared" si="15"/>
        <v>516667380.63455755</v>
      </c>
      <c r="I110" s="18">
        <f xml:space="preserve"> H110</f>
        <v>516667380.63455755</v>
      </c>
      <c r="J110" s="9">
        <f t="shared" si="13"/>
        <v>536602906.02751958</v>
      </c>
      <c r="K110" s="40">
        <v>0</v>
      </c>
      <c r="L110" s="19">
        <f xml:space="preserve"> I110 / 2</f>
        <v>258333690.31727877</v>
      </c>
      <c r="M110" s="47">
        <f xml:space="preserve"> (F99 + SUM(D100:D110)) - SUM(K100:K110)</f>
        <v>438348176.02334589</v>
      </c>
      <c r="N110" s="18">
        <f xml:space="preserve"> H110 - M110</f>
        <v>78319204.611211658</v>
      </c>
      <c r="O110" s="17">
        <v>0.84</v>
      </c>
      <c r="P110" s="18">
        <f xml:space="preserve"> N110 * O110</f>
        <v>65788131.873417787</v>
      </c>
      <c r="Q110" s="18">
        <f xml:space="preserve"> N110 - P110</f>
        <v>12531072.73779387</v>
      </c>
      <c r="R110" s="17">
        <f xml:space="preserve"> N110 / M110 * 100</f>
        <v>17.866894148326619</v>
      </c>
      <c r="S110" s="18"/>
    </row>
    <row r="111" spans="1:19" s="8" customFormat="1" x14ac:dyDescent="0.3">
      <c r="A111" s="8">
        <v>10</v>
      </c>
      <c r="B111" s="80">
        <v>2031</v>
      </c>
      <c r="C111" s="8">
        <v>1</v>
      </c>
      <c r="D111" s="9">
        <f>N111</f>
        <v>24027807.526439898</v>
      </c>
      <c r="E111" s="34">
        <f t="shared" si="12"/>
        <v>132094960.29298782</v>
      </c>
      <c r="F111" s="9">
        <f xml:space="preserve"> (H110 / 2) + D111 - K111</f>
        <v>282361497.84371865</v>
      </c>
      <c r="G111" s="8">
        <v>1.7999999999999999E-2</v>
      </c>
      <c r="H111" s="9">
        <f t="shared" si="15"/>
        <v>287444004.80490559</v>
      </c>
      <c r="I111" s="9"/>
      <c r="J111" s="9">
        <f t="shared" si="13"/>
        <v>311471812.3313455</v>
      </c>
      <c r="K111" s="38">
        <v>0</v>
      </c>
      <c r="L111" s="10"/>
      <c r="M111" s="45"/>
      <c r="N111" s="11">
        <f xml:space="preserve"> (L110 / 12) +2500000</f>
        <v>24027807.526439898</v>
      </c>
      <c r="P111" s="9">
        <f xml:space="preserve"> (H110 / 2 )</f>
        <v>258333690.31727877</v>
      </c>
      <c r="S111" s="9"/>
    </row>
    <row r="112" spans="1:19" s="8" customFormat="1" x14ac:dyDescent="0.3">
      <c r="B112" s="80"/>
      <c r="C112" s="8">
        <v>2</v>
      </c>
      <c r="D112" s="9">
        <f>N111</f>
        <v>24027807.526439898</v>
      </c>
      <c r="E112" s="34">
        <f t="shared" si="12"/>
        <v>134879869.57826161</v>
      </c>
      <c r="F112" s="9">
        <f t="shared" ref="F112:F122" si="17" xml:space="preserve"> H111 + D112 - K112</f>
        <v>311471812.3313455</v>
      </c>
      <c r="G112" s="8">
        <v>1.7999999999999999E-2</v>
      </c>
      <c r="H112" s="9">
        <f t="shared" si="15"/>
        <v>317078304.95330971</v>
      </c>
      <c r="I112" s="9"/>
      <c r="J112" s="9">
        <f t="shared" si="13"/>
        <v>341106112.47974962</v>
      </c>
      <c r="K112" s="38">
        <v>0</v>
      </c>
      <c r="L112" s="10"/>
      <c r="M112" s="45"/>
      <c r="S112" s="9"/>
    </row>
    <row r="113" spans="1:19" s="8" customFormat="1" x14ac:dyDescent="0.3">
      <c r="B113" s="80"/>
      <c r="C113" s="8">
        <v>3</v>
      </c>
      <c r="D113" s="9">
        <f>N111</f>
        <v>24027807.526439898</v>
      </c>
      <c r="E113" s="34">
        <f t="shared" si="12"/>
        <v>137714907.23067033</v>
      </c>
      <c r="F113" s="9">
        <f t="shared" si="17"/>
        <v>341106112.47974962</v>
      </c>
      <c r="G113" s="8">
        <v>1.7999999999999999E-2</v>
      </c>
      <c r="H113" s="9">
        <f t="shared" si="15"/>
        <v>347246022.50438511</v>
      </c>
      <c r="I113" s="9"/>
      <c r="J113" s="9">
        <f t="shared" si="13"/>
        <v>371273830.03082502</v>
      </c>
      <c r="K113" s="38">
        <v>0</v>
      </c>
      <c r="L113" s="10"/>
      <c r="M113" s="45"/>
      <c r="S113" s="9"/>
    </row>
    <row r="114" spans="1:19" s="8" customFormat="1" x14ac:dyDescent="0.3">
      <c r="B114" s="80"/>
      <c r="C114" s="8">
        <v>4</v>
      </c>
      <c r="D114" s="9">
        <f>N111</f>
        <v>24027807.526439898</v>
      </c>
      <c r="E114" s="34">
        <f t="shared" si="12"/>
        <v>140600975.5608224</v>
      </c>
      <c r="F114" s="9">
        <f t="shared" si="17"/>
        <v>371273830.03082502</v>
      </c>
      <c r="G114" s="8">
        <v>1.7999999999999999E-2</v>
      </c>
      <c r="H114" s="9">
        <f t="shared" si="15"/>
        <v>377956758.97137988</v>
      </c>
      <c r="I114" s="9"/>
      <c r="J114" s="9">
        <f t="shared" si="13"/>
        <v>401984566.49781978</v>
      </c>
      <c r="K114" s="38">
        <v>0</v>
      </c>
      <c r="L114" s="10"/>
      <c r="M114" s="45"/>
      <c r="S114" s="9"/>
    </row>
    <row r="115" spans="1:19" s="8" customFormat="1" x14ac:dyDescent="0.3">
      <c r="B115" s="80"/>
      <c r="C115" s="8">
        <v>5</v>
      </c>
      <c r="D115" s="9">
        <f>N111</f>
        <v>24027807.526439898</v>
      </c>
      <c r="E115" s="34">
        <f t="shared" si="12"/>
        <v>143538993.1209172</v>
      </c>
      <c r="F115" s="9">
        <f t="shared" si="17"/>
        <v>389453493.76002592</v>
      </c>
      <c r="G115" s="8">
        <v>1.7999999999999999E-2</v>
      </c>
      <c r="H115" s="9">
        <f t="shared" si="15"/>
        <v>396463656.64770639</v>
      </c>
      <c r="I115" s="9"/>
      <c r="J115" s="9">
        <f t="shared" si="13"/>
        <v>420491464.17414629</v>
      </c>
      <c r="K115" s="38">
        <f xml:space="preserve"> Q110</f>
        <v>12531072.73779387</v>
      </c>
      <c r="L115" s="10"/>
      <c r="M115" s="45"/>
      <c r="S115" s="9"/>
    </row>
    <row r="116" spans="1:19" s="8" customFormat="1" x14ac:dyDescent="0.3">
      <c r="B116" s="80"/>
      <c r="C116" s="8">
        <v>6</v>
      </c>
      <c r="D116" s="9">
        <f>N111</f>
        <v>24027807.526439898</v>
      </c>
      <c r="E116" s="34">
        <f t="shared" si="12"/>
        <v>146529894.99709371</v>
      </c>
      <c r="F116" s="9">
        <f t="shared" si="17"/>
        <v>420491464.17414629</v>
      </c>
      <c r="G116" s="8">
        <v>1.7999999999999999E-2</v>
      </c>
      <c r="H116" s="9">
        <f t="shared" si="15"/>
        <v>428060310.5292809</v>
      </c>
      <c r="I116" s="9"/>
      <c r="J116" s="9">
        <f t="shared" si="13"/>
        <v>452088118.05572081</v>
      </c>
      <c r="K116" s="38">
        <v>0</v>
      </c>
      <c r="L116" s="10"/>
      <c r="M116" s="45"/>
      <c r="S116" s="9"/>
    </row>
    <row r="117" spans="1:19" s="8" customFormat="1" x14ac:dyDescent="0.3">
      <c r="B117" s="80"/>
      <c r="C117" s="8">
        <v>7</v>
      </c>
      <c r="D117" s="9">
        <f>N111</f>
        <v>24027807.526439898</v>
      </c>
      <c r="E117" s="34">
        <f t="shared" si="12"/>
        <v>149574633.10704139</v>
      </c>
      <c r="F117" s="9">
        <f t="shared" si="17"/>
        <v>452088118.05572081</v>
      </c>
      <c r="G117" s="8">
        <v>1.7999999999999999E-2</v>
      </c>
      <c r="H117" s="9">
        <f t="shared" si="15"/>
        <v>460225704.18072379</v>
      </c>
      <c r="I117" s="9"/>
      <c r="J117" s="9">
        <f t="shared" si="13"/>
        <v>484253511.70716369</v>
      </c>
      <c r="K117" s="38">
        <v>0</v>
      </c>
      <c r="L117" s="10"/>
      <c r="M117" s="45"/>
      <c r="S117" s="9"/>
    </row>
    <row r="118" spans="1:19" s="8" customFormat="1" x14ac:dyDescent="0.3">
      <c r="B118" s="80"/>
      <c r="C118" s="8">
        <v>8</v>
      </c>
      <c r="D118" s="9">
        <f>N111</f>
        <v>24027807.526439898</v>
      </c>
      <c r="E118" s="34">
        <f t="shared" si="12"/>
        <v>152674176.50296813</v>
      </c>
      <c r="F118" s="9">
        <f t="shared" si="17"/>
        <v>484253511.70716369</v>
      </c>
      <c r="G118" s="8">
        <v>1.7999999999999999E-2</v>
      </c>
      <c r="H118" s="9">
        <f t="shared" si="15"/>
        <v>492970074.91789263</v>
      </c>
      <c r="I118" s="9"/>
      <c r="J118" s="9">
        <f t="shared" si="13"/>
        <v>516997882.44433254</v>
      </c>
      <c r="K118" s="38">
        <v>0</v>
      </c>
      <c r="L118" s="10"/>
      <c r="M118" s="45"/>
      <c r="S118" s="9"/>
    </row>
    <row r="119" spans="1:19" s="8" customFormat="1" x14ac:dyDescent="0.3">
      <c r="B119" s="80"/>
      <c r="C119" s="8">
        <v>9</v>
      </c>
      <c r="D119" s="9">
        <f>N111</f>
        <v>24027807.526439898</v>
      </c>
      <c r="E119" s="34">
        <f t="shared" si="12"/>
        <v>155829511.68002155</v>
      </c>
      <c r="F119" s="9">
        <f t="shared" si="17"/>
        <v>516997882.44433254</v>
      </c>
      <c r="G119" s="8">
        <v>1.7999999999999999E-2</v>
      </c>
      <c r="H119" s="9">
        <f t="shared" si="15"/>
        <v>526303844.32833052</v>
      </c>
      <c r="I119" s="9"/>
      <c r="J119" s="9">
        <f t="shared" si="13"/>
        <v>550331651.85477042</v>
      </c>
      <c r="K119" s="38">
        <v>0</v>
      </c>
      <c r="L119" s="10"/>
      <c r="M119" s="45"/>
      <c r="S119" s="9"/>
    </row>
    <row r="120" spans="1:19" s="8" customFormat="1" x14ac:dyDescent="0.3">
      <c r="B120" s="80"/>
      <c r="C120" s="8">
        <v>10</v>
      </c>
      <c r="D120" s="9">
        <f>N111</f>
        <v>24027807.526439898</v>
      </c>
      <c r="E120" s="34">
        <f t="shared" si="12"/>
        <v>159041642.89026195</v>
      </c>
      <c r="F120" s="9">
        <f t="shared" si="17"/>
        <v>550331651.85477042</v>
      </c>
      <c r="G120" s="8">
        <v>1.7999999999999999E-2</v>
      </c>
      <c r="H120" s="9">
        <f t="shared" si="15"/>
        <v>560237621.58815634</v>
      </c>
      <c r="I120" s="9"/>
      <c r="J120" s="9">
        <f t="shared" si="13"/>
        <v>584265429.11459625</v>
      </c>
      <c r="K120" s="38">
        <v>0</v>
      </c>
      <c r="L120" s="10"/>
      <c r="M120" s="45"/>
      <c r="S120" s="9"/>
    </row>
    <row r="121" spans="1:19" s="8" customFormat="1" x14ac:dyDescent="0.3">
      <c r="B121" s="80"/>
      <c r="C121" s="8">
        <v>11</v>
      </c>
      <c r="D121" s="9">
        <f>N111</f>
        <v>24027807.526439898</v>
      </c>
      <c r="E121" s="34">
        <f t="shared" si="12"/>
        <v>162311592.46228665</v>
      </c>
      <c r="F121" s="9">
        <f t="shared" si="17"/>
        <v>584265429.11459625</v>
      </c>
      <c r="G121" s="8">
        <v>1.7999999999999999E-2</v>
      </c>
      <c r="H121" s="9">
        <f t="shared" si="15"/>
        <v>594782206.83865893</v>
      </c>
      <c r="I121" s="9"/>
      <c r="J121" s="9">
        <f t="shared" si="13"/>
        <v>618810014.36509883</v>
      </c>
      <c r="K121" s="38">
        <v>0</v>
      </c>
      <c r="L121" s="10"/>
      <c r="M121" s="45"/>
      <c r="S121" s="9"/>
    </row>
    <row r="122" spans="1:19" s="17" customFormat="1" x14ac:dyDescent="0.3">
      <c r="B122" s="80"/>
      <c r="C122" s="17">
        <v>12</v>
      </c>
      <c r="D122" s="18">
        <f>N111</f>
        <v>24027807.526439898</v>
      </c>
      <c r="E122" s="18">
        <f t="shared" si="12"/>
        <v>165640401.12660781</v>
      </c>
      <c r="F122" s="18">
        <f t="shared" si="17"/>
        <v>618810014.36509883</v>
      </c>
      <c r="G122" s="17">
        <v>1.7999999999999999E-2</v>
      </c>
      <c r="H122" s="18">
        <f t="shared" si="15"/>
        <v>629948594.62367058</v>
      </c>
      <c r="I122" s="18">
        <f xml:space="preserve"> H122</f>
        <v>629948594.62367058</v>
      </c>
      <c r="J122" s="9">
        <f t="shared" si="13"/>
        <v>653976402.15011048</v>
      </c>
      <c r="K122" s="40">
        <v>0</v>
      </c>
      <c r="L122" s="19">
        <f xml:space="preserve"> I122 / 2</f>
        <v>314974297.31183529</v>
      </c>
      <c r="M122" s="47">
        <f xml:space="preserve"> (F111 + SUM(D112:D122)) - SUM(K112:K122)</f>
        <v>534136307.89676374</v>
      </c>
      <c r="N122" s="18">
        <f xml:space="preserve"> H122 - M122</f>
        <v>95812286.726906836</v>
      </c>
      <c r="O122" s="17">
        <v>0.84</v>
      </c>
      <c r="P122" s="18">
        <f xml:space="preserve"> N122 * O122</f>
        <v>80482320.850601733</v>
      </c>
      <c r="Q122" s="18">
        <f xml:space="preserve"> N122 - P122</f>
        <v>15329965.876305103</v>
      </c>
      <c r="R122" s="17">
        <f xml:space="preserve"> N122 / M122 * 100</f>
        <v>17.937797021172571</v>
      </c>
      <c r="S122" s="18"/>
    </row>
    <row r="123" spans="1:19" s="8" customFormat="1" x14ac:dyDescent="0.3">
      <c r="A123" s="8">
        <v>11</v>
      </c>
      <c r="B123" s="80">
        <v>2032</v>
      </c>
      <c r="C123" s="8">
        <v>1</v>
      </c>
      <c r="D123" s="9">
        <f>N123</f>
        <v>28747858.109319609</v>
      </c>
      <c r="E123" s="34">
        <f t="shared" si="12"/>
        <v>169029128.34688675</v>
      </c>
      <c r="F123" s="9">
        <f xml:space="preserve"> (H122 / 2) + D123 - K123</f>
        <v>343722155.42115492</v>
      </c>
      <c r="G123" s="8">
        <v>1.7999999999999999E-2</v>
      </c>
      <c r="H123" s="9">
        <f t="shared" si="15"/>
        <v>349909154.21873569</v>
      </c>
      <c r="I123" s="9"/>
      <c r="J123" s="9">
        <f t="shared" si="13"/>
        <v>378657012.32805532</v>
      </c>
      <c r="K123" s="38"/>
      <c r="L123" s="10"/>
      <c r="M123" s="45"/>
      <c r="N123" s="11">
        <f xml:space="preserve"> (L122 / 12) +2500000</f>
        <v>28747858.109319609</v>
      </c>
      <c r="P123" s="9">
        <f xml:space="preserve"> (H122 / 2 )</f>
        <v>314974297.31183529</v>
      </c>
      <c r="S123" s="9"/>
    </row>
    <row r="124" spans="1:19" s="8" customFormat="1" x14ac:dyDescent="0.3">
      <c r="B124" s="80"/>
      <c r="C124" s="8">
        <v>2</v>
      </c>
      <c r="D124" s="9">
        <f>N123</f>
        <v>28747858.109319609</v>
      </c>
      <c r="E124" s="34">
        <f t="shared" si="12"/>
        <v>172478852.65713072</v>
      </c>
      <c r="F124" s="9">
        <f t="shared" ref="F124:F134" si="18" xml:space="preserve"> H123 + D124 - K124</f>
        <v>378657012.32805532</v>
      </c>
      <c r="G124" s="8">
        <v>1.7999999999999999E-2</v>
      </c>
      <c r="H124" s="9">
        <f t="shared" si="15"/>
        <v>385472838.54996032</v>
      </c>
      <c r="I124" s="9"/>
      <c r="J124" s="9">
        <f t="shared" si="13"/>
        <v>414220696.65927994</v>
      </c>
      <c r="K124" s="38"/>
      <c r="L124" s="10"/>
      <c r="M124" s="45"/>
      <c r="S124" s="9"/>
    </row>
    <row r="125" spans="1:19" s="8" customFormat="1" x14ac:dyDescent="0.3">
      <c r="B125" s="80"/>
      <c r="C125" s="8">
        <v>3</v>
      </c>
      <c r="D125" s="9">
        <f>N123</f>
        <v>28747858.109319609</v>
      </c>
      <c r="E125" s="34">
        <f t="shared" si="12"/>
        <v>175990672.00495908</v>
      </c>
      <c r="F125" s="9">
        <f t="shared" si="18"/>
        <v>414220696.65927994</v>
      </c>
      <c r="G125" s="8">
        <v>1.7999999999999999E-2</v>
      </c>
      <c r="H125" s="9">
        <f t="shared" si="15"/>
        <v>421676669.19914699</v>
      </c>
      <c r="I125" s="9"/>
      <c r="J125" s="9">
        <f t="shared" si="13"/>
        <v>450424527.30846661</v>
      </c>
      <c r="K125" s="38"/>
      <c r="L125" s="10"/>
      <c r="M125" s="45"/>
      <c r="S125" s="9"/>
    </row>
    <row r="126" spans="1:19" s="8" customFormat="1" x14ac:dyDescent="0.3">
      <c r="B126" s="80"/>
      <c r="C126" s="8">
        <v>4</v>
      </c>
      <c r="D126" s="9">
        <f>N123</f>
        <v>28747858.109319609</v>
      </c>
      <c r="E126" s="34">
        <f t="shared" si="12"/>
        <v>179565704.10104835</v>
      </c>
      <c r="F126" s="9">
        <f t="shared" si="18"/>
        <v>450424527.30846661</v>
      </c>
      <c r="G126" s="8">
        <v>1.7999999999999999E-2</v>
      </c>
      <c r="H126" s="9">
        <f t="shared" si="15"/>
        <v>458532168.80001903</v>
      </c>
      <c r="I126" s="9"/>
      <c r="J126" s="9">
        <f t="shared" si="13"/>
        <v>487280026.90933865</v>
      </c>
      <c r="K126" s="38"/>
      <c r="L126" s="10"/>
      <c r="M126" s="45"/>
      <c r="S126" s="9"/>
    </row>
    <row r="127" spans="1:19" s="8" customFormat="1" x14ac:dyDescent="0.3">
      <c r="B127" s="80"/>
      <c r="C127" s="8">
        <v>5</v>
      </c>
      <c r="D127" s="9">
        <f>N123</f>
        <v>28747858.109319609</v>
      </c>
      <c r="E127" s="34">
        <f t="shared" si="12"/>
        <v>183205086.77486721</v>
      </c>
      <c r="F127" s="9">
        <f t="shared" si="18"/>
        <v>471950061.03303355</v>
      </c>
      <c r="G127" s="8">
        <v>1.7999999999999999E-2</v>
      </c>
      <c r="H127" s="9">
        <f t="shared" si="15"/>
        <v>480445162.13162816</v>
      </c>
      <c r="I127" s="9"/>
      <c r="J127" s="9">
        <f t="shared" si="13"/>
        <v>509193020.24094778</v>
      </c>
      <c r="K127" s="38">
        <f xml:space="preserve"> Q122</f>
        <v>15329965.876305103</v>
      </c>
      <c r="L127" s="10"/>
      <c r="M127" s="45"/>
      <c r="S127" s="9"/>
    </row>
    <row r="128" spans="1:19" s="8" customFormat="1" x14ac:dyDescent="0.3">
      <c r="B128" s="80"/>
      <c r="C128" s="8">
        <v>6</v>
      </c>
      <c r="D128" s="9">
        <f>N123</f>
        <v>28747858.109319609</v>
      </c>
      <c r="E128" s="34">
        <f t="shared" si="12"/>
        <v>186909978.33681482</v>
      </c>
      <c r="F128" s="9">
        <f t="shared" si="18"/>
        <v>509193020.24094778</v>
      </c>
      <c r="G128" s="8">
        <v>1.7999999999999999E-2</v>
      </c>
      <c r="H128" s="9">
        <f t="shared" si="15"/>
        <v>518358494.60528487</v>
      </c>
      <c r="I128" s="9"/>
      <c r="J128" s="9">
        <f t="shared" si="13"/>
        <v>547106352.7146045</v>
      </c>
      <c r="K128" s="38"/>
      <c r="L128" s="10"/>
      <c r="M128" s="45"/>
      <c r="S128" s="9"/>
    </row>
    <row r="129" spans="1:19" s="8" customFormat="1" x14ac:dyDescent="0.3">
      <c r="B129" s="80"/>
      <c r="C129" s="8">
        <v>7</v>
      </c>
      <c r="D129" s="9">
        <f>N123</f>
        <v>28747858.109319609</v>
      </c>
      <c r="E129" s="34">
        <f t="shared" si="12"/>
        <v>190681557.94687748</v>
      </c>
      <c r="F129" s="9">
        <f t="shared" si="18"/>
        <v>547106352.7146045</v>
      </c>
      <c r="G129" s="8">
        <v>1.7999999999999999E-2</v>
      </c>
      <c r="H129" s="9">
        <f t="shared" si="15"/>
        <v>556954267.06346738</v>
      </c>
      <c r="I129" s="9"/>
      <c r="J129" s="9">
        <f t="shared" si="13"/>
        <v>585702125.17278695</v>
      </c>
      <c r="K129" s="38"/>
      <c r="L129" s="10"/>
      <c r="M129" s="45"/>
      <c r="S129" s="9"/>
    </row>
    <row r="130" spans="1:19" s="8" customFormat="1" x14ac:dyDescent="0.3">
      <c r="B130" s="80"/>
      <c r="C130" s="8">
        <v>8</v>
      </c>
      <c r="D130" s="9">
        <f>N123</f>
        <v>28747858.109319609</v>
      </c>
      <c r="E130" s="34">
        <f t="shared" si="12"/>
        <v>194521025.98992127</v>
      </c>
      <c r="F130" s="9">
        <f t="shared" si="18"/>
        <v>585702125.17278695</v>
      </c>
      <c r="G130" s="8">
        <v>1.7999999999999999E-2</v>
      </c>
      <c r="H130" s="9">
        <f t="shared" si="15"/>
        <v>596244763.42589712</v>
      </c>
      <c r="I130" s="9"/>
      <c r="J130" s="9">
        <f t="shared" si="13"/>
        <v>624992621.53521669</v>
      </c>
      <c r="K130" s="38"/>
      <c r="L130" s="10"/>
      <c r="M130" s="45"/>
      <c r="S130" s="9"/>
    </row>
    <row r="131" spans="1:19" s="8" customFormat="1" x14ac:dyDescent="0.3">
      <c r="B131" s="80"/>
      <c r="C131" s="8">
        <v>9</v>
      </c>
      <c r="D131" s="9">
        <f>N123</f>
        <v>28747858.109319609</v>
      </c>
      <c r="E131" s="34">
        <f t="shared" si="12"/>
        <v>198429604.45773986</v>
      </c>
      <c r="F131" s="9">
        <f t="shared" si="18"/>
        <v>624992621.53521669</v>
      </c>
      <c r="G131" s="8">
        <v>1.7999999999999999E-2</v>
      </c>
      <c r="H131" s="9">
        <f t="shared" si="15"/>
        <v>636242488.72285056</v>
      </c>
      <c r="I131" s="9"/>
      <c r="J131" s="9">
        <f t="shared" si="13"/>
        <v>664990346.83217013</v>
      </c>
      <c r="K131" s="38"/>
      <c r="L131" s="10"/>
      <c r="M131" s="45"/>
      <c r="S131" s="9"/>
    </row>
    <row r="132" spans="1:19" s="8" customFormat="1" x14ac:dyDescent="0.3">
      <c r="B132" s="80"/>
      <c r="C132" s="8">
        <v>10</v>
      </c>
      <c r="D132" s="9">
        <f>N123</f>
        <v>28747858.109319609</v>
      </c>
      <c r="E132" s="34">
        <f t="shared" si="12"/>
        <v>202408537.33797917</v>
      </c>
      <c r="F132" s="9">
        <f t="shared" si="18"/>
        <v>664990346.83217013</v>
      </c>
      <c r="G132" s="8">
        <v>1.7999999999999999E-2</v>
      </c>
      <c r="H132" s="9">
        <f t="shared" si="15"/>
        <v>676960173.07514918</v>
      </c>
      <c r="I132" s="9"/>
      <c r="J132" s="9">
        <f t="shared" si="13"/>
        <v>705708031.18446875</v>
      </c>
      <c r="K132" s="38"/>
      <c r="L132" s="10"/>
      <c r="M132" s="45"/>
      <c r="S132" s="9"/>
    </row>
    <row r="133" spans="1:19" s="8" customFormat="1" x14ac:dyDescent="0.3">
      <c r="B133" s="80"/>
      <c r="C133" s="8">
        <v>11</v>
      </c>
      <c r="D133" s="9">
        <f>N123</f>
        <v>28747858.109319609</v>
      </c>
      <c r="E133" s="34">
        <f t="shared" si="12"/>
        <v>206459091.01006278</v>
      </c>
      <c r="F133" s="9">
        <f t="shared" si="18"/>
        <v>705708031.18446875</v>
      </c>
      <c r="G133" s="8">
        <v>1.7999999999999999E-2</v>
      </c>
      <c r="H133" s="9">
        <f t="shared" si="15"/>
        <v>718410775.74578917</v>
      </c>
      <c r="I133" s="9"/>
      <c r="J133" s="9">
        <f t="shared" si="13"/>
        <v>747158633.85510874</v>
      </c>
      <c r="K133" s="38"/>
      <c r="L133" s="10"/>
      <c r="M133" s="45"/>
      <c r="S133" s="9"/>
    </row>
    <row r="134" spans="1:19" s="17" customFormat="1" x14ac:dyDescent="0.3">
      <c r="B134" s="80"/>
      <c r="C134" s="17">
        <v>12</v>
      </c>
      <c r="D134" s="18">
        <f>N123</f>
        <v>28747858.109319609</v>
      </c>
      <c r="E134" s="18">
        <f t="shared" si="12"/>
        <v>210582554.6482439</v>
      </c>
      <c r="F134" s="18">
        <f t="shared" si="18"/>
        <v>711158633.85510874</v>
      </c>
      <c r="G134" s="17">
        <v>1.7999999999999999E-2</v>
      </c>
      <c r="H134" s="18">
        <f t="shared" si="15"/>
        <v>723959489.26450074</v>
      </c>
      <c r="I134" s="18">
        <f xml:space="preserve"> H134</f>
        <v>723959489.26450074</v>
      </c>
      <c r="J134" s="9">
        <f t="shared" si="13"/>
        <v>752707347.3738203</v>
      </c>
      <c r="K134" s="41">
        <v>36000000</v>
      </c>
      <c r="L134" s="19">
        <f xml:space="preserve"> (I134-K134) / 2</f>
        <v>343979744.63225037</v>
      </c>
      <c r="M134" s="47">
        <f xml:space="preserve"> (F123 + SUM(D124:D134)) - SUM(K124:K134)</f>
        <v>608618628.74736547</v>
      </c>
      <c r="N134" s="18">
        <f xml:space="preserve"> H134 - M134</f>
        <v>115340860.51713526</v>
      </c>
      <c r="O134" s="17">
        <v>0.84</v>
      </c>
      <c r="P134" s="18">
        <f xml:space="preserve"> N134 * O134</f>
        <v>96886322.83439362</v>
      </c>
      <c r="Q134" s="18">
        <f xml:space="preserve"> N134 - P134</f>
        <v>18454537.682741642</v>
      </c>
      <c r="R134" s="17">
        <f xml:space="preserve"> N134 / M134 * 100</f>
        <v>18.95125371934888</v>
      </c>
      <c r="S134" s="18"/>
    </row>
    <row r="135" spans="1:19" s="12" customFormat="1" x14ac:dyDescent="0.3">
      <c r="A135" s="12">
        <v>12</v>
      </c>
      <c r="B135" s="78">
        <v>2033</v>
      </c>
      <c r="C135" s="12">
        <v>1</v>
      </c>
      <c r="D135" s="13">
        <f>N135</f>
        <v>31164978.719354197</v>
      </c>
      <c r="E135" s="34">
        <f xml:space="preserve"> (E134) + ((E134) * G135 )</f>
        <v>214373040.63191229</v>
      </c>
      <c r="F135" s="13">
        <f xml:space="preserve"> (H134 / 2) + D135 - K135</f>
        <v>393144723.35160458</v>
      </c>
      <c r="G135" s="12">
        <v>1.7999999999999999E-2</v>
      </c>
      <c r="H135" s="13">
        <f t="shared" si="15"/>
        <v>400221328.37193346</v>
      </c>
      <c r="I135" s="13"/>
      <c r="J135" s="9">
        <f t="shared" si="13"/>
        <v>431386307.09128767</v>
      </c>
      <c r="K135" s="39">
        <v>0</v>
      </c>
      <c r="L135" s="14"/>
      <c r="M135" s="46"/>
      <c r="N135" s="11">
        <f xml:space="preserve"> (L134 / 12) +2500000</f>
        <v>31164978.719354197</v>
      </c>
      <c r="P135" s="13">
        <f xml:space="preserve"> (H134 - K135) / 2</f>
        <v>361979744.63225037</v>
      </c>
      <c r="Q135" s="15" t="s">
        <v>0</v>
      </c>
      <c r="S135" s="13"/>
    </row>
    <row r="136" spans="1:19" s="12" customFormat="1" x14ac:dyDescent="0.3">
      <c r="B136" s="78"/>
      <c r="C136" s="12">
        <v>2</v>
      </c>
      <c r="D136" s="13">
        <f>N135</f>
        <v>31164978.719354197</v>
      </c>
      <c r="E136" s="34">
        <f xml:space="preserve"> (E135) + ((E135) * G136 )</f>
        <v>218231755.3632867</v>
      </c>
      <c r="F136" s="13">
        <f t="shared" ref="F136:F146" si="19" xml:space="preserve"> H135 + D136 - K136</f>
        <v>431386307.09128767</v>
      </c>
      <c r="G136" s="12">
        <v>1.7999999999999999E-2</v>
      </c>
      <c r="H136" s="13">
        <f t="shared" si="15"/>
        <v>439151260.61893088</v>
      </c>
      <c r="I136" s="13"/>
      <c r="J136" s="9">
        <f t="shared" si="13"/>
        <v>470316239.33828509</v>
      </c>
      <c r="K136" s="39"/>
      <c r="L136" s="14"/>
      <c r="M136" s="46"/>
      <c r="S136" s="13"/>
    </row>
    <row r="137" spans="1:19" s="12" customFormat="1" x14ac:dyDescent="0.3">
      <c r="B137" s="78"/>
      <c r="C137" s="12">
        <v>3</v>
      </c>
      <c r="D137" s="13">
        <f>N135</f>
        <v>31164978.719354197</v>
      </c>
      <c r="E137" s="34">
        <f t="shared" ref="E137:E194" si="20" xml:space="preserve"> (E136) + ((E136) * G137 )</f>
        <v>222159926.95982587</v>
      </c>
      <c r="F137" s="13">
        <f t="shared" si="19"/>
        <v>470316239.33828509</v>
      </c>
      <c r="G137" s="12">
        <v>1.7999999999999999E-2</v>
      </c>
      <c r="H137" s="13">
        <f t="shared" si="15"/>
        <v>478781931.64637423</v>
      </c>
      <c r="I137" s="13"/>
      <c r="J137" s="9">
        <f t="shared" si="13"/>
        <v>509946910.36572844</v>
      </c>
      <c r="K137" s="39"/>
      <c r="L137" s="14"/>
      <c r="M137" s="46"/>
      <c r="S137" s="13"/>
    </row>
    <row r="138" spans="1:19" s="12" customFormat="1" x14ac:dyDescent="0.3">
      <c r="B138" s="78"/>
      <c r="C138" s="12">
        <v>4</v>
      </c>
      <c r="D138" s="13">
        <f>N135</f>
        <v>31164978.719354197</v>
      </c>
      <c r="E138" s="34">
        <f t="shared" si="20"/>
        <v>226158805.64510274</v>
      </c>
      <c r="F138" s="13">
        <f t="shared" si="19"/>
        <v>509946910.36572844</v>
      </c>
      <c r="G138" s="12">
        <v>1.7999999999999999E-2</v>
      </c>
      <c r="H138" s="13">
        <f t="shared" si="15"/>
        <v>519125954.75231153</v>
      </c>
      <c r="I138" s="13"/>
      <c r="J138" s="9">
        <f t="shared" si="13"/>
        <v>550290933.47166574</v>
      </c>
      <c r="K138" s="39"/>
      <c r="L138" s="14"/>
      <c r="M138" s="46"/>
      <c r="S138" s="13"/>
    </row>
    <row r="139" spans="1:19" s="12" customFormat="1" x14ac:dyDescent="0.3">
      <c r="B139" s="78"/>
      <c r="C139" s="12">
        <v>5</v>
      </c>
      <c r="D139" s="13">
        <f>N135</f>
        <v>31164978.719354197</v>
      </c>
      <c r="E139" s="34">
        <f t="shared" si="20"/>
        <v>230229664.1467146</v>
      </c>
      <c r="F139" s="13">
        <f t="shared" si="19"/>
        <v>531836395.7889241</v>
      </c>
      <c r="G139" s="12">
        <v>1.7999999999999999E-2</v>
      </c>
      <c r="H139" s="13">
        <f t="shared" si="15"/>
        <v>541409450.91312468</v>
      </c>
      <c r="I139" s="13"/>
      <c r="J139" s="9">
        <f t="shared" si="13"/>
        <v>572574429.63247883</v>
      </c>
      <c r="K139" s="39">
        <f xml:space="preserve"> Q134</f>
        <v>18454537.682741642</v>
      </c>
      <c r="L139" s="14"/>
      <c r="M139" s="46"/>
      <c r="S139" s="13"/>
    </row>
    <row r="140" spans="1:19" s="12" customFormat="1" x14ac:dyDescent="0.3">
      <c r="B140" s="78"/>
      <c r="C140" s="12">
        <v>6</v>
      </c>
      <c r="D140" s="13">
        <f>N135</f>
        <v>31164978.719354197</v>
      </c>
      <c r="E140" s="34">
        <f t="shared" si="20"/>
        <v>234373798.10135546</v>
      </c>
      <c r="F140" s="13">
        <f t="shared" si="19"/>
        <v>572574429.63247883</v>
      </c>
      <c r="G140" s="12">
        <v>1.7999999999999999E-2</v>
      </c>
      <c r="H140" s="13">
        <f t="shared" si="15"/>
        <v>582880769.36586344</v>
      </c>
      <c r="I140" s="13"/>
      <c r="J140" s="9">
        <f t="shared" si="13"/>
        <v>614045748.0852176</v>
      </c>
      <c r="K140" s="39"/>
      <c r="L140" s="14"/>
      <c r="M140" s="46"/>
      <c r="S140" s="13"/>
    </row>
    <row r="141" spans="1:19" s="12" customFormat="1" x14ac:dyDescent="0.3">
      <c r="B141" s="78"/>
      <c r="C141" s="12">
        <v>7</v>
      </c>
      <c r="D141" s="13">
        <f>N135</f>
        <v>31164978.719354197</v>
      </c>
      <c r="E141" s="34">
        <f t="shared" si="20"/>
        <v>238592526.46717986</v>
      </c>
      <c r="F141" s="13">
        <f t="shared" si="19"/>
        <v>614045748.0852176</v>
      </c>
      <c r="G141" s="12">
        <v>1.7999999999999999E-2</v>
      </c>
      <c r="H141" s="13">
        <f t="shared" si="15"/>
        <v>625098571.55075157</v>
      </c>
      <c r="I141" s="13"/>
      <c r="J141" s="9">
        <f t="shared" si="13"/>
        <v>656263550.27010572</v>
      </c>
      <c r="K141" s="39"/>
      <c r="L141" s="14"/>
      <c r="M141" s="46"/>
      <c r="S141" s="13"/>
    </row>
    <row r="142" spans="1:19" s="12" customFormat="1" x14ac:dyDescent="0.3">
      <c r="B142" s="78"/>
      <c r="C142" s="12">
        <v>8</v>
      </c>
      <c r="D142" s="13">
        <f>N135</f>
        <v>31164978.719354197</v>
      </c>
      <c r="E142" s="34">
        <f t="shared" si="20"/>
        <v>242887191.94358909</v>
      </c>
      <c r="F142" s="13">
        <f t="shared" si="19"/>
        <v>656263550.27010572</v>
      </c>
      <c r="G142" s="12">
        <v>1.7999999999999999E-2</v>
      </c>
      <c r="H142" s="13">
        <f t="shared" si="15"/>
        <v>668076294.17496765</v>
      </c>
      <c r="I142" s="13"/>
      <c r="J142" s="9">
        <f t="shared" si="13"/>
        <v>699241272.8943218</v>
      </c>
      <c r="K142" s="39"/>
      <c r="L142" s="14"/>
      <c r="M142" s="46"/>
      <c r="S142" s="13"/>
    </row>
    <row r="143" spans="1:19" s="12" customFormat="1" x14ac:dyDescent="0.3">
      <c r="B143" s="78"/>
      <c r="C143" s="12">
        <v>9</v>
      </c>
      <c r="D143" s="13">
        <f>N135</f>
        <v>31164978.719354197</v>
      </c>
      <c r="E143" s="34">
        <f t="shared" si="20"/>
        <v>247259161.3985737</v>
      </c>
      <c r="F143" s="13">
        <f t="shared" si="19"/>
        <v>699241272.8943218</v>
      </c>
      <c r="G143" s="12">
        <v>1.7999999999999999E-2</v>
      </c>
      <c r="H143" s="13">
        <f t="shared" si="15"/>
        <v>711827615.80641961</v>
      </c>
      <c r="I143" s="13"/>
      <c r="J143" s="9">
        <f t="shared" si="13"/>
        <v>742992594.52577376</v>
      </c>
      <c r="K143" s="39"/>
      <c r="L143" s="14"/>
      <c r="M143" s="46"/>
      <c r="S143" s="13"/>
    </row>
    <row r="144" spans="1:19" s="12" customFormat="1" x14ac:dyDescent="0.3">
      <c r="B144" s="78"/>
      <c r="C144" s="12">
        <v>10</v>
      </c>
      <c r="D144" s="13">
        <f>N135</f>
        <v>31164978.719354197</v>
      </c>
      <c r="E144" s="34">
        <f t="shared" si="20"/>
        <v>251709826.30374801</v>
      </c>
      <c r="F144" s="13">
        <f t="shared" si="19"/>
        <v>742992594.52577376</v>
      </c>
      <c r="G144" s="12">
        <v>1.7999999999999999E-2</v>
      </c>
      <c r="H144" s="13">
        <f t="shared" si="15"/>
        <v>756366461.2272377</v>
      </c>
      <c r="I144" s="13"/>
      <c r="J144" s="9">
        <f t="shared" si="13"/>
        <v>787531439.94659185</v>
      </c>
      <c r="K144" s="39"/>
      <c r="L144" s="14"/>
      <c r="M144" s="46"/>
      <c r="S144" s="13"/>
    </row>
    <row r="145" spans="1:19" s="12" customFormat="1" x14ac:dyDescent="0.3">
      <c r="B145" s="78"/>
      <c r="C145" s="12">
        <v>11</v>
      </c>
      <c r="D145" s="13">
        <f>N135</f>
        <v>31164978.719354197</v>
      </c>
      <c r="E145" s="34">
        <f t="shared" si="20"/>
        <v>256240603.17721549</v>
      </c>
      <c r="F145" s="13">
        <f t="shared" si="19"/>
        <v>787531439.94659185</v>
      </c>
      <c r="G145" s="12">
        <v>1.7999999999999999E-2</v>
      </c>
      <c r="H145" s="13">
        <f t="shared" si="15"/>
        <v>801707005.86563051</v>
      </c>
      <c r="I145" s="13"/>
      <c r="J145" s="9">
        <f t="shared" ref="J145:J194" si="21" xml:space="preserve"> D145 + H145</f>
        <v>832871984.58498466</v>
      </c>
      <c r="K145" s="39"/>
      <c r="L145" s="14"/>
      <c r="M145" s="46"/>
      <c r="S145" s="13"/>
    </row>
    <row r="146" spans="1:19" s="17" customFormat="1" x14ac:dyDescent="0.3">
      <c r="B146" s="78"/>
      <c r="C146" s="17">
        <v>12</v>
      </c>
      <c r="D146" s="18">
        <f>N135</f>
        <v>31164978.719354197</v>
      </c>
      <c r="E146" s="18">
        <f t="shared" si="20"/>
        <v>260852934.03440535</v>
      </c>
      <c r="F146" s="18">
        <f t="shared" si="19"/>
        <v>796871984.58498466</v>
      </c>
      <c r="G146" s="17">
        <v>1.7999999999999999E-2</v>
      </c>
      <c r="H146" s="18">
        <f t="shared" si="15"/>
        <v>811215680.30751443</v>
      </c>
      <c r="I146" s="18">
        <f xml:space="preserve"> H146</f>
        <v>811215680.30751443</v>
      </c>
      <c r="J146" s="9">
        <f t="shared" si="21"/>
        <v>842380659.02686858</v>
      </c>
      <c r="K146" s="41">
        <v>36000000</v>
      </c>
      <c r="L146" s="19">
        <f xml:space="preserve"> (I146-K146) / 2</f>
        <v>387607840.15375721</v>
      </c>
      <c r="M146" s="47">
        <f xml:space="preserve"> (F135 + SUM(D136:D146)) - SUM(K136:K146)</f>
        <v>681504951.58175921</v>
      </c>
      <c r="N146" s="18">
        <f xml:space="preserve"> H146 - M146</f>
        <v>129710728.72575521</v>
      </c>
      <c r="O146" s="17">
        <v>0.84</v>
      </c>
      <c r="P146" s="18">
        <f xml:space="preserve"> N146 * O146</f>
        <v>108957012.12963438</v>
      </c>
      <c r="Q146" s="18">
        <f xml:space="preserve"> N146 - P146</f>
        <v>20753716.596120834</v>
      </c>
      <c r="R146" s="17">
        <f xml:space="preserve"> N146 / M146 * 100</f>
        <v>19.032984048714425</v>
      </c>
      <c r="S146" s="18"/>
    </row>
    <row r="147" spans="1:19" s="12" customFormat="1" x14ac:dyDescent="0.3">
      <c r="A147" s="12">
        <v>13</v>
      </c>
      <c r="B147" s="78">
        <v>2034</v>
      </c>
      <c r="C147" s="12">
        <v>1</v>
      </c>
      <c r="D147" s="13">
        <f>N147</f>
        <v>34800653.346146435</v>
      </c>
      <c r="E147" s="34">
        <f t="shared" si="20"/>
        <v>265548286.84702465</v>
      </c>
      <c r="F147" s="13">
        <f xml:space="preserve"> (H146 / 2) + D147 - K147</f>
        <v>440408493.49990368</v>
      </c>
      <c r="G147" s="12">
        <v>1.7999999999999999E-2</v>
      </c>
      <c r="H147" s="13">
        <f t="shared" si="15"/>
        <v>448335846.38290197</v>
      </c>
      <c r="I147" s="13"/>
      <c r="J147" s="9">
        <f t="shared" si="21"/>
        <v>483136499.72904837</v>
      </c>
      <c r="K147" s="39"/>
      <c r="L147" s="14"/>
      <c r="M147" s="46"/>
      <c r="N147" s="11">
        <f xml:space="preserve"> (L146 / 12) +2500000</f>
        <v>34800653.346146435</v>
      </c>
      <c r="P147" s="9">
        <f xml:space="preserve"> (H146 - K147) / 2</f>
        <v>405607840.15375721</v>
      </c>
      <c r="S147" s="13"/>
    </row>
    <row r="148" spans="1:19" s="12" customFormat="1" x14ac:dyDescent="0.3">
      <c r="B148" s="78"/>
      <c r="C148" s="12">
        <v>2</v>
      </c>
      <c r="D148" s="13">
        <f>N147</f>
        <v>34800653.346146435</v>
      </c>
      <c r="E148" s="34">
        <f t="shared" si="20"/>
        <v>270328156.01027107</v>
      </c>
      <c r="F148" s="13">
        <f t="shared" ref="F148:F158" si="22" xml:space="preserve"> H147 + D148 - K148</f>
        <v>483136499.72904837</v>
      </c>
      <c r="G148" s="12">
        <v>1.7999999999999999E-2</v>
      </c>
      <c r="H148" s="13">
        <f t="shared" si="15"/>
        <v>491832956.72417122</v>
      </c>
      <c r="I148" s="13"/>
      <c r="J148" s="9">
        <f t="shared" si="21"/>
        <v>526633610.07031763</v>
      </c>
      <c r="K148" s="39"/>
      <c r="L148" s="14"/>
      <c r="M148" s="46"/>
      <c r="S148" s="13"/>
    </row>
    <row r="149" spans="1:19" s="12" customFormat="1" x14ac:dyDescent="0.3">
      <c r="B149" s="78"/>
      <c r="C149" s="12">
        <v>3</v>
      </c>
      <c r="D149" s="13">
        <f>N147</f>
        <v>34800653.346146435</v>
      </c>
      <c r="E149" s="34">
        <f t="shared" si="20"/>
        <v>275194062.81845593</v>
      </c>
      <c r="F149" s="13">
        <f t="shared" si="22"/>
        <v>526633610.07031763</v>
      </c>
      <c r="G149" s="12">
        <v>1.7999999999999999E-2</v>
      </c>
      <c r="H149" s="13">
        <f t="shared" si="15"/>
        <v>536113015.05158335</v>
      </c>
      <c r="I149" s="13"/>
      <c r="J149" s="9">
        <f t="shared" si="21"/>
        <v>570913668.39772975</v>
      </c>
      <c r="K149" s="39"/>
      <c r="L149" s="14"/>
      <c r="M149" s="46"/>
      <c r="S149" s="13"/>
    </row>
    <row r="150" spans="1:19" s="12" customFormat="1" x14ac:dyDescent="0.3">
      <c r="B150" s="78"/>
      <c r="C150" s="12">
        <v>4</v>
      </c>
      <c r="D150" s="13">
        <f>N147</f>
        <v>34800653.346146435</v>
      </c>
      <c r="E150" s="34">
        <f t="shared" si="20"/>
        <v>280147555.94918811</v>
      </c>
      <c r="F150" s="13">
        <f t="shared" si="22"/>
        <v>570913668.39772975</v>
      </c>
      <c r="G150" s="12">
        <v>1.7999999999999999E-2</v>
      </c>
      <c r="H150" s="13">
        <f t="shared" si="15"/>
        <v>581190114.42888892</v>
      </c>
      <c r="I150" s="13"/>
      <c r="J150" s="9">
        <f t="shared" si="21"/>
        <v>615990767.77503538</v>
      </c>
      <c r="K150" s="39"/>
      <c r="L150" s="14"/>
      <c r="M150" s="46"/>
      <c r="S150" s="13"/>
    </row>
    <row r="151" spans="1:19" s="12" customFormat="1" x14ac:dyDescent="0.3">
      <c r="B151" s="78"/>
      <c r="C151" s="12">
        <v>5</v>
      </c>
      <c r="D151" s="13">
        <f>N147</f>
        <v>34800653.346146435</v>
      </c>
      <c r="E151" s="34">
        <f t="shared" si="20"/>
        <v>285190211.9562735</v>
      </c>
      <c r="F151" s="13">
        <f t="shared" si="22"/>
        <v>595237051.17891455</v>
      </c>
      <c r="G151" s="12">
        <v>1.7999999999999999E-2</v>
      </c>
      <c r="H151" s="13">
        <f t="shared" si="15"/>
        <v>605951318.10013497</v>
      </c>
      <c r="I151" s="13"/>
      <c r="J151" s="9">
        <f t="shared" si="21"/>
        <v>640751971.44628143</v>
      </c>
      <c r="K151" s="39">
        <f xml:space="preserve"> Q146</f>
        <v>20753716.596120834</v>
      </c>
      <c r="L151" s="14"/>
      <c r="M151" s="46"/>
      <c r="S151" s="13"/>
    </row>
    <row r="152" spans="1:19" s="12" customFormat="1" x14ac:dyDescent="0.3">
      <c r="B152" s="78"/>
      <c r="C152" s="12">
        <v>6</v>
      </c>
      <c r="D152" s="13">
        <f>N147</f>
        <v>34800653.346146435</v>
      </c>
      <c r="E152" s="34">
        <f t="shared" si="20"/>
        <v>290323635.7714864</v>
      </c>
      <c r="F152" s="13">
        <f t="shared" si="22"/>
        <v>640751971.44628143</v>
      </c>
      <c r="G152" s="12">
        <v>1.7999999999999999E-2</v>
      </c>
      <c r="H152" s="13">
        <f t="shared" si="15"/>
        <v>652285506.93231452</v>
      </c>
      <c r="I152" s="13"/>
      <c r="J152" s="9">
        <f t="shared" si="21"/>
        <v>687086160.27846098</v>
      </c>
      <c r="K152" s="39"/>
      <c r="L152" s="14"/>
      <c r="M152" s="46"/>
      <c r="S152" s="13"/>
    </row>
    <row r="153" spans="1:19" s="12" customFormat="1" x14ac:dyDescent="0.3">
      <c r="B153" s="78"/>
      <c r="C153" s="12">
        <v>7</v>
      </c>
      <c r="D153" s="13">
        <f>N147</f>
        <v>34800653.346146435</v>
      </c>
      <c r="E153" s="34">
        <f t="shared" si="20"/>
        <v>295549461.21537316</v>
      </c>
      <c r="F153" s="13">
        <f t="shared" si="22"/>
        <v>687086160.27846098</v>
      </c>
      <c r="G153" s="12">
        <v>1.7999999999999999E-2</v>
      </c>
      <c r="H153" s="13">
        <f t="shared" si="15"/>
        <v>699453711.16347325</v>
      </c>
      <c r="I153" s="13"/>
      <c r="J153" s="9">
        <f t="shared" si="21"/>
        <v>734254364.50961971</v>
      </c>
      <c r="K153" s="39"/>
      <c r="L153" s="14"/>
      <c r="M153" s="46"/>
      <c r="S153" s="13"/>
    </row>
    <row r="154" spans="1:19" s="12" customFormat="1" x14ac:dyDescent="0.3">
      <c r="B154" s="78"/>
      <c r="C154" s="12">
        <v>8</v>
      </c>
      <c r="D154" s="13">
        <f>N147</f>
        <v>34800653.346146435</v>
      </c>
      <c r="E154" s="34">
        <f t="shared" si="20"/>
        <v>300869351.51724988</v>
      </c>
      <c r="F154" s="13">
        <f t="shared" si="22"/>
        <v>734254364.50961971</v>
      </c>
      <c r="G154" s="12">
        <v>1.7999999999999999E-2</v>
      </c>
      <c r="H154" s="13">
        <f t="shared" si="15"/>
        <v>747470943.07079291</v>
      </c>
      <c r="I154" s="13"/>
      <c r="J154" s="9">
        <f t="shared" si="21"/>
        <v>782271596.41693938</v>
      </c>
      <c r="K154" s="39"/>
      <c r="L154" s="14"/>
      <c r="M154" s="46"/>
      <c r="S154" s="13"/>
    </row>
    <row r="155" spans="1:19" s="12" customFormat="1" x14ac:dyDescent="0.3">
      <c r="B155" s="78"/>
      <c r="C155" s="12">
        <v>9</v>
      </c>
      <c r="D155" s="13">
        <f>N147</f>
        <v>34800653.346146435</v>
      </c>
      <c r="E155" s="34">
        <f t="shared" si="20"/>
        <v>306284999.84456038</v>
      </c>
      <c r="F155" s="13">
        <f t="shared" si="22"/>
        <v>782271596.41693938</v>
      </c>
      <c r="G155" s="12">
        <v>1.7999999999999999E-2</v>
      </c>
      <c r="H155" s="13">
        <f t="shared" si="15"/>
        <v>796352485.15244424</v>
      </c>
      <c r="I155" s="13"/>
      <c r="J155" s="9">
        <f t="shared" si="21"/>
        <v>831153138.49859071</v>
      </c>
      <c r="K155" s="39"/>
      <c r="L155" s="14"/>
      <c r="M155" s="46"/>
      <c r="S155" s="13"/>
    </row>
    <row r="156" spans="1:19" s="12" customFormat="1" x14ac:dyDescent="0.3">
      <c r="B156" s="78"/>
      <c r="C156" s="12">
        <v>10</v>
      </c>
      <c r="D156" s="13">
        <f>N147</f>
        <v>34800653.346146435</v>
      </c>
      <c r="E156" s="34">
        <f t="shared" si="20"/>
        <v>311798129.84176248</v>
      </c>
      <c r="F156" s="13">
        <f t="shared" si="22"/>
        <v>831153138.49859071</v>
      </c>
      <c r="G156" s="12">
        <v>1.7999999999999999E-2</v>
      </c>
      <c r="H156" s="13">
        <f t="shared" si="15"/>
        <v>846113894.99156535</v>
      </c>
      <c r="I156" s="13"/>
      <c r="J156" s="9">
        <f t="shared" si="21"/>
        <v>880914548.33771181</v>
      </c>
      <c r="K156" s="39"/>
      <c r="L156" s="14"/>
      <c r="M156" s="46"/>
      <c r="S156" s="13"/>
    </row>
    <row r="157" spans="1:19" s="12" customFormat="1" x14ac:dyDescent="0.3">
      <c r="B157" s="78"/>
      <c r="C157" s="12">
        <v>11</v>
      </c>
      <c r="D157" s="13">
        <f>N147</f>
        <v>34800653.346146435</v>
      </c>
      <c r="E157" s="34">
        <f t="shared" si="20"/>
        <v>317410496.17891419</v>
      </c>
      <c r="F157" s="13">
        <f t="shared" si="22"/>
        <v>880914548.33771181</v>
      </c>
      <c r="G157" s="12">
        <v>1.7999999999999999E-2</v>
      </c>
      <c r="H157" s="13">
        <f t="shared" si="15"/>
        <v>896771010.20779061</v>
      </c>
      <c r="I157" s="13"/>
      <c r="J157" s="9">
        <f t="shared" si="21"/>
        <v>931571663.55393708</v>
      </c>
      <c r="K157" s="39"/>
      <c r="L157" s="14"/>
      <c r="M157" s="46"/>
      <c r="S157" s="13"/>
    </row>
    <row r="158" spans="1:19" s="17" customFormat="1" x14ac:dyDescent="0.3">
      <c r="B158" s="78"/>
      <c r="C158" s="17">
        <v>12</v>
      </c>
      <c r="D158" s="18">
        <f>N147</f>
        <v>34800653.346146435</v>
      </c>
      <c r="E158" s="18">
        <f t="shared" si="20"/>
        <v>323123885.11013466</v>
      </c>
      <c r="F158" s="18">
        <f t="shared" si="22"/>
        <v>895571663.55393708</v>
      </c>
      <c r="G158" s="17">
        <v>1.7999999999999999E-2</v>
      </c>
      <c r="H158" s="18">
        <f t="shared" ref="H158:H194" si="23" xml:space="preserve"> (F158 * G158) + F158</f>
        <v>911691953.497908</v>
      </c>
      <c r="I158" s="18">
        <f xml:space="preserve"> H158</f>
        <v>911691953.497908</v>
      </c>
      <c r="J158" s="9">
        <f t="shared" si="21"/>
        <v>946492606.84405446</v>
      </c>
      <c r="K158" s="41">
        <v>36000000</v>
      </c>
      <c r="L158" s="19">
        <f xml:space="preserve"> (I158-K158) / 2</f>
        <v>437845976.748954</v>
      </c>
      <c r="M158" s="47">
        <f xml:space="preserve"> (F147 + SUM(D148:D158)) - SUM(K148:K158)</f>
        <v>766461963.71139371</v>
      </c>
      <c r="N158" s="18">
        <f xml:space="preserve"> H158 - M158</f>
        <v>145229989.78651428</v>
      </c>
      <c r="O158" s="17">
        <v>0.84</v>
      </c>
      <c r="P158" s="18">
        <f xml:space="preserve"> N158 * O158</f>
        <v>121993191.420672</v>
      </c>
      <c r="Q158" s="18">
        <f xml:space="preserve"> N158 - P158</f>
        <v>23236798.365842283</v>
      </c>
      <c r="R158" s="17">
        <f xml:space="preserve"> N158 / M158 * 100</f>
        <v>18.9481013621701</v>
      </c>
      <c r="S158" s="18"/>
    </row>
    <row r="159" spans="1:19" s="12" customFormat="1" x14ac:dyDescent="0.3">
      <c r="A159" s="12">
        <v>14</v>
      </c>
      <c r="B159" s="78">
        <v>2035</v>
      </c>
      <c r="C159" s="12">
        <v>1</v>
      </c>
      <c r="D159" s="13">
        <f>N159</f>
        <v>38987164.7290795</v>
      </c>
      <c r="E159" s="34">
        <f t="shared" si="20"/>
        <v>328940115.04211706</v>
      </c>
      <c r="F159" s="13">
        <f xml:space="preserve"> (H158 / 2) + D159 - K159</f>
        <v>494833141.47803348</v>
      </c>
      <c r="G159" s="12">
        <v>1.7999999999999999E-2</v>
      </c>
      <c r="H159" s="13">
        <f t="shared" si="23"/>
        <v>503740138.02463806</v>
      </c>
      <c r="I159" s="13"/>
      <c r="J159" s="9">
        <f t="shared" si="21"/>
        <v>542727302.75371754</v>
      </c>
      <c r="K159" s="39"/>
      <c r="L159" s="14"/>
      <c r="M159" s="46"/>
      <c r="N159" s="11">
        <f xml:space="preserve"> (L158 / 12) +2500000</f>
        <v>38987164.7290795</v>
      </c>
      <c r="P159" s="9">
        <f xml:space="preserve"> (H158 - K159) / 2</f>
        <v>455845976.748954</v>
      </c>
      <c r="S159" s="13"/>
    </row>
    <row r="160" spans="1:19" s="12" customFormat="1" x14ac:dyDescent="0.3">
      <c r="B160" s="78"/>
      <c r="C160" s="12">
        <v>2</v>
      </c>
      <c r="D160" s="13">
        <f>N159</f>
        <v>38987164.7290795</v>
      </c>
      <c r="E160" s="34">
        <f t="shared" si="20"/>
        <v>334861037.11287516</v>
      </c>
      <c r="F160" s="13">
        <f t="shared" ref="F160:F170" si="24" xml:space="preserve"> H159 + D160 - K160</f>
        <v>542727302.75371754</v>
      </c>
      <c r="G160" s="12">
        <v>1.7999999999999999E-2</v>
      </c>
      <c r="H160" s="13">
        <f t="shared" si="23"/>
        <v>552496394.2032845</v>
      </c>
      <c r="I160" s="13"/>
      <c r="J160" s="9">
        <f t="shared" si="21"/>
        <v>591483558.93236399</v>
      </c>
      <c r="K160" s="39"/>
      <c r="L160" s="14"/>
      <c r="M160" s="46"/>
      <c r="S160" s="13"/>
    </row>
    <row r="161" spans="1:19" s="12" customFormat="1" x14ac:dyDescent="0.3">
      <c r="B161" s="78"/>
      <c r="C161" s="12">
        <v>3</v>
      </c>
      <c r="D161" s="13">
        <f>N159</f>
        <v>38987164.7290795</v>
      </c>
      <c r="E161" s="34">
        <f t="shared" si="20"/>
        <v>340888535.78090692</v>
      </c>
      <c r="F161" s="13">
        <f t="shared" si="24"/>
        <v>591483558.93236399</v>
      </c>
      <c r="G161" s="12">
        <v>1.7999999999999999E-2</v>
      </c>
      <c r="H161" s="13">
        <f t="shared" si="23"/>
        <v>602130262.99314654</v>
      </c>
      <c r="I161" s="13"/>
      <c r="J161" s="9">
        <f t="shared" si="21"/>
        <v>641117427.72222602</v>
      </c>
      <c r="K161" s="39"/>
      <c r="L161" s="14"/>
      <c r="M161" s="46"/>
      <c r="S161" s="13"/>
    </row>
    <row r="162" spans="1:19" s="12" customFormat="1" x14ac:dyDescent="0.3">
      <c r="B162" s="78"/>
      <c r="C162" s="12">
        <v>4</v>
      </c>
      <c r="D162" s="13">
        <f>N159</f>
        <v>38987164.7290795</v>
      </c>
      <c r="E162" s="34">
        <f t="shared" si="20"/>
        <v>347024529.42496324</v>
      </c>
      <c r="F162" s="13">
        <f t="shared" si="24"/>
        <v>641117427.72222602</v>
      </c>
      <c r="G162" s="12">
        <v>1.7999999999999999E-2</v>
      </c>
      <c r="H162" s="13">
        <f t="shared" si="23"/>
        <v>652657541.42122614</v>
      </c>
      <c r="I162" s="13"/>
      <c r="J162" s="9">
        <f t="shared" si="21"/>
        <v>691644706.15030563</v>
      </c>
      <c r="K162" s="39"/>
      <c r="L162" s="14"/>
      <c r="M162" s="46"/>
      <c r="S162" s="13"/>
    </row>
    <row r="163" spans="1:19" s="12" customFormat="1" x14ac:dyDescent="0.3">
      <c r="B163" s="78"/>
      <c r="C163" s="12">
        <v>5</v>
      </c>
      <c r="D163" s="13">
        <f>N159</f>
        <v>38987164.7290795</v>
      </c>
      <c r="E163" s="34">
        <f t="shared" si="20"/>
        <v>353270970.95461255</v>
      </c>
      <c r="F163" s="13">
        <f t="shared" si="24"/>
        <v>668407907.78446341</v>
      </c>
      <c r="G163" s="12">
        <v>1.7999999999999999E-2</v>
      </c>
      <c r="H163" s="13">
        <f t="shared" si="23"/>
        <v>680439250.12458372</v>
      </c>
      <c r="I163" s="13"/>
      <c r="J163" s="9">
        <f t="shared" si="21"/>
        <v>719426414.85366321</v>
      </c>
      <c r="K163" s="39">
        <f xml:space="preserve"> Q158</f>
        <v>23236798.365842283</v>
      </c>
      <c r="L163" s="14"/>
      <c r="M163" s="46"/>
      <c r="S163" s="13"/>
    </row>
    <row r="164" spans="1:19" s="12" customFormat="1" x14ac:dyDescent="0.3">
      <c r="B164" s="78"/>
      <c r="C164" s="12">
        <v>6</v>
      </c>
      <c r="D164" s="13">
        <f>N159</f>
        <v>38987164.7290795</v>
      </c>
      <c r="E164" s="34">
        <f t="shared" si="20"/>
        <v>359629848.4317956</v>
      </c>
      <c r="F164" s="13">
        <f t="shared" si="24"/>
        <v>719426414.85366321</v>
      </c>
      <c r="G164" s="12">
        <v>1.7999999999999999E-2</v>
      </c>
      <c r="H164" s="13">
        <f t="shared" si="23"/>
        <v>732376090.32102919</v>
      </c>
      <c r="I164" s="13"/>
      <c r="J164" s="9">
        <f t="shared" si="21"/>
        <v>771363255.05010867</v>
      </c>
      <c r="K164" s="39"/>
      <c r="L164" s="14"/>
      <c r="M164" s="46"/>
      <c r="S164" s="13"/>
    </row>
    <row r="165" spans="1:19" s="12" customFormat="1" x14ac:dyDescent="0.3">
      <c r="B165" s="78"/>
      <c r="C165" s="12">
        <v>7</v>
      </c>
      <c r="D165" s="13">
        <f>N159</f>
        <v>38987164.7290795</v>
      </c>
      <c r="E165" s="34">
        <f t="shared" si="20"/>
        <v>366103185.70356792</v>
      </c>
      <c r="F165" s="13">
        <f t="shared" si="24"/>
        <v>771363255.05010867</v>
      </c>
      <c r="G165" s="12">
        <v>1.7999999999999999E-2</v>
      </c>
      <c r="H165" s="13">
        <f t="shared" si="23"/>
        <v>785247793.64101064</v>
      </c>
      <c r="I165" s="13"/>
      <c r="J165" s="9">
        <f t="shared" si="21"/>
        <v>824234958.37009013</v>
      </c>
      <c r="K165" s="39"/>
      <c r="L165" s="14"/>
      <c r="M165" s="46"/>
      <c r="S165" s="13"/>
    </row>
    <row r="166" spans="1:19" s="12" customFormat="1" x14ac:dyDescent="0.3">
      <c r="B166" s="78"/>
      <c r="C166" s="12">
        <v>8</v>
      </c>
      <c r="D166" s="13">
        <f>N159</f>
        <v>38987164.7290795</v>
      </c>
      <c r="E166" s="34">
        <f t="shared" si="20"/>
        <v>372693043.04623216</v>
      </c>
      <c r="F166" s="13">
        <f t="shared" si="24"/>
        <v>824234958.37009013</v>
      </c>
      <c r="G166" s="12">
        <v>1.7999999999999999E-2</v>
      </c>
      <c r="H166" s="13">
        <f t="shared" si="23"/>
        <v>839071187.62075174</v>
      </c>
      <c r="I166" s="13"/>
      <c r="J166" s="9">
        <f t="shared" si="21"/>
        <v>878058352.34983122</v>
      </c>
      <c r="K166" s="39"/>
      <c r="L166" s="14"/>
      <c r="M166" s="46"/>
      <c r="S166" s="13"/>
    </row>
    <row r="167" spans="1:19" s="12" customFormat="1" x14ac:dyDescent="0.3">
      <c r="B167" s="78"/>
      <c r="C167" s="12">
        <v>9</v>
      </c>
      <c r="D167" s="13">
        <f>N159</f>
        <v>38987164.7290795</v>
      </c>
      <c r="E167" s="34">
        <f t="shared" si="20"/>
        <v>379401517.82106435</v>
      </c>
      <c r="F167" s="13">
        <f t="shared" si="24"/>
        <v>878058352.34983122</v>
      </c>
      <c r="G167" s="12">
        <v>1.7999999999999999E-2</v>
      </c>
      <c r="H167" s="13">
        <f t="shared" si="23"/>
        <v>893863402.69212818</v>
      </c>
      <c r="I167" s="13"/>
      <c r="J167" s="9">
        <f t="shared" si="21"/>
        <v>932850567.42120767</v>
      </c>
      <c r="K167" s="39"/>
      <c r="L167" s="14"/>
      <c r="M167" s="46"/>
      <c r="S167" s="13"/>
    </row>
    <row r="168" spans="1:19" s="12" customFormat="1" x14ac:dyDescent="0.3">
      <c r="B168" s="78"/>
      <c r="C168" s="12">
        <v>10</v>
      </c>
      <c r="D168" s="13">
        <f>N159</f>
        <v>38987164.7290795</v>
      </c>
      <c r="E168" s="34">
        <f t="shared" si="20"/>
        <v>386230745.1418435</v>
      </c>
      <c r="F168" s="13">
        <f t="shared" si="24"/>
        <v>932850567.42120767</v>
      </c>
      <c r="G168" s="12">
        <v>1.7999999999999999E-2</v>
      </c>
      <c r="H168" s="13">
        <f t="shared" si="23"/>
        <v>949641877.63478935</v>
      </c>
      <c r="I168" s="13"/>
      <c r="J168" s="9">
        <f t="shared" si="21"/>
        <v>988629042.36386883</v>
      </c>
      <c r="K168" s="39"/>
      <c r="L168" s="14"/>
      <c r="M168" s="46"/>
      <c r="S168" s="13"/>
    </row>
    <row r="169" spans="1:19" s="12" customFormat="1" x14ac:dyDescent="0.3">
      <c r="B169" s="78"/>
      <c r="C169" s="12">
        <v>11</v>
      </c>
      <c r="D169" s="13">
        <f>N159</f>
        <v>38987164.7290795</v>
      </c>
      <c r="E169" s="34">
        <f t="shared" si="20"/>
        <v>393182898.55439669</v>
      </c>
      <c r="F169" s="13">
        <f t="shared" si="24"/>
        <v>988629042.36386883</v>
      </c>
      <c r="G169" s="12">
        <v>1.7999999999999999E-2</v>
      </c>
      <c r="H169" s="13">
        <f t="shared" si="23"/>
        <v>1006424365.1264185</v>
      </c>
      <c r="I169" s="13"/>
      <c r="J169" s="9">
        <f t="shared" si="21"/>
        <v>1045411529.855498</v>
      </c>
      <c r="K169" s="39"/>
      <c r="L169" s="14"/>
      <c r="M169" s="46"/>
      <c r="S169" s="13"/>
    </row>
    <row r="170" spans="1:19" s="17" customFormat="1" x14ac:dyDescent="0.3">
      <c r="B170" s="78"/>
      <c r="C170" s="17">
        <v>12</v>
      </c>
      <c r="D170" s="18">
        <f>N159</f>
        <v>38987164.7290795</v>
      </c>
      <c r="E170" s="18">
        <f t="shared" si="20"/>
        <v>400260190.72837585</v>
      </c>
      <c r="F170" s="18">
        <f t="shared" si="24"/>
        <v>1009411529.855498</v>
      </c>
      <c r="G170" s="17">
        <v>1.7999999999999999E-2</v>
      </c>
      <c r="H170" s="18">
        <f t="shared" si="23"/>
        <v>1027580937.3928969</v>
      </c>
      <c r="I170" s="18">
        <f xml:space="preserve"> H170</f>
        <v>1027580937.3928969</v>
      </c>
      <c r="J170" s="9">
        <f t="shared" si="21"/>
        <v>1066568102.1219764</v>
      </c>
      <c r="K170" s="41">
        <v>36000000</v>
      </c>
      <c r="L170" s="19">
        <f xml:space="preserve"> (I170-K170) / 2</f>
        <v>495790468.69644845</v>
      </c>
      <c r="M170" s="47">
        <f xml:space="preserve"> (F159 + SUM(D160:D170)) - SUM(K160:K170)</f>
        <v>864455155.13206553</v>
      </c>
      <c r="N170" s="18">
        <f xml:space="preserve"> H170 - M170</f>
        <v>163125782.26083136</v>
      </c>
      <c r="O170" s="17">
        <v>0.84</v>
      </c>
      <c r="P170" s="18">
        <f xml:space="preserve"> N170 * O170</f>
        <v>137025657.09909832</v>
      </c>
      <c r="Q170" s="18">
        <f xml:space="preserve"> N170 - P170</f>
        <v>26100125.161733031</v>
      </c>
      <c r="R170" s="17">
        <f xml:space="preserve"> N170 / M170 * 100</f>
        <v>18.870357969686712</v>
      </c>
      <c r="S170" s="18"/>
    </row>
    <row r="171" spans="1:19" s="12" customFormat="1" x14ac:dyDescent="0.3">
      <c r="A171" s="12">
        <v>15</v>
      </c>
      <c r="B171" s="78">
        <v>2036</v>
      </c>
      <c r="C171" s="12">
        <v>1</v>
      </c>
      <c r="D171" s="13">
        <f>N171</f>
        <v>43815872.391370706</v>
      </c>
      <c r="E171" s="34">
        <f t="shared" si="20"/>
        <v>407464874.16148663</v>
      </c>
      <c r="F171" s="13">
        <f xml:space="preserve"> (H170 / 2) + D171 - K171</f>
        <v>557606341.0878191</v>
      </c>
      <c r="G171" s="12">
        <v>1.7999999999999999E-2</v>
      </c>
      <c r="H171" s="13">
        <f t="shared" si="23"/>
        <v>567643255.22739983</v>
      </c>
      <c r="I171" s="13"/>
      <c r="J171" s="9">
        <f t="shared" si="21"/>
        <v>611459127.61877048</v>
      </c>
      <c r="K171" s="39"/>
      <c r="L171" s="14"/>
      <c r="M171" s="46"/>
      <c r="N171" s="11">
        <f xml:space="preserve"> (L170 / 12) +2500000</f>
        <v>43815872.391370706</v>
      </c>
      <c r="P171" s="9">
        <f xml:space="preserve"> (H170 - K171) / 2</f>
        <v>513790468.69644845</v>
      </c>
      <c r="S171" s="13"/>
    </row>
    <row r="172" spans="1:19" s="12" customFormat="1" x14ac:dyDescent="0.3">
      <c r="B172" s="78"/>
      <c r="C172" s="12">
        <v>2</v>
      </c>
      <c r="D172" s="13">
        <f>N171</f>
        <v>43815872.391370706</v>
      </c>
      <c r="E172" s="34">
        <f t="shared" si="20"/>
        <v>414799241.89639336</v>
      </c>
      <c r="F172" s="13">
        <f t="shared" ref="F172:F182" si="25" xml:space="preserve"> H171 + D172 - K172</f>
        <v>611459127.61877048</v>
      </c>
      <c r="G172" s="12">
        <v>1.7999999999999999E-2</v>
      </c>
      <c r="H172" s="13">
        <f t="shared" si="23"/>
        <v>622465391.91590834</v>
      </c>
      <c r="I172" s="13"/>
      <c r="J172" s="9">
        <f t="shared" si="21"/>
        <v>666281264.30727899</v>
      </c>
      <c r="K172" s="39"/>
      <c r="L172" s="14"/>
      <c r="M172" s="46"/>
      <c r="S172" s="13"/>
    </row>
    <row r="173" spans="1:19" s="12" customFormat="1" x14ac:dyDescent="0.3">
      <c r="B173" s="78"/>
      <c r="C173" s="12">
        <v>3</v>
      </c>
      <c r="D173" s="13">
        <f>N171</f>
        <v>43815872.391370706</v>
      </c>
      <c r="E173" s="34">
        <f t="shared" si="20"/>
        <v>422265628.25052845</v>
      </c>
      <c r="F173" s="13">
        <f t="shared" si="25"/>
        <v>666281264.30727899</v>
      </c>
      <c r="G173" s="12">
        <v>1.7999999999999999E-2</v>
      </c>
      <c r="H173" s="13">
        <f t="shared" si="23"/>
        <v>678274327.06481004</v>
      </c>
      <c r="I173" s="13"/>
      <c r="J173" s="9">
        <f t="shared" si="21"/>
        <v>722090199.45618069</v>
      </c>
      <c r="K173" s="39"/>
      <c r="L173" s="14"/>
      <c r="M173" s="46"/>
      <c r="S173" s="13"/>
    </row>
    <row r="174" spans="1:19" s="12" customFormat="1" x14ac:dyDescent="0.3">
      <c r="B174" s="78"/>
      <c r="C174" s="12">
        <v>4</v>
      </c>
      <c r="D174" s="13">
        <f>N171</f>
        <v>43815872.391370706</v>
      </c>
      <c r="E174" s="34">
        <f t="shared" si="20"/>
        <v>429866409.55903798</v>
      </c>
      <c r="F174" s="13">
        <f t="shared" si="25"/>
        <v>722090199.45618069</v>
      </c>
      <c r="G174" s="12">
        <v>1.7999999999999999E-2</v>
      </c>
      <c r="H174" s="13">
        <f t="shared" si="23"/>
        <v>735087823.04639196</v>
      </c>
      <c r="I174" s="13"/>
      <c r="J174" s="9">
        <f t="shared" si="21"/>
        <v>778903695.43776262</v>
      </c>
      <c r="K174" s="39"/>
      <c r="L174" s="14"/>
      <c r="M174" s="46"/>
      <c r="S174" s="13"/>
    </row>
    <row r="175" spans="1:19" s="12" customFormat="1" x14ac:dyDescent="0.3">
      <c r="B175" s="78"/>
      <c r="C175" s="12">
        <v>5</v>
      </c>
      <c r="D175" s="13">
        <f>N171</f>
        <v>43815872.391370706</v>
      </c>
      <c r="E175" s="34">
        <f t="shared" si="20"/>
        <v>437604004.93110067</v>
      </c>
      <c r="F175" s="13">
        <f t="shared" si="25"/>
        <v>752803570.27602959</v>
      </c>
      <c r="G175" s="12">
        <v>1.7999999999999999E-2</v>
      </c>
      <c r="H175" s="13">
        <f t="shared" si="23"/>
        <v>766354034.5409981</v>
      </c>
      <c r="I175" s="13"/>
      <c r="J175" s="9">
        <f t="shared" si="21"/>
        <v>810169906.93236876</v>
      </c>
      <c r="K175" s="39">
        <f xml:space="preserve"> Q170</f>
        <v>26100125.161733031</v>
      </c>
      <c r="L175" s="14"/>
      <c r="M175" s="46"/>
      <c r="S175" s="13"/>
    </row>
    <row r="176" spans="1:19" s="12" customFormat="1" x14ac:dyDescent="0.3">
      <c r="B176" s="78"/>
      <c r="C176" s="12">
        <v>6</v>
      </c>
      <c r="D176" s="13">
        <f>N171</f>
        <v>43815872.391370706</v>
      </c>
      <c r="E176" s="34">
        <f t="shared" si="20"/>
        <v>445480877.01986051</v>
      </c>
      <c r="F176" s="13">
        <f t="shared" si="25"/>
        <v>810169906.93236876</v>
      </c>
      <c r="G176" s="12">
        <v>1.7999999999999999E-2</v>
      </c>
      <c r="H176" s="13">
        <f t="shared" si="23"/>
        <v>824752965.25715137</v>
      </c>
      <c r="I176" s="13"/>
      <c r="J176" s="9">
        <f t="shared" si="21"/>
        <v>868568837.64852202</v>
      </c>
      <c r="K176" s="39"/>
      <c r="L176" s="14"/>
      <c r="M176" s="46"/>
      <c r="S176" s="13"/>
    </row>
    <row r="177" spans="1:19" s="12" customFormat="1" x14ac:dyDescent="0.3">
      <c r="B177" s="78"/>
      <c r="C177" s="12">
        <v>7</v>
      </c>
      <c r="D177" s="13">
        <f>N171</f>
        <v>43815872.391370706</v>
      </c>
      <c r="E177" s="34">
        <f t="shared" si="20"/>
        <v>453499532.80621797</v>
      </c>
      <c r="F177" s="13">
        <f t="shared" si="25"/>
        <v>868568837.64852202</v>
      </c>
      <c r="G177" s="12">
        <v>1.7999999999999999E-2</v>
      </c>
      <c r="H177" s="13">
        <f t="shared" si="23"/>
        <v>884203076.72619545</v>
      </c>
      <c r="I177" s="13"/>
      <c r="J177" s="9">
        <f t="shared" si="21"/>
        <v>928018949.11756611</v>
      </c>
      <c r="K177" s="39"/>
      <c r="L177" s="14"/>
      <c r="M177" s="46"/>
      <c r="S177" s="13"/>
    </row>
    <row r="178" spans="1:19" s="12" customFormat="1" x14ac:dyDescent="0.3">
      <c r="B178" s="78"/>
      <c r="C178" s="12">
        <v>8</v>
      </c>
      <c r="D178" s="13">
        <f>N171</f>
        <v>43815872.391370706</v>
      </c>
      <c r="E178" s="34">
        <f t="shared" si="20"/>
        <v>461662524.39672989</v>
      </c>
      <c r="F178" s="13">
        <f t="shared" si="25"/>
        <v>928018949.11756611</v>
      </c>
      <c r="G178" s="12">
        <v>1.7999999999999999E-2</v>
      </c>
      <c r="H178" s="13">
        <f t="shared" si="23"/>
        <v>944723290.20168233</v>
      </c>
      <c r="I178" s="13"/>
      <c r="J178" s="9">
        <f t="shared" si="21"/>
        <v>988539162.59305298</v>
      </c>
      <c r="K178" s="39"/>
      <c r="L178" s="14"/>
      <c r="M178" s="46"/>
      <c r="S178" s="13"/>
    </row>
    <row r="179" spans="1:19" s="12" customFormat="1" x14ac:dyDescent="0.3">
      <c r="B179" s="78"/>
      <c r="C179" s="12">
        <v>9</v>
      </c>
      <c r="D179" s="13">
        <f>N171</f>
        <v>43815872.391370706</v>
      </c>
      <c r="E179" s="34">
        <f t="shared" si="20"/>
        <v>469972449.83587104</v>
      </c>
      <c r="F179" s="13">
        <f t="shared" si="25"/>
        <v>988539162.59305298</v>
      </c>
      <c r="G179" s="12">
        <v>1.7999999999999999E-2</v>
      </c>
      <c r="H179" s="13">
        <f t="shared" si="23"/>
        <v>1006332867.5197279</v>
      </c>
      <c r="I179" s="13"/>
      <c r="J179" s="9">
        <f t="shared" si="21"/>
        <v>1050148739.9110986</v>
      </c>
      <c r="K179" s="39"/>
      <c r="L179" s="14"/>
      <c r="M179" s="46"/>
      <c r="S179" s="13"/>
    </row>
    <row r="180" spans="1:19" s="12" customFormat="1" x14ac:dyDescent="0.3">
      <c r="B180" s="78"/>
      <c r="C180" s="12">
        <v>10</v>
      </c>
      <c r="D180" s="13">
        <f>N171</f>
        <v>43815872.391370706</v>
      </c>
      <c r="E180" s="34">
        <f t="shared" si="20"/>
        <v>478431953.9329167</v>
      </c>
      <c r="F180" s="13">
        <f t="shared" si="25"/>
        <v>1050148739.9110986</v>
      </c>
      <c r="G180" s="12">
        <v>1.7999999999999999E-2</v>
      </c>
      <c r="H180" s="13">
        <f t="shared" si="23"/>
        <v>1069051417.2294984</v>
      </c>
      <c r="I180" s="13"/>
      <c r="J180" s="9">
        <f t="shared" si="21"/>
        <v>1112867289.6208692</v>
      </c>
      <c r="K180" s="39"/>
      <c r="L180" s="14"/>
      <c r="M180" s="46"/>
      <c r="S180" s="13"/>
    </row>
    <row r="181" spans="1:19" s="12" customFormat="1" x14ac:dyDescent="0.3">
      <c r="B181" s="78"/>
      <c r="C181" s="12">
        <v>11</v>
      </c>
      <c r="D181" s="13">
        <f>N171</f>
        <v>43815872.391370706</v>
      </c>
      <c r="E181" s="34">
        <f t="shared" si="20"/>
        <v>487043729.10370922</v>
      </c>
      <c r="F181" s="13">
        <f t="shared" si="25"/>
        <v>1112867289.6208692</v>
      </c>
      <c r="G181" s="12">
        <v>1.7999999999999999E-2</v>
      </c>
      <c r="H181" s="13">
        <f t="shared" si="23"/>
        <v>1132898900.8340447</v>
      </c>
      <c r="I181" s="13"/>
      <c r="J181" s="9">
        <f t="shared" si="21"/>
        <v>1176714773.2254155</v>
      </c>
      <c r="K181" s="39"/>
      <c r="L181" s="14"/>
      <c r="M181" s="46"/>
      <c r="S181" s="13"/>
    </row>
    <row r="182" spans="1:19" s="17" customFormat="1" x14ac:dyDescent="0.3">
      <c r="B182" s="78"/>
      <c r="C182" s="17">
        <v>12</v>
      </c>
      <c r="D182" s="18">
        <f>N171</f>
        <v>43815872.391370706</v>
      </c>
      <c r="E182" s="18">
        <f t="shared" si="20"/>
        <v>495810516.22757596</v>
      </c>
      <c r="F182" s="18">
        <f t="shared" si="25"/>
        <v>1140714773.2254155</v>
      </c>
      <c r="G182" s="17">
        <v>1.7999999999999999E-2</v>
      </c>
      <c r="H182" s="18">
        <f t="shared" si="23"/>
        <v>1161247639.1434729</v>
      </c>
      <c r="I182" s="18">
        <f xml:space="preserve"> H182</f>
        <v>1161247639.1434729</v>
      </c>
      <c r="J182" s="9">
        <f t="shared" si="21"/>
        <v>1205063511.5348437</v>
      </c>
      <c r="K182" s="41">
        <v>36000000</v>
      </c>
      <c r="L182" s="19">
        <f xml:space="preserve"> (I182-K182) / 2</f>
        <v>562623819.57173645</v>
      </c>
      <c r="M182" s="47">
        <f xml:space="preserve"> (F171 + SUM(D172:D182)) - SUM(K172:K182)</f>
        <v>977480812.23116386</v>
      </c>
      <c r="N182" s="18">
        <f xml:space="preserve"> H182 - M182</f>
        <v>183766826.91230905</v>
      </c>
      <c r="O182" s="17">
        <v>0.84</v>
      </c>
      <c r="P182" s="18">
        <f xml:space="preserve"> N182 * O182</f>
        <v>154364134.6063396</v>
      </c>
      <c r="Q182" s="18">
        <f xml:space="preserve"> N182 - P182</f>
        <v>29402692.305969447</v>
      </c>
      <c r="R182" s="17">
        <f xml:space="preserve"> N182 / M182 * 100</f>
        <v>18.800044421623916</v>
      </c>
      <c r="S182" s="18"/>
    </row>
    <row r="183" spans="1:19" s="12" customFormat="1" x14ac:dyDescent="0.3">
      <c r="A183" s="12">
        <v>16</v>
      </c>
      <c r="B183" s="78">
        <v>2037</v>
      </c>
      <c r="C183" s="12">
        <v>1</v>
      </c>
      <c r="D183" s="13">
        <f>N183</f>
        <v>49385318.297644705</v>
      </c>
      <c r="E183" s="34">
        <f t="shared" si="20"/>
        <v>504735105.51967233</v>
      </c>
      <c r="F183" s="13">
        <f xml:space="preserve"> (H182 / 2) + D183 - K183</f>
        <v>630009137.86938119</v>
      </c>
      <c r="G183" s="12">
        <v>1.7999999999999999E-2</v>
      </c>
      <c r="H183" s="13">
        <f t="shared" si="23"/>
        <v>641349302.35102999</v>
      </c>
      <c r="I183" s="13"/>
      <c r="J183" s="9">
        <f t="shared" si="21"/>
        <v>690734620.64867473</v>
      </c>
      <c r="K183" s="39"/>
      <c r="L183" s="14"/>
      <c r="M183" s="46"/>
      <c r="N183" s="11">
        <f xml:space="preserve"> (L182 / 12) +2500000</f>
        <v>49385318.297644705</v>
      </c>
      <c r="P183" s="9">
        <f xml:space="preserve"> (H182 - K183) / 2</f>
        <v>580623819.57173645</v>
      </c>
      <c r="S183" s="13"/>
    </row>
    <row r="184" spans="1:19" s="12" customFormat="1" x14ac:dyDescent="0.3">
      <c r="B184" s="78"/>
      <c r="C184" s="12">
        <v>2</v>
      </c>
      <c r="D184" s="13">
        <f>N183</f>
        <v>49385318.297644705</v>
      </c>
      <c r="E184" s="34">
        <f t="shared" si="20"/>
        <v>513820337.41902643</v>
      </c>
      <c r="F184" s="13">
        <f t="shared" ref="F184:F194" si="26" xml:space="preserve"> H183 + D184 - K184</f>
        <v>690734620.64867473</v>
      </c>
      <c r="G184" s="12">
        <v>1.7999999999999999E-2</v>
      </c>
      <c r="H184" s="13">
        <f t="shared" si="23"/>
        <v>703167843.82035089</v>
      </c>
      <c r="I184" s="13"/>
      <c r="J184" s="9">
        <f t="shared" si="21"/>
        <v>752553162.11799562</v>
      </c>
      <c r="K184" s="39"/>
      <c r="L184" s="14"/>
      <c r="M184" s="46"/>
      <c r="S184" s="13"/>
    </row>
    <row r="185" spans="1:19" s="12" customFormat="1" x14ac:dyDescent="0.3">
      <c r="B185" s="78"/>
      <c r="C185" s="12">
        <v>3</v>
      </c>
      <c r="D185" s="13">
        <f>N183</f>
        <v>49385318.297644705</v>
      </c>
      <c r="E185" s="34">
        <f t="shared" si="20"/>
        <v>523069103.49256891</v>
      </c>
      <c r="F185" s="13">
        <f t="shared" si="26"/>
        <v>752553162.11799562</v>
      </c>
      <c r="G185" s="12">
        <v>1.7999999999999999E-2</v>
      </c>
      <c r="H185" s="13">
        <f t="shared" si="23"/>
        <v>766099119.03611958</v>
      </c>
      <c r="I185" s="13"/>
      <c r="J185" s="9">
        <f t="shared" si="21"/>
        <v>815484437.33376431</v>
      </c>
      <c r="K185" s="39"/>
      <c r="L185" s="14"/>
      <c r="M185" s="46"/>
      <c r="S185" s="13"/>
    </row>
    <row r="186" spans="1:19" s="12" customFormat="1" x14ac:dyDescent="0.3">
      <c r="B186" s="78"/>
      <c r="C186" s="12">
        <v>4</v>
      </c>
      <c r="D186" s="13">
        <f>N183</f>
        <v>49385318.297644705</v>
      </c>
      <c r="E186" s="34">
        <f t="shared" si="20"/>
        <v>532484347.35543513</v>
      </c>
      <c r="F186" s="13">
        <f t="shared" si="26"/>
        <v>815484437.33376431</v>
      </c>
      <c r="G186" s="12">
        <v>1.7999999999999999E-2</v>
      </c>
      <c r="H186" s="13">
        <f t="shared" si="23"/>
        <v>830163157.20577204</v>
      </c>
      <c r="I186" s="13"/>
      <c r="J186" s="9">
        <f t="shared" si="21"/>
        <v>879548475.50341678</v>
      </c>
      <c r="K186" s="39"/>
      <c r="L186" s="14"/>
      <c r="M186" s="46"/>
      <c r="S186" s="13"/>
    </row>
    <row r="187" spans="1:19" s="12" customFormat="1" x14ac:dyDescent="0.3">
      <c r="B187" s="78"/>
      <c r="C187" s="12">
        <v>5</v>
      </c>
      <c r="D187" s="13">
        <f>N183</f>
        <v>49385318.297644705</v>
      </c>
      <c r="E187" s="34">
        <f t="shared" si="20"/>
        <v>542069065.60783291</v>
      </c>
      <c r="F187" s="13">
        <f t="shared" si="26"/>
        <v>850145783.1974473</v>
      </c>
      <c r="G187" s="12">
        <v>1.7999999999999999E-2</v>
      </c>
      <c r="H187" s="13">
        <f t="shared" si="23"/>
        <v>865448407.29500139</v>
      </c>
      <c r="I187" s="13"/>
      <c r="J187" s="9">
        <f t="shared" si="21"/>
        <v>914833725.59264612</v>
      </c>
      <c r="K187" s="39">
        <f xml:space="preserve"> Q182</f>
        <v>29402692.305969447</v>
      </c>
      <c r="L187" s="14"/>
      <c r="M187" s="46"/>
      <c r="S187" s="13"/>
    </row>
    <row r="188" spans="1:19" s="12" customFormat="1" x14ac:dyDescent="0.3">
      <c r="B188" s="78"/>
      <c r="C188" s="12">
        <v>6</v>
      </c>
      <c r="D188" s="13">
        <f>N183</f>
        <v>49385318.297644705</v>
      </c>
      <c r="E188" s="34">
        <f t="shared" si="20"/>
        <v>551826308.78877389</v>
      </c>
      <c r="F188" s="13">
        <f t="shared" si="26"/>
        <v>914833725.59264612</v>
      </c>
      <c r="G188" s="12">
        <v>1.7999999999999999E-2</v>
      </c>
      <c r="H188" s="13">
        <f t="shared" si="23"/>
        <v>931300732.65331376</v>
      </c>
      <c r="I188" s="13"/>
      <c r="J188" s="9">
        <f t="shared" si="21"/>
        <v>980686050.95095849</v>
      </c>
      <c r="K188" s="39"/>
      <c r="L188" s="14"/>
      <c r="M188" s="46"/>
      <c r="S188" s="13"/>
    </row>
    <row r="189" spans="1:19" s="12" customFormat="1" x14ac:dyDescent="0.3">
      <c r="B189" s="78"/>
      <c r="C189" s="12">
        <v>7</v>
      </c>
      <c r="D189" s="13">
        <f>N183</f>
        <v>49385318.297644705</v>
      </c>
      <c r="E189" s="34">
        <f t="shared" si="20"/>
        <v>561759182.34697187</v>
      </c>
      <c r="F189" s="13">
        <f t="shared" si="26"/>
        <v>980686050.95095849</v>
      </c>
      <c r="G189" s="12">
        <v>1.7999999999999999E-2</v>
      </c>
      <c r="H189" s="13">
        <f t="shared" si="23"/>
        <v>998338399.86807573</v>
      </c>
      <c r="I189" s="13"/>
      <c r="J189" s="9">
        <f t="shared" si="21"/>
        <v>1047723718.1657205</v>
      </c>
      <c r="K189" s="39"/>
      <c r="L189" s="14"/>
      <c r="M189" s="46"/>
      <c r="S189" s="13"/>
    </row>
    <row r="190" spans="1:19" s="12" customFormat="1" x14ac:dyDescent="0.3">
      <c r="B190" s="78"/>
      <c r="C190" s="12">
        <v>8</v>
      </c>
      <c r="D190" s="13">
        <f>N183</f>
        <v>49385318.297644705</v>
      </c>
      <c r="E190" s="34">
        <f t="shared" si="20"/>
        <v>571870847.62921739</v>
      </c>
      <c r="F190" s="13">
        <f t="shared" si="26"/>
        <v>1047723718.1657205</v>
      </c>
      <c r="G190" s="12">
        <v>1.7999999999999999E-2</v>
      </c>
      <c r="H190" s="13">
        <f t="shared" si="23"/>
        <v>1066582745.0927035</v>
      </c>
      <c r="I190" s="13"/>
      <c r="J190" s="9">
        <f t="shared" si="21"/>
        <v>1115968063.3903482</v>
      </c>
      <c r="K190" s="39"/>
      <c r="L190" s="14"/>
      <c r="M190" s="46"/>
      <c r="S190" s="13"/>
    </row>
    <row r="191" spans="1:19" s="12" customFormat="1" x14ac:dyDescent="0.3">
      <c r="B191" s="78"/>
      <c r="C191" s="12">
        <v>9</v>
      </c>
      <c r="D191" s="13">
        <f>N183</f>
        <v>49385318.297644705</v>
      </c>
      <c r="E191" s="34">
        <f t="shared" si="20"/>
        <v>582164522.88654327</v>
      </c>
      <c r="F191" s="13">
        <f t="shared" si="26"/>
        <v>1115968063.3903482</v>
      </c>
      <c r="G191" s="12">
        <v>1.7999999999999999E-2</v>
      </c>
      <c r="H191" s="13">
        <f t="shared" si="23"/>
        <v>1136055488.5313745</v>
      </c>
      <c r="I191" s="13"/>
      <c r="J191" s="9">
        <f t="shared" si="21"/>
        <v>1185440806.8290191</v>
      </c>
      <c r="K191" s="39"/>
      <c r="L191" s="14"/>
      <c r="M191" s="46"/>
      <c r="S191" s="13"/>
    </row>
    <row r="192" spans="1:19" s="12" customFormat="1" x14ac:dyDescent="0.3">
      <c r="B192" s="78"/>
      <c r="C192" s="12">
        <v>10</v>
      </c>
      <c r="D192" s="13">
        <f>N183</f>
        <v>49385318.297644705</v>
      </c>
      <c r="E192" s="34">
        <f t="shared" si="20"/>
        <v>592643484.29850101</v>
      </c>
      <c r="F192" s="13">
        <f t="shared" si="26"/>
        <v>1185440806.8290191</v>
      </c>
      <c r="G192" s="12">
        <v>1.7999999999999999E-2</v>
      </c>
      <c r="H192" s="13">
        <f t="shared" si="23"/>
        <v>1206778741.3519413</v>
      </c>
      <c r="I192" s="13"/>
      <c r="J192" s="9">
        <f t="shared" si="21"/>
        <v>1256164059.649586</v>
      </c>
      <c r="K192" s="39"/>
      <c r="L192" s="14"/>
      <c r="M192" s="46"/>
      <c r="S192" s="13"/>
    </row>
    <row r="193" spans="1:19" s="12" customFormat="1" x14ac:dyDescent="0.3">
      <c r="B193" s="78"/>
      <c r="C193" s="12">
        <v>11</v>
      </c>
      <c r="D193" s="13">
        <f>N183</f>
        <v>49385318.297644705</v>
      </c>
      <c r="E193" s="34">
        <f t="shared" si="20"/>
        <v>603311067.01587403</v>
      </c>
      <c r="F193" s="13">
        <f t="shared" si="26"/>
        <v>1256164059.649586</v>
      </c>
      <c r="G193" s="12">
        <v>1.7999999999999999E-2</v>
      </c>
      <c r="H193" s="13">
        <f t="shared" si="23"/>
        <v>1278775012.7232785</v>
      </c>
      <c r="I193" s="13"/>
      <c r="J193" s="9">
        <f t="shared" si="21"/>
        <v>1328160331.0209231</v>
      </c>
      <c r="K193" s="39"/>
      <c r="L193" s="14"/>
      <c r="M193" s="46"/>
      <c r="S193" s="13"/>
    </row>
    <row r="194" spans="1:19" s="17" customFormat="1" x14ac:dyDescent="0.3">
      <c r="B194" s="78"/>
      <c r="C194" s="17">
        <v>12</v>
      </c>
      <c r="D194" s="18">
        <f>N183</f>
        <v>49385318.297644705</v>
      </c>
      <c r="E194" s="18">
        <f t="shared" si="20"/>
        <v>614170666.22215974</v>
      </c>
      <c r="F194" s="18">
        <f t="shared" si="26"/>
        <v>1292160331.0209231</v>
      </c>
      <c r="G194" s="17">
        <v>1.7999999999999999E-2</v>
      </c>
      <c r="H194" s="18">
        <f t="shared" si="23"/>
        <v>1315419216.9792998</v>
      </c>
      <c r="I194" s="18">
        <f xml:space="preserve"> H194</f>
        <v>1315419216.9792998</v>
      </c>
      <c r="J194" s="9">
        <f t="shared" si="21"/>
        <v>1364804535.2769444</v>
      </c>
      <c r="K194" s="41">
        <v>36000000</v>
      </c>
      <c r="L194" s="19">
        <f xml:space="preserve"> (I194-K194) / 2</f>
        <v>639709608.48964989</v>
      </c>
      <c r="M194" s="47">
        <f xml:space="preserve"> (F183 + SUM(D184:D194)) - SUM(K184:K194)</f>
        <v>1107844946.8375037</v>
      </c>
      <c r="N194" s="18">
        <f xml:space="preserve"> H194 - M194</f>
        <v>207574270.14179611</v>
      </c>
      <c r="O194" s="17">
        <v>0.84</v>
      </c>
      <c r="P194" s="18">
        <f xml:space="preserve"> N194 * O194</f>
        <v>174362386.91910872</v>
      </c>
      <c r="Q194" s="18">
        <f xml:space="preserve"> N194 - P194</f>
        <v>33211883.222687393</v>
      </c>
      <c r="R194" s="17">
        <f xml:space="preserve"> N194 / M194 * 100</f>
        <v>18.736761920911903</v>
      </c>
      <c r="S194" s="18"/>
    </row>
    <row r="195" spans="1:19" s="3" customFormat="1" x14ac:dyDescent="0.3">
      <c r="A195" s="3">
        <v>17</v>
      </c>
      <c r="B195" s="79">
        <v>2038</v>
      </c>
      <c r="C195" s="3">
        <v>1</v>
      </c>
      <c r="D195" s="4"/>
      <c r="E195" s="4"/>
      <c r="F195" s="4"/>
      <c r="H195" s="4"/>
      <c r="I195" s="4"/>
      <c r="J195" s="4"/>
      <c r="K195" s="42"/>
      <c r="L195" s="5"/>
      <c r="M195" s="48"/>
      <c r="N195" s="11"/>
      <c r="P195" s="9"/>
      <c r="Q195" s="7"/>
      <c r="S195" s="4"/>
    </row>
    <row r="196" spans="1:19" s="3" customFormat="1" x14ac:dyDescent="0.3">
      <c r="A196" s="50" t="s">
        <v>31</v>
      </c>
      <c r="B196" s="79"/>
      <c r="C196" s="3">
        <v>2</v>
      </c>
      <c r="D196" s="4"/>
      <c r="E196" s="4"/>
      <c r="F196" s="4"/>
      <c r="H196" s="4"/>
      <c r="I196" s="4"/>
      <c r="J196" s="4"/>
      <c r="K196" s="42"/>
      <c r="L196" s="5"/>
      <c r="M196" s="48"/>
      <c r="S196" s="4"/>
    </row>
    <row r="197" spans="1:19" s="3" customFormat="1" x14ac:dyDescent="0.3">
      <c r="B197" s="79"/>
      <c r="C197" s="3">
        <v>3</v>
      </c>
      <c r="D197" s="4"/>
      <c r="E197" s="4"/>
      <c r="F197" s="4"/>
      <c r="H197" s="4"/>
      <c r="I197" s="4"/>
      <c r="J197" s="4"/>
      <c r="K197" s="42"/>
      <c r="L197" s="5"/>
      <c r="M197" s="48"/>
      <c r="S197" s="4"/>
    </row>
    <row r="198" spans="1:19" s="3" customFormat="1" x14ac:dyDescent="0.3">
      <c r="B198" s="79"/>
      <c r="C198" s="3">
        <v>4</v>
      </c>
      <c r="D198" s="4"/>
      <c r="E198" s="4"/>
      <c r="F198" s="4"/>
      <c r="H198" s="4"/>
      <c r="I198" s="4"/>
      <c r="J198" s="4"/>
      <c r="K198" s="42"/>
      <c r="L198" s="5"/>
      <c r="M198" s="48"/>
      <c r="S198" s="4"/>
    </row>
    <row r="199" spans="1:19" s="3" customFormat="1" x14ac:dyDescent="0.3">
      <c r="B199" s="79"/>
      <c r="C199" s="3">
        <v>5</v>
      </c>
      <c r="D199" s="4"/>
      <c r="E199" s="4"/>
      <c r="F199" s="4"/>
      <c r="H199" s="4"/>
      <c r="I199" s="4"/>
      <c r="J199" s="4"/>
      <c r="K199" s="42"/>
      <c r="L199" s="5"/>
      <c r="M199" s="48"/>
      <c r="S199" s="4"/>
    </row>
    <row r="200" spans="1:19" s="3" customFormat="1" x14ac:dyDescent="0.3">
      <c r="B200" s="79"/>
      <c r="C200" s="3">
        <v>6</v>
      </c>
      <c r="D200" s="4"/>
      <c r="E200" s="4"/>
      <c r="F200" s="4"/>
      <c r="H200" s="4"/>
      <c r="I200" s="4"/>
      <c r="J200" s="4"/>
      <c r="K200" s="42"/>
      <c r="L200" s="5"/>
      <c r="M200" s="48"/>
      <c r="S200" s="4"/>
    </row>
    <row r="201" spans="1:19" s="3" customFormat="1" x14ac:dyDescent="0.3">
      <c r="B201" s="79"/>
      <c r="C201" s="3">
        <v>7</v>
      </c>
      <c r="D201" s="4"/>
      <c r="E201" s="4"/>
      <c r="F201" s="4"/>
      <c r="H201" s="4"/>
      <c r="I201" s="4"/>
      <c r="J201" s="4"/>
      <c r="K201" s="42"/>
      <c r="L201" s="5"/>
      <c r="M201" s="48"/>
      <c r="S201" s="4"/>
    </row>
    <row r="202" spans="1:19" s="3" customFormat="1" x14ac:dyDescent="0.3">
      <c r="B202" s="79"/>
      <c r="C202" s="3">
        <v>8</v>
      </c>
      <c r="D202" s="4"/>
      <c r="E202" s="4"/>
      <c r="F202" s="4"/>
      <c r="H202" s="4"/>
      <c r="I202" s="4"/>
      <c r="J202" s="4"/>
      <c r="K202" s="42"/>
      <c r="L202" s="5"/>
      <c r="M202" s="48"/>
      <c r="S202" s="4"/>
    </row>
    <row r="203" spans="1:19" s="3" customFormat="1" x14ac:dyDescent="0.3">
      <c r="B203" s="79"/>
      <c r="C203" s="3">
        <v>9</v>
      </c>
      <c r="D203" s="4"/>
      <c r="E203" s="4"/>
      <c r="F203" s="4"/>
      <c r="H203" s="4"/>
      <c r="I203" s="4"/>
      <c r="J203" s="4"/>
      <c r="K203" s="42"/>
      <c r="L203" s="5"/>
      <c r="M203" s="48"/>
      <c r="S203" s="4"/>
    </row>
    <row r="204" spans="1:19" s="3" customFormat="1" x14ac:dyDescent="0.3">
      <c r="B204" s="79"/>
      <c r="C204" s="3">
        <v>10</v>
      </c>
      <c r="D204" s="4"/>
      <c r="E204" s="4"/>
      <c r="F204" s="4"/>
      <c r="H204" s="4"/>
      <c r="I204" s="4"/>
      <c r="J204" s="4"/>
      <c r="K204" s="42"/>
      <c r="L204" s="5"/>
      <c r="M204" s="48"/>
      <c r="S204" s="4"/>
    </row>
    <row r="205" spans="1:19" s="3" customFormat="1" x14ac:dyDescent="0.3">
      <c r="B205" s="79"/>
      <c r="C205" s="3">
        <v>11</v>
      </c>
      <c r="D205" s="4"/>
      <c r="E205" s="4"/>
      <c r="F205" s="4"/>
      <c r="H205" s="4"/>
      <c r="I205" s="4"/>
      <c r="J205" s="4"/>
      <c r="K205" s="42"/>
      <c r="L205" s="5"/>
      <c r="M205" s="48"/>
      <c r="S205" s="4"/>
    </row>
    <row r="206" spans="1:19" s="3" customFormat="1" x14ac:dyDescent="0.3">
      <c r="B206" s="79"/>
      <c r="C206" s="3">
        <v>12</v>
      </c>
      <c r="D206" s="4"/>
      <c r="E206" s="4"/>
      <c r="F206" s="4"/>
      <c r="H206" s="4"/>
      <c r="I206" s="18"/>
      <c r="J206" s="18"/>
      <c r="K206" s="43"/>
      <c r="L206" s="16"/>
      <c r="M206" s="49"/>
      <c r="N206" s="9"/>
      <c r="P206" s="4"/>
      <c r="Q206" s="4"/>
      <c r="S206" s="4"/>
    </row>
    <row r="207" spans="1:19" s="3" customFormat="1" x14ac:dyDescent="0.3">
      <c r="A207" s="3">
        <v>18</v>
      </c>
      <c r="B207" s="79">
        <v>2039</v>
      </c>
      <c r="C207" s="3">
        <v>1</v>
      </c>
      <c r="D207" s="4"/>
      <c r="E207" s="4"/>
      <c r="F207" s="4"/>
      <c r="H207" s="4"/>
      <c r="I207" s="4"/>
      <c r="J207" s="4"/>
      <c r="K207" s="42"/>
      <c r="L207" s="5"/>
      <c r="M207" s="48"/>
      <c r="N207" s="6"/>
      <c r="P207" s="9"/>
      <c r="S207" s="4"/>
    </row>
    <row r="208" spans="1:19" s="3" customFormat="1" x14ac:dyDescent="0.3">
      <c r="B208" s="79"/>
      <c r="C208" s="3">
        <v>2</v>
      </c>
      <c r="D208" s="4"/>
      <c r="E208" s="4"/>
      <c r="F208" s="4"/>
      <c r="H208" s="4"/>
      <c r="I208" s="4"/>
      <c r="J208" s="4"/>
      <c r="K208" s="42"/>
      <c r="L208" s="5"/>
      <c r="M208" s="48"/>
      <c r="S208" s="4"/>
    </row>
    <row r="209" spans="1:19" s="3" customFormat="1" x14ac:dyDescent="0.3">
      <c r="B209" s="79"/>
      <c r="C209" s="3">
        <v>3</v>
      </c>
      <c r="D209" s="4"/>
      <c r="E209" s="4"/>
      <c r="F209" s="4"/>
      <c r="H209" s="4"/>
      <c r="I209" s="4"/>
      <c r="J209" s="4"/>
      <c r="K209" s="42"/>
      <c r="L209" s="5"/>
      <c r="M209" s="48"/>
      <c r="S209" s="4"/>
    </row>
    <row r="210" spans="1:19" s="3" customFormat="1" x14ac:dyDescent="0.3">
      <c r="B210" s="79"/>
      <c r="C210" s="3">
        <v>4</v>
      </c>
      <c r="D210" s="4"/>
      <c r="E210" s="4"/>
      <c r="F210" s="4"/>
      <c r="H210" s="4"/>
      <c r="I210" s="4"/>
      <c r="J210" s="4"/>
      <c r="K210" s="42"/>
      <c r="L210" s="5"/>
      <c r="M210" s="48"/>
      <c r="S210" s="4"/>
    </row>
    <row r="211" spans="1:19" s="3" customFormat="1" x14ac:dyDescent="0.3">
      <c r="B211" s="79"/>
      <c r="C211" s="3">
        <v>5</v>
      </c>
      <c r="D211" s="4"/>
      <c r="E211" s="4"/>
      <c r="F211" s="4"/>
      <c r="H211" s="4"/>
      <c r="I211" s="4"/>
      <c r="J211" s="4"/>
      <c r="K211" s="42"/>
      <c r="L211" s="5"/>
      <c r="M211" s="48"/>
      <c r="S211" s="4"/>
    </row>
    <row r="212" spans="1:19" s="3" customFormat="1" x14ac:dyDescent="0.3">
      <c r="B212" s="79"/>
      <c r="C212" s="3">
        <v>6</v>
      </c>
      <c r="D212" s="4"/>
      <c r="E212" s="4"/>
      <c r="F212" s="4"/>
      <c r="H212" s="4"/>
      <c r="I212" s="4"/>
      <c r="J212" s="4"/>
      <c r="K212" s="42"/>
      <c r="L212" s="5"/>
      <c r="M212" s="48"/>
      <c r="S212" s="4"/>
    </row>
    <row r="213" spans="1:19" s="3" customFormat="1" x14ac:dyDescent="0.3">
      <c r="B213" s="79"/>
      <c r="C213" s="3">
        <v>7</v>
      </c>
      <c r="D213" s="4"/>
      <c r="E213" s="4"/>
      <c r="F213" s="4"/>
      <c r="H213" s="4"/>
      <c r="I213" s="4"/>
      <c r="J213" s="4"/>
      <c r="K213" s="42"/>
      <c r="L213" s="5"/>
      <c r="M213" s="48"/>
      <c r="S213" s="4"/>
    </row>
    <row r="214" spans="1:19" s="3" customFormat="1" x14ac:dyDescent="0.3">
      <c r="B214" s="79"/>
      <c r="C214" s="3">
        <v>8</v>
      </c>
      <c r="D214" s="4"/>
      <c r="E214" s="4"/>
      <c r="F214" s="4"/>
      <c r="H214" s="4"/>
      <c r="I214" s="4"/>
      <c r="J214" s="4"/>
      <c r="K214" s="42"/>
      <c r="L214" s="5"/>
      <c r="M214" s="48"/>
      <c r="S214" s="4"/>
    </row>
    <row r="215" spans="1:19" s="3" customFormat="1" x14ac:dyDescent="0.3">
      <c r="B215" s="79"/>
      <c r="C215" s="3">
        <v>9</v>
      </c>
      <c r="D215" s="4"/>
      <c r="E215" s="4"/>
      <c r="F215" s="4"/>
      <c r="H215" s="4"/>
      <c r="I215" s="4"/>
      <c r="J215" s="4"/>
      <c r="K215" s="42"/>
      <c r="L215" s="5"/>
      <c r="M215" s="48"/>
      <c r="S215" s="4"/>
    </row>
    <row r="216" spans="1:19" s="3" customFormat="1" x14ac:dyDescent="0.3">
      <c r="B216" s="79"/>
      <c r="C216" s="3">
        <v>10</v>
      </c>
      <c r="D216" s="4"/>
      <c r="E216" s="4"/>
      <c r="F216" s="4"/>
      <c r="H216" s="4"/>
      <c r="I216" s="4"/>
      <c r="J216" s="4"/>
      <c r="K216" s="42"/>
      <c r="L216" s="5"/>
      <c r="M216" s="48"/>
      <c r="S216" s="4"/>
    </row>
    <row r="217" spans="1:19" s="3" customFormat="1" x14ac:dyDescent="0.3">
      <c r="B217" s="79"/>
      <c r="C217" s="3">
        <v>11</v>
      </c>
      <c r="D217" s="4"/>
      <c r="E217" s="4"/>
      <c r="F217" s="4"/>
      <c r="H217" s="4"/>
      <c r="I217" s="4"/>
      <c r="J217" s="4"/>
      <c r="K217" s="42"/>
      <c r="L217" s="5"/>
      <c r="M217" s="48"/>
      <c r="S217" s="4"/>
    </row>
    <row r="218" spans="1:19" s="3" customFormat="1" x14ac:dyDescent="0.3">
      <c r="B218" s="79"/>
      <c r="C218" s="3">
        <v>12</v>
      </c>
      <c r="D218" s="4"/>
      <c r="E218" s="4"/>
      <c r="F218" s="4"/>
      <c r="H218" s="4"/>
      <c r="I218" s="18"/>
      <c r="J218" s="18"/>
      <c r="K218" s="43"/>
      <c r="L218" s="16"/>
      <c r="M218" s="49"/>
      <c r="N218" s="9"/>
      <c r="P218" s="4"/>
      <c r="Q218" s="4"/>
      <c r="S218" s="4"/>
    </row>
    <row r="219" spans="1:19" s="3" customFormat="1" x14ac:dyDescent="0.3">
      <c r="A219" s="3">
        <v>19</v>
      </c>
      <c r="B219" s="79">
        <v>2040</v>
      </c>
      <c r="C219" s="3">
        <v>1</v>
      </c>
      <c r="D219" s="4"/>
      <c r="E219" s="4"/>
      <c r="F219" s="4"/>
      <c r="H219" s="4"/>
      <c r="I219" s="4"/>
      <c r="J219" s="4"/>
      <c r="K219" s="42"/>
      <c r="L219" s="5"/>
      <c r="M219" s="48"/>
      <c r="N219" s="6"/>
      <c r="P219" s="9"/>
      <c r="S219" s="4"/>
    </row>
    <row r="220" spans="1:19" s="3" customFormat="1" x14ac:dyDescent="0.3">
      <c r="B220" s="79"/>
      <c r="C220" s="3">
        <v>2</v>
      </c>
      <c r="D220" s="4"/>
      <c r="E220" s="4"/>
      <c r="F220" s="4"/>
      <c r="H220" s="4"/>
      <c r="I220" s="4"/>
      <c r="J220" s="4"/>
      <c r="K220" s="42"/>
      <c r="L220" s="5"/>
      <c r="M220" s="48"/>
      <c r="S220" s="4"/>
    </row>
    <row r="221" spans="1:19" s="3" customFormat="1" x14ac:dyDescent="0.3">
      <c r="B221" s="79"/>
      <c r="C221" s="3">
        <v>3</v>
      </c>
      <c r="D221" s="4"/>
      <c r="E221" s="4"/>
      <c r="F221" s="4"/>
      <c r="H221" s="4"/>
      <c r="I221" s="4"/>
      <c r="J221" s="4"/>
      <c r="K221" s="42"/>
      <c r="L221" s="5"/>
      <c r="M221" s="48"/>
      <c r="S221" s="4"/>
    </row>
    <row r="222" spans="1:19" s="3" customFormat="1" x14ac:dyDescent="0.3">
      <c r="B222" s="79"/>
      <c r="C222" s="3">
        <v>4</v>
      </c>
      <c r="D222" s="4"/>
      <c r="E222" s="4"/>
      <c r="F222" s="4"/>
      <c r="H222" s="4"/>
      <c r="I222" s="4"/>
      <c r="J222" s="4"/>
      <c r="K222" s="42"/>
      <c r="L222" s="5"/>
      <c r="M222" s="48"/>
      <c r="S222" s="4"/>
    </row>
    <row r="223" spans="1:19" s="3" customFormat="1" x14ac:dyDescent="0.3">
      <c r="B223" s="79"/>
      <c r="C223" s="3">
        <v>5</v>
      </c>
      <c r="D223" s="4"/>
      <c r="E223" s="4"/>
      <c r="F223" s="4"/>
      <c r="H223" s="4"/>
      <c r="I223" s="4"/>
      <c r="J223" s="4"/>
      <c r="K223" s="42"/>
      <c r="L223" s="5"/>
      <c r="M223" s="48"/>
      <c r="S223" s="4"/>
    </row>
    <row r="224" spans="1:19" s="3" customFormat="1" x14ac:dyDescent="0.3">
      <c r="B224" s="79"/>
      <c r="C224" s="3">
        <v>6</v>
      </c>
      <c r="D224" s="4"/>
      <c r="E224" s="4"/>
      <c r="F224" s="4"/>
      <c r="H224" s="4"/>
      <c r="I224" s="4"/>
      <c r="J224" s="4"/>
      <c r="K224" s="42"/>
      <c r="L224" s="5"/>
      <c r="M224" s="48"/>
      <c r="S224" s="4"/>
    </row>
    <row r="225" spans="1:19" s="3" customFormat="1" x14ac:dyDescent="0.3">
      <c r="B225" s="79"/>
      <c r="C225" s="3">
        <v>7</v>
      </c>
      <c r="D225" s="4"/>
      <c r="E225" s="4"/>
      <c r="F225" s="4"/>
      <c r="H225" s="4"/>
      <c r="I225" s="4"/>
      <c r="J225" s="4"/>
      <c r="K225" s="42"/>
      <c r="L225" s="5"/>
      <c r="M225" s="48"/>
      <c r="S225" s="4"/>
    </row>
    <row r="226" spans="1:19" s="3" customFormat="1" x14ac:dyDescent="0.3">
      <c r="B226" s="79"/>
      <c r="C226" s="3">
        <v>8</v>
      </c>
      <c r="D226" s="4"/>
      <c r="E226" s="4"/>
      <c r="F226" s="4"/>
      <c r="H226" s="4"/>
      <c r="I226" s="4"/>
      <c r="J226" s="4"/>
      <c r="K226" s="42"/>
      <c r="L226" s="5"/>
      <c r="M226" s="48"/>
      <c r="S226" s="4"/>
    </row>
    <row r="227" spans="1:19" s="3" customFormat="1" x14ac:dyDescent="0.3">
      <c r="B227" s="79"/>
      <c r="C227" s="3">
        <v>9</v>
      </c>
      <c r="D227" s="4"/>
      <c r="E227" s="4"/>
      <c r="F227" s="4"/>
      <c r="H227" s="4"/>
      <c r="I227" s="4"/>
      <c r="J227" s="4"/>
      <c r="K227" s="42"/>
      <c r="L227" s="5"/>
      <c r="M227" s="48"/>
      <c r="S227" s="4"/>
    </row>
    <row r="228" spans="1:19" s="3" customFormat="1" x14ac:dyDescent="0.3">
      <c r="B228" s="79"/>
      <c r="C228" s="3">
        <v>10</v>
      </c>
      <c r="D228" s="4"/>
      <c r="E228" s="4"/>
      <c r="F228" s="4"/>
      <c r="H228" s="4"/>
      <c r="I228" s="4"/>
      <c r="J228" s="4"/>
      <c r="K228" s="42"/>
      <c r="L228" s="5"/>
      <c r="M228" s="48"/>
      <c r="S228" s="4"/>
    </row>
    <row r="229" spans="1:19" s="3" customFormat="1" x14ac:dyDescent="0.3">
      <c r="B229" s="79"/>
      <c r="C229" s="3">
        <v>11</v>
      </c>
      <c r="D229" s="4"/>
      <c r="E229" s="4"/>
      <c r="F229" s="4"/>
      <c r="H229" s="4"/>
      <c r="I229" s="4"/>
      <c r="J229" s="4"/>
      <c r="K229" s="42"/>
      <c r="L229" s="5"/>
      <c r="M229" s="48"/>
      <c r="S229" s="4"/>
    </row>
    <row r="230" spans="1:19" s="3" customFormat="1" x14ac:dyDescent="0.3">
      <c r="B230" s="79"/>
      <c r="C230" s="3">
        <v>12</v>
      </c>
      <c r="D230" s="4"/>
      <c r="E230" s="4"/>
      <c r="F230" s="4"/>
      <c r="H230" s="4"/>
      <c r="I230" s="18"/>
      <c r="J230" s="18"/>
      <c r="K230" s="43"/>
      <c r="L230" s="16"/>
      <c r="M230" s="49"/>
      <c r="N230" s="9"/>
      <c r="P230" s="4"/>
      <c r="Q230" s="4"/>
      <c r="S230" s="4"/>
    </row>
    <row r="231" spans="1:19" s="3" customFormat="1" x14ac:dyDescent="0.3">
      <c r="A231" s="3">
        <v>20</v>
      </c>
      <c r="B231" s="79">
        <v>2041</v>
      </c>
      <c r="C231" s="3">
        <v>1</v>
      </c>
      <c r="D231" s="4"/>
      <c r="E231" s="4"/>
      <c r="F231" s="4"/>
      <c r="H231" s="4"/>
      <c r="I231" s="4"/>
      <c r="J231" s="4"/>
      <c r="K231" s="42"/>
      <c r="L231" s="5"/>
      <c r="M231" s="48"/>
      <c r="N231" s="6"/>
      <c r="P231" s="9"/>
      <c r="S231" s="4"/>
    </row>
    <row r="232" spans="1:19" s="3" customFormat="1" x14ac:dyDescent="0.3">
      <c r="B232" s="79"/>
      <c r="C232" s="3">
        <v>2</v>
      </c>
      <c r="D232" s="4"/>
      <c r="E232" s="4"/>
      <c r="F232" s="4"/>
      <c r="H232" s="4"/>
      <c r="I232" s="4"/>
      <c r="J232" s="4"/>
      <c r="K232" s="42"/>
      <c r="L232" s="5"/>
      <c r="M232" s="48"/>
      <c r="S232" s="4"/>
    </row>
    <row r="233" spans="1:19" s="3" customFormat="1" x14ac:dyDescent="0.3">
      <c r="B233" s="79"/>
      <c r="C233" s="3">
        <v>3</v>
      </c>
      <c r="D233" s="4"/>
      <c r="E233" s="4"/>
      <c r="F233" s="4"/>
      <c r="H233" s="4"/>
      <c r="I233" s="4"/>
      <c r="J233" s="4"/>
      <c r="K233" s="42"/>
      <c r="L233" s="5"/>
      <c r="M233" s="48"/>
      <c r="S233" s="4"/>
    </row>
    <row r="234" spans="1:19" s="3" customFormat="1" x14ac:dyDescent="0.3">
      <c r="B234" s="79"/>
      <c r="C234" s="3">
        <v>4</v>
      </c>
      <c r="D234" s="4"/>
      <c r="E234" s="4"/>
      <c r="F234" s="4"/>
      <c r="H234" s="4"/>
      <c r="I234" s="4"/>
      <c r="J234" s="4"/>
      <c r="K234" s="42"/>
      <c r="L234" s="5"/>
      <c r="M234" s="48"/>
      <c r="S234" s="4"/>
    </row>
    <row r="235" spans="1:19" s="3" customFormat="1" x14ac:dyDescent="0.3">
      <c r="B235" s="79"/>
      <c r="C235" s="3">
        <v>5</v>
      </c>
      <c r="D235" s="4"/>
      <c r="E235" s="4"/>
      <c r="F235" s="4"/>
      <c r="H235" s="4"/>
      <c r="I235" s="4"/>
      <c r="J235" s="4"/>
      <c r="K235" s="42"/>
      <c r="L235" s="5"/>
      <c r="M235" s="48"/>
      <c r="S235" s="4"/>
    </row>
    <row r="236" spans="1:19" s="3" customFormat="1" x14ac:dyDescent="0.3">
      <c r="B236" s="79"/>
      <c r="C236" s="3">
        <v>6</v>
      </c>
      <c r="D236" s="4"/>
      <c r="E236" s="4"/>
      <c r="F236" s="4"/>
      <c r="H236" s="4"/>
      <c r="I236" s="4"/>
      <c r="J236" s="4"/>
      <c r="K236" s="42"/>
      <c r="L236" s="5"/>
      <c r="M236" s="48"/>
      <c r="S236" s="4"/>
    </row>
    <row r="237" spans="1:19" s="3" customFormat="1" x14ac:dyDescent="0.3">
      <c r="B237" s="79"/>
      <c r="C237" s="3">
        <v>7</v>
      </c>
      <c r="D237" s="4"/>
      <c r="E237" s="4"/>
      <c r="F237" s="4"/>
      <c r="H237" s="4"/>
      <c r="I237" s="4"/>
      <c r="J237" s="4"/>
      <c r="K237" s="42"/>
      <c r="L237" s="5"/>
      <c r="M237" s="48"/>
      <c r="S237" s="4"/>
    </row>
    <row r="238" spans="1:19" s="3" customFormat="1" x14ac:dyDescent="0.3">
      <c r="B238" s="79"/>
      <c r="C238" s="3">
        <v>8</v>
      </c>
      <c r="D238" s="4"/>
      <c r="E238" s="4"/>
      <c r="F238" s="4"/>
      <c r="H238" s="4"/>
      <c r="I238" s="4"/>
      <c r="J238" s="4"/>
      <c r="K238" s="42"/>
      <c r="L238" s="5"/>
      <c r="M238" s="48"/>
      <c r="S238" s="4"/>
    </row>
    <row r="239" spans="1:19" s="3" customFormat="1" x14ac:dyDescent="0.3">
      <c r="B239" s="79"/>
      <c r="C239" s="3">
        <v>9</v>
      </c>
      <c r="D239" s="4"/>
      <c r="E239" s="4"/>
      <c r="F239" s="4"/>
      <c r="H239" s="4"/>
      <c r="I239" s="4"/>
      <c r="J239" s="4"/>
      <c r="K239" s="42"/>
      <c r="L239" s="5"/>
      <c r="M239" s="48"/>
      <c r="S239" s="4"/>
    </row>
    <row r="240" spans="1:19" s="3" customFormat="1" x14ac:dyDescent="0.3">
      <c r="B240" s="79"/>
      <c r="C240" s="3">
        <v>10</v>
      </c>
      <c r="D240" s="4"/>
      <c r="E240" s="4"/>
      <c r="F240" s="4"/>
      <c r="H240" s="4"/>
      <c r="I240" s="4"/>
      <c r="J240" s="4"/>
      <c r="K240" s="42"/>
      <c r="L240" s="5"/>
      <c r="M240" s="48"/>
      <c r="S240" s="4"/>
    </row>
    <row r="241" spans="1:19" s="3" customFormat="1" x14ac:dyDescent="0.3">
      <c r="B241" s="79"/>
      <c r="C241" s="3">
        <v>11</v>
      </c>
      <c r="D241" s="4"/>
      <c r="E241" s="4"/>
      <c r="F241" s="4"/>
      <c r="H241" s="4"/>
      <c r="I241" s="4"/>
      <c r="J241" s="4"/>
      <c r="K241" s="42"/>
      <c r="L241" s="5"/>
      <c r="M241" s="48"/>
      <c r="S241" s="4"/>
    </row>
    <row r="242" spans="1:19" s="3" customFormat="1" x14ac:dyDescent="0.3">
      <c r="B242" s="79"/>
      <c r="C242" s="3">
        <v>12</v>
      </c>
      <c r="D242" s="4"/>
      <c r="E242" s="4"/>
      <c r="F242" s="4"/>
      <c r="H242" s="4"/>
      <c r="I242" s="18"/>
      <c r="J242" s="18"/>
      <c r="K242" s="43"/>
      <c r="L242" s="16"/>
      <c r="M242" s="49"/>
      <c r="N242" s="9"/>
      <c r="P242" s="4"/>
      <c r="Q242" s="4"/>
      <c r="S242" s="4"/>
    </row>
    <row r="243" spans="1:19" s="3" customFormat="1" x14ac:dyDescent="0.3">
      <c r="A243" s="3">
        <v>21</v>
      </c>
      <c r="B243" s="79">
        <v>2042</v>
      </c>
      <c r="C243" s="3">
        <v>1</v>
      </c>
      <c r="D243" s="4"/>
      <c r="E243" s="4"/>
      <c r="F243" s="4"/>
      <c r="H243" s="4"/>
      <c r="I243" s="4"/>
      <c r="J243" s="4"/>
      <c r="K243" s="42"/>
      <c r="L243" s="5"/>
      <c r="M243" s="48"/>
      <c r="N243" s="6"/>
      <c r="P243" s="9"/>
      <c r="S243" s="4"/>
    </row>
    <row r="244" spans="1:19" x14ac:dyDescent="0.3">
      <c r="A244" s="3"/>
      <c r="B244" s="79"/>
      <c r="C244" s="3">
        <v>2</v>
      </c>
      <c r="D244" s="4"/>
      <c r="E244" s="4"/>
      <c r="F244" s="4"/>
      <c r="G244" s="3"/>
      <c r="H244" s="4"/>
      <c r="I244" s="4"/>
      <c r="J244" s="4"/>
      <c r="K244" s="42"/>
      <c r="L244" s="5"/>
      <c r="M244" s="48"/>
      <c r="N244" s="3"/>
      <c r="O244" s="3"/>
      <c r="P244" s="3"/>
      <c r="Q244" s="3"/>
      <c r="R244" s="3"/>
    </row>
    <row r="245" spans="1:19" x14ac:dyDescent="0.3">
      <c r="A245" s="3"/>
      <c r="B245" s="79"/>
      <c r="C245" s="3">
        <v>3</v>
      </c>
      <c r="D245" s="4"/>
      <c r="E245" s="4"/>
      <c r="F245" s="4"/>
      <c r="G245" s="3"/>
      <c r="H245" s="4"/>
      <c r="I245" s="4"/>
      <c r="J245" s="4"/>
      <c r="K245" s="42"/>
      <c r="L245" s="5"/>
      <c r="M245" s="48"/>
      <c r="N245" s="3"/>
      <c r="O245" s="3"/>
      <c r="P245" s="3"/>
      <c r="Q245" s="3"/>
      <c r="R245" s="3"/>
    </row>
    <row r="246" spans="1:19" x14ac:dyDescent="0.3">
      <c r="A246" s="3"/>
      <c r="B246" s="79"/>
      <c r="C246" s="3">
        <v>4</v>
      </c>
      <c r="D246" s="4"/>
      <c r="E246" s="4"/>
      <c r="F246" s="4"/>
      <c r="G246" s="3"/>
      <c r="H246" s="4"/>
      <c r="I246" s="4"/>
      <c r="J246" s="4"/>
      <c r="K246" s="42"/>
      <c r="L246" s="5"/>
      <c r="M246" s="48"/>
      <c r="N246" s="3"/>
      <c r="O246" s="3"/>
      <c r="P246" s="3"/>
      <c r="Q246" s="3"/>
      <c r="R246" s="3"/>
    </row>
    <row r="247" spans="1:19" x14ac:dyDescent="0.3">
      <c r="A247" s="3"/>
      <c r="B247" s="79"/>
      <c r="C247" s="3">
        <v>5</v>
      </c>
      <c r="D247" s="4"/>
      <c r="E247" s="4"/>
      <c r="F247" s="4"/>
      <c r="G247" s="3"/>
      <c r="H247" s="4"/>
      <c r="I247" s="4"/>
      <c r="J247" s="4"/>
      <c r="K247" s="42"/>
      <c r="L247" s="5"/>
      <c r="M247" s="48"/>
      <c r="N247" s="3"/>
      <c r="O247" s="3"/>
      <c r="P247" s="3"/>
      <c r="Q247" s="3"/>
      <c r="R247" s="3"/>
    </row>
    <row r="248" spans="1:19" x14ac:dyDescent="0.3">
      <c r="A248" s="3"/>
      <c r="B248" s="79"/>
      <c r="C248" s="3">
        <v>6</v>
      </c>
      <c r="D248" s="4"/>
      <c r="E248" s="4"/>
      <c r="F248" s="4"/>
      <c r="G248" s="3"/>
      <c r="H248" s="4"/>
      <c r="I248" s="4"/>
      <c r="J248" s="4"/>
      <c r="K248" s="42"/>
      <c r="L248" s="5"/>
      <c r="M248" s="48"/>
      <c r="N248" s="3"/>
      <c r="O248" s="3"/>
      <c r="P248" s="3"/>
      <c r="Q248" s="3"/>
      <c r="R248" s="3"/>
    </row>
    <row r="249" spans="1:19" x14ac:dyDescent="0.3">
      <c r="A249" s="3"/>
      <c r="B249" s="79"/>
      <c r="C249" s="3">
        <v>7</v>
      </c>
      <c r="D249" s="4"/>
      <c r="E249" s="4"/>
      <c r="F249" s="4"/>
      <c r="G249" s="3"/>
      <c r="H249" s="4"/>
      <c r="I249" s="4"/>
      <c r="J249" s="4"/>
      <c r="K249" s="42"/>
      <c r="L249" s="5"/>
      <c r="M249" s="48"/>
      <c r="N249" s="3"/>
      <c r="O249" s="3"/>
      <c r="P249" s="3"/>
      <c r="Q249" s="3"/>
      <c r="R249" s="3"/>
    </row>
    <row r="250" spans="1:19" x14ac:dyDescent="0.3">
      <c r="A250" s="3"/>
      <c r="B250" s="79"/>
      <c r="C250" s="3">
        <v>8</v>
      </c>
      <c r="D250" s="4"/>
      <c r="E250" s="4"/>
      <c r="F250" s="4"/>
      <c r="G250" s="3"/>
      <c r="H250" s="4"/>
      <c r="I250" s="4"/>
      <c r="J250" s="4"/>
      <c r="K250" s="42"/>
      <c r="L250" s="5"/>
      <c r="M250" s="48"/>
      <c r="N250" s="3"/>
      <c r="O250" s="3"/>
      <c r="P250" s="3"/>
      <c r="Q250" s="3"/>
      <c r="R250" s="3"/>
    </row>
    <row r="251" spans="1:19" x14ac:dyDescent="0.3">
      <c r="A251" s="3"/>
      <c r="B251" s="79"/>
      <c r="C251" s="3">
        <v>9</v>
      </c>
      <c r="D251" s="4"/>
      <c r="E251" s="4"/>
      <c r="F251" s="4"/>
      <c r="G251" s="3"/>
      <c r="H251" s="4"/>
      <c r="I251" s="4"/>
      <c r="J251" s="4"/>
      <c r="K251" s="42"/>
      <c r="L251" s="5"/>
      <c r="M251" s="48"/>
      <c r="N251" s="3"/>
      <c r="O251" s="3"/>
      <c r="P251" s="3"/>
      <c r="Q251" s="3"/>
      <c r="R251" s="3"/>
    </row>
    <row r="252" spans="1:19" x14ac:dyDescent="0.3">
      <c r="A252" s="3"/>
      <c r="B252" s="79"/>
      <c r="C252" s="3">
        <v>10</v>
      </c>
      <c r="D252" s="4"/>
      <c r="E252" s="4"/>
      <c r="F252" s="4"/>
      <c r="G252" s="3"/>
      <c r="H252" s="4"/>
      <c r="I252" s="4"/>
      <c r="J252" s="4"/>
      <c r="K252" s="42"/>
      <c r="L252" s="5"/>
      <c r="M252" s="48"/>
      <c r="N252" s="3"/>
      <c r="O252" s="3"/>
      <c r="P252" s="3"/>
      <c r="Q252" s="3"/>
      <c r="R252" s="3"/>
    </row>
    <row r="253" spans="1:19" x14ac:dyDescent="0.3">
      <c r="A253" s="3"/>
      <c r="B253" s="79"/>
      <c r="C253" s="3">
        <v>11</v>
      </c>
      <c r="D253" s="4"/>
      <c r="E253" s="4"/>
      <c r="F253" s="4"/>
      <c r="G253" s="3"/>
      <c r="H253" s="4"/>
      <c r="I253" s="4"/>
      <c r="J253" s="4"/>
      <c r="K253" s="42"/>
      <c r="L253" s="5"/>
      <c r="M253" s="48"/>
      <c r="N253" s="3"/>
      <c r="O253" s="3"/>
      <c r="P253" s="3"/>
      <c r="Q253" s="3"/>
      <c r="R253" s="3"/>
    </row>
    <row r="254" spans="1:19" x14ac:dyDescent="0.3">
      <c r="A254" s="3"/>
      <c r="B254" s="79"/>
      <c r="C254" s="3">
        <v>12</v>
      </c>
      <c r="D254" s="4"/>
      <c r="E254" s="4"/>
      <c r="F254" s="4"/>
      <c r="G254" s="3"/>
      <c r="H254" s="4"/>
      <c r="I254" s="18"/>
      <c r="J254" s="18"/>
      <c r="K254" s="42"/>
      <c r="L254" s="5"/>
      <c r="M254" s="49"/>
      <c r="N254" s="9"/>
      <c r="O254" s="3"/>
      <c r="P254" s="4"/>
      <c r="Q254" s="4"/>
      <c r="R254" s="3"/>
    </row>
  </sheetData>
  <mergeCells count="21">
    <mergeCell ref="B243:B254"/>
    <mergeCell ref="B3:B14"/>
    <mergeCell ref="B15:B26"/>
    <mergeCell ref="B27:B38"/>
    <mergeCell ref="B39:B50"/>
    <mergeCell ref="B51:B62"/>
    <mergeCell ref="B63:B74"/>
    <mergeCell ref="B75:B86"/>
    <mergeCell ref="B135:B146"/>
    <mergeCell ref="B147:B158"/>
    <mergeCell ref="B159:B170"/>
    <mergeCell ref="B171:B182"/>
    <mergeCell ref="B87:B98"/>
    <mergeCell ref="B99:B110"/>
    <mergeCell ref="B111:B122"/>
    <mergeCell ref="B123:B134"/>
    <mergeCell ref="B183:B194"/>
    <mergeCell ref="B195:B206"/>
    <mergeCell ref="B207:B218"/>
    <mergeCell ref="B219:B230"/>
    <mergeCell ref="B231:B24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abSelected="1" workbookViewId="0">
      <selection activeCell="A40" sqref="A40:XFD40"/>
    </sheetView>
  </sheetViews>
  <sheetFormatPr defaultRowHeight="16.5" x14ac:dyDescent="0.3"/>
  <cols>
    <col min="1" max="1" width="5.5" bestFit="1" customWidth="1"/>
    <col min="2" max="2" width="11.125" bestFit="1" customWidth="1"/>
    <col min="3" max="3" width="12.875" bestFit="1" customWidth="1"/>
    <col min="4" max="4" width="10.75" bestFit="1" customWidth="1"/>
    <col min="5" max="5" width="11.75" bestFit="1" customWidth="1"/>
    <col min="6" max="6" width="9.25" bestFit="1" customWidth="1"/>
    <col min="7" max="7" width="11.375" bestFit="1" customWidth="1"/>
    <col min="8" max="8" width="9.25" bestFit="1" customWidth="1"/>
    <col min="9" max="9" width="11.75" bestFit="1" customWidth="1"/>
    <col min="10" max="10" width="9.5" bestFit="1" customWidth="1"/>
    <col min="11" max="11" width="7" customWidth="1"/>
    <col min="12" max="13" width="9.25" bestFit="1" customWidth="1"/>
    <col min="14" max="14" width="12.5" bestFit="1" customWidth="1"/>
    <col min="15" max="15" width="9.25" bestFit="1" customWidth="1"/>
    <col min="16" max="16" width="10.625" bestFit="1" customWidth="1"/>
    <col min="17" max="18" width="11.75" bestFit="1" customWidth="1"/>
  </cols>
  <sheetData>
    <row r="1" spans="1:18" ht="17.25" thickBot="1" x14ac:dyDescent="0.35"/>
    <row r="2" spans="1:18" x14ac:dyDescent="0.3">
      <c r="D2" t="s">
        <v>1</v>
      </c>
      <c r="E2" t="s">
        <v>2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13</v>
      </c>
      <c r="M2" t="s">
        <v>10</v>
      </c>
      <c r="N2" t="s">
        <v>3</v>
      </c>
      <c r="O2" t="s">
        <v>11</v>
      </c>
      <c r="P2" t="s">
        <v>14</v>
      </c>
      <c r="Q2" s="69" t="s">
        <v>12</v>
      </c>
    </row>
    <row r="3" spans="1:18" x14ac:dyDescent="0.3">
      <c r="A3" s="81">
        <v>2023</v>
      </c>
      <c r="B3" s="77" t="s">
        <v>175</v>
      </c>
      <c r="C3" s="1">
        <v>8340000</v>
      </c>
      <c r="D3" s="1">
        <v>0</v>
      </c>
      <c r="E3" s="1">
        <v>2500000</v>
      </c>
      <c r="F3" s="1">
        <v>300000</v>
      </c>
      <c r="G3" s="1">
        <v>100000</v>
      </c>
      <c r="H3" s="1">
        <v>450000</v>
      </c>
      <c r="I3" s="1">
        <v>100000</v>
      </c>
      <c r="J3" s="1">
        <v>170000</v>
      </c>
      <c r="K3" s="1">
        <v>0</v>
      </c>
      <c r="L3" s="1">
        <v>100000</v>
      </c>
      <c r="M3" s="1">
        <v>0</v>
      </c>
      <c r="N3" s="1">
        <v>3500000</v>
      </c>
      <c r="O3" s="1">
        <v>300000</v>
      </c>
      <c r="P3" s="1">
        <f t="shared" ref="P3:P14" si="0">SUM(D3:O3)</f>
        <v>7520000</v>
      </c>
      <c r="Q3" s="70">
        <f t="shared" ref="Q3:Q14" si="1" xml:space="preserve"> C3 - P3</f>
        <v>820000</v>
      </c>
      <c r="R3" s="1">
        <f xml:space="preserve"> 7150000 + Q3</f>
        <v>7970000</v>
      </c>
    </row>
    <row r="4" spans="1:18" x14ac:dyDescent="0.3">
      <c r="A4" s="81"/>
      <c r="B4" s="77" t="s">
        <v>176</v>
      </c>
      <c r="C4" s="1">
        <f xml:space="preserve"> R3</f>
        <v>7970000</v>
      </c>
      <c r="D4" s="1">
        <v>650000</v>
      </c>
      <c r="E4" s="1">
        <v>2500000</v>
      </c>
      <c r="F4" s="1">
        <v>300000</v>
      </c>
      <c r="G4" s="1">
        <v>100000</v>
      </c>
      <c r="H4" s="1">
        <v>450000</v>
      </c>
      <c r="I4" s="1">
        <v>100000</v>
      </c>
      <c r="J4" s="1">
        <v>170000</v>
      </c>
      <c r="K4" s="1">
        <v>0</v>
      </c>
      <c r="L4" s="1">
        <v>100000</v>
      </c>
      <c r="M4" s="1">
        <v>0</v>
      </c>
      <c r="N4" s="1">
        <v>3500000</v>
      </c>
      <c r="O4" s="1">
        <v>0</v>
      </c>
      <c r="P4" s="1">
        <f t="shared" si="0"/>
        <v>7870000</v>
      </c>
      <c r="Q4" s="70">
        <f t="shared" si="1"/>
        <v>100000</v>
      </c>
      <c r="R4" s="1">
        <f t="shared" ref="R4:R14" si="2" xml:space="preserve"> 7150000 + Q4</f>
        <v>7250000</v>
      </c>
    </row>
    <row r="5" spans="1:18" x14ac:dyDescent="0.3">
      <c r="A5" s="81"/>
      <c r="B5" s="77" t="s">
        <v>177</v>
      </c>
      <c r="C5" s="1">
        <f t="shared" ref="C5:C14" si="3" xml:space="preserve"> R4</f>
        <v>7250000</v>
      </c>
      <c r="D5" s="1">
        <v>650000</v>
      </c>
      <c r="E5" s="1">
        <v>2500000</v>
      </c>
      <c r="F5" s="1">
        <v>300000</v>
      </c>
      <c r="G5" s="1">
        <v>100000</v>
      </c>
      <c r="H5" s="1">
        <v>450000</v>
      </c>
      <c r="I5" s="1">
        <v>100000</v>
      </c>
      <c r="J5" s="1">
        <v>170000</v>
      </c>
      <c r="K5" s="1">
        <v>0</v>
      </c>
      <c r="L5" s="1">
        <v>100000</v>
      </c>
      <c r="M5" s="1">
        <v>0</v>
      </c>
      <c r="N5" s="1">
        <v>2000000</v>
      </c>
      <c r="O5" s="1">
        <v>0</v>
      </c>
      <c r="P5" s="1">
        <f t="shared" si="0"/>
        <v>6370000</v>
      </c>
      <c r="Q5" s="70">
        <f t="shared" si="1"/>
        <v>880000</v>
      </c>
      <c r="R5" s="1">
        <f t="shared" si="2"/>
        <v>8030000</v>
      </c>
    </row>
    <row r="6" spans="1:18" x14ac:dyDescent="0.3">
      <c r="A6" s="81"/>
      <c r="B6" s="77" t="s">
        <v>178</v>
      </c>
      <c r="C6" s="1">
        <f t="shared" si="3"/>
        <v>8030000</v>
      </c>
      <c r="D6" s="1">
        <v>650000</v>
      </c>
      <c r="E6" s="1">
        <v>2500000</v>
      </c>
      <c r="F6" s="1">
        <v>300000</v>
      </c>
      <c r="G6" s="1">
        <v>100000</v>
      </c>
      <c r="H6" s="1">
        <v>450000</v>
      </c>
      <c r="I6" s="1">
        <v>100000</v>
      </c>
      <c r="J6" s="1">
        <v>170000</v>
      </c>
      <c r="K6" s="1">
        <v>0</v>
      </c>
      <c r="L6" s="1">
        <v>100000</v>
      </c>
      <c r="M6" s="1">
        <v>0</v>
      </c>
      <c r="N6" s="1">
        <v>2000000</v>
      </c>
      <c r="O6" s="1">
        <v>0</v>
      </c>
      <c r="P6" s="1">
        <f t="shared" si="0"/>
        <v>6370000</v>
      </c>
      <c r="Q6" s="70">
        <f t="shared" si="1"/>
        <v>1660000</v>
      </c>
      <c r="R6" s="1">
        <f t="shared" si="2"/>
        <v>8810000</v>
      </c>
    </row>
    <row r="7" spans="1:18" x14ac:dyDescent="0.3">
      <c r="A7" s="81"/>
      <c r="B7" s="77" t="s">
        <v>179</v>
      </c>
      <c r="C7" s="1">
        <f t="shared" si="3"/>
        <v>8810000</v>
      </c>
      <c r="D7" s="1">
        <v>650000</v>
      </c>
      <c r="E7" s="1">
        <v>2500000</v>
      </c>
      <c r="F7" s="1">
        <v>300000</v>
      </c>
      <c r="G7" s="1">
        <v>100000</v>
      </c>
      <c r="H7" s="1">
        <v>450000</v>
      </c>
      <c r="I7" s="1">
        <v>100000</v>
      </c>
      <c r="J7" s="1">
        <v>170000</v>
      </c>
      <c r="K7" s="1">
        <v>0</v>
      </c>
      <c r="L7" s="1">
        <v>100000</v>
      </c>
      <c r="M7" s="1">
        <v>0</v>
      </c>
      <c r="N7" s="1">
        <v>2000000</v>
      </c>
      <c r="O7" s="1">
        <v>300000</v>
      </c>
      <c r="P7" s="1">
        <f t="shared" si="0"/>
        <v>6670000</v>
      </c>
      <c r="Q7" s="70">
        <f t="shared" si="1"/>
        <v>2140000</v>
      </c>
      <c r="R7" s="1">
        <f t="shared" si="2"/>
        <v>9290000</v>
      </c>
    </row>
    <row r="8" spans="1:18" x14ac:dyDescent="0.3">
      <c r="A8" s="81"/>
      <c r="B8" s="77" t="s">
        <v>180</v>
      </c>
      <c r="C8" s="1">
        <f t="shared" si="3"/>
        <v>9290000</v>
      </c>
      <c r="D8" s="1">
        <v>650000</v>
      </c>
      <c r="E8" s="1">
        <v>2500000</v>
      </c>
      <c r="F8" s="1">
        <v>300000</v>
      </c>
      <c r="G8" s="1">
        <v>100000</v>
      </c>
      <c r="H8" s="1">
        <v>450000</v>
      </c>
      <c r="I8" s="1">
        <v>100000</v>
      </c>
      <c r="J8" s="1">
        <v>170000</v>
      </c>
      <c r="K8" s="1">
        <v>0</v>
      </c>
      <c r="L8" s="1">
        <v>100000</v>
      </c>
      <c r="M8" s="1">
        <v>0</v>
      </c>
      <c r="N8" s="1">
        <v>2000000</v>
      </c>
      <c r="O8" s="1">
        <v>0</v>
      </c>
      <c r="P8" s="1">
        <f t="shared" si="0"/>
        <v>6370000</v>
      </c>
      <c r="Q8" s="70">
        <f t="shared" si="1"/>
        <v>2920000</v>
      </c>
      <c r="R8" s="1">
        <f t="shared" si="2"/>
        <v>10070000</v>
      </c>
    </row>
    <row r="9" spans="1:18" x14ac:dyDescent="0.3">
      <c r="A9" s="81"/>
      <c r="B9" s="77" t="s">
        <v>181</v>
      </c>
      <c r="C9" s="1">
        <f t="shared" si="3"/>
        <v>10070000</v>
      </c>
      <c r="D9" s="1">
        <v>650000</v>
      </c>
      <c r="E9" s="1">
        <v>2500000</v>
      </c>
      <c r="F9" s="1">
        <v>300000</v>
      </c>
      <c r="G9" s="1">
        <v>100000</v>
      </c>
      <c r="H9" s="1">
        <v>450000</v>
      </c>
      <c r="I9" s="1">
        <v>100000</v>
      </c>
      <c r="J9" s="1">
        <v>170000</v>
      </c>
      <c r="K9" s="1">
        <v>0</v>
      </c>
      <c r="L9" s="1">
        <v>100000</v>
      </c>
      <c r="M9" s="1">
        <v>0</v>
      </c>
      <c r="N9" s="1">
        <v>2000000</v>
      </c>
      <c r="O9" s="1">
        <v>0</v>
      </c>
      <c r="P9" s="1">
        <f t="shared" si="0"/>
        <v>6370000</v>
      </c>
      <c r="Q9" s="70">
        <f t="shared" si="1"/>
        <v>3700000</v>
      </c>
      <c r="R9" s="1">
        <f t="shared" si="2"/>
        <v>10850000</v>
      </c>
    </row>
    <row r="10" spans="1:18" x14ac:dyDescent="0.3">
      <c r="A10" s="81"/>
      <c r="B10" s="77" t="s">
        <v>182</v>
      </c>
      <c r="C10" s="1">
        <f t="shared" si="3"/>
        <v>10850000</v>
      </c>
      <c r="D10" s="1">
        <v>650000</v>
      </c>
      <c r="E10" s="1">
        <v>2500000</v>
      </c>
      <c r="F10" s="1">
        <v>300000</v>
      </c>
      <c r="G10" s="1">
        <v>100000</v>
      </c>
      <c r="H10" s="1">
        <v>450000</v>
      </c>
      <c r="I10" s="1">
        <v>100000</v>
      </c>
      <c r="J10" s="1">
        <v>170000</v>
      </c>
      <c r="K10" s="1">
        <v>0</v>
      </c>
      <c r="L10" s="1">
        <v>100000</v>
      </c>
      <c r="M10" s="1">
        <v>0</v>
      </c>
      <c r="N10" s="1">
        <v>2000000</v>
      </c>
      <c r="O10" s="1">
        <v>0</v>
      </c>
      <c r="P10" s="1">
        <f t="shared" si="0"/>
        <v>6370000</v>
      </c>
      <c r="Q10" s="70">
        <f t="shared" si="1"/>
        <v>4480000</v>
      </c>
      <c r="R10" s="1">
        <f t="shared" si="2"/>
        <v>11630000</v>
      </c>
    </row>
    <row r="11" spans="1:18" x14ac:dyDescent="0.3">
      <c r="A11" s="81"/>
      <c r="B11" s="77" t="s">
        <v>183</v>
      </c>
      <c r="C11" s="1">
        <f t="shared" si="3"/>
        <v>11630000</v>
      </c>
      <c r="D11" s="1">
        <v>650000</v>
      </c>
      <c r="E11" s="1">
        <v>2500000</v>
      </c>
      <c r="F11" s="1">
        <v>300000</v>
      </c>
      <c r="G11" s="1">
        <v>100000</v>
      </c>
      <c r="H11" s="1">
        <v>450000</v>
      </c>
      <c r="I11" s="1">
        <v>100000</v>
      </c>
      <c r="J11" s="1">
        <v>170000</v>
      </c>
      <c r="K11" s="1">
        <v>0</v>
      </c>
      <c r="L11" s="1">
        <v>100000</v>
      </c>
      <c r="M11" s="1">
        <v>0</v>
      </c>
      <c r="N11" s="1">
        <v>2000000</v>
      </c>
      <c r="O11" s="1">
        <v>300000</v>
      </c>
      <c r="P11" s="1">
        <f t="shared" si="0"/>
        <v>6670000</v>
      </c>
      <c r="Q11" s="70">
        <f t="shared" si="1"/>
        <v>4960000</v>
      </c>
      <c r="R11" s="1">
        <f t="shared" si="2"/>
        <v>12110000</v>
      </c>
    </row>
    <row r="12" spans="1:18" x14ac:dyDescent="0.3">
      <c r="A12" s="81"/>
      <c r="B12" t="s">
        <v>184</v>
      </c>
      <c r="C12" s="1">
        <f t="shared" si="3"/>
        <v>12110000</v>
      </c>
      <c r="D12" s="1">
        <v>650000</v>
      </c>
      <c r="E12" s="1">
        <v>2500000</v>
      </c>
      <c r="F12" s="1">
        <v>300000</v>
      </c>
      <c r="G12" s="1">
        <v>100000</v>
      </c>
      <c r="H12" s="1">
        <v>450000</v>
      </c>
      <c r="I12" s="1">
        <v>100000</v>
      </c>
      <c r="J12" s="1">
        <v>170000</v>
      </c>
      <c r="K12" s="1">
        <v>0</v>
      </c>
      <c r="L12" s="1">
        <v>100000</v>
      </c>
      <c r="M12" s="1">
        <v>0</v>
      </c>
      <c r="N12" s="1">
        <v>1500000</v>
      </c>
      <c r="O12" s="1">
        <v>0</v>
      </c>
      <c r="P12" s="1">
        <f t="shared" si="0"/>
        <v>5870000</v>
      </c>
      <c r="Q12" s="70">
        <f t="shared" si="1"/>
        <v>6240000</v>
      </c>
      <c r="R12" s="1">
        <f t="shared" si="2"/>
        <v>13390000</v>
      </c>
    </row>
    <row r="13" spans="1:18" x14ac:dyDescent="0.3">
      <c r="A13" s="81"/>
      <c r="B13" t="s">
        <v>185</v>
      </c>
      <c r="C13" s="1">
        <f t="shared" si="3"/>
        <v>13390000</v>
      </c>
      <c r="D13" s="1">
        <v>650000</v>
      </c>
      <c r="E13" s="1">
        <v>2500000</v>
      </c>
      <c r="F13" s="1">
        <v>300000</v>
      </c>
      <c r="G13" s="1">
        <v>100000</v>
      </c>
      <c r="H13" s="1">
        <v>450000</v>
      </c>
      <c r="I13" s="1">
        <v>100000</v>
      </c>
      <c r="J13" s="1">
        <v>170000</v>
      </c>
      <c r="K13" s="1">
        <v>0</v>
      </c>
      <c r="L13" s="1">
        <v>100000</v>
      </c>
      <c r="M13" s="1">
        <v>0</v>
      </c>
      <c r="N13" s="1">
        <v>1500000</v>
      </c>
      <c r="O13" s="1">
        <v>300000</v>
      </c>
      <c r="P13" s="1">
        <f t="shared" si="0"/>
        <v>6170000</v>
      </c>
      <c r="Q13" s="70">
        <f t="shared" si="1"/>
        <v>7220000</v>
      </c>
      <c r="R13" s="1">
        <f t="shared" si="2"/>
        <v>14370000</v>
      </c>
    </row>
    <row r="14" spans="1:18" ht="17.25" thickBot="1" x14ac:dyDescent="0.35">
      <c r="A14" s="81"/>
      <c r="B14" t="s">
        <v>186</v>
      </c>
      <c r="C14" s="1">
        <f t="shared" si="3"/>
        <v>14370000</v>
      </c>
      <c r="D14" s="1">
        <v>650000</v>
      </c>
      <c r="E14" s="1">
        <v>2500000</v>
      </c>
      <c r="F14" s="1">
        <v>300000</v>
      </c>
      <c r="G14" s="1">
        <v>100000</v>
      </c>
      <c r="H14" s="1">
        <v>450000</v>
      </c>
      <c r="I14" s="1">
        <v>100000</v>
      </c>
      <c r="J14" s="1">
        <v>170000</v>
      </c>
      <c r="K14" s="1">
        <v>0</v>
      </c>
      <c r="L14" s="1">
        <v>100000</v>
      </c>
      <c r="M14" s="1">
        <v>0</v>
      </c>
      <c r="N14" s="1">
        <v>1500000</v>
      </c>
      <c r="O14" s="1">
        <v>0</v>
      </c>
      <c r="P14" s="1">
        <f t="shared" si="0"/>
        <v>5870000</v>
      </c>
      <c r="Q14" s="71">
        <f t="shared" si="1"/>
        <v>8500000</v>
      </c>
      <c r="R14" s="1">
        <f t="shared" si="2"/>
        <v>15650000</v>
      </c>
    </row>
    <row r="15" spans="1:18" x14ac:dyDescent="0.3">
      <c r="A15" s="81">
        <v>2024</v>
      </c>
      <c r="B15" t="s">
        <v>175</v>
      </c>
      <c r="C15" s="1">
        <f xml:space="preserve"> R14</f>
        <v>15650000</v>
      </c>
      <c r="D15" s="1">
        <v>0</v>
      </c>
      <c r="E15" s="1">
        <v>2500000</v>
      </c>
      <c r="F15" s="1">
        <v>300000</v>
      </c>
      <c r="G15" s="1">
        <v>100000</v>
      </c>
      <c r="H15" s="1">
        <v>450000</v>
      </c>
      <c r="I15" s="1">
        <v>100000</v>
      </c>
      <c r="J15" s="1">
        <v>170000</v>
      </c>
      <c r="K15" s="1">
        <v>0</v>
      </c>
      <c r="L15" s="1">
        <v>100000</v>
      </c>
      <c r="M15" s="1">
        <v>0</v>
      </c>
      <c r="N15" s="1">
        <v>1500000</v>
      </c>
      <c r="O15" s="1">
        <v>300000</v>
      </c>
      <c r="P15" s="1">
        <f t="shared" ref="P15:P38" si="4">SUM(D15:O15)</f>
        <v>5520000</v>
      </c>
      <c r="Q15" s="70">
        <f t="shared" ref="Q15:Q38" si="5" xml:space="preserve"> C15 - P15</f>
        <v>10130000</v>
      </c>
      <c r="R15" s="1">
        <f xml:space="preserve"> 7150000 + Q15</f>
        <v>17280000</v>
      </c>
    </row>
    <row r="16" spans="1:18" s="77" customFormat="1" x14ac:dyDescent="0.3">
      <c r="A16" s="81"/>
      <c r="B16" s="77" t="s">
        <v>176</v>
      </c>
      <c r="C16" s="84">
        <f xml:space="preserve"> R15</f>
        <v>17280000</v>
      </c>
      <c r="D16" s="84">
        <v>650000</v>
      </c>
      <c r="E16" s="84">
        <v>2500000</v>
      </c>
      <c r="F16" s="84">
        <v>300000</v>
      </c>
      <c r="G16" s="84">
        <v>100000</v>
      </c>
      <c r="H16" s="84">
        <v>450000</v>
      </c>
      <c r="I16" s="84">
        <v>100000</v>
      </c>
      <c r="J16" s="84">
        <v>170000</v>
      </c>
      <c r="K16" s="84">
        <v>0</v>
      </c>
      <c r="L16" s="84">
        <v>100000</v>
      </c>
      <c r="M16" s="84">
        <v>0</v>
      </c>
      <c r="N16" s="84">
        <v>1500000</v>
      </c>
      <c r="O16" s="84">
        <v>0</v>
      </c>
      <c r="P16" s="84">
        <f t="shared" si="4"/>
        <v>5870000</v>
      </c>
      <c r="Q16" s="85">
        <f t="shared" si="5"/>
        <v>11410000</v>
      </c>
      <c r="R16" s="84">
        <f t="shared" ref="R16:R26" si="6" xml:space="preserve"> 7150000 + Q16</f>
        <v>18560000</v>
      </c>
    </row>
    <row r="17" spans="1:18" x14ac:dyDescent="0.3">
      <c r="A17" s="81"/>
      <c r="B17" t="s">
        <v>177</v>
      </c>
      <c r="C17" s="1">
        <f t="shared" ref="C17:C26" si="7" xml:space="preserve"> R16</f>
        <v>18560000</v>
      </c>
      <c r="D17" s="1">
        <v>650000</v>
      </c>
      <c r="E17" s="1">
        <v>2500000</v>
      </c>
      <c r="F17" s="1">
        <v>300000</v>
      </c>
      <c r="G17" s="1">
        <v>100000</v>
      </c>
      <c r="H17" s="1">
        <v>450000</v>
      </c>
      <c r="I17" s="1">
        <v>100000</v>
      </c>
      <c r="J17" s="1">
        <v>170000</v>
      </c>
      <c r="K17" s="1">
        <v>0</v>
      </c>
      <c r="L17" s="1">
        <v>100000</v>
      </c>
      <c r="M17" s="1">
        <v>0</v>
      </c>
      <c r="N17" s="1">
        <v>1500000</v>
      </c>
      <c r="O17" s="1">
        <v>0</v>
      </c>
      <c r="P17" s="1">
        <f t="shared" si="4"/>
        <v>5870000</v>
      </c>
      <c r="Q17" s="70">
        <f t="shared" si="5"/>
        <v>12690000</v>
      </c>
      <c r="R17" s="1">
        <f t="shared" si="6"/>
        <v>19840000</v>
      </c>
    </row>
    <row r="18" spans="1:18" x14ac:dyDescent="0.3">
      <c r="A18" s="81"/>
      <c r="B18" t="s">
        <v>178</v>
      </c>
      <c r="C18" s="1">
        <f t="shared" si="7"/>
        <v>19840000</v>
      </c>
      <c r="D18" s="1">
        <v>650000</v>
      </c>
      <c r="E18" s="1">
        <v>2500000</v>
      </c>
      <c r="F18" s="1">
        <v>300000</v>
      </c>
      <c r="G18" s="1">
        <v>100000</v>
      </c>
      <c r="H18" s="1">
        <v>450000</v>
      </c>
      <c r="I18" s="1">
        <v>100000</v>
      </c>
      <c r="J18" s="1">
        <v>170000</v>
      </c>
      <c r="K18" s="1">
        <v>0</v>
      </c>
      <c r="L18" s="1">
        <v>100000</v>
      </c>
      <c r="M18" s="1">
        <v>0</v>
      </c>
      <c r="N18" s="1">
        <v>1500000</v>
      </c>
      <c r="O18" s="1">
        <v>0</v>
      </c>
      <c r="P18" s="1">
        <f t="shared" si="4"/>
        <v>5870000</v>
      </c>
      <c r="Q18" s="70">
        <f t="shared" si="5"/>
        <v>13970000</v>
      </c>
      <c r="R18" s="1">
        <f t="shared" si="6"/>
        <v>21120000</v>
      </c>
    </row>
    <row r="19" spans="1:18" x14ac:dyDescent="0.3">
      <c r="A19" s="81"/>
      <c r="B19" t="s">
        <v>179</v>
      </c>
      <c r="C19" s="1">
        <f t="shared" si="7"/>
        <v>21120000</v>
      </c>
      <c r="D19" s="1">
        <v>650000</v>
      </c>
      <c r="E19" s="1">
        <v>2500000</v>
      </c>
      <c r="F19" s="1">
        <v>300000</v>
      </c>
      <c r="G19" s="1">
        <v>100000</v>
      </c>
      <c r="H19" s="1">
        <v>450000</v>
      </c>
      <c r="I19" s="1">
        <v>100000</v>
      </c>
      <c r="J19" s="1">
        <v>170000</v>
      </c>
      <c r="K19" s="1">
        <v>0</v>
      </c>
      <c r="L19" s="1">
        <v>100000</v>
      </c>
      <c r="M19" s="1">
        <v>0</v>
      </c>
      <c r="N19" s="1">
        <v>1500000</v>
      </c>
      <c r="O19" s="1">
        <v>300000</v>
      </c>
      <c r="P19" s="1">
        <f t="shared" si="4"/>
        <v>6170000</v>
      </c>
      <c r="Q19" s="70">
        <f t="shared" si="5"/>
        <v>14950000</v>
      </c>
      <c r="R19" s="1">
        <f t="shared" si="6"/>
        <v>22100000</v>
      </c>
    </row>
    <row r="20" spans="1:18" x14ac:dyDescent="0.3">
      <c r="A20" s="81"/>
      <c r="B20" t="s">
        <v>180</v>
      </c>
      <c r="C20" s="1">
        <f t="shared" si="7"/>
        <v>22100000</v>
      </c>
      <c r="D20" s="1">
        <v>650000</v>
      </c>
      <c r="E20" s="1">
        <v>2500000</v>
      </c>
      <c r="F20" s="1">
        <v>300000</v>
      </c>
      <c r="G20" s="1">
        <v>100000</v>
      </c>
      <c r="H20" s="1">
        <v>450000</v>
      </c>
      <c r="I20" s="1">
        <v>100000</v>
      </c>
      <c r="J20" s="1">
        <v>170000</v>
      </c>
      <c r="K20" s="1">
        <v>0</v>
      </c>
      <c r="L20" s="1">
        <v>100000</v>
      </c>
      <c r="M20" s="1">
        <v>0</v>
      </c>
      <c r="N20" s="1">
        <v>1500000</v>
      </c>
      <c r="O20" s="1">
        <v>0</v>
      </c>
      <c r="P20" s="1">
        <f t="shared" si="4"/>
        <v>5870000</v>
      </c>
      <c r="Q20" s="70">
        <f t="shared" si="5"/>
        <v>16230000</v>
      </c>
      <c r="R20" s="1">
        <f t="shared" si="6"/>
        <v>23380000</v>
      </c>
    </row>
    <row r="21" spans="1:18" x14ac:dyDescent="0.3">
      <c r="A21" s="81"/>
      <c r="B21" t="s">
        <v>181</v>
      </c>
      <c r="C21" s="1">
        <f t="shared" si="7"/>
        <v>23380000</v>
      </c>
      <c r="D21" s="1">
        <v>650000</v>
      </c>
      <c r="E21" s="1">
        <v>2500000</v>
      </c>
      <c r="F21" s="1">
        <v>300000</v>
      </c>
      <c r="G21" s="1">
        <v>100000</v>
      </c>
      <c r="H21" s="1">
        <v>450000</v>
      </c>
      <c r="I21" s="1">
        <v>100000</v>
      </c>
      <c r="J21" s="1">
        <v>170000</v>
      </c>
      <c r="K21" s="1">
        <v>0</v>
      </c>
      <c r="L21" s="1">
        <v>100000</v>
      </c>
      <c r="M21" s="1">
        <v>0</v>
      </c>
      <c r="N21" s="1">
        <v>1500000</v>
      </c>
      <c r="O21" s="1">
        <v>0</v>
      </c>
      <c r="P21" s="1">
        <f t="shared" si="4"/>
        <v>5870000</v>
      </c>
      <c r="Q21" s="70">
        <f t="shared" si="5"/>
        <v>17510000</v>
      </c>
      <c r="R21" s="1">
        <f t="shared" si="6"/>
        <v>24660000</v>
      </c>
    </row>
    <row r="22" spans="1:18" x14ac:dyDescent="0.3">
      <c r="A22" s="81"/>
      <c r="B22" t="s">
        <v>182</v>
      </c>
      <c r="C22" s="1">
        <f t="shared" si="7"/>
        <v>24660000</v>
      </c>
      <c r="D22" s="1">
        <v>650000</v>
      </c>
      <c r="E22" s="1">
        <v>2500000</v>
      </c>
      <c r="F22" s="1">
        <v>300000</v>
      </c>
      <c r="G22" s="1">
        <v>100000</v>
      </c>
      <c r="H22" s="1">
        <v>450000</v>
      </c>
      <c r="I22" s="1">
        <v>100000</v>
      </c>
      <c r="J22" s="1">
        <v>170000</v>
      </c>
      <c r="K22" s="1">
        <v>0</v>
      </c>
      <c r="L22" s="1">
        <v>100000</v>
      </c>
      <c r="M22" s="1">
        <v>0</v>
      </c>
      <c r="N22" s="1">
        <v>1500000</v>
      </c>
      <c r="O22" s="1">
        <v>0</v>
      </c>
      <c r="P22" s="1">
        <f t="shared" si="4"/>
        <v>5870000</v>
      </c>
      <c r="Q22" s="70">
        <f t="shared" si="5"/>
        <v>18790000</v>
      </c>
      <c r="R22" s="1">
        <f t="shared" si="6"/>
        <v>25940000</v>
      </c>
    </row>
    <row r="23" spans="1:18" x14ac:dyDescent="0.3">
      <c r="A23" s="81"/>
      <c r="B23" t="s">
        <v>183</v>
      </c>
      <c r="C23" s="1">
        <f t="shared" si="7"/>
        <v>25940000</v>
      </c>
      <c r="D23" s="1">
        <v>650000</v>
      </c>
      <c r="E23" s="1">
        <v>2500000</v>
      </c>
      <c r="F23" s="1">
        <v>300000</v>
      </c>
      <c r="G23" s="1">
        <v>100000</v>
      </c>
      <c r="H23" s="1">
        <v>450000</v>
      </c>
      <c r="I23" s="1">
        <v>100000</v>
      </c>
      <c r="J23" s="1">
        <v>170000</v>
      </c>
      <c r="K23" s="1">
        <v>0</v>
      </c>
      <c r="L23" s="1">
        <v>100000</v>
      </c>
      <c r="M23" s="1">
        <v>0</v>
      </c>
      <c r="N23" s="1">
        <v>1500000</v>
      </c>
      <c r="O23" s="1">
        <v>300000</v>
      </c>
      <c r="P23" s="1">
        <f t="shared" si="4"/>
        <v>6170000</v>
      </c>
      <c r="Q23" s="70">
        <f t="shared" si="5"/>
        <v>19770000</v>
      </c>
      <c r="R23" s="1">
        <f t="shared" si="6"/>
        <v>26920000</v>
      </c>
    </row>
    <row r="24" spans="1:18" x14ac:dyDescent="0.3">
      <c r="A24" s="81"/>
      <c r="B24" t="s">
        <v>184</v>
      </c>
      <c r="C24" s="1">
        <f t="shared" si="7"/>
        <v>26920000</v>
      </c>
      <c r="D24" s="1">
        <v>650000</v>
      </c>
      <c r="E24" s="1">
        <v>2500000</v>
      </c>
      <c r="F24" s="1">
        <v>300000</v>
      </c>
      <c r="G24" s="1">
        <v>100000</v>
      </c>
      <c r="H24" s="1">
        <v>450000</v>
      </c>
      <c r="I24" s="1">
        <v>100000</v>
      </c>
      <c r="J24" s="1">
        <v>170000</v>
      </c>
      <c r="K24" s="1">
        <v>0</v>
      </c>
      <c r="L24" s="1">
        <v>100000</v>
      </c>
      <c r="M24" s="1">
        <v>0</v>
      </c>
      <c r="N24" s="1">
        <v>1500000</v>
      </c>
      <c r="O24" s="1">
        <v>0</v>
      </c>
      <c r="P24" s="1">
        <f t="shared" si="4"/>
        <v>5870000</v>
      </c>
      <c r="Q24" s="70">
        <f t="shared" si="5"/>
        <v>21050000</v>
      </c>
      <c r="R24" s="1">
        <f t="shared" si="6"/>
        <v>28200000</v>
      </c>
    </row>
    <row r="25" spans="1:18" x14ac:dyDescent="0.3">
      <c r="A25" s="81"/>
      <c r="B25" t="s">
        <v>185</v>
      </c>
      <c r="C25" s="1">
        <f t="shared" si="7"/>
        <v>28200000</v>
      </c>
      <c r="D25" s="1">
        <v>650000</v>
      </c>
      <c r="E25" s="1">
        <v>2500000</v>
      </c>
      <c r="F25" s="1">
        <v>300000</v>
      </c>
      <c r="G25" s="1">
        <v>100000</v>
      </c>
      <c r="H25" s="1">
        <v>450000</v>
      </c>
      <c r="I25" s="1">
        <v>100000</v>
      </c>
      <c r="J25" s="1">
        <v>170000</v>
      </c>
      <c r="K25" s="1">
        <v>0</v>
      </c>
      <c r="L25" s="1">
        <v>100000</v>
      </c>
      <c r="M25" s="1">
        <v>0</v>
      </c>
      <c r="N25" s="1">
        <v>1500000</v>
      </c>
      <c r="O25" s="1">
        <v>300000</v>
      </c>
      <c r="P25" s="1">
        <f t="shared" si="4"/>
        <v>6170000</v>
      </c>
      <c r="Q25" s="70">
        <f t="shared" si="5"/>
        <v>22030000</v>
      </c>
      <c r="R25" s="1">
        <f t="shared" si="6"/>
        <v>29180000</v>
      </c>
    </row>
    <row r="26" spans="1:18" ht="17.25" thickBot="1" x14ac:dyDescent="0.35">
      <c r="A26" s="81"/>
      <c r="B26" t="s">
        <v>186</v>
      </c>
      <c r="C26" s="1">
        <f t="shared" si="7"/>
        <v>29180000</v>
      </c>
      <c r="D26" s="1">
        <v>650000</v>
      </c>
      <c r="E26" s="1">
        <v>2500000</v>
      </c>
      <c r="F26" s="1">
        <v>300000</v>
      </c>
      <c r="G26" s="1">
        <v>100000</v>
      </c>
      <c r="H26" s="1">
        <v>450000</v>
      </c>
      <c r="I26" s="1">
        <v>100000</v>
      </c>
      <c r="J26" s="1">
        <v>170000</v>
      </c>
      <c r="K26" s="1">
        <v>0</v>
      </c>
      <c r="L26" s="1">
        <v>100000</v>
      </c>
      <c r="M26" s="1">
        <v>0</v>
      </c>
      <c r="N26" s="1">
        <v>1500000</v>
      </c>
      <c r="O26" s="1">
        <v>0</v>
      </c>
      <c r="P26" s="1">
        <f t="shared" si="4"/>
        <v>5870000</v>
      </c>
      <c r="Q26" s="71">
        <f t="shared" si="5"/>
        <v>23310000</v>
      </c>
      <c r="R26" s="1">
        <f t="shared" si="6"/>
        <v>30460000</v>
      </c>
    </row>
    <row r="27" spans="1:18" x14ac:dyDescent="0.3">
      <c r="A27" s="81">
        <v>2025</v>
      </c>
      <c r="B27" t="s">
        <v>175</v>
      </c>
      <c r="C27" s="1">
        <f xml:space="preserve"> R26</f>
        <v>30460000</v>
      </c>
      <c r="D27" s="1">
        <v>0</v>
      </c>
      <c r="E27" s="1">
        <v>2500000</v>
      </c>
      <c r="F27" s="1">
        <v>300000</v>
      </c>
      <c r="G27" s="1">
        <v>100000</v>
      </c>
      <c r="H27" s="1">
        <v>450000</v>
      </c>
      <c r="I27" s="1">
        <v>100000</v>
      </c>
      <c r="J27" s="1">
        <v>170000</v>
      </c>
      <c r="K27" s="1">
        <v>0</v>
      </c>
      <c r="L27" s="1">
        <v>100000</v>
      </c>
      <c r="M27" s="1">
        <v>0</v>
      </c>
      <c r="N27" s="1">
        <v>1500000</v>
      </c>
      <c r="O27" s="1">
        <v>300000</v>
      </c>
      <c r="P27" s="1">
        <f t="shared" si="4"/>
        <v>5520000</v>
      </c>
      <c r="Q27" s="70">
        <f t="shared" si="5"/>
        <v>24940000</v>
      </c>
      <c r="R27" s="1">
        <f xml:space="preserve"> 7150000 + Q27</f>
        <v>32090000</v>
      </c>
    </row>
    <row r="28" spans="1:18" x14ac:dyDescent="0.3">
      <c r="A28" s="81"/>
      <c r="B28" t="s">
        <v>176</v>
      </c>
      <c r="C28" s="1">
        <f xml:space="preserve"> R27</f>
        <v>32090000</v>
      </c>
      <c r="D28" s="1">
        <v>650000</v>
      </c>
      <c r="E28" s="1">
        <v>2500000</v>
      </c>
      <c r="F28" s="1">
        <v>300000</v>
      </c>
      <c r="G28" s="1">
        <v>100000</v>
      </c>
      <c r="H28" s="1">
        <v>450000</v>
      </c>
      <c r="I28" s="1">
        <v>100000</v>
      </c>
      <c r="J28" s="1">
        <v>170000</v>
      </c>
      <c r="K28" s="1">
        <v>0</v>
      </c>
      <c r="L28" s="1">
        <v>100000</v>
      </c>
      <c r="M28" s="1">
        <v>0</v>
      </c>
      <c r="N28" s="1">
        <v>1500000</v>
      </c>
      <c r="O28" s="1">
        <v>0</v>
      </c>
      <c r="P28" s="1">
        <f t="shared" si="4"/>
        <v>5870000</v>
      </c>
      <c r="Q28" s="70">
        <f t="shared" si="5"/>
        <v>26220000</v>
      </c>
      <c r="R28" s="1">
        <f t="shared" ref="R28:R38" si="8" xml:space="preserve"> 7150000 + Q28</f>
        <v>33370000</v>
      </c>
    </row>
    <row r="29" spans="1:18" x14ac:dyDescent="0.3">
      <c r="A29" s="81"/>
      <c r="B29" t="s">
        <v>177</v>
      </c>
      <c r="C29" s="1">
        <f t="shared" ref="C29:C38" si="9" xml:space="preserve"> R28</f>
        <v>33370000</v>
      </c>
      <c r="D29" s="1">
        <v>650000</v>
      </c>
      <c r="E29" s="1">
        <v>2500000</v>
      </c>
      <c r="F29" s="1">
        <v>300000</v>
      </c>
      <c r="G29" s="1">
        <v>100000</v>
      </c>
      <c r="H29" s="1">
        <v>450000</v>
      </c>
      <c r="I29" s="1">
        <v>100000</v>
      </c>
      <c r="J29" s="1">
        <v>170000</v>
      </c>
      <c r="K29" s="1">
        <v>0</v>
      </c>
      <c r="L29" s="1">
        <v>100000</v>
      </c>
      <c r="M29" s="1">
        <v>0</v>
      </c>
      <c r="N29" s="1">
        <v>1500000</v>
      </c>
      <c r="O29" s="1">
        <v>0</v>
      </c>
      <c r="P29" s="1">
        <f t="shared" si="4"/>
        <v>5870000</v>
      </c>
      <c r="Q29" s="70">
        <f t="shared" si="5"/>
        <v>27500000</v>
      </c>
      <c r="R29" s="1">
        <f t="shared" si="8"/>
        <v>34650000</v>
      </c>
    </row>
    <row r="30" spans="1:18" x14ac:dyDescent="0.3">
      <c r="A30" s="81"/>
      <c r="B30" t="s">
        <v>178</v>
      </c>
      <c r="C30" s="1">
        <f t="shared" si="9"/>
        <v>34650000</v>
      </c>
      <c r="D30" s="1">
        <v>650000</v>
      </c>
      <c r="E30" s="1">
        <v>2500000</v>
      </c>
      <c r="F30" s="1">
        <v>300000</v>
      </c>
      <c r="G30" s="1">
        <v>100000</v>
      </c>
      <c r="H30" s="1">
        <v>450000</v>
      </c>
      <c r="I30" s="1">
        <v>100000</v>
      </c>
      <c r="J30" s="1">
        <v>170000</v>
      </c>
      <c r="K30" s="1">
        <v>0</v>
      </c>
      <c r="L30" s="1">
        <v>100000</v>
      </c>
      <c r="M30" s="1">
        <v>0</v>
      </c>
      <c r="N30" s="1">
        <v>1500000</v>
      </c>
      <c r="O30" s="1">
        <v>0</v>
      </c>
      <c r="P30" s="1">
        <f t="shared" si="4"/>
        <v>5870000</v>
      </c>
      <c r="Q30" s="70">
        <f t="shared" si="5"/>
        <v>28780000</v>
      </c>
      <c r="R30" s="1">
        <f t="shared" si="8"/>
        <v>35930000</v>
      </c>
    </row>
    <row r="31" spans="1:18" x14ac:dyDescent="0.3">
      <c r="A31" s="81"/>
      <c r="B31" t="s">
        <v>179</v>
      </c>
      <c r="C31" s="1">
        <f t="shared" si="9"/>
        <v>35930000</v>
      </c>
      <c r="D31" s="1">
        <v>650000</v>
      </c>
      <c r="E31" s="1">
        <v>2500000</v>
      </c>
      <c r="F31" s="1">
        <v>300000</v>
      </c>
      <c r="G31" s="1">
        <v>100000</v>
      </c>
      <c r="H31" s="1">
        <v>450000</v>
      </c>
      <c r="I31" s="1">
        <v>100000</v>
      </c>
      <c r="J31" s="1">
        <v>170000</v>
      </c>
      <c r="K31" s="1">
        <v>0</v>
      </c>
      <c r="L31" s="1">
        <v>100000</v>
      </c>
      <c r="M31" s="1">
        <v>0</v>
      </c>
      <c r="N31" s="1">
        <v>1500000</v>
      </c>
      <c r="O31" s="1">
        <v>300000</v>
      </c>
      <c r="P31" s="1">
        <f t="shared" si="4"/>
        <v>6170000</v>
      </c>
      <c r="Q31" s="70">
        <f t="shared" si="5"/>
        <v>29760000</v>
      </c>
      <c r="R31" s="1">
        <f t="shared" si="8"/>
        <v>36910000</v>
      </c>
    </row>
    <row r="32" spans="1:18" x14ac:dyDescent="0.3">
      <c r="A32" s="81"/>
      <c r="B32" t="s">
        <v>180</v>
      </c>
      <c r="C32" s="1">
        <f t="shared" si="9"/>
        <v>36910000</v>
      </c>
      <c r="D32" s="1">
        <v>650000</v>
      </c>
      <c r="E32" s="1">
        <v>2500000</v>
      </c>
      <c r="F32" s="1">
        <v>300000</v>
      </c>
      <c r="G32" s="1">
        <v>100000</v>
      </c>
      <c r="H32" s="1">
        <v>450000</v>
      </c>
      <c r="I32" s="1">
        <v>100000</v>
      </c>
      <c r="J32" s="1">
        <v>170000</v>
      </c>
      <c r="K32" s="1">
        <v>0</v>
      </c>
      <c r="L32" s="1">
        <v>100000</v>
      </c>
      <c r="M32" s="1">
        <v>0</v>
      </c>
      <c r="N32" s="1">
        <v>1500000</v>
      </c>
      <c r="O32" s="1">
        <v>0</v>
      </c>
      <c r="P32" s="1">
        <f t="shared" si="4"/>
        <v>5870000</v>
      </c>
      <c r="Q32" s="70">
        <f t="shared" si="5"/>
        <v>31040000</v>
      </c>
      <c r="R32" s="1">
        <f t="shared" si="8"/>
        <v>38190000</v>
      </c>
    </row>
    <row r="33" spans="1:18" x14ac:dyDescent="0.3">
      <c r="A33" s="81"/>
      <c r="B33" t="s">
        <v>181</v>
      </c>
      <c r="C33" s="1">
        <f t="shared" si="9"/>
        <v>38190000</v>
      </c>
      <c r="D33" s="1">
        <v>650000</v>
      </c>
      <c r="E33" s="1">
        <v>2500000</v>
      </c>
      <c r="F33" s="1">
        <v>300000</v>
      </c>
      <c r="G33" s="1">
        <v>100000</v>
      </c>
      <c r="H33" s="1">
        <v>450000</v>
      </c>
      <c r="I33" s="1">
        <v>100000</v>
      </c>
      <c r="J33" s="1">
        <v>170000</v>
      </c>
      <c r="K33" s="1">
        <v>0</v>
      </c>
      <c r="L33" s="1">
        <v>100000</v>
      </c>
      <c r="M33" s="1">
        <v>0</v>
      </c>
      <c r="N33" s="1">
        <v>1500000</v>
      </c>
      <c r="O33" s="1">
        <v>0</v>
      </c>
      <c r="P33" s="1">
        <f t="shared" si="4"/>
        <v>5870000</v>
      </c>
      <c r="Q33" s="70">
        <f t="shared" si="5"/>
        <v>32320000</v>
      </c>
      <c r="R33" s="1">
        <f t="shared" si="8"/>
        <v>39470000</v>
      </c>
    </row>
    <row r="34" spans="1:18" x14ac:dyDescent="0.3">
      <c r="A34" s="81"/>
      <c r="B34" t="s">
        <v>182</v>
      </c>
      <c r="C34" s="1">
        <f t="shared" si="9"/>
        <v>39470000</v>
      </c>
      <c r="D34" s="1">
        <v>650000</v>
      </c>
      <c r="E34" s="1">
        <v>2500000</v>
      </c>
      <c r="F34" s="1">
        <v>300000</v>
      </c>
      <c r="G34" s="1">
        <v>100000</v>
      </c>
      <c r="H34" s="1">
        <v>450000</v>
      </c>
      <c r="I34" s="1">
        <v>100000</v>
      </c>
      <c r="J34" s="1">
        <v>170000</v>
      </c>
      <c r="K34" s="1">
        <v>0</v>
      </c>
      <c r="L34" s="1">
        <v>100000</v>
      </c>
      <c r="M34" s="1">
        <v>0</v>
      </c>
      <c r="N34" s="1">
        <v>1500000</v>
      </c>
      <c r="O34" s="1">
        <v>0</v>
      </c>
      <c r="P34" s="1">
        <f t="shared" si="4"/>
        <v>5870000</v>
      </c>
      <c r="Q34" s="70">
        <f t="shared" si="5"/>
        <v>33600000</v>
      </c>
      <c r="R34" s="1">
        <f t="shared" si="8"/>
        <v>40750000</v>
      </c>
    </row>
    <row r="35" spans="1:18" x14ac:dyDescent="0.3">
      <c r="A35" s="81"/>
      <c r="B35" t="s">
        <v>183</v>
      </c>
      <c r="C35" s="1">
        <f t="shared" si="9"/>
        <v>40750000</v>
      </c>
      <c r="D35" s="1">
        <v>650000</v>
      </c>
      <c r="E35" s="1">
        <v>2500000</v>
      </c>
      <c r="F35" s="1">
        <v>300000</v>
      </c>
      <c r="G35" s="1">
        <v>100000</v>
      </c>
      <c r="H35" s="1">
        <v>450000</v>
      </c>
      <c r="I35" s="1">
        <v>100000</v>
      </c>
      <c r="J35" s="1">
        <v>170000</v>
      </c>
      <c r="K35" s="1">
        <v>0</v>
      </c>
      <c r="L35" s="1">
        <v>100000</v>
      </c>
      <c r="M35" s="1">
        <v>0</v>
      </c>
      <c r="N35" s="1">
        <v>1500000</v>
      </c>
      <c r="O35" s="1">
        <v>300000</v>
      </c>
      <c r="P35" s="1">
        <f t="shared" si="4"/>
        <v>6170000</v>
      </c>
      <c r="Q35" s="70">
        <f t="shared" si="5"/>
        <v>34580000</v>
      </c>
      <c r="R35" s="1">
        <f t="shared" si="8"/>
        <v>41730000</v>
      </c>
    </row>
    <row r="36" spans="1:18" x14ac:dyDescent="0.3">
      <c r="A36" s="81"/>
      <c r="B36" t="s">
        <v>184</v>
      </c>
      <c r="C36" s="1">
        <f t="shared" si="9"/>
        <v>41730000</v>
      </c>
      <c r="D36" s="1">
        <v>650000</v>
      </c>
      <c r="E36" s="1">
        <v>2500000</v>
      </c>
      <c r="F36" s="1">
        <v>300000</v>
      </c>
      <c r="G36" s="1">
        <v>100000</v>
      </c>
      <c r="H36" s="1">
        <v>450000</v>
      </c>
      <c r="I36" s="1">
        <v>100000</v>
      </c>
      <c r="J36" s="1">
        <v>170000</v>
      </c>
      <c r="K36" s="1">
        <v>0</v>
      </c>
      <c r="L36" s="1">
        <v>100000</v>
      </c>
      <c r="M36" s="1">
        <v>0</v>
      </c>
      <c r="N36" s="1">
        <v>1500000</v>
      </c>
      <c r="O36" s="1">
        <v>0</v>
      </c>
      <c r="P36" s="1">
        <f t="shared" si="4"/>
        <v>5870000</v>
      </c>
      <c r="Q36" s="70">
        <f t="shared" si="5"/>
        <v>35860000</v>
      </c>
      <c r="R36" s="1">
        <f t="shared" si="8"/>
        <v>43010000</v>
      </c>
    </row>
    <row r="37" spans="1:18" x14ac:dyDescent="0.3">
      <c r="A37" s="81"/>
      <c r="B37" t="s">
        <v>185</v>
      </c>
      <c r="C37" s="1">
        <f t="shared" si="9"/>
        <v>43010000</v>
      </c>
      <c r="D37" s="1">
        <v>650000</v>
      </c>
      <c r="E37" s="1">
        <v>2500000</v>
      </c>
      <c r="F37" s="1">
        <v>300000</v>
      </c>
      <c r="G37" s="1">
        <v>100000</v>
      </c>
      <c r="H37" s="1">
        <v>450000</v>
      </c>
      <c r="I37" s="1">
        <v>100000</v>
      </c>
      <c r="J37" s="1">
        <v>170000</v>
      </c>
      <c r="K37" s="1">
        <v>0</v>
      </c>
      <c r="L37" s="1">
        <v>100000</v>
      </c>
      <c r="M37" s="1">
        <v>0</v>
      </c>
      <c r="N37" s="1">
        <v>1500000</v>
      </c>
      <c r="O37" s="1">
        <v>300000</v>
      </c>
      <c r="P37" s="1">
        <f t="shared" si="4"/>
        <v>6170000</v>
      </c>
      <c r="Q37" s="70">
        <f t="shared" si="5"/>
        <v>36840000</v>
      </c>
      <c r="R37" s="1">
        <f t="shared" si="8"/>
        <v>43990000</v>
      </c>
    </row>
    <row r="38" spans="1:18" ht="17.25" thickBot="1" x14ac:dyDescent="0.35">
      <c r="A38" s="81"/>
      <c r="B38" t="s">
        <v>186</v>
      </c>
      <c r="C38" s="1">
        <f t="shared" si="9"/>
        <v>43990000</v>
      </c>
      <c r="D38" s="1">
        <v>650000</v>
      </c>
      <c r="E38" s="1">
        <v>2500000</v>
      </c>
      <c r="F38" s="1">
        <v>300000</v>
      </c>
      <c r="G38" s="1">
        <v>100000</v>
      </c>
      <c r="H38" s="1">
        <v>450000</v>
      </c>
      <c r="I38" s="1">
        <v>100000</v>
      </c>
      <c r="J38" s="1">
        <v>170000</v>
      </c>
      <c r="K38" s="1">
        <v>0</v>
      </c>
      <c r="L38" s="1">
        <v>100000</v>
      </c>
      <c r="M38" s="1">
        <v>0</v>
      </c>
      <c r="N38" s="1">
        <v>1500000</v>
      </c>
      <c r="O38" s="1">
        <v>0</v>
      </c>
      <c r="P38" s="1">
        <f t="shared" si="4"/>
        <v>5870000</v>
      </c>
      <c r="Q38" s="71">
        <f t="shared" si="5"/>
        <v>38120000</v>
      </c>
      <c r="R38" s="1">
        <f t="shared" si="8"/>
        <v>45270000</v>
      </c>
    </row>
    <row r="40" spans="1:18" s="77" customFormat="1" x14ac:dyDescent="0.3"/>
  </sheetData>
  <mergeCells count="3">
    <mergeCell ref="A3:A14"/>
    <mergeCell ref="A15:A26"/>
    <mergeCell ref="A27:A3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1AFE-825F-4669-B78F-E10BDCEEF433}">
  <dimension ref="B1:O35"/>
  <sheetViews>
    <sheetView topLeftCell="A13" workbookViewId="0">
      <selection activeCell="E20" sqref="E20"/>
    </sheetView>
  </sheetViews>
  <sheetFormatPr defaultRowHeight="16.5" x14ac:dyDescent="0.3"/>
  <cols>
    <col min="1" max="1" width="7.25" customWidth="1"/>
    <col min="2" max="2" width="9.25" bestFit="1" customWidth="1"/>
    <col min="3" max="3" width="11.375" customWidth="1"/>
    <col min="4" max="4" width="7.75" customWidth="1"/>
    <col min="6" max="6" width="10.625" bestFit="1" customWidth="1"/>
    <col min="9" max="9" width="10.75" bestFit="1" customWidth="1"/>
    <col min="12" max="12" width="10.625" bestFit="1" customWidth="1"/>
    <col min="15" max="15" width="10.625" bestFit="1" customWidth="1"/>
  </cols>
  <sheetData>
    <row r="1" spans="2:15" x14ac:dyDescent="0.3">
      <c r="B1" s="83"/>
      <c r="C1" s="83"/>
    </row>
    <row r="2" spans="2:15" x14ac:dyDescent="0.3">
      <c r="B2" s="82" t="s">
        <v>169</v>
      </c>
      <c r="C2" s="82"/>
      <c r="E2" s="82" t="s">
        <v>170</v>
      </c>
      <c r="F2" s="82"/>
      <c r="H2" s="82" t="s">
        <v>171</v>
      </c>
      <c r="I2" s="82"/>
      <c r="K2" s="82" t="s">
        <v>172</v>
      </c>
      <c r="L2" s="82"/>
      <c r="N2" s="82" t="s">
        <v>173</v>
      </c>
      <c r="O2" s="82"/>
    </row>
    <row r="3" spans="2:15" x14ac:dyDescent="0.3">
      <c r="B3" s="26" t="s">
        <v>21</v>
      </c>
      <c r="C3" s="26" t="s">
        <v>22</v>
      </c>
      <c r="E3" s="26" t="s">
        <v>21</v>
      </c>
      <c r="F3" s="26" t="s">
        <v>22</v>
      </c>
      <c r="H3" s="26" t="s">
        <v>21</v>
      </c>
      <c r="I3" s="26" t="s">
        <v>22</v>
      </c>
      <c r="K3" s="26" t="s">
        <v>21</v>
      </c>
      <c r="L3" s="26" t="s">
        <v>22</v>
      </c>
      <c r="N3" s="26" t="s">
        <v>21</v>
      </c>
      <c r="O3" s="26" t="s">
        <v>22</v>
      </c>
    </row>
    <row r="4" spans="2:15" x14ac:dyDescent="0.3">
      <c r="B4" s="25">
        <v>1</v>
      </c>
      <c r="C4" s="29">
        <v>17215</v>
      </c>
      <c r="E4" s="25">
        <v>1</v>
      </c>
      <c r="F4" s="29">
        <v>3020</v>
      </c>
      <c r="H4" s="25">
        <v>1</v>
      </c>
      <c r="I4" s="29">
        <v>0</v>
      </c>
      <c r="K4" s="25">
        <v>1</v>
      </c>
      <c r="L4" s="29">
        <v>39527</v>
      </c>
      <c r="N4" s="25">
        <v>1</v>
      </c>
      <c r="O4" s="29">
        <v>19976</v>
      </c>
    </row>
    <row r="5" spans="2:15" x14ac:dyDescent="0.3">
      <c r="B5" s="25">
        <v>2</v>
      </c>
      <c r="C5" s="29">
        <v>-77107</v>
      </c>
      <c r="E5" s="25">
        <v>2</v>
      </c>
      <c r="F5" s="29">
        <v>-3342</v>
      </c>
      <c r="H5" s="25">
        <v>2</v>
      </c>
      <c r="I5" s="29">
        <v>0</v>
      </c>
      <c r="K5" s="25">
        <v>2</v>
      </c>
      <c r="L5" s="29">
        <v>47051</v>
      </c>
      <c r="N5" s="25">
        <v>2</v>
      </c>
      <c r="O5" s="29">
        <v>35716</v>
      </c>
    </row>
    <row r="6" spans="2:15" x14ac:dyDescent="0.3">
      <c r="B6" s="25">
        <v>3</v>
      </c>
      <c r="C6" s="29">
        <v>77453</v>
      </c>
      <c r="E6" s="25">
        <v>3</v>
      </c>
      <c r="F6" s="30">
        <v>38771</v>
      </c>
      <c r="H6" s="25">
        <v>3</v>
      </c>
      <c r="I6" s="30">
        <v>0</v>
      </c>
      <c r="K6" s="25">
        <v>3</v>
      </c>
      <c r="L6" s="30">
        <v>-8281</v>
      </c>
      <c r="N6" s="25">
        <v>3</v>
      </c>
      <c r="O6" s="30">
        <v>64079</v>
      </c>
    </row>
    <row r="7" spans="2:15" x14ac:dyDescent="0.3">
      <c r="B7" s="25">
        <v>4</v>
      </c>
      <c r="C7" s="29">
        <v>16450</v>
      </c>
      <c r="E7" s="25">
        <v>4</v>
      </c>
      <c r="F7" s="29">
        <v>0</v>
      </c>
      <c r="H7" s="25">
        <v>4</v>
      </c>
      <c r="I7" s="29">
        <v>0</v>
      </c>
      <c r="K7" s="25">
        <v>4</v>
      </c>
      <c r="L7" s="29">
        <v>0</v>
      </c>
      <c r="N7" s="25">
        <v>4</v>
      </c>
      <c r="O7" s="29">
        <v>0</v>
      </c>
    </row>
    <row r="8" spans="2:15" x14ac:dyDescent="0.3">
      <c r="B8" s="25">
        <v>5</v>
      </c>
      <c r="C8" s="29">
        <v>6818</v>
      </c>
      <c r="E8" s="25">
        <v>5</v>
      </c>
      <c r="F8" s="29">
        <v>0</v>
      </c>
      <c r="H8" s="25">
        <v>5</v>
      </c>
      <c r="I8" s="29">
        <v>0</v>
      </c>
      <c r="K8" s="25">
        <v>5</v>
      </c>
      <c r="L8" s="29">
        <v>0</v>
      </c>
      <c r="N8" s="25">
        <v>5</v>
      </c>
      <c r="O8" s="29">
        <v>0</v>
      </c>
    </row>
    <row r="9" spans="2:15" x14ac:dyDescent="0.3">
      <c r="B9" s="25">
        <v>6</v>
      </c>
      <c r="C9" s="29">
        <v>24585</v>
      </c>
      <c r="E9" s="25">
        <v>6</v>
      </c>
      <c r="F9" s="30">
        <v>0</v>
      </c>
      <c r="H9" s="25">
        <v>6</v>
      </c>
      <c r="I9" s="30">
        <v>0</v>
      </c>
      <c r="K9" s="25">
        <v>6</v>
      </c>
      <c r="L9" s="30">
        <v>0</v>
      </c>
      <c r="N9" s="25">
        <v>6</v>
      </c>
      <c r="O9" s="30">
        <v>0</v>
      </c>
    </row>
    <row r="10" spans="2:15" x14ac:dyDescent="0.3">
      <c r="B10" s="25">
        <v>7</v>
      </c>
      <c r="C10" s="29">
        <v>0</v>
      </c>
      <c r="E10" s="25">
        <v>7</v>
      </c>
      <c r="F10" s="29">
        <v>0</v>
      </c>
      <c r="H10" s="25">
        <v>7</v>
      </c>
      <c r="I10" s="29">
        <v>0</v>
      </c>
      <c r="K10" s="25">
        <v>7</v>
      </c>
      <c r="L10" s="29">
        <v>0</v>
      </c>
      <c r="N10" s="25">
        <v>7</v>
      </c>
      <c r="O10" s="29">
        <v>0</v>
      </c>
    </row>
    <row r="11" spans="2:15" x14ac:dyDescent="0.3">
      <c r="B11" s="25">
        <v>8</v>
      </c>
      <c r="C11" s="29">
        <v>0</v>
      </c>
      <c r="E11" s="25">
        <v>8</v>
      </c>
      <c r="F11" s="29">
        <v>0</v>
      </c>
      <c r="H11" s="25">
        <v>8</v>
      </c>
      <c r="I11" s="29">
        <v>0</v>
      </c>
      <c r="K11" s="25">
        <v>8</v>
      </c>
      <c r="L11" s="29">
        <v>0</v>
      </c>
      <c r="N11" s="25">
        <v>8</v>
      </c>
      <c r="O11" s="29">
        <v>0</v>
      </c>
    </row>
    <row r="12" spans="2:15" x14ac:dyDescent="0.3">
      <c r="B12" s="28">
        <v>9</v>
      </c>
      <c r="C12" s="30">
        <v>0</v>
      </c>
      <c r="E12" s="28">
        <v>9</v>
      </c>
      <c r="F12" s="30">
        <v>0</v>
      </c>
      <c r="H12" s="28">
        <v>9</v>
      </c>
      <c r="I12" s="30">
        <v>0</v>
      </c>
      <c r="K12" s="28">
        <v>9</v>
      </c>
      <c r="L12" s="30">
        <v>0</v>
      </c>
      <c r="N12" s="28">
        <v>9</v>
      </c>
      <c r="O12" s="30">
        <v>0</v>
      </c>
    </row>
    <row r="13" spans="2:15" x14ac:dyDescent="0.3">
      <c r="B13" s="25">
        <v>10</v>
      </c>
      <c r="C13" s="29">
        <v>0</v>
      </c>
      <c r="E13" s="25">
        <v>10</v>
      </c>
      <c r="F13" s="29">
        <v>0</v>
      </c>
      <c r="H13" s="25">
        <v>10</v>
      </c>
      <c r="I13" s="29">
        <v>0</v>
      </c>
      <c r="K13" s="25">
        <v>10</v>
      </c>
      <c r="L13" s="29">
        <v>0</v>
      </c>
      <c r="N13" s="25">
        <v>10</v>
      </c>
      <c r="O13" s="29">
        <v>0</v>
      </c>
    </row>
    <row r="14" spans="2:15" x14ac:dyDescent="0.3">
      <c r="B14" s="26" t="s">
        <v>23</v>
      </c>
      <c r="C14" s="27">
        <f>SUM(C4:C13)</f>
        <v>65414</v>
      </c>
      <c r="E14" s="26" t="s">
        <v>23</v>
      </c>
      <c r="F14" s="27">
        <f>SUM(F4:F13)</f>
        <v>38449</v>
      </c>
      <c r="H14" s="26" t="s">
        <v>23</v>
      </c>
      <c r="I14" s="27">
        <f>SUM(I4:I13)</f>
        <v>0</v>
      </c>
      <c r="K14" s="26" t="s">
        <v>23</v>
      </c>
      <c r="L14" s="27">
        <f>SUM(L4:L13)</f>
        <v>78297</v>
      </c>
      <c r="N14" s="26" t="s">
        <v>23</v>
      </c>
      <c r="O14" s="27">
        <f>SUM(O4:O13)</f>
        <v>119771</v>
      </c>
    </row>
    <row r="15" spans="2:15" x14ac:dyDescent="0.3">
      <c r="B15" s="26" t="s">
        <v>24</v>
      </c>
      <c r="C15" s="27">
        <v>1061029</v>
      </c>
      <c r="E15" s="26" t="s">
        <v>15</v>
      </c>
      <c r="F15" s="27">
        <v>1126443</v>
      </c>
      <c r="H15" s="26" t="s">
        <v>15</v>
      </c>
      <c r="I15" s="27">
        <v>1200000</v>
      </c>
      <c r="K15" s="26" t="s">
        <v>15</v>
      </c>
      <c r="L15" s="27">
        <v>1200000</v>
      </c>
      <c r="N15" s="26" t="s">
        <v>15</v>
      </c>
      <c r="O15" s="27">
        <v>1223000</v>
      </c>
    </row>
    <row r="16" spans="2:15" x14ac:dyDescent="0.3">
      <c r="B16" s="26" t="s">
        <v>25</v>
      </c>
      <c r="C16" s="25">
        <f xml:space="preserve">  ROUND( (C14 / C15) * 100, 2 )</f>
        <v>6.17</v>
      </c>
      <c r="E16" s="26" t="s">
        <v>25</v>
      </c>
      <c r="F16" s="25">
        <f xml:space="preserve">  ROUND( (F14 / F15) * 100, 2 )</f>
        <v>3.41</v>
      </c>
      <c r="H16" s="26" t="s">
        <v>25</v>
      </c>
      <c r="I16" s="25">
        <f xml:space="preserve">  ROUND( (I14 / I15) * 100, 2 )</f>
        <v>0</v>
      </c>
      <c r="K16" s="26" t="s">
        <v>25</v>
      </c>
      <c r="L16" s="25">
        <f xml:space="preserve">  ROUND( (L14 / L15) * 100, 2 )</f>
        <v>6.52</v>
      </c>
      <c r="N16" s="26" t="s">
        <v>25</v>
      </c>
      <c r="O16" s="25">
        <f xml:space="preserve">  ROUND( (O14 / O15) * 100, 2 )</f>
        <v>9.7899999999999991</v>
      </c>
    </row>
    <row r="17" spans="2:15" x14ac:dyDescent="0.3">
      <c r="B17" s="26" t="s">
        <v>26</v>
      </c>
      <c r="C17" s="9">
        <f xml:space="preserve"> C15 + C14</f>
        <v>1126443</v>
      </c>
      <c r="E17" s="26" t="s">
        <v>26</v>
      </c>
      <c r="F17" s="9">
        <f xml:space="preserve"> F15 + F14</f>
        <v>1164892</v>
      </c>
      <c r="H17" s="26" t="s">
        <v>26</v>
      </c>
      <c r="I17" s="9">
        <f xml:space="preserve"> I15 + I14</f>
        <v>1200000</v>
      </c>
      <c r="K17" s="26" t="s">
        <v>26</v>
      </c>
      <c r="L17" s="9">
        <f xml:space="preserve"> L15 + L14</f>
        <v>1278297</v>
      </c>
      <c r="N17" s="26" t="s">
        <v>26</v>
      </c>
      <c r="O17" s="9">
        <f xml:space="preserve"> O15 + O14</f>
        <v>1342771</v>
      </c>
    </row>
    <row r="18" spans="2:15" x14ac:dyDescent="0.3">
      <c r="B18" s="23"/>
    </row>
    <row r="20" spans="2:15" x14ac:dyDescent="0.3">
      <c r="B20" s="82" t="s">
        <v>174</v>
      </c>
      <c r="C20" s="82"/>
    </row>
    <row r="21" spans="2:15" x14ac:dyDescent="0.3">
      <c r="B21" s="67" t="s">
        <v>21</v>
      </c>
      <c r="C21" s="67" t="s">
        <v>22</v>
      </c>
    </row>
    <row r="22" spans="2:15" x14ac:dyDescent="0.3">
      <c r="B22" s="25">
        <v>1</v>
      </c>
      <c r="C22" s="29">
        <v>0</v>
      </c>
    </row>
    <row r="23" spans="2:15" x14ac:dyDescent="0.3">
      <c r="B23" s="25">
        <v>2</v>
      </c>
      <c r="C23" s="29">
        <v>0</v>
      </c>
    </row>
    <row r="24" spans="2:15" x14ac:dyDescent="0.3">
      <c r="B24" s="25">
        <v>3</v>
      </c>
      <c r="C24" s="30">
        <v>0</v>
      </c>
    </row>
    <row r="25" spans="2:15" x14ac:dyDescent="0.3">
      <c r="B25" s="25">
        <v>4</v>
      </c>
      <c r="C25" s="29">
        <v>0</v>
      </c>
    </row>
    <row r="26" spans="2:15" x14ac:dyDescent="0.3">
      <c r="B26" s="25">
        <v>5</v>
      </c>
      <c r="C26" s="29">
        <v>0</v>
      </c>
    </row>
    <row r="27" spans="2:15" x14ac:dyDescent="0.3">
      <c r="B27" s="25">
        <v>6</v>
      </c>
      <c r="C27" s="30">
        <v>0</v>
      </c>
    </row>
    <row r="28" spans="2:15" x14ac:dyDescent="0.3">
      <c r="B28" s="25">
        <v>7</v>
      </c>
      <c r="C28" s="29">
        <v>0</v>
      </c>
    </row>
    <row r="29" spans="2:15" x14ac:dyDescent="0.3">
      <c r="B29" s="25">
        <v>8</v>
      </c>
      <c r="C29" s="29">
        <v>0</v>
      </c>
    </row>
    <row r="30" spans="2:15" x14ac:dyDescent="0.3">
      <c r="B30" s="28">
        <v>9</v>
      </c>
      <c r="C30" s="30">
        <v>0</v>
      </c>
    </row>
    <row r="31" spans="2:15" x14ac:dyDescent="0.3">
      <c r="B31" s="25">
        <v>10</v>
      </c>
      <c r="C31" s="29">
        <v>0</v>
      </c>
    </row>
    <row r="32" spans="2:15" x14ac:dyDescent="0.3">
      <c r="B32" s="67" t="s">
        <v>23</v>
      </c>
      <c r="C32" s="27">
        <f>SUM(C22:C31)</f>
        <v>0</v>
      </c>
    </row>
    <row r="33" spans="2:3" x14ac:dyDescent="0.3">
      <c r="B33" s="67" t="s">
        <v>15</v>
      </c>
      <c r="C33" s="27">
        <v>1342771</v>
      </c>
    </row>
    <row r="34" spans="2:3" x14ac:dyDescent="0.3">
      <c r="B34" s="67" t="s">
        <v>25</v>
      </c>
      <c r="C34" s="25">
        <f xml:space="preserve">  ROUND( (C32 / C33) * 100, 2 )</f>
        <v>0</v>
      </c>
    </row>
    <row r="35" spans="2:3" x14ac:dyDescent="0.3">
      <c r="B35" s="67" t="s">
        <v>26</v>
      </c>
      <c r="C35" s="9">
        <f xml:space="preserve"> C33 + C32</f>
        <v>1342771</v>
      </c>
    </row>
  </sheetData>
  <mergeCells count="7">
    <mergeCell ref="B20:C20"/>
    <mergeCell ref="N2:O2"/>
    <mergeCell ref="B2:C2"/>
    <mergeCell ref="B1:C1"/>
    <mergeCell ref="E2:F2"/>
    <mergeCell ref="H2:I2"/>
    <mergeCell ref="K2:L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5E69-D134-4A4B-8C90-1AB5E24247D8}">
  <dimension ref="A3:K19"/>
  <sheetViews>
    <sheetView workbookViewId="0">
      <selection activeCell="G12" sqref="G12"/>
    </sheetView>
  </sheetViews>
  <sheetFormatPr defaultRowHeight="16.5" x14ac:dyDescent="0.3"/>
  <cols>
    <col min="1" max="1" width="24.25" customWidth="1"/>
    <col min="2" max="2" width="25.5" bestFit="1" customWidth="1"/>
  </cols>
  <sheetData>
    <row r="3" spans="1:5" x14ac:dyDescent="0.3">
      <c r="C3" t="s">
        <v>32</v>
      </c>
      <c r="D3" t="s">
        <v>33</v>
      </c>
      <c r="E3" t="s">
        <v>34</v>
      </c>
    </row>
    <row r="4" spans="1:5" x14ac:dyDescent="0.3">
      <c r="A4" s="51">
        <v>44837</v>
      </c>
      <c r="B4" t="s">
        <v>35</v>
      </c>
      <c r="C4">
        <v>52.8</v>
      </c>
      <c r="D4">
        <v>52.2</v>
      </c>
      <c r="E4">
        <v>50.9</v>
      </c>
    </row>
    <row r="5" spans="1:5" x14ac:dyDescent="0.3">
      <c r="A5" s="51">
        <v>44839</v>
      </c>
      <c r="B5" t="s">
        <v>36</v>
      </c>
      <c r="C5">
        <v>56.9</v>
      </c>
      <c r="D5">
        <v>56</v>
      </c>
      <c r="E5">
        <v>56.7</v>
      </c>
    </row>
    <row r="6" spans="1:5" x14ac:dyDescent="0.3">
      <c r="A6" s="51">
        <v>44846</v>
      </c>
      <c r="B6" t="s">
        <v>37</v>
      </c>
      <c r="C6">
        <v>8.6999999999999993</v>
      </c>
      <c r="D6">
        <v>8.4</v>
      </c>
      <c r="E6">
        <v>8.5</v>
      </c>
    </row>
    <row r="7" spans="1:5" x14ac:dyDescent="0.3">
      <c r="A7" s="51"/>
      <c r="B7" t="s">
        <v>48</v>
      </c>
      <c r="C7">
        <v>7.2</v>
      </c>
      <c r="D7">
        <v>7.3</v>
      </c>
      <c r="E7">
        <v>7.2</v>
      </c>
    </row>
    <row r="8" spans="1:5" x14ac:dyDescent="0.3">
      <c r="A8" s="51">
        <v>44847</v>
      </c>
      <c r="B8" t="s">
        <v>38</v>
      </c>
      <c r="C8">
        <v>8.3000000000000007</v>
      </c>
      <c r="D8">
        <v>8.1</v>
      </c>
    </row>
    <row r="9" spans="1:5" x14ac:dyDescent="0.3">
      <c r="B9" t="s">
        <v>39</v>
      </c>
      <c r="C9">
        <v>6.3</v>
      </c>
      <c r="D9">
        <v>6.5</v>
      </c>
    </row>
    <row r="10" spans="1:5" x14ac:dyDescent="0.3">
      <c r="B10" t="s">
        <v>40</v>
      </c>
      <c r="C10" s="52" t="s">
        <v>41</v>
      </c>
      <c r="D10" s="52" t="s">
        <v>42</v>
      </c>
    </row>
    <row r="11" spans="1:5" x14ac:dyDescent="0.3">
      <c r="A11" s="51">
        <v>44848</v>
      </c>
      <c r="B11" t="s">
        <v>43</v>
      </c>
    </row>
    <row r="12" spans="1:5" x14ac:dyDescent="0.3">
      <c r="A12" s="51">
        <v>44853</v>
      </c>
      <c r="B12" t="s">
        <v>44</v>
      </c>
    </row>
    <row r="13" spans="1:5" x14ac:dyDescent="0.3">
      <c r="A13" s="51"/>
      <c r="B13" t="s">
        <v>45</v>
      </c>
    </row>
    <row r="14" spans="1:5" x14ac:dyDescent="0.3">
      <c r="A14" s="51">
        <v>44854</v>
      </c>
      <c r="B14" t="s">
        <v>46</v>
      </c>
    </row>
    <row r="15" spans="1:5" x14ac:dyDescent="0.3">
      <c r="B15" t="s">
        <v>47</v>
      </c>
    </row>
    <row r="18" spans="1:11" ht="17.25" thickBot="1" x14ac:dyDescent="0.35">
      <c r="A18" t="s">
        <v>165</v>
      </c>
      <c r="B18" s="68">
        <v>46.2</v>
      </c>
      <c r="G18" t="s">
        <v>167</v>
      </c>
    </row>
    <row r="19" spans="1:11" x14ac:dyDescent="0.3">
      <c r="A19" t="s">
        <v>164</v>
      </c>
      <c r="B19" s="53" t="s">
        <v>168</v>
      </c>
      <c r="G19" t="s">
        <v>164</v>
      </c>
      <c r="K19" t="s">
        <v>166</v>
      </c>
    </row>
  </sheetData>
  <phoneticPr fontId="1" type="noConversion"/>
  <hyperlinks>
    <hyperlink ref="B19" r:id="rId1" xr:uid="{3A766F5B-F863-447A-B8EF-553FA28A5327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69AB9-7A1F-4DFC-93D8-D4732EBA59F2}">
  <dimension ref="A3:M27"/>
  <sheetViews>
    <sheetView topLeftCell="A13" workbookViewId="0">
      <selection activeCell="A25" sqref="A25:XFD25"/>
    </sheetView>
  </sheetViews>
  <sheetFormatPr defaultRowHeight="16.5" x14ac:dyDescent="0.3"/>
  <cols>
    <col min="1" max="1" width="15.125" bestFit="1" customWidth="1"/>
    <col min="2" max="2" width="13.25" customWidth="1"/>
    <col min="3" max="3" width="16.625" bestFit="1" customWidth="1"/>
    <col min="5" max="5" width="10.25" bestFit="1" customWidth="1"/>
    <col min="6" max="6" width="13.875" bestFit="1" customWidth="1"/>
    <col min="7" max="7" width="9.625" bestFit="1" customWidth="1"/>
    <col min="8" max="8" width="9.25" bestFit="1" customWidth="1"/>
    <col min="9" max="9" width="14.625" bestFit="1" customWidth="1"/>
    <col min="10" max="10" width="16" bestFit="1" customWidth="1"/>
    <col min="11" max="11" width="14.5" customWidth="1"/>
    <col min="12" max="12" width="25.75" customWidth="1"/>
  </cols>
  <sheetData>
    <row r="3" spans="2:13" x14ac:dyDescent="0.3">
      <c r="C3" s="81" t="s">
        <v>50</v>
      </c>
      <c r="D3" s="81"/>
      <c r="E3" s="81"/>
      <c r="F3" s="81"/>
      <c r="G3" s="81"/>
      <c r="H3" s="81"/>
      <c r="I3" s="81"/>
      <c r="J3" s="81"/>
      <c r="K3" s="81"/>
      <c r="L3" s="81"/>
      <c r="M3" s="81"/>
    </row>
    <row r="4" spans="2:13" x14ac:dyDescent="0.3"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</row>
    <row r="5" spans="2:13" x14ac:dyDescent="0.3">
      <c r="B5" t="s">
        <v>51</v>
      </c>
      <c r="C5" s="53" t="s">
        <v>53</v>
      </c>
      <c r="F5" t="s">
        <v>52</v>
      </c>
    </row>
    <row r="7" spans="2:13" x14ac:dyDescent="0.3">
      <c r="B7" s="64" t="s">
        <v>54</v>
      </c>
    </row>
    <row r="8" spans="2:13" x14ac:dyDescent="0.3">
      <c r="B8" s="65" t="s">
        <v>55</v>
      </c>
      <c r="C8" s="65" t="s">
        <v>56</v>
      </c>
      <c r="D8" s="65" t="s">
        <v>57</v>
      </c>
      <c r="E8" s="65" t="s">
        <v>58</v>
      </c>
      <c r="F8" s="65" t="s">
        <v>59</v>
      </c>
      <c r="G8" s="65" t="s">
        <v>60</v>
      </c>
      <c r="H8" s="65" t="s">
        <v>61</v>
      </c>
      <c r="I8" s="65" t="s">
        <v>62</v>
      </c>
      <c r="J8" s="65" t="s">
        <v>63</v>
      </c>
    </row>
    <row r="9" spans="2:13" x14ac:dyDescent="0.3">
      <c r="B9" s="66" t="s">
        <v>64</v>
      </c>
      <c r="C9" s="66" t="s">
        <v>65</v>
      </c>
      <c r="D9" s="66" t="s">
        <v>66</v>
      </c>
      <c r="E9" s="66" t="s">
        <v>67</v>
      </c>
      <c r="F9" s="66" t="s">
        <v>68</v>
      </c>
      <c r="G9" s="66" t="s">
        <v>69</v>
      </c>
      <c r="H9" s="66" t="s">
        <v>70</v>
      </c>
      <c r="I9" s="66" t="s">
        <v>71</v>
      </c>
      <c r="J9" s="66" t="s">
        <v>72</v>
      </c>
    </row>
    <row r="10" spans="2:13" x14ac:dyDescent="0.3">
      <c r="B10" s="66" t="s">
        <v>73</v>
      </c>
      <c r="C10" s="66" t="s">
        <v>74</v>
      </c>
      <c r="D10" s="66" t="s">
        <v>75</v>
      </c>
      <c r="E10" s="66" t="s">
        <v>76</v>
      </c>
      <c r="F10" s="66" t="s">
        <v>77</v>
      </c>
      <c r="G10" s="66" t="s">
        <v>78</v>
      </c>
      <c r="H10" s="66" t="s">
        <v>79</v>
      </c>
      <c r="I10" s="66" t="s">
        <v>80</v>
      </c>
      <c r="J10" s="66" t="s">
        <v>81</v>
      </c>
    </row>
    <row r="11" spans="2:13" x14ac:dyDescent="0.3">
      <c r="B11" s="66" t="s">
        <v>82</v>
      </c>
      <c r="C11" s="66" t="s">
        <v>83</v>
      </c>
      <c r="D11" s="66" t="s">
        <v>84</v>
      </c>
      <c r="E11" s="66" t="s">
        <v>85</v>
      </c>
      <c r="F11" s="66" t="s">
        <v>86</v>
      </c>
      <c r="G11" s="66" t="s">
        <v>87</v>
      </c>
      <c r="H11" s="66" t="s">
        <v>88</v>
      </c>
      <c r="I11" s="66" t="s">
        <v>89</v>
      </c>
      <c r="J11" s="66" t="s">
        <v>90</v>
      </c>
    </row>
    <row r="12" spans="2:13" x14ac:dyDescent="0.3">
      <c r="B12" s="66" t="s">
        <v>91</v>
      </c>
      <c r="C12" s="66" t="s">
        <v>92</v>
      </c>
      <c r="D12" s="66" t="s">
        <v>93</v>
      </c>
      <c r="E12" s="66" t="s">
        <v>94</v>
      </c>
      <c r="F12" s="66" t="s">
        <v>95</v>
      </c>
      <c r="G12" s="66" t="s">
        <v>96</v>
      </c>
      <c r="H12" s="66" t="s">
        <v>97</v>
      </c>
      <c r="I12" s="66" t="s">
        <v>98</v>
      </c>
      <c r="J12" s="66" t="s">
        <v>99</v>
      </c>
    </row>
    <row r="13" spans="2:13" x14ac:dyDescent="0.3">
      <c r="B13" s="66" t="s">
        <v>100</v>
      </c>
      <c r="C13" s="66" t="s">
        <v>101</v>
      </c>
      <c r="D13" s="66" t="s">
        <v>102</v>
      </c>
      <c r="E13" s="66" t="s">
        <v>103</v>
      </c>
      <c r="F13" s="66" t="s">
        <v>104</v>
      </c>
      <c r="G13" s="66" t="s">
        <v>105</v>
      </c>
      <c r="H13" s="66" t="s">
        <v>106</v>
      </c>
      <c r="I13" s="66" t="s">
        <v>107</v>
      </c>
      <c r="J13" s="66" t="s">
        <v>108</v>
      </c>
    </row>
    <row r="14" spans="2:13" x14ac:dyDescent="0.3">
      <c r="B14" s="66" t="s">
        <v>109</v>
      </c>
      <c r="C14" s="66" t="s">
        <v>110</v>
      </c>
      <c r="D14" s="66" t="s">
        <v>111</v>
      </c>
      <c r="E14" s="66" t="s">
        <v>112</v>
      </c>
      <c r="F14" s="66" t="s">
        <v>113</v>
      </c>
      <c r="G14" s="66" t="s">
        <v>80</v>
      </c>
      <c r="H14" s="66" t="s">
        <v>99</v>
      </c>
      <c r="I14" s="66" t="s">
        <v>114</v>
      </c>
      <c r="J14" s="66" t="s">
        <v>115</v>
      </c>
    </row>
    <row r="15" spans="2:13" x14ac:dyDescent="0.3">
      <c r="B15" s="66" t="s">
        <v>116</v>
      </c>
      <c r="C15" s="66" t="s">
        <v>70</v>
      </c>
      <c r="D15" s="66" t="s">
        <v>117</v>
      </c>
      <c r="E15" s="66" t="s">
        <v>113</v>
      </c>
      <c r="F15" s="66" t="s">
        <v>118</v>
      </c>
      <c r="G15" s="66" t="s">
        <v>119</v>
      </c>
      <c r="H15" s="66" t="s">
        <v>120</v>
      </c>
      <c r="I15" s="66" t="s">
        <v>121</v>
      </c>
      <c r="J15" s="66" t="s">
        <v>122</v>
      </c>
    </row>
    <row r="16" spans="2:13" x14ac:dyDescent="0.3">
      <c r="B16" s="66" t="s">
        <v>123</v>
      </c>
      <c r="C16" s="66" t="s">
        <v>124</v>
      </c>
      <c r="D16" s="66" t="s">
        <v>95</v>
      </c>
      <c r="E16" s="66" t="s">
        <v>125</v>
      </c>
      <c r="F16" s="66" t="s">
        <v>126</v>
      </c>
      <c r="G16" s="66" t="s">
        <v>127</v>
      </c>
      <c r="H16" s="66" t="s">
        <v>128</v>
      </c>
      <c r="I16" s="66" t="s">
        <v>129</v>
      </c>
      <c r="J16" s="66" t="s">
        <v>130</v>
      </c>
    </row>
    <row r="17" spans="1:11" x14ac:dyDescent="0.3">
      <c r="B17" s="66" t="s">
        <v>131</v>
      </c>
      <c r="C17" s="66" t="s">
        <v>132</v>
      </c>
      <c r="D17" s="66" t="s">
        <v>133</v>
      </c>
      <c r="E17" s="66" t="s">
        <v>134</v>
      </c>
      <c r="F17" s="66" t="s">
        <v>135</v>
      </c>
      <c r="G17" s="66" t="s">
        <v>136</v>
      </c>
      <c r="H17" s="66" t="s">
        <v>137</v>
      </c>
      <c r="I17" s="66" t="s">
        <v>138</v>
      </c>
      <c r="J17" s="66" t="s">
        <v>139</v>
      </c>
    </row>
    <row r="18" spans="1:11" x14ac:dyDescent="0.3">
      <c r="B18" s="66" t="s">
        <v>140</v>
      </c>
      <c r="C18" s="66" t="s">
        <v>141</v>
      </c>
      <c r="D18" s="66" t="s">
        <v>142</v>
      </c>
      <c r="E18" s="66" t="s">
        <v>143</v>
      </c>
      <c r="F18" s="66" t="s">
        <v>144</v>
      </c>
      <c r="G18" s="66" t="s">
        <v>145</v>
      </c>
      <c r="H18" s="66" t="s">
        <v>146</v>
      </c>
      <c r="I18" s="66" t="s">
        <v>147</v>
      </c>
      <c r="J18" s="66" t="s">
        <v>148</v>
      </c>
    </row>
    <row r="19" spans="1:11" x14ac:dyDescent="0.3">
      <c r="B19" s="66" t="s">
        <v>149</v>
      </c>
      <c r="C19" s="66" t="s">
        <v>150</v>
      </c>
      <c r="D19" s="66" t="s">
        <v>151</v>
      </c>
      <c r="E19" s="66" t="s">
        <v>152</v>
      </c>
      <c r="F19" s="66" t="s">
        <v>153</v>
      </c>
      <c r="G19" s="66" t="s">
        <v>154</v>
      </c>
      <c r="H19" s="66" t="s">
        <v>155</v>
      </c>
      <c r="I19" s="66" t="s">
        <v>156</v>
      </c>
      <c r="J19" s="66" t="s">
        <v>157</v>
      </c>
      <c r="K19" s="58">
        <f xml:space="preserve"> J19 / 100</f>
        <v>0.1174</v>
      </c>
    </row>
    <row r="21" spans="1:11" ht="27" x14ac:dyDescent="0.3">
      <c r="A21" s="8"/>
      <c r="B21" s="8"/>
      <c r="C21" s="55" t="s">
        <v>160</v>
      </c>
      <c r="D21" s="55" t="s">
        <v>159</v>
      </c>
      <c r="E21" s="55" t="s">
        <v>161</v>
      </c>
      <c r="F21" s="8"/>
      <c r="G21" s="8"/>
      <c r="H21" s="8"/>
      <c r="I21" s="8"/>
      <c r="J21" s="8"/>
      <c r="K21" s="8" t="s">
        <v>49</v>
      </c>
    </row>
    <row r="22" spans="1:11" x14ac:dyDescent="0.3">
      <c r="A22" s="56" t="s">
        <v>158</v>
      </c>
      <c r="B22" s="8">
        <v>2022</v>
      </c>
      <c r="C22" s="54">
        <v>532300000000</v>
      </c>
      <c r="D22" s="8">
        <v>2.81</v>
      </c>
      <c r="E22" s="54">
        <v>40173220</v>
      </c>
      <c r="F22" s="61">
        <f xml:space="preserve"> J19 / 100</f>
        <v>0.1174</v>
      </c>
      <c r="G22" s="25">
        <f>D22-J19</f>
        <v>-8.93</v>
      </c>
      <c r="H22" s="63">
        <f xml:space="preserve"> G22 / 100</f>
        <v>-8.929999999999999E-2</v>
      </c>
      <c r="I22" s="57">
        <f xml:space="preserve"> C22 * H22</f>
        <v>-47534389999.999992</v>
      </c>
      <c r="J22" s="54">
        <f xml:space="preserve"> C22 + I22</f>
        <v>484765610000</v>
      </c>
      <c r="K22" s="57">
        <f xml:space="preserve"> J22 / E22</f>
        <v>12066.884606212796</v>
      </c>
    </row>
    <row r="23" spans="1:11" x14ac:dyDescent="0.3">
      <c r="A23" s="8"/>
      <c r="B23" s="8">
        <v>2021</v>
      </c>
      <c r="C23" s="54">
        <v>518200000000</v>
      </c>
      <c r="D23" s="8">
        <v>1.69</v>
      </c>
      <c r="E23" s="54">
        <v>40173220</v>
      </c>
      <c r="F23" s="61">
        <f xml:space="preserve"> J19 / 100</f>
        <v>0.1174</v>
      </c>
      <c r="G23" s="25">
        <f>D23-J19</f>
        <v>-10.050000000000001</v>
      </c>
      <c r="H23" s="63">
        <f xml:space="preserve"> G23 / 100</f>
        <v>-0.10050000000000001</v>
      </c>
      <c r="I23" s="57">
        <f xml:space="preserve"> C23 * H23</f>
        <v>-52079100000</v>
      </c>
      <c r="J23" s="54">
        <f t="shared" ref="J23:J27" si="0" xml:space="preserve"> C23 + I23</f>
        <v>466120900000</v>
      </c>
      <c r="K23" s="57">
        <f t="shared" ref="K23:K27" si="1" xml:space="preserve"> J23 / E23</f>
        <v>11602.776675606287</v>
      </c>
    </row>
    <row r="24" spans="1:11" x14ac:dyDescent="0.3">
      <c r="A24" s="8" t="s">
        <v>162</v>
      </c>
      <c r="B24" s="8">
        <v>2022</v>
      </c>
      <c r="C24" s="8">
        <v>45400000000</v>
      </c>
      <c r="D24" s="8">
        <v>11.17</v>
      </c>
      <c r="E24" s="60">
        <v>1944613</v>
      </c>
      <c r="F24" s="61">
        <f xml:space="preserve"> J19 / 100</f>
        <v>0.1174</v>
      </c>
      <c r="G24" s="62">
        <f>D24-J19</f>
        <v>-0.57000000000000028</v>
      </c>
      <c r="H24" s="63">
        <f t="shared" ref="H24:H27" si="2" xml:space="preserve"> G24 / 100</f>
        <v>-5.7000000000000028E-3</v>
      </c>
      <c r="I24" s="57">
        <f t="shared" ref="I24:I27" si="3" xml:space="preserve"> C24 * H24</f>
        <v>-258780000.00000012</v>
      </c>
      <c r="J24" s="54">
        <f t="shared" si="0"/>
        <v>45141220000</v>
      </c>
      <c r="K24" s="57">
        <f t="shared" si="1"/>
        <v>23213.472295001629</v>
      </c>
    </row>
    <row r="25" spans="1:11" x14ac:dyDescent="0.3">
      <c r="A25" s="8"/>
      <c r="B25" s="8">
        <v>2021</v>
      </c>
      <c r="C25" s="8">
        <v>38000000000</v>
      </c>
      <c r="D25" s="59">
        <v>8.67</v>
      </c>
      <c r="E25" s="60">
        <v>1944613</v>
      </c>
      <c r="F25" s="61">
        <f xml:space="preserve"> J19 / 100</f>
        <v>0.1174</v>
      </c>
      <c r="G25" s="62">
        <f>D25-J19</f>
        <v>-3.0700000000000003</v>
      </c>
      <c r="H25" s="63">
        <f t="shared" si="2"/>
        <v>-3.0700000000000002E-2</v>
      </c>
      <c r="I25" s="57">
        <f t="shared" si="3"/>
        <v>-1166600000</v>
      </c>
      <c r="J25" s="54">
        <f t="shared" si="0"/>
        <v>36833400000</v>
      </c>
      <c r="K25" s="57">
        <f t="shared" si="1"/>
        <v>18941.24949282968</v>
      </c>
    </row>
    <row r="26" spans="1:11" x14ac:dyDescent="0.3">
      <c r="A26" s="8" t="s">
        <v>163</v>
      </c>
      <c r="B26" s="8">
        <v>2022</v>
      </c>
      <c r="C26" s="54">
        <v>2828000000000</v>
      </c>
      <c r="D26" s="8">
        <v>9.9499999999999993</v>
      </c>
      <c r="E26" s="60">
        <v>25370002</v>
      </c>
      <c r="F26" s="61">
        <f xml:space="preserve"> J19 / 100</f>
        <v>0.1174</v>
      </c>
      <c r="G26" s="62">
        <f>D26-J19</f>
        <v>-1.7900000000000009</v>
      </c>
      <c r="H26" s="63">
        <f t="shared" si="2"/>
        <v>-1.790000000000001E-2</v>
      </c>
      <c r="I26" s="57">
        <f t="shared" si="3"/>
        <v>-50621200000.000031</v>
      </c>
      <c r="J26" s="54">
        <f t="shared" si="0"/>
        <v>2777378800000</v>
      </c>
      <c r="K26" s="57">
        <f t="shared" si="1"/>
        <v>109474.91450729882</v>
      </c>
    </row>
    <row r="27" spans="1:11" x14ac:dyDescent="0.3">
      <c r="A27" s="8"/>
      <c r="B27" s="8">
        <v>2021</v>
      </c>
      <c r="C27" s="54">
        <v>2621700000000</v>
      </c>
      <c r="D27" s="8">
        <v>26.41</v>
      </c>
      <c r="E27" s="60">
        <v>25370002</v>
      </c>
      <c r="F27" s="61">
        <f xml:space="preserve"> J19 / 100</f>
        <v>0.1174</v>
      </c>
      <c r="G27" s="62">
        <f>D27-J19</f>
        <v>14.67</v>
      </c>
      <c r="H27" s="63">
        <f t="shared" si="2"/>
        <v>0.1467</v>
      </c>
      <c r="I27" s="57">
        <f t="shared" si="3"/>
        <v>384603390000</v>
      </c>
      <c r="J27" s="54">
        <f t="shared" si="0"/>
        <v>3006303390000</v>
      </c>
      <c r="K27" s="57">
        <f t="shared" si="1"/>
        <v>118498.35053225458</v>
      </c>
    </row>
  </sheetData>
  <mergeCells count="1">
    <mergeCell ref="C3:M4"/>
  </mergeCells>
  <phoneticPr fontId="1" type="noConversion"/>
  <hyperlinks>
    <hyperlink ref="C5" r:id="rId1" xr:uid="{EE3CE8B6-470F-49A2-989A-1F8221A2B6F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시나리오</vt:lpstr>
      <vt:lpstr>생활패턴</vt:lpstr>
      <vt:lpstr>단타일지</vt:lpstr>
      <vt:lpstr>일정확인</vt:lpstr>
      <vt:lpstr>내자산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2022-01-13T04:25:16Z</dcterms:created>
  <dcterms:modified xsi:type="dcterms:W3CDTF">2023-01-03T02:04:15Z</dcterms:modified>
</cp:coreProperties>
</file>