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D:\3.sbg\workspace\MyStock\"/>
    </mc:Choice>
  </mc:AlternateContent>
  <xr:revisionPtr revIDLastSave="0" documentId="13_ncr:1_{9AB924F3-DFF9-4A29-ACE0-1DD4EDF61D3F}" xr6:coauthVersionLast="36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시나리오" sheetId="12" r:id="rId1"/>
    <sheet name="생활패턴" sheetId="5" r:id="rId2"/>
    <sheet name="내자산" sheetId="11" r:id="rId3"/>
    <sheet name="단타일지" sheetId="9" r:id="rId4"/>
    <sheet name="일정확인" sheetId="10" r:id="rId5"/>
    <sheet name="2022단타일지" sheetId="1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" i="11" l="1"/>
  <c r="C52" i="11" s="1"/>
  <c r="E44" i="11"/>
  <c r="D35" i="11"/>
  <c r="G34" i="11" s="1"/>
  <c r="I34" i="11" s="1"/>
  <c r="K34" i="11"/>
  <c r="D52" i="11" l="1"/>
  <c r="C22" i="9"/>
  <c r="C23" i="9" s="1"/>
  <c r="C19" i="9"/>
  <c r="C20" i="9" s="1"/>
  <c r="K32" i="11"/>
  <c r="K30" i="11"/>
  <c r="F47" i="11"/>
  <c r="D51" i="11" s="1"/>
  <c r="E43" i="11"/>
  <c r="D33" i="11"/>
  <c r="G32" i="11" s="1"/>
  <c r="I32" i="11" s="1"/>
  <c r="D31" i="11"/>
  <c r="G30" i="11" s="1"/>
  <c r="I30" i="11" s="1"/>
  <c r="C51" i="11" l="1"/>
  <c r="Q14" i="9"/>
  <c r="P14" i="9"/>
  <c r="R13" i="9"/>
  <c r="R12" i="9"/>
  <c r="R11" i="9"/>
  <c r="R10" i="9"/>
  <c r="R9" i="9"/>
  <c r="R8" i="9"/>
  <c r="R7" i="9"/>
  <c r="R6" i="9"/>
  <c r="R5" i="9"/>
  <c r="R4" i="9"/>
  <c r="C14" i="13"/>
  <c r="F14" i="13"/>
  <c r="F17" i="13" s="1"/>
  <c r="I14" i="13"/>
  <c r="I16" i="13" s="1"/>
  <c r="L14" i="13"/>
  <c r="L16" i="13" s="1"/>
  <c r="O14" i="13"/>
  <c r="O16" i="13" s="1"/>
  <c r="C16" i="13"/>
  <c r="F16" i="13"/>
  <c r="C17" i="13"/>
  <c r="L17" i="13"/>
  <c r="K14" i="9"/>
  <c r="M13" i="9"/>
  <c r="M12" i="9"/>
  <c r="M11" i="9"/>
  <c r="M10" i="9"/>
  <c r="M9" i="9"/>
  <c r="M8" i="9"/>
  <c r="M7" i="9"/>
  <c r="M6" i="9"/>
  <c r="M5" i="9"/>
  <c r="M4" i="9"/>
  <c r="H11" i="9"/>
  <c r="H12" i="9"/>
  <c r="H13" i="9"/>
  <c r="H10" i="9"/>
  <c r="H9" i="9"/>
  <c r="H8" i="9"/>
  <c r="H7" i="9"/>
  <c r="H6" i="9"/>
  <c r="H5" i="9"/>
  <c r="H4" i="9"/>
  <c r="F14" i="9"/>
  <c r="L14" i="9"/>
  <c r="G14" i="9"/>
  <c r="M14" i="9" l="1"/>
  <c r="I17" i="13"/>
  <c r="O17" i="13"/>
  <c r="R14" i="9"/>
  <c r="H14" i="9"/>
  <c r="I22" i="11"/>
  <c r="D23" i="11"/>
  <c r="E25" i="11" s="1"/>
  <c r="D25" i="11" l="1"/>
  <c r="F25" i="11"/>
  <c r="I23" i="11"/>
  <c r="H24" i="11" s="1"/>
  <c r="G25" i="11"/>
  <c r="A49" i="12"/>
  <c r="A18" i="12"/>
  <c r="D24" i="11" l="1"/>
  <c r="C24" i="11"/>
  <c r="I24" i="11" s="1"/>
  <c r="A19" i="12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V255" i="12"/>
  <c r="U255" i="12"/>
  <c r="K255" i="12"/>
  <c r="K254" i="12"/>
  <c r="V243" i="12"/>
  <c r="U243" i="12"/>
  <c r="K243" i="12"/>
  <c r="K242" i="12"/>
  <c r="V231" i="12"/>
  <c r="U231" i="12"/>
  <c r="K231" i="12"/>
  <c r="K230" i="12"/>
  <c r="V219" i="12"/>
  <c r="U219" i="12"/>
  <c r="K219" i="12"/>
  <c r="K218" i="12"/>
  <c r="V207" i="12"/>
  <c r="U207" i="12"/>
  <c r="V195" i="12"/>
  <c r="U195" i="12"/>
  <c r="V183" i="12"/>
  <c r="W183" i="12" s="1"/>
  <c r="U183" i="12"/>
  <c r="V171" i="12"/>
  <c r="U171" i="12"/>
  <c r="V159" i="12"/>
  <c r="U159" i="12"/>
  <c r="V147" i="12"/>
  <c r="U147" i="12"/>
  <c r="V135" i="12"/>
  <c r="U135" i="12"/>
  <c r="V123" i="12"/>
  <c r="U123" i="12"/>
  <c r="V111" i="12"/>
  <c r="W111" i="12" s="1"/>
  <c r="U111" i="12"/>
  <c r="V99" i="12"/>
  <c r="U99" i="12"/>
  <c r="V87" i="12"/>
  <c r="U87" i="12"/>
  <c r="V75" i="12"/>
  <c r="U75" i="12"/>
  <c r="V63" i="12"/>
  <c r="U63" i="12"/>
  <c r="U51" i="12"/>
  <c r="V51" i="12"/>
  <c r="V39" i="12"/>
  <c r="U39" i="12"/>
  <c r="V27" i="12"/>
  <c r="U27" i="12"/>
  <c r="W27" i="12" s="1"/>
  <c r="V15" i="12"/>
  <c r="U15" i="12"/>
  <c r="K206" i="12"/>
  <c r="K207" i="12"/>
  <c r="H195" i="12"/>
  <c r="K195" i="12" s="1"/>
  <c r="K194" i="12"/>
  <c r="H194" i="12"/>
  <c r="H193" i="12"/>
  <c r="H192" i="12"/>
  <c r="H191" i="12"/>
  <c r="H190" i="12"/>
  <c r="H189" i="12"/>
  <c r="H188" i="12"/>
  <c r="H187" i="12"/>
  <c r="H186" i="12"/>
  <c r="H185" i="12"/>
  <c r="H184" i="12"/>
  <c r="K183" i="12"/>
  <c r="H183" i="12"/>
  <c r="H182" i="12"/>
  <c r="K182" i="12" s="1"/>
  <c r="H181" i="12"/>
  <c r="H180" i="12"/>
  <c r="H179" i="12"/>
  <c r="H178" i="12"/>
  <c r="H177" i="12"/>
  <c r="H176" i="12"/>
  <c r="H175" i="12"/>
  <c r="H174" i="12"/>
  <c r="H173" i="12"/>
  <c r="H172" i="12"/>
  <c r="H171" i="12"/>
  <c r="K171" i="12" s="1"/>
  <c r="H170" i="12"/>
  <c r="K170" i="12" s="1"/>
  <c r="H169" i="12"/>
  <c r="H168" i="12"/>
  <c r="H167" i="12"/>
  <c r="H166" i="12"/>
  <c r="H165" i="12"/>
  <c r="H164" i="12"/>
  <c r="H163" i="12"/>
  <c r="H162" i="12"/>
  <c r="H161" i="12"/>
  <c r="H160" i="12"/>
  <c r="H159" i="12"/>
  <c r="K159" i="12" s="1"/>
  <c r="H158" i="12"/>
  <c r="K158" i="12" s="1"/>
  <c r="H157" i="12"/>
  <c r="H156" i="12"/>
  <c r="H155" i="12"/>
  <c r="H154" i="12"/>
  <c r="H153" i="12"/>
  <c r="H152" i="12"/>
  <c r="H151" i="12"/>
  <c r="H150" i="12"/>
  <c r="H149" i="12"/>
  <c r="H148" i="12"/>
  <c r="H147" i="12"/>
  <c r="K147" i="12" s="1"/>
  <c r="H146" i="12"/>
  <c r="K146" i="12" s="1"/>
  <c r="H145" i="12"/>
  <c r="H144" i="12"/>
  <c r="H143" i="12"/>
  <c r="H142" i="12"/>
  <c r="H141" i="12"/>
  <c r="H140" i="12"/>
  <c r="H139" i="12"/>
  <c r="H138" i="12"/>
  <c r="H137" i="12"/>
  <c r="H136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H135" i="12"/>
  <c r="K135" i="12" s="1"/>
  <c r="K134" i="12"/>
  <c r="H134" i="12"/>
  <c r="H133" i="12"/>
  <c r="H132" i="12"/>
  <c r="H131" i="12"/>
  <c r="H130" i="12"/>
  <c r="H129" i="12"/>
  <c r="H128" i="12"/>
  <c r="H127" i="12"/>
  <c r="H126" i="12"/>
  <c r="H125" i="12"/>
  <c r="H124" i="12"/>
  <c r="K123" i="12"/>
  <c r="H123" i="12"/>
  <c r="H122" i="12"/>
  <c r="K122" i="12" s="1"/>
  <c r="H121" i="12"/>
  <c r="H120" i="12"/>
  <c r="H119" i="12"/>
  <c r="H118" i="12"/>
  <c r="H117" i="12"/>
  <c r="H116" i="12"/>
  <c r="H115" i="12"/>
  <c r="H114" i="12"/>
  <c r="H113" i="12"/>
  <c r="H112" i="12"/>
  <c r="H111" i="12"/>
  <c r="K111" i="12" s="1"/>
  <c r="H110" i="12"/>
  <c r="K110" i="12" s="1"/>
  <c r="H109" i="12"/>
  <c r="H108" i="12"/>
  <c r="H107" i="12"/>
  <c r="H106" i="12"/>
  <c r="H105" i="12"/>
  <c r="H104" i="12"/>
  <c r="H103" i="12"/>
  <c r="H102" i="12"/>
  <c r="H101" i="12"/>
  <c r="H100" i="12"/>
  <c r="H99" i="12"/>
  <c r="K99" i="12" s="1"/>
  <c r="H98" i="12"/>
  <c r="K98" i="12" s="1"/>
  <c r="H97" i="12"/>
  <c r="H96" i="12"/>
  <c r="H95" i="12"/>
  <c r="H94" i="12"/>
  <c r="H93" i="12"/>
  <c r="H92" i="12"/>
  <c r="H91" i="12"/>
  <c r="H90" i="12"/>
  <c r="H89" i="12"/>
  <c r="H88" i="12"/>
  <c r="H63" i="12"/>
  <c r="K63" i="12" s="1"/>
  <c r="H62" i="12"/>
  <c r="K62" i="12" s="1"/>
  <c r="H61" i="12"/>
  <c r="H60" i="12"/>
  <c r="H59" i="12"/>
  <c r="H58" i="12"/>
  <c r="H57" i="12"/>
  <c r="H56" i="12"/>
  <c r="H55" i="12"/>
  <c r="H54" i="12"/>
  <c r="H53" i="12"/>
  <c r="H52" i="12"/>
  <c r="H51" i="12"/>
  <c r="K51" i="12" s="1"/>
  <c r="H50" i="12"/>
  <c r="K50" i="12" s="1"/>
  <c r="H49" i="12"/>
  <c r="H48" i="12"/>
  <c r="H47" i="12"/>
  <c r="H46" i="12"/>
  <c r="H45" i="12"/>
  <c r="H44" i="12"/>
  <c r="H43" i="12"/>
  <c r="H42" i="12"/>
  <c r="H41" i="12"/>
  <c r="H40" i="12"/>
  <c r="H87" i="12"/>
  <c r="K87" i="12" s="1"/>
  <c r="H86" i="12"/>
  <c r="K86" i="12" s="1"/>
  <c r="H85" i="12"/>
  <c r="H84" i="12"/>
  <c r="H83" i="12"/>
  <c r="H82" i="12"/>
  <c r="H81" i="12"/>
  <c r="H80" i="12"/>
  <c r="H79" i="12"/>
  <c r="H78" i="12"/>
  <c r="H77" i="12"/>
  <c r="H76" i="12"/>
  <c r="H75" i="12"/>
  <c r="K75" i="12" s="1"/>
  <c r="H74" i="12"/>
  <c r="K74" i="12" s="1"/>
  <c r="H73" i="12"/>
  <c r="H72" i="12"/>
  <c r="H71" i="12"/>
  <c r="H70" i="12"/>
  <c r="H69" i="12"/>
  <c r="H68" i="12"/>
  <c r="H67" i="12"/>
  <c r="H66" i="12"/>
  <c r="H65" i="12"/>
  <c r="H64" i="12"/>
  <c r="H39" i="12"/>
  <c r="K39" i="12" s="1"/>
  <c r="H38" i="12"/>
  <c r="K38" i="12" s="1"/>
  <c r="H37" i="12"/>
  <c r="H36" i="12"/>
  <c r="H35" i="12"/>
  <c r="H34" i="12"/>
  <c r="H33" i="12"/>
  <c r="H32" i="12"/>
  <c r="H31" i="12"/>
  <c r="H30" i="12"/>
  <c r="H29" i="12"/>
  <c r="H28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K27" i="12" s="1"/>
  <c r="M4" i="12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H5" i="12"/>
  <c r="K5" i="12" s="1"/>
  <c r="H6" i="12"/>
  <c r="K6" i="12" s="1"/>
  <c r="H7" i="12"/>
  <c r="K7" i="12" s="1"/>
  <c r="H8" i="12"/>
  <c r="K8" i="12" s="1"/>
  <c r="H9" i="12"/>
  <c r="K9" i="12" s="1"/>
  <c r="H10" i="12"/>
  <c r="K10" i="12" s="1"/>
  <c r="H11" i="12"/>
  <c r="K11" i="12" s="1"/>
  <c r="H12" i="12"/>
  <c r="K12" i="12" s="1"/>
  <c r="H13" i="12"/>
  <c r="K13" i="12" s="1"/>
  <c r="H14" i="12"/>
  <c r="K14" i="12" s="1"/>
  <c r="H15" i="12"/>
  <c r="K15" i="12" s="1"/>
  <c r="H4" i="12"/>
  <c r="K4" i="12" s="1"/>
  <c r="O4" i="12" s="1"/>
  <c r="Q4" i="12" s="1"/>
  <c r="W15" i="12" l="1"/>
  <c r="W75" i="12"/>
  <c r="W87" i="12"/>
  <c r="W63" i="12"/>
  <c r="W255" i="12"/>
  <c r="W243" i="12"/>
  <c r="W231" i="12"/>
  <c r="W219" i="12"/>
  <c r="W207" i="12"/>
  <c r="W195" i="12"/>
  <c r="W171" i="12"/>
  <c r="W159" i="12"/>
  <c r="W147" i="12"/>
  <c r="W135" i="12"/>
  <c r="W123" i="12"/>
  <c r="W99" i="12"/>
  <c r="W51" i="12"/>
  <c r="W39" i="12"/>
  <c r="J16" i="12"/>
  <c r="K16" i="12" s="1"/>
  <c r="M29" i="12"/>
  <c r="R4" i="12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L16" i="12" l="1"/>
  <c r="M30" i="12"/>
  <c r="O5" i="12"/>
  <c r="S4" i="12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Q5" i="12" l="1"/>
  <c r="R5" i="12" s="1"/>
  <c r="S5" i="12" s="1"/>
  <c r="M31" i="12"/>
  <c r="O6" i="12"/>
  <c r="Q6" i="12" s="1"/>
  <c r="P13" i="5"/>
  <c r="P14" i="5"/>
  <c r="P12" i="5"/>
  <c r="P11" i="5"/>
  <c r="P10" i="5"/>
  <c r="P9" i="5"/>
  <c r="P8" i="5"/>
  <c r="P7" i="5"/>
  <c r="P6" i="5"/>
  <c r="P5" i="5"/>
  <c r="P4" i="5"/>
  <c r="P3" i="5"/>
  <c r="Q3" i="5" s="1"/>
  <c r="R3" i="5" s="1"/>
  <c r="C4" i="5" s="1"/>
  <c r="C14" i="9"/>
  <c r="C16" i="9" s="1"/>
  <c r="M32" i="12" l="1"/>
  <c r="O7" i="12"/>
  <c r="R6" i="12"/>
  <c r="S6" i="12" s="1"/>
  <c r="Q4" i="5"/>
  <c r="R4" i="5" s="1"/>
  <c r="C5" i="5" s="1"/>
  <c r="Q5" i="5" s="1"/>
  <c r="R5" i="5" s="1"/>
  <c r="C6" i="5" s="1"/>
  <c r="Q6" i="5" s="1"/>
  <c r="R6" i="5" s="1"/>
  <c r="C7" i="5" s="1"/>
  <c r="Q7" i="5" s="1"/>
  <c r="R7" i="5" s="1"/>
  <c r="C8" i="5" s="1"/>
  <c r="Q8" i="5" s="1"/>
  <c r="R8" i="5" s="1"/>
  <c r="C9" i="5" s="1"/>
  <c r="Q9" i="5" s="1"/>
  <c r="R9" i="5" s="1"/>
  <c r="C10" i="5" s="1"/>
  <c r="Q10" i="5" s="1"/>
  <c r="R10" i="5" s="1"/>
  <c r="C11" i="5" s="1"/>
  <c r="Q11" i="5" s="1"/>
  <c r="R11" i="5" s="1"/>
  <c r="C12" i="5" s="1"/>
  <c r="Q12" i="5" s="1"/>
  <c r="R12" i="5" s="1"/>
  <c r="C13" i="5" s="1"/>
  <c r="Q13" i="5" s="1"/>
  <c r="R13" i="5" s="1"/>
  <c r="C14" i="5" s="1"/>
  <c r="Q14" i="5" s="1"/>
  <c r="R14" i="5" s="1"/>
  <c r="C15" i="5" s="1"/>
  <c r="Q15" i="5" s="1"/>
  <c r="R15" i="5" s="1"/>
  <c r="C16" i="5" s="1"/>
  <c r="Q16" i="5" s="1"/>
  <c r="R16" i="5" s="1"/>
  <c r="C17" i="5" s="1"/>
  <c r="Q17" i="5" s="1"/>
  <c r="R17" i="5" s="1"/>
  <c r="C18" i="5" s="1"/>
  <c r="Q18" i="5" s="1"/>
  <c r="R18" i="5" s="1"/>
  <c r="C19" i="5" s="1"/>
  <c r="Q19" i="5" s="1"/>
  <c r="R19" i="5" s="1"/>
  <c r="C20" i="5" s="1"/>
  <c r="Q20" i="5" s="1"/>
  <c r="R20" i="5" s="1"/>
  <c r="C21" i="5" s="1"/>
  <c r="Q21" i="5" s="1"/>
  <c r="R21" i="5" s="1"/>
  <c r="C22" i="5" s="1"/>
  <c r="Q22" i="5" s="1"/>
  <c r="R22" i="5" s="1"/>
  <c r="C23" i="5" s="1"/>
  <c r="Q23" i="5" s="1"/>
  <c r="R23" i="5" s="1"/>
  <c r="C24" i="5" s="1"/>
  <c r="Q24" i="5" s="1"/>
  <c r="R24" i="5" s="1"/>
  <c r="C25" i="5" s="1"/>
  <c r="Q25" i="5" s="1"/>
  <c r="R25" i="5" s="1"/>
  <c r="C26" i="5" s="1"/>
  <c r="Q26" i="5" s="1"/>
  <c r="R26" i="5" s="1"/>
  <c r="C27" i="5" s="1"/>
  <c r="Q27" i="5" s="1"/>
  <c r="R27" i="5" s="1"/>
  <c r="C28" i="5" s="1"/>
  <c r="Q28" i="5" s="1"/>
  <c r="R28" i="5" s="1"/>
  <c r="C29" i="5" s="1"/>
  <c r="Q29" i="5" s="1"/>
  <c r="R29" i="5" s="1"/>
  <c r="C30" i="5" s="1"/>
  <c r="Q30" i="5" s="1"/>
  <c r="R30" i="5" s="1"/>
  <c r="C31" i="5" s="1"/>
  <c r="Q31" i="5" s="1"/>
  <c r="R31" i="5" s="1"/>
  <c r="C32" i="5" s="1"/>
  <c r="Q32" i="5" s="1"/>
  <c r="R32" i="5" s="1"/>
  <c r="C33" i="5" s="1"/>
  <c r="Q33" i="5" s="1"/>
  <c r="R33" i="5" s="1"/>
  <c r="C34" i="5" s="1"/>
  <c r="Q34" i="5" s="1"/>
  <c r="R34" i="5" s="1"/>
  <c r="C35" i="5" s="1"/>
  <c r="Q35" i="5" s="1"/>
  <c r="R35" i="5" s="1"/>
  <c r="C36" i="5" s="1"/>
  <c r="Q36" i="5" s="1"/>
  <c r="R36" i="5" s="1"/>
  <c r="C37" i="5" s="1"/>
  <c r="Q37" i="5" s="1"/>
  <c r="R37" i="5" s="1"/>
  <c r="C38" i="5" s="1"/>
  <c r="Q38" i="5" s="1"/>
  <c r="R38" i="5" s="1"/>
  <c r="C39" i="5" s="1"/>
  <c r="Q39" i="5" s="1"/>
  <c r="R39" i="5" s="1"/>
  <c r="C40" i="5" s="1"/>
  <c r="Q40" i="5" s="1"/>
  <c r="R40" i="5" s="1"/>
  <c r="C41" i="5" s="1"/>
  <c r="Q41" i="5" s="1"/>
  <c r="R41" i="5" s="1"/>
  <c r="C42" i="5" s="1"/>
  <c r="Q42" i="5" s="1"/>
  <c r="R42" i="5" s="1"/>
  <c r="C43" i="5" s="1"/>
  <c r="Q43" i="5" s="1"/>
  <c r="R43" i="5" s="1"/>
  <c r="C44" i="5" s="1"/>
  <c r="Q44" i="5" s="1"/>
  <c r="R44" i="5" s="1"/>
  <c r="C45" i="5" s="1"/>
  <c r="Q45" i="5" s="1"/>
  <c r="R45" i="5" s="1"/>
  <c r="C46" i="5" s="1"/>
  <c r="Q46" i="5" s="1"/>
  <c r="R46" i="5" s="1"/>
  <c r="C47" i="5" s="1"/>
  <c r="Q47" i="5" s="1"/>
  <c r="R47" i="5" s="1"/>
  <c r="C48" i="5" s="1"/>
  <c r="Q48" i="5" s="1"/>
  <c r="R48" i="5" s="1"/>
  <c r="C49" i="5" s="1"/>
  <c r="Q49" i="5" s="1"/>
  <c r="R49" i="5" s="1"/>
  <c r="C50" i="5" s="1"/>
  <c r="Q50" i="5" s="1"/>
  <c r="R50" i="5" s="1"/>
  <c r="C51" i="5" s="1"/>
  <c r="Q51" i="5" s="1"/>
  <c r="R51" i="5" s="1"/>
  <c r="C52" i="5" s="1"/>
  <c r="Q52" i="5" s="1"/>
  <c r="R52" i="5" s="1"/>
  <c r="C53" i="5" s="1"/>
  <c r="Q53" i="5" s="1"/>
  <c r="R53" i="5" s="1"/>
  <c r="C54" i="5" s="1"/>
  <c r="Q54" i="5" s="1"/>
  <c r="R54" i="5" s="1"/>
  <c r="C55" i="5" s="1"/>
  <c r="Q55" i="5" s="1"/>
  <c r="R55" i="5" s="1"/>
  <c r="C56" i="5" s="1"/>
  <c r="Q56" i="5" s="1"/>
  <c r="R56" i="5" s="1"/>
  <c r="C57" i="5" s="1"/>
  <c r="Q57" i="5" s="1"/>
  <c r="R57" i="5" s="1"/>
  <c r="C58" i="5" s="1"/>
  <c r="Q58" i="5" s="1"/>
  <c r="R58" i="5" s="1"/>
  <c r="C59" i="5" s="1"/>
  <c r="Q59" i="5" s="1"/>
  <c r="R59" i="5" s="1"/>
  <c r="C60" i="5" s="1"/>
  <c r="Q60" i="5" s="1"/>
  <c r="R60" i="5" s="1"/>
  <c r="C61" i="5" s="1"/>
  <c r="Q61" i="5" s="1"/>
  <c r="R61" i="5" s="1"/>
  <c r="C62" i="5" s="1"/>
  <c r="Q62" i="5" s="1"/>
  <c r="R62" i="5" s="1"/>
  <c r="C63" i="5" s="1"/>
  <c r="Q63" i="5" s="1"/>
  <c r="R63" i="5" s="1"/>
  <c r="C64" i="5" s="1"/>
  <c r="Q64" i="5" s="1"/>
  <c r="R64" i="5" s="1"/>
  <c r="C65" i="5" s="1"/>
  <c r="Q65" i="5" s="1"/>
  <c r="R65" i="5" s="1"/>
  <c r="C66" i="5" s="1"/>
  <c r="Q66" i="5" s="1"/>
  <c r="R66" i="5" s="1"/>
  <c r="C67" i="5" s="1"/>
  <c r="Q67" i="5" s="1"/>
  <c r="R67" i="5" s="1"/>
  <c r="C68" i="5" s="1"/>
  <c r="Q68" i="5" s="1"/>
  <c r="R68" i="5" s="1"/>
  <c r="C69" i="5" s="1"/>
  <c r="Q69" i="5" s="1"/>
  <c r="R69" i="5" s="1"/>
  <c r="C70" i="5" s="1"/>
  <c r="Q70" i="5" s="1"/>
  <c r="R70" i="5" s="1"/>
  <c r="C71" i="5" s="1"/>
  <c r="Q71" i="5" s="1"/>
  <c r="R71" i="5" s="1"/>
  <c r="C72" i="5" s="1"/>
  <c r="Q72" i="5" s="1"/>
  <c r="R72" i="5" s="1"/>
  <c r="C73" i="5" s="1"/>
  <c r="Q73" i="5" s="1"/>
  <c r="R73" i="5" s="1"/>
  <c r="C74" i="5" s="1"/>
  <c r="Q74" i="5" s="1"/>
  <c r="R74" i="5" s="1"/>
  <c r="C75" i="5" s="1"/>
  <c r="Q75" i="5" s="1"/>
  <c r="R75" i="5" s="1"/>
  <c r="C76" i="5" s="1"/>
  <c r="Q76" i="5" s="1"/>
  <c r="R76" i="5" s="1"/>
  <c r="C77" i="5" s="1"/>
  <c r="Q77" i="5" s="1"/>
  <c r="R77" i="5" s="1"/>
  <c r="C78" i="5" s="1"/>
  <c r="Q78" i="5" s="1"/>
  <c r="R78" i="5" s="1"/>
  <c r="C79" i="5" s="1"/>
  <c r="Q79" i="5" s="1"/>
  <c r="R79" i="5" s="1"/>
  <c r="C80" i="5" s="1"/>
  <c r="Q80" i="5" s="1"/>
  <c r="R80" i="5" s="1"/>
  <c r="C81" i="5" s="1"/>
  <c r="Q81" i="5" s="1"/>
  <c r="R81" i="5" s="1"/>
  <c r="C82" i="5" s="1"/>
  <c r="Q82" i="5" s="1"/>
  <c r="R82" i="5" s="1"/>
  <c r="C83" i="5" s="1"/>
  <c r="Q83" i="5" s="1"/>
  <c r="R83" i="5" s="1"/>
  <c r="C84" i="5" s="1"/>
  <c r="Q84" i="5" s="1"/>
  <c r="R84" i="5" s="1"/>
  <c r="C85" i="5" s="1"/>
  <c r="Q85" i="5" s="1"/>
  <c r="R85" i="5" s="1"/>
  <c r="C86" i="5" s="1"/>
  <c r="Q86" i="5" s="1"/>
  <c r="R86" i="5" s="1"/>
  <c r="C87" i="5" s="1"/>
  <c r="Q87" i="5" s="1"/>
  <c r="R87" i="5" s="1"/>
  <c r="C88" i="5" s="1"/>
  <c r="Q88" i="5" s="1"/>
  <c r="R88" i="5" s="1"/>
  <c r="C89" i="5" s="1"/>
  <c r="Q89" i="5" s="1"/>
  <c r="R89" i="5" s="1"/>
  <c r="C90" i="5" s="1"/>
  <c r="Q90" i="5" s="1"/>
  <c r="R90" i="5" s="1"/>
  <c r="C91" i="5" s="1"/>
  <c r="Q91" i="5" s="1"/>
  <c r="R91" i="5" s="1"/>
  <c r="C92" i="5" s="1"/>
  <c r="Q92" i="5" s="1"/>
  <c r="R92" i="5" s="1"/>
  <c r="C93" i="5" s="1"/>
  <c r="Q93" i="5" s="1"/>
  <c r="R93" i="5" s="1"/>
  <c r="C94" i="5" s="1"/>
  <c r="Q94" i="5" s="1"/>
  <c r="R94" i="5" s="1"/>
  <c r="C95" i="5" s="1"/>
  <c r="Q95" i="5" s="1"/>
  <c r="R95" i="5" s="1"/>
  <c r="C96" i="5" s="1"/>
  <c r="Q96" i="5" s="1"/>
  <c r="R96" i="5" s="1"/>
  <c r="C97" i="5" s="1"/>
  <c r="Q97" i="5" s="1"/>
  <c r="R97" i="5" s="1"/>
  <c r="C98" i="5" s="1"/>
  <c r="Q98" i="5" s="1"/>
  <c r="R98" i="5" s="1"/>
  <c r="C99" i="5" s="1"/>
  <c r="Q99" i="5" s="1"/>
  <c r="R99" i="5" s="1"/>
  <c r="C100" i="5" s="1"/>
  <c r="Q100" i="5" s="1"/>
  <c r="R100" i="5" s="1"/>
  <c r="C101" i="5" s="1"/>
  <c r="Q101" i="5" s="1"/>
  <c r="R101" i="5" s="1"/>
  <c r="C102" i="5" s="1"/>
  <c r="Q102" i="5" s="1"/>
  <c r="R102" i="5" s="1"/>
  <c r="C103" i="5" s="1"/>
  <c r="Q103" i="5" s="1"/>
  <c r="R103" i="5" s="1"/>
  <c r="C104" i="5" s="1"/>
  <c r="Q104" i="5" s="1"/>
  <c r="R104" i="5" s="1"/>
  <c r="C105" i="5" s="1"/>
  <c r="Q105" i="5" s="1"/>
  <c r="R105" i="5" s="1"/>
  <c r="C106" i="5" s="1"/>
  <c r="Q106" i="5" s="1"/>
  <c r="R106" i="5" s="1"/>
  <c r="C107" i="5" s="1"/>
  <c r="Q107" i="5" s="1"/>
  <c r="R107" i="5" s="1"/>
  <c r="C108" i="5" s="1"/>
  <c r="Q108" i="5" s="1"/>
  <c r="R108" i="5" s="1"/>
  <c r="C109" i="5" s="1"/>
  <c r="Q109" i="5" s="1"/>
  <c r="R109" i="5" s="1"/>
  <c r="C110" i="5" s="1"/>
  <c r="Q110" i="5" s="1"/>
  <c r="R110" i="5" s="1"/>
  <c r="C111" i="5" s="1"/>
  <c r="Q111" i="5" s="1"/>
  <c r="R111" i="5" s="1"/>
  <c r="C112" i="5" s="1"/>
  <c r="Q112" i="5" s="1"/>
  <c r="R112" i="5" s="1"/>
  <c r="C113" i="5" s="1"/>
  <c r="Q113" i="5" s="1"/>
  <c r="R113" i="5" s="1"/>
  <c r="C114" i="5" s="1"/>
  <c r="Q114" i="5" s="1"/>
  <c r="R114" i="5" s="1"/>
  <c r="C115" i="5" s="1"/>
  <c r="Q115" i="5" s="1"/>
  <c r="R115" i="5" s="1"/>
  <c r="C116" i="5" s="1"/>
  <c r="Q116" i="5" s="1"/>
  <c r="R116" i="5" s="1"/>
  <c r="C117" i="5" s="1"/>
  <c r="Q117" i="5" s="1"/>
  <c r="R117" i="5" s="1"/>
  <c r="C118" i="5" s="1"/>
  <c r="Q118" i="5" s="1"/>
  <c r="R118" i="5" s="1"/>
  <c r="C119" i="5" s="1"/>
  <c r="Q119" i="5" s="1"/>
  <c r="R119" i="5" s="1"/>
  <c r="C120" i="5" s="1"/>
  <c r="Q120" i="5" s="1"/>
  <c r="R120" i="5" s="1"/>
  <c r="C121" i="5" s="1"/>
  <c r="Q121" i="5" s="1"/>
  <c r="R121" i="5" s="1"/>
  <c r="C122" i="5" s="1"/>
  <c r="Q122" i="5" s="1"/>
  <c r="R122" i="5" s="1"/>
  <c r="C17" i="9"/>
  <c r="Q7" i="12" l="1"/>
  <c r="R7" i="12" s="1"/>
  <c r="S7" i="12" s="1"/>
  <c r="M33" i="12"/>
  <c r="O8" i="12"/>
  <c r="Q8" i="12" l="1"/>
  <c r="R8" i="12" s="1"/>
  <c r="S8" i="12" s="1"/>
  <c r="M34" i="12"/>
  <c r="L19" i="11"/>
  <c r="O9" i="12" l="1"/>
  <c r="M35" i="12"/>
  <c r="Q9" i="12" l="1"/>
  <c r="O10" i="12" s="1"/>
  <c r="M36" i="12"/>
  <c r="Q10" i="12" l="1"/>
  <c r="O11" i="12" s="1"/>
  <c r="Q11" i="12" s="1"/>
  <c r="O12" i="12" s="1"/>
  <c r="Q12" i="12" s="1"/>
  <c r="O13" i="12" s="1"/>
  <c r="Q13" i="12" s="1"/>
  <c r="R9" i="12"/>
  <c r="S9" i="12" s="1"/>
  <c r="M37" i="12"/>
  <c r="R11" i="12" l="1"/>
  <c r="S11" i="12" s="1"/>
  <c r="R12" i="12"/>
  <c r="S12" i="12" s="1"/>
  <c r="R10" i="12"/>
  <c r="S10" i="12" s="1"/>
  <c r="R13" i="12"/>
  <c r="S13" i="12" s="1"/>
  <c r="M38" i="12"/>
  <c r="O14" i="12"/>
  <c r="Q14" i="12" s="1"/>
  <c r="R14" i="12" l="1"/>
  <c r="S14" i="12" s="1"/>
  <c r="M39" i="12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l="1"/>
  <c r="M65" i="12" l="1"/>
  <c r="M66" i="12" l="1"/>
  <c r="M67" i="12" l="1"/>
  <c r="M68" i="12" l="1"/>
  <c r="M69" i="12" l="1"/>
  <c r="M70" i="12" l="1"/>
  <c r="M71" i="12" l="1"/>
  <c r="M72" i="12" l="1"/>
  <c r="M73" i="12" l="1"/>
  <c r="M74" i="12" l="1"/>
  <c r="M75" i="12" l="1"/>
  <c r="M76" i="12" l="1"/>
  <c r="M77" i="12" l="1"/>
  <c r="M78" i="12" l="1"/>
  <c r="M79" i="12" l="1"/>
  <c r="M80" i="12" l="1"/>
  <c r="M81" i="12" l="1"/>
  <c r="M82" i="12" l="1"/>
  <c r="M83" i="12" l="1"/>
  <c r="M84" i="12" l="1"/>
  <c r="M85" i="12" l="1"/>
  <c r="M86" i="12" l="1"/>
  <c r="M87" i="12" l="1"/>
  <c r="M88" i="12" s="1"/>
  <c r="M89" i="12" s="1"/>
  <c r="M90" i="12" s="1"/>
  <c r="M91" i="12" s="1"/>
  <c r="M92" i="12" s="1"/>
  <c r="M93" i="12" s="1"/>
  <c r="M94" i="12" s="1"/>
  <c r="M95" i="12" s="1"/>
  <c r="M96" i="12" s="1"/>
  <c r="M97" i="12" s="1"/>
  <c r="M98" i="12" s="1"/>
  <c r="M99" i="12" s="1"/>
  <c r="M100" i="12" s="1"/>
  <c r="M101" i="12" s="1"/>
  <c r="M102" i="12" s="1"/>
  <c r="M103" i="12" s="1"/>
  <c r="M104" i="12" s="1"/>
  <c r="M105" i="12" s="1"/>
  <c r="M106" i="12" s="1"/>
  <c r="M107" i="12" s="1"/>
  <c r="M108" i="12" s="1"/>
  <c r="M109" i="12" s="1"/>
  <c r="M110" i="12" s="1"/>
  <c r="M111" i="12" s="1"/>
  <c r="M112" i="12" s="1"/>
  <c r="M113" i="12" s="1"/>
  <c r="M114" i="12" s="1"/>
  <c r="M115" i="12" s="1"/>
  <c r="M116" i="12" s="1"/>
  <c r="M117" i="12" s="1"/>
  <c r="M118" i="12" s="1"/>
  <c r="M119" i="12" s="1"/>
  <c r="M120" i="12" s="1"/>
  <c r="M121" i="12" s="1"/>
  <c r="M122" i="12" s="1"/>
  <c r="M123" i="12" s="1"/>
  <c r="M124" i="12" s="1"/>
  <c r="M125" i="12" s="1"/>
  <c r="M126" i="12" s="1"/>
  <c r="M127" i="12" s="1"/>
  <c r="M128" i="12" s="1"/>
  <c r="M129" i="12" s="1"/>
  <c r="M130" i="12" s="1"/>
  <c r="M131" i="12" s="1"/>
  <c r="M132" i="12" s="1"/>
  <c r="M133" i="12" s="1"/>
  <c r="M134" i="12" s="1"/>
  <c r="M135" i="12" s="1"/>
  <c r="M136" i="12" s="1"/>
  <c r="M137" i="12" s="1"/>
  <c r="M138" i="12" s="1"/>
  <c r="M139" i="12" s="1"/>
  <c r="M140" i="12" s="1"/>
  <c r="M141" i="12" s="1"/>
  <c r="M142" i="12" s="1"/>
  <c r="M143" i="12" s="1"/>
  <c r="M144" i="12" s="1"/>
  <c r="M145" i="12" s="1"/>
  <c r="M146" i="12" s="1"/>
  <c r="M147" i="12" s="1"/>
  <c r="M148" i="12" s="1"/>
  <c r="M149" i="12" s="1"/>
  <c r="M150" i="12" s="1"/>
  <c r="M151" i="12" s="1"/>
  <c r="M152" i="12" s="1"/>
  <c r="M153" i="12" s="1"/>
  <c r="M154" i="12" s="1"/>
  <c r="M155" i="12" s="1"/>
  <c r="M156" i="12" s="1"/>
  <c r="M157" i="12" s="1"/>
  <c r="M158" i="12" s="1"/>
  <c r="M159" i="12" s="1"/>
  <c r="M160" i="12" s="1"/>
  <c r="M161" i="12" s="1"/>
  <c r="M162" i="12" s="1"/>
  <c r="M163" i="12" s="1"/>
  <c r="M164" i="12" s="1"/>
  <c r="M165" i="12" s="1"/>
  <c r="M166" i="12" s="1"/>
  <c r="M167" i="12" s="1"/>
  <c r="M168" i="12" s="1"/>
  <c r="M169" i="12" s="1"/>
  <c r="M170" i="12" s="1"/>
  <c r="M171" i="12" s="1"/>
  <c r="M172" i="12" s="1"/>
  <c r="M173" i="12" s="1"/>
  <c r="M174" i="12" s="1"/>
  <c r="M175" i="12" s="1"/>
  <c r="M176" i="12" s="1"/>
  <c r="M177" i="12" s="1"/>
  <c r="M178" i="12" s="1"/>
  <c r="M179" i="12" s="1"/>
  <c r="M180" i="12" s="1"/>
  <c r="M181" i="12" s="1"/>
  <c r="M182" i="12" s="1"/>
  <c r="M183" i="12" s="1"/>
  <c r="M184" i="12" s="1"/>
  <c r="M185" i="12" s="1"/>
  <c r="M186" i="12" s="1"/>
  <c r="M187" i="12" s="1"/>
  <c r="M188" i="12" s="1"/>
  <c r="M189" i="12" s="1"/>
  <c r="M190" i="12" s="1"/>
  <c r="M191" i="12" s="1"/>
  <c r="M192" i="12" s="1"/>
  <c r="M193" i="12" s="1"/>
  <c r="M194" i="12" s="1"/>
  <c r="M195" i="12" s="1"/>
  <c r="J17" i="12" l="1"/>
  <c r="L17" i="12" s="1"/>
  <c r="O15" i="12"/>
  <c r="Q15" i="12" s="1"/>
  <c r="R15" i="12" l="1"/>
  <c r="X15" i="12" s="1"/>
  <c r="J18" i="12"/>
  <c r="K18" i="12" s="1"/>
  <c r="K17" i="12"/>
  <c r="O16" i="12"/>
  <c r="Q16" i="12" s="1"/>
  <c r="Y15" i="12" l="1"/>
  <c r="Z15" i="12"/>
  <c r="S15" i="12"/>
  <c r="T15" i="12" s="1"/>
  <c r="L18" i="12"/>
  <c r="L19" i="12" s="1"/>
  <c r="J19" i="12"/>
  <c r="R16" i="12"/>
  <c r="S16" i="12" s="1"/>
  <c r="J20" i="12"/>
  <c r="K19" i="12"/>
  <c r="O17" i="12"/>
  <c r="Q17" i="12" s="1"/>
  <c r="L20" i="12" l="1"/>
  <c r="R17" i="12"/>
  <c r="S17" i="12" s="1"/>
  <c r="J21" i="12"/>
  <c r="K20" i="12"/>
  <c r="O18" i="12"/>
  <c r="Q18" i="12" s="1"/>
  <c r="L21" i="12" l="1"/>
  <c r="R18" i="12"/>
  <c r="S18" i="12" s="1"/>
  <c r="J22" i="12"/>
  <c r="K21" i="12"/>
  <c r="O19" i="12"/>
  <c r="Q19" i="12" s="1"/>
  <c r="L22" i="12" l="1"/>
  <c r="R19" i="12"/>
  <c r="S19" i="12" s="1"/>
  <c r="J23" i="12"/>
  <c r="K22" i="12"/>
  <c r="O20" i="12"/>
  <c r="Q20" i="12" s="1"/>
  <c r="L23" i="12" l="1"/>
  <c r="R20" i="12"/>
  <c r="S20" i="12" s="1"/>
  <c r="J24" i="12"/>
  <c r="K23" i="12"/>
  <c r="O21" i="12"/>
  <c r="Q21" i="12" s="1"/>
  <c r="L24" i="12" l="1"/>
  <c r="R21" i="12"/>
  <c r="S21" i="12" s="1"/>
  <c r="J25" i="12"/>
  <c r="K24" i="12"/>
  <c r="O22" i="12"/>
  <c r="Q22" i="12" s="1"/>
  <c r="L25" i="12" l="1"/>
  <c r="L26" i="12" s="1"/>
  <c r="L27" i="12" s="1"/>
  <c r="R22" i="12"/>
  <c r="S22" i="12" s="1"/>
  <c r="K26" i="12"/>
  <c r="K25" i="12"/>
  <c r="O23" i="12"/>
  <c r="Q23" i="12" s="1"/>
  <c r="R23" i="12" l="1"/>
  <c r="S23" i="12" s="1"/>
  <c r="O24" i="12"/>
  <c r="Q24" i="12" s="1"/>
  <c r="J28" i="12" l="1"/>
  <c r="L28" i="12" s="1"/>
  <c r="R24" i="12"/>
  <c r="S24" i="12" s="1"/>
  <c r="O25" i="12"/>
  <c r="Q25" i="12" s="1"/>
  <c r="K28" i="12" l="1"/>
  <c r="J29" i="12"/>
  <c r="L29" i="12" s="1"/>
  <c r="R25" i="12"/>
  <c r="S25" i="12" s="1"/>
  <c r="O26" i="12"/>
  <c r="Q26" i="12" s="1"/>
  <c r="J30" i="12" l="1"/>
  <c r="L30" i="12" s="1"/>
  <c r="K29" i="12"/>
  <c r="R26" i="12"/>
  <c r="S26" i="12" s="1"/>
  <c r="O27" i="12"/>
  <c r="Q27" i="12" s="1"/>
  <c r="O28" i="12" l="1"/>
  <c r="Q28" i="12" s="1"/>
  <c r="J31" i="12"/>
  <c r="L31" i="12" s="1"/>
  <c r="K30" i="12"/>
  <c r="R27" i="12" l="1"/>
  <c r="R28" i="12"/>
  <c r="S28" i="12" s="1"/>
  <c r="O29" i="12"/>
  <c r="J32" i="12"/>
  <c r="L32" i="12" s="1"/>
  <c r="K31" i="12"/>
  <c r="S27" i="12" l="1"/>
  <c r="T27" i="12" s="1"/>
  <c r="AA27" i="12"/>
  <c r="AB27" i="12" s="1"/>
  <c r="X27" i="12"/>
  <c r="Y27" i="12" s="1"/>
  <c r="Q29" i="12"/>
  <c r="O30" i="12" s="1"/>
  <c r="Q30" i="12" s="1"/>
  <c r="O31" i="12" s="1"/>
  <c r="Q31" i="12" s="1"/>
  <c r="J33" i="12"/>
  <c r="L33" i="12" s="1"/>
  <c r="K32" i="12"/>
  <c r="Z27" i="12" l="1"/>
  <c r="R30" i="12"/>
  <c r="S30" i="12" s="1"/>
  <c r="R29" i="12"/>
  <c r="S29" i="12" s="1"/>
  <c r="K33" i="12"/>
  <c r="J34" i="12"/>
  <c r="L34" i="12" s="1"/>
  <c r="O32" i="12"/>
  <c r="Q32" i="12" s="1"/>
  <c r="R31" i="12"/>
  <c r="S31" i="12" s="1"/>
  <c r="J35" i="12" l="1"/>
  <c r="L35" i="12" s="1"/>
  <c r="K34" i="12"/>
  <c r="O33" i="12"/>
  <c r="Q33" i="12" s="1"/>
  <c r="R32" i="12"/>
  <c r="S32" i="12" s="1"/>
  <c r="K35" i="12" l="1"/>
  <c r="J36" i="12"/>
  <c r="L36" i="12" s="1"/>
  <c r="O34" i="12"/>
  <c r="Q34" i="12" s="1"/>
  <c r="R33" i="12"/>
  <c r="S33" i="12" s="1"/>
  <c r="K36" i="12" l="1"/>
  <c r="J37" i="12"/>
  <c r="K37" i="12" s="1"/>
  <c r="O35" i="12"/>
  <c r="Q35" i="12" s="1"/>
  <c r="R34" i="12"/>
  <c r="S34" i="12" s="1"/>
  <c r="L37" i="12" l="1"/>
  <c r="L38" i="12" s="1"/>
  <c r="L39" i="12" s="1"/>
  <c r="O36" i="12"/>
  <c r="Q36" i="12" s="1"/>
  <c r="R35" i="12"/>
  <c r="S35" i="12" s="1"/>
  <c r="J40" i="12" l="1"/>
  <c r="L40" i="12" s="1"/>
  <c r="O37" i="12"/>
  <c r="Q37" i="12" s="1"/>
  <c r="R36" i="12"/>
  <c r="S36" i="12" s="1"/>
  <c r="K40" i="12" l="1"/>
  <c r="J41" i="12"/>
  <c r="L41" i="12" s="1"/>
  <c r="O38" i="12"/>
  <c r="Q38" i="12" s="1"/>
  <c r="R37" i="12"/>
  <c r="S37" i="12" s="1"/>
  <c r="K41" i="12" l="1"/>
  <c r="J42" i="12"/>
  <c r="L42" i="12" s="1"/>
  <c r="O39" i="12"/>
  <c r="Q39" i="12" s="1"/>
  <c r="R38" i="12"/>
  <c r="S38" i="12" s="1"/>
  <c r="O40" i="12" l="1"/>
  <c r="Q40" i="12" s="1"/>
  <c r="J43" i="12"/>
  <c r="L43" i="12" s="1"/>
  <c r="K42" i="12"/>
  <c r="R39" i="12" l="1"/>
  <c r="O41" i="12"/>
  <c r="Q41" i="12" s="1"/>
  <c r="K43" i="12"/>
  <c r="J44" i="12"/>
  <c r="L44" i="12" s="1"/>
  <c r="S39" i="12" l="1"/>
  <c r="T39" i="12" s="1"/>
  <c r="AA39" i="12"/>
  <c r="AB39" i="12" s="1"/>
  <c r="X39" i="12"/>
  <c r="R40" i="12"/>
  <c r="S40" i="12" s="1"/>
  <c r="O42" i="12"/>
  <c r="Y39" i="12"/>
  <c r="Z39" i="12"/>
  <c r="J45" i="12"/>
  <c r="L45" i="12" s="1"/>
  <c r="K44" i="12"/>
  <c r="Q42" i="12" l="1"/>
  <c r="R42" i="12" s="1"/>
  <c r="S42" i="12" s="1"/>
  <c r="R41" i="12"/>
  <c r="S41" i="12" s="1"/>
  <c r="K45" i="12"/>
  <c r="J46" i="12"/>
  <c r="L46" i="12" s="1"/>
  <c r="O43" i="12" l="1"/>
  <c r="Q43" i="12" s="1"/>
  <c r="J47" i="12"/>
  <c r="L47" i="12" s="1"/>
  <c r="K46" i="12"/>
  <c r="R43" i="12" l="1"/>
  <c r="S43" i="12" s="1"/>
  <c r="O44" i="12"/>
  <c r="Q44" i="12" s="1"/>
  <c r="O45" i="12" s="1"/>
  <c r="Q45" i="12" s="1"/>
  <c r="R45" i="12" s="1"/>
  <c r="S45" i="12" s="1"/>
  <c r="K47" i="12"/>
  <c r="J48" i="12"/>
  <c r="L48" i="12" s="1"/>
  <c r="R44" i="12" l="1"/>
  <c r="S44" i="12" s="1"/>
  <c r="O46" i="12"/>
  <c r="Q46" i="12" s="1"/>
  <c r="R46" i="12" s="1"/>
  <c r="S46" i="12" s="1"/>
  <c r="J49" i="12"/>
  <c r="K49" i="12" s="1"/>
  <c r="K48" i="12"/>
  <c r="O47" i="12" l="1"/>
  <c r="Q47" i="12" s="1"/>
  <c r="L49" i="12"/>
  <c r="L50" i="12" s="1"/>
  <c r="L51" i="12" s="1"/>
  <c r="O48" i="12" l="1"/>
  <c r="Q48" i="12" s="1"/>
  <c r="J52" i="12"/>
  <c r="L52" i="12" s="1"/>
  <c r="R48" i="12" l="1"/>
  <c r="S48" i="12" s="1"/>
  <c r="R47" i="12"/>
  <c r="S47" i="12" s="1"/>
  <c r="K52" i="12"/>
  <c r="J53" i="12"/>
  <c r="L53" i="12" s="1"/>
  <c r="O49" i="12" l="1"/>
  <c r="Q49" i="12" s="1"/>
  <c r="K53" i="12"/>
  <c r="J54" i="12"/>
  <c r="L54" i="12" s="1"/>
  <c r="O50" i="12" l="1"/>
  <c r="Q50" i="12" s="1"/>
  <c r="R49" i="12"/>
  <c r="S49" i="12" s="1"/>
  <c r="K54" i="12"/>
  <c r="J55" i="12"/>
  <c r="L55" i="12" s="1"/>
  <c r="R50" i="12" l="1"/>
  <c r="S50" i="12" s="1"/>
  <c r="O51" i="12"/>
  <c r="Q51" i="12" s="1"/>
  <c r="J56" i="12"/>
  <c r="L56" i="12" s="1"/>
  <c r="K55" i="12"/>
  <c r="R51" i="12" l="1"/>
  <c r="O52" i="12"/>
  <c r="Q52" i="12" s="1"/>
  <c r="K56" i="12"/>
  <c r="J57" i="12"/>
  <c r="L57" i="12" s="1"/>
  <c r="AA51" i="12" l="1"/>
  <c r="AB51" i="12" s="1"/>
  <c r="O53" i="12"/>
  <c r="Q53" i="12" s="1"/>
  <c r="R52" i="12"/>
  <c r="S52" i="12" s="1"/>
  <c r="S51" i="12"/>
  <c r="T51" i="12" s="1"/>
  <c r="X51" i="12"/>
  <c r="K57" i="12"/>
  <c r="J58" i="12"/>
  <c r="L58" i="12" s="1"/>
  <c r="Z51" i="12" l="1"/>
  <c r="Y51" i="12"/>
  <c r="R53" i="12"/>
  <c r="S53" i="12" s="1"/>
  <c r="O54" i="12"/>
  <c r="Q54" i="12" s="1"/>
  <c r="J59" i="12"/>
  <c r="L59" i="12" s="1"/>
  <c r="K58" i="12"/>
  <c r="O55" i="12" l="1"/>
  <c r="Q55" i="12" s="1"/>
  <c r="R54" i="12"/>
  <c r="S54" i="12" s="1"/>
  <c r="J60" i="12"/>
  <c r="L60" i="12" s="1"/>
  <c r="K59" i="12"/>
  <c r="O56" i="12" l="1"/>
  <c r="Q56" i="12" s="1"/>
  <c r="R55" i="12"/>
  <c r="S55" i="12" s="1"/>
  <c r="J61" i="12"/>
  <c r="K61" i="12" s="1"/>
  <c r="K60" i="12"/>
  <c r="R56" i="12" l="1"/>
  <c r="S56" i="12" s="1"/>
  <c r="O57" i="12"/>
  <c r="Q57" i="12" s="1"/>
  <c r="L61" i="12"/>
  <c r="L62" i="12" s="1"/>
  <c r="L63" i="12" s="1"/>
  <c r="J64" i="12" s="1"/>
  <c r="R57" i="12" l="1"/>
  <c r="S57" i="12" s="1"/>
  <c r="O58" i="12"/>
  <c r="Q58" i="12" s="1"/>
  <c r="L64" i="12"/>
  <c r="J65" i="12"/>
  <c r="K64" i="12"/>
  <c r="O59" i="12" l="1"/>
  <c r="Q59" i="12" s="1"/>
  <c r="R58" i="12"/>
  <c r="S58" i="12" s="1"/>
  <c r="L65" i="12"/>
  <c r="J66" i="12"/>
  <c r="K65" i="12"/>
  <c r="R59" i="12" l="1"/>
  <c r="S59" i="12" s="1"/>
  <c r="O60" i="12"/>
  <c r="Q60" i="12" s="1"/>
  <c r="L66" i="12"/>
  <c r="K66" i="12"/>
  <c r="J67" i="12"/>
  <c r="R60" i="12" l="1"/>
  <c r="S60" i="12" s="1"/>
  <c r="O61" i="12"/>
  <c r="Q61" i="12" s="1"/>
  <c r="L67" i="12"/>
  <c r="J68" i="12"/>
  <c r="K67" i="12"/>
  <c r="O62" i="12" l="1"/>
  <c r="Q62" i="12" s="1"/>
  <c r="R61" i="12"/>
  <c r="S61" i="12" s="1"/>
  <c r="L68" i="12"/>
  <c r="J69" i="12"/>
  <c r="K68" i="12"/>
  <c r="R62" i="12" l="1"/>
  <c r="S62" i="12" s="1"/>
  <c r="O63" i="12"/>
  <c r="Q63" i="12" s="1"/>
  <c r="L69" i="12"/>
  <c r="K69" i="12"/>
  <c r="J70" i="12"/>
  <c r="L70" i="12" l="1"/>
  <c r="R63" i="12"/>
  <c r="AA63" i="12" s="1"/>
  <c r="AB63" i="12" s="1"/>
  <c r="O64" i="12"/>
  <c r="Q64" i="12" s="1"/>
  <c r="K70" i="12"/>
  <c r="J71" i="12"/>
  <c r="L71" i="12" s="1"/>
  <c r="X63" i="12" l="1"/>
  <c r="S63" i="12"/>
  <c r="T63" i="12" s="1"/>
  <c r="R64" i="12"/>
  <c r="S64" i="12" s="1"/>
  <c r="O65" i="12"/>
  <c r="Q65" i="12" s="1"/>
  <c r="K71" i="12"/>
  <c r="J72" i="12"/>
  <c r="L72" i="12" s="1"/>
  <c r="O66" i="12" l="1"/>
  <c r="Q66" i="12" s="1"/>
  <c r="R65" i="12"/>
  <c r="S65" i="12" s="1"/>
  <c r="Z63" i="12"/>
  <c r="Y63" i="12"/>
  <c r="K72" i="12"/>
  <c r="J73" i="12"/>
  <c r="K73" i="12" s="1"/>
  <c r="R66" i="12" l="1"/>
  <c r="S66" i="12" s="1"/>
  <c r="O67" i="12"/>
  <c r="Q67" i="12" s="1"/>
  <c r="L73" i="12"/>
  <c r="L74" i="12" s="1"/>
  <c r="L75" i="12" s="1"/>
  <c r="O68" i="12" l="1"/>
  <c r="Q68" i="12" s="1"/>
  <c r="R67" i="12"/>
  <c r="S67" i="12" s="1"/>
  <c r="J76" i="12"/>
  <c r="L76" i="12" s="1"/>
  <c r="O69" i="12" l="1"/>
  <c r="Q69" i="12" s="1"/>
  <c r="R68" i="12"/>
  <c r="S68" i="12" s="1"/>
  <c r="J77" i="12"/>
  <c r="K76" i="12"/>
  <c r="L77" i="12"/>
  <c r="R69" i="12" l="1"/>
  <c r="S69" i="12" s="1"/>
  <c r="O70" i="12"/>
  <c r="Q70" i="12" s="1"/>
  <c r="K77" i="12"/>
  <c r="J78" i="12"/>
  <c r="R70" i="12" l="1"/>
  <c r="S70" i="12" s="1"/>
  <c r="O71" i="12"/>
  <c r="Q71" i="12" s="1"/>
  <c r="J79" i="12"/>
  <c r="K78" i="12"/>
  <c r="L78" i="12"/>
  <c r="R71" i="12" l="1"/>
  <c r="S71" i="12" s="1"/>
  <c r="O72" i="12"/>
  <c r="Q72" i="12" s="1"/>
  <c r="L79" i="12"/>
  <c r="K79" i="12"/>
  <c r="J80" i="12"/>
  <c r="O73" i="12" l="1"/>
  <c r="Q73" i="12" s="1"/>
  <c r="R72" i="12"/>
  <c r="S72" i="12" s="1"/>
  <c r="K80" i="12"/>
  <c r="J81" i="12"/>
  <c r="L80" i="12"/>
  <c r="L81" i="12" s="1"/>
  <c r="R73" i="12" l="1"/>
  <c r="S73" i="12" s="1"/>
  <c r="O74" i="12"/>
  <c r="Q74" i="12" s="1"/>
  <c r="K81" i="12"/>
  <c r="J82" i="12"/>
  <c r="O75" i="12" l="1"/>
  <c r="Q75" i="12" s="1"/>
  <c r="R74" i="12"/>
  <c r="S74" i="12" s="1"/>
  <c r="J83" i="12"/>
  <c r="K82" i="12"/>
  <c r="L82" i="12"/>
  <c r="L83" i="12" s="1"/>
  <c r="R75" i="12" l="1"/>
  <c r="AA75" i="12" s="1"/>
  <c r="AB75" i="12" s="1"/>
  <c r="O76" i="12"/>
  <c r="Q76" i="12" s="1"/>
  <c r="K83" i="12"/>
  <c r="J84" i="12"/>
  <c r="R76" i="12" l="1"/>
  <c r="S76" i="12" s="1"/>
  <c r="O77" i="12"/>
  <c r="Q77" i="12" s="1"/>
  <c r="S75" i="12"/>
  <c r="T75" i="12" s="1"/>
  <c r="X75" i="12"/>
  <c r="K84" i="12"/>
  <c r="J85" i="12"/>
  <c r="K85" i="12" s="1"/>
  <c r="L84" i="12"/>
  <c r="L85" i="12" l="1"/>
  <c r="L86" i="12" s="1"/>
  <c r="L87" i="12" s="1"/>
  <c r="J88" i="12" s="1"/>
  <c r="Y75" i="12"/>
  <c r="Z75" i="12"/>
  <c r="R77" i="12"/>
  <c r="S77" i="12" s="1"/>
  <c r="O78" i="12"/>
  <c r="Q78" i="12" s="1"/>
  <c r="R78" i="12" l="1"/>
  <c r="S78" i="12" s="1"/>
  <c r="O79" i="12"/>
  <c r="Q79" i="12" s="1"/>
  <c r="K88" i="12"/>
  <c r="J89" i="12"/>
  <c r="L88" i="12"/>
  <c r="L89" i="12" l="1"/>
  <c r="O80" i="12"/>
  <c r="Q80" i="12" s="1"/>
  <c r="R79" i="12"/>
  <c r="S79" i="12" s="1"/>
  <c r="K89" i="12"/>
  <c r="J90" i="12"/>
  <c r="R80" i="12" l="1"/>
  <c r="S80" i="12" s="1"/>
  <c r="O81" i="12"/>
  <c r="Q81" i="12" s="1"/>
  <c r="K90" i="12"/>
  <c r="J91" i="12"/>
  <c r="L90" i="12"/>
  <c r="R81" i="12" l="1"/>
  <c r="S81" i="12" s="1"/>
  <c r="O82" i="12"/>
  <c r="Q82" i="12" s="1"/>
  <c r="L91" i="12"/>
  <c r="K91" i="12"/>
  <c r="J92" i="12"/>
  <c r="R82" i="12" l="1"/>
  <c r="S82" i="12" s="1"/>
  <c r="O83" i="12"/>
  <c r="Q83" i="12" s="1"/>
  <c r="J93" i="12"/>
  <c r="K92" i="12"/>
  <c r="L92" i="12"/>
  <c r="L93" i="12" l="1"/>
  <c r="R83" i="12"/>
  <c r="S83" i="12" s="1"/>
  <c r="O84" i="12"/>
  <c r="Q84" i="12" s="1"/>
  <c r="K93" i="12"/>
  <c r="J94" i="12"/>
  <c r="R84" i="12" l="1"/>
  <c r="S84" i="12" s="1"/>
  <c r="O85" i="12"/>
  <c r="Q85" i="12" s="1"/>
  <c r="J95" i="12"/>
  <c r="K94" i="12"/>
  <c r="L94" i="12"/>
  <c r="L95" i="12" s="1"/>
  <c r="O86" i="12" l="1"/>
  <c r="Q86" i="12" s="1"/>
  <c r="R85" i="12"/>
  <c r="S85" i="12" s="1"/>
  <c r="J96" i="12"/>
  <c r="K95" i="12"/>
  <c r="O87" i="12" l="1"/>
  <c r="Q87" i="12" s="1"/>
  <c r="R86" i="12"/>
  <c r="S86" i="12" s="1"/>
  <c r="J97" i="12"/>
  <c r="K97" i="12" s="1"/>
  <c r="K96" i="12"/>
  <c r="L96" i="12"/>
  <c r="L97" i="12" s="1"/>
  <c r="L98" i="12" s="1"/>
  <c r="L99" i="12" s="1"/>
  <c r="R87" i="12" l="1"/>
  <c r="AA87" i="12" s="1"/>
  <c r="AB87" i="12" s="1"/>
  <c r="O88" i="12"/>
  <c r="Q88" i="12" s="1"/>
  <c r="J100" i="12"/>
  <c r="L100" i="12" s="1"/>
  <c r="K100" i="12" l="1"/>
  <c r="J101" i="12"/>
  <c r="J102" i="12" s="1"/>
  <c r="X87" i="12"/>
  <c r="S87" i="12"/>
  <c r="T87" i="12" s="1"/>
  <c r="R88" i="12"/>
  <c r="S88" i="12" s="1"/>
  <c r="O89" i="12"/>
  <c r="Q89" i="12" s="1"/>
  <c r="K101" i="12" l="1"/>
  <c r="L101" i="12"/>
  <c r="Z87" i="12"/>
  <c r="Y87" i="12"/>
  <c r="R89" i="12"/>
  <c r="S89" i="12" s="1"/>
  <c r="O90" i="12"/>
  <c r="Q90" i="12" s="1"/>
  <c r="L102" i="12"/>
  <c r="K102" i="12"/>
  <c r="J103" i="12"/>
  <c r="L103" i="12" l="1"/>
  <c r="R90" i="12"/>
  <c r="S90" i="12" s="1"/>
  <c r="O91" i="12"/>
  <c r="Q91" i="12" s="1"/>
  <c r="J104" i="12"/>
  <c r="K103" i="12"/>
  <c r="L104" i="12" l="1"/>
  <c r="R91" i="12"/>
  <c r="S91" i="12" s="1"/>
  <c r="O92" i="12"/>
  <c r="Q92" i="12" s="1"/>
  <c r="J105" i="12"/>
  <c r="K104" i="12"/>
  <c r="L105" i="12" l="1"/>
  <c r="R92" i="12"/>
  <c r="S92" i="12" s="1"/>
  <c r="O93" i="12"/>
  <c r="Q93" i="12" s="1"/>
  <c r="K105" i="12"/>
  <c r="J106" i="12"/>
  <c r="L106" i="12" s="1"/>
  <c r="R93" i="12" l="1"/>
  <c r="S93" i="12" s="1"/>
  <c r="O94" i="12"/>
  <c r="Q94" i="12" s="1"/>
  <c r="J107" i="12"/>
  <c r="L107" i="12" s="1"/>
  <c r="K106" i="12"/>
  <c r="O95" i="12" l="1"/>
  <c r="Q95" i="12" s="1"/>
  <c r="R94" i="12"/>
  <c r="S94" i="12" s="1"/>
  <c r="J108" i="12"/>
  <c r="L108" i="12" s="1"/>
  <c r="K107" i="12"/>
  <c r="R95" i="12" l="1"/>
  <c r="S95" i="12" s="1"/>
  <c r="O96" i="12"/>
  <c r="Q96" i="12" s="1"/>
  <c r="J109" i="12"/>
  <c r="K109" i="12" s="1"/>
  <c r="K108" i="12"/>
  <c r="O97" i="12" l="1"/>
  <c r="Q97" i="12" s="1"/>
  <c r="R96" i="12"/>
  <c r="S96" i="12" s="1"/>
  <c r="L109" i="12"/>
  <c r="L110" i="12" s="1"/>
  <c r="L111" i="12" s="1"/>
  <c r="R97" i="12" l="1"/>
  <c r="S97" i="12" s="1"/>
  <c r="O98" i="12"/>
  <c r="Q98" i="12" s="1"/>
  <c r="J112" i="12"/>
  <c r="L112" i="12" s="1"/>
  <c r="O99" i="12" l="1"/>
  <c r="Q99" i="12" s="1"/>
  <c r="R98" i="12"/>
  <c r="S98" i="12" s="1"/>
  <c r="J113" i="12"/>
  <c r="L113" i="12" s="1"/>
  <c r="K112" i="12"/>
  <c r="O100" i="12" l="1"/>
  <c r="Q100" i="12" s="1"/>
  <c r="R99" i="12"/>
  <c r="AA99" i="12" s="1"/>
  <c r="AB99" i="12" s="1"/>
  <c r="J114" i="12"/>
  <c r="L114" i="12" s="1"/>
  <c r="K113" i="12"/>
  <c r="X99" i="12" l="1"/>
  <c r="S99" i="12"/>
  <c r="T99" i="12" s="1"/>
  <c r="O101" i="12"/>
  <c r="Q101" i="12" s="1"/>
  <c r="R100" i="12"/>
  <c r="S100" i="12" s="1"/>
  <c r="J115" i="12"/>
  <c r="L115" i="12" s="1"/>
  <c r="K114" i="12"/>
  <c r="R101" i="12" l="1"/>
  <c r="S101" i="12" s="1"/>
  <c r="O102" i="12"/>
  <c r="Q102" i="12" s="1"/>
  <c r="Y99" i="12"/>
  <c r="Z99" i="12"/>
  <c r="J116" i="12"/>
  <c r="L116" i="12" s="1"/>
  <c r="K115" i="12"/>
  <c r="R102" i="12" l="1"/>
  <c r="S102" i="12" s="1"/>
  <c r="O103" i="12"/>
  <c r="Q103" i="12" s="1"/>
  <c r="J117" i="12"/>
  <c r="L117" i="12" s="1"/>
  <c r="K116" i="12"/>
  <c r="O104" i="12" l="1"/>
  <c r="Q104" i="12" s="1"/>
  <c r="R103" i="12"/>
  <c r="S103" i="12" s="1"/>
  <c r="J118" i="12"/>
  <c r="L118" i="12" s="1"/>
  <c r="K117" i="12"/>
  <c r="R104" i="12" l="1"/>
  <c r="S104" i="12" s="1"/>
  <c r="O105" i="12"/>
  <c r="Q105" i="12" s="1"/>
  <c r="K118" i="12"/>
  <c r="J119" i="12"/>
  <c r="L119" i="12" s="1"/>
  <c r="O106" i="12" l="1"/>
  <c r="Q106" i="12" s="1"/>
  <c r="R105" i="12"/>
  <c r="S105" i="12" s="1"/>
  <c r="J120" i="12"/>
  <c r="L120" i="12" s="1"/>
  <c r="K119" i="12"/>
  <c r="O107" i="12" l="1"/>
  <c r="Q107" i="12" s="1"/>
  <c r="R106" i="12"/>
  <c r="S106" i="12" s="1"/>
  <c r="J121" i="12"/>
  <c r="K121" i="12" s="1"/>
  <c r="K120" i="12"/>
  <c r="R107" i="12" l="1"/>
  <c r="S107" i="12" s="1"/>
  <c r="O108" i="12"/>
  <c r="Q108" i="12" s="1"/>
  <c r="L121" i="12"/>
  <c r="L122" i="12" s="1"/>
  <c r="L123" i="12" s="1"/>
  <c r="J124" i="12" s="1"/>
  <c r="O109" i="12" l="1"/>
  <c r="Q109" i="12" s="1"/>
  <c r="R108" i="12"/>
  <c r="S108" i="12" s="1"/>
  <c r="L124" i="12"/>
  <c r="K124" i="12"/>
  <c r="J125" i="12"/>
  <c r="O110" i="12" l="1"/>
  <c r="Q110" i="12" s="1"/>
  <c r="R109" i="12"/>
  <c r="S109" i="12" s="1"/>
  <c r="L125" i="12"/>
  <c r="J126" i="12"/>
  <c r="K125" i="12"/>
  <c r="O111" i="12" l="1"/>
  <c r="Q111" i="12" s="1"/>
  <c r="R110" i="12"/>
  <c r="S110" i="12" s="1"/>
  <c r="L126" i="12"/>
  <c r="J127" i="12"/>
  <c r="K126" i="12"/>
  <c r="O112" i="12" l="1"/>
  <c r="Q112" i="12" s="1"/>
  <c r="R111" i="12"/>
  <c r="AA111" i="12" s="1"/>
  <c r="AB111" i="12" s="1"/>
  <c r="L127" i="12"/>
  <c r="J128" i="12"/>
  <c r="K127" i="12"/>
  <c r="L128" i="12" l="1"/>
  <c r="X111" i="12"/>
  <c r="S111" i="12"/>
  <c r="T111" i="12" s="1"/>
  <c r="R112" i="12"/>
  <c r="S112" i="12" s="1"/>
  <c r="O113" i="12"/>
  <c r="Q113" i="12" s="1"/>
  <c r="J129" i="12"/>
  <c r="K128" i="12"/>
  <c r="L129" i="12" l="1"/>
  <c r="O114" i="12"/>
  <c r="Q114" i="12" s="1"/>
  <c r="R113" i="12"/>
  <c r="S113" i="12" s="1"/>
  <c r="Y111" i="12"/>
  <c r="Z111" i="12"/>
  <c r="K129" i="12"/>
  <c r="J130" i="12"/>
  <c r="L130" i="12" s="1"/>
  <c r="R114" i="12" l="1"/>
  <c r="S114" i="12" s="1"/>
  <c r="O115" i="12"/>
  <c r="Q115" i="12" s="1"/>
  <c r="K130" i="12"/>
  <c r="J131" i="12"/>
  <c r="L131" i="12" s="1"/>
  <c r="O116" i="12" l="1"/>
  <c r="Q116" i="12" s="1"/>
  <c r="R115" i="12"/>
  <c r="S115" i="12" s="1"/>
  <c r="J132" i="12"/>
  <c r="L132" i="12" s="1"/>
  <c r="K131" i="12"/>
  <c r="O117" i="12" l="1"/>
  <c r="Q117" i="12" s="1"/>
  <c r="R116" i="12"/>
  <c r="S116" i="12" s="1"/>
  <c r="J133" i="12"/>
  <c r="K133" i="12" s="1"/>
  <c r="K132" i="12"/>
  <c r="R117" i="12" l="1"/>
  <c r="S117" i="12" s="1"/>
  <c r="O118" i="12"/>
  <c r="Q118" i="12" s="1"/>
  <c r="L133" i="12"/>
  <c r="L134" i="12" s="1"/>
  <c r="L135" i="12" s="1"/>
  <c r="O119" i="12" l="1"/>
  <c r="Q119" i="12" s="1"/>
  <c r="R118" i="12"/>
  <c r="S118" i="12" s="1"/>
  <c r="J136" i="12"/>
  <c r="L136" i="12" s="1"/>
  <c r="O120" i="12" l="1"/>
  <c r="Q120" i="12" s="1"/>
  <c r="R119" i="12"/>
  <c r="S119" i="12" s="1"/>
  <c r="J137" i="12"/>
  <c r="L137" i="12" s="1"/>
  <c r="K136" i="12"/>
  <c r="O121" i="12" l="1"/>
  <c r="Q121" i="12" s="1"/>
  <c r="R120" i="12"/>
  <c r="S120" i="12" s="1"/>
  <c r="J138" i="12"/>
  <c r="L138" i="12" s="1"/>
  <c r="K137" i="12"/>
  <c r="O122" i="12" l="1"/>
  <c r="Q122" i="12" s="1"/>
  <c r="R121" i="12"/>
  <c r="S121" i="12" s="1"/>
  <c r="J139" i="12"/>
  <c r="K138" i="12"/>
  <c r="O123" i="12" l="1"/>
  <c r="Q123" i="12" s="1"/>
  <c r="R122" i="12"/>
  <c r="S122" i="12" s="1"/>
  <c r="J140" i="12"/>
  <c r="K139" i="12"/>
  <c r="L139" i="12"/>
  <c r="L140" i="12" s="1"/>
  <c r="O124" i="12" l="1"/>
  <c r="Q124" i="12" s="1"/>
  <c r="R123" i="12"/>
  <c r="AA123" i="12" s="1"/>
  <c r="AB123" i="12" s="1"/>
  <c r="K140" i="12"/>
  <c r="J141" i="12"/>
  <c r="S123" i="12" l="1"/>
  <c r="T123" i="12" s="1"/>
  <c r="X123" i="12"/>
  <c r="O125" i="12"/>
  <c r="Q125" i="12" s="1"/>
  <c r="R124" i="12"/>
  <c r="S124" i="12" s="1"/>
  <c r="K141" i="12"/>
  <c r="J142" i="12"/>
  <c r="L141" i="12"/>
  <c r="L142" i="12" l="1"/>
  <c r="R125" i="12"/>
  <c r="S125" i="12" s="1"/>
  <c r="O126" i="12"/>
  <c r="Q126" i="12" s="1"/>
  <c r="Z123" i="12"/>
  <c r="Y123" i="12"/>
  <c r="J143" i="12"/>
  <c r="K142" i="12"/>
  <c r="L143" i="12" l="1"/>
  <c r="O127" i="12"/>
  <c r="Q127" i="12" s="1"/>
  <c r="R126" i="12"/>
  <c r="S126" i="12" s="1"/>
  <c r="K143" i="12"/>
  <c r="J144" i="12"/>
  <c r="O128" i="12" l="1"/>
  <c r="Q128" i="12" s="1"/>
  <c r="R127" i="12"/>
  <c r="S127" i="12" s="1"/>
  <c r="J145" i="12"/>
  <c r="K145" i="12" s="1"/>
  <c r="K144" i="12"/>
  <c r="L144" i="12"/>
  <c r="R128" i="12" l="1"/>
  <c r="S128" i="12" s="1"/>
  <c r="O129" i="12"/>
  <c r="Q129" i="12" s="1"/>
  <c r="L145" i="12"/>
  <c r="L146" i="12" s="1"/>
  <c r="L147" i="12" s="1"/>
  <c r="J148" i="12" s="1"/>
  <c r="O130" i="12" l="1"/>
  <c r="Q130" i="12" s="1"/>
  <c r="R129" i="12"/>
  <c r="S129" i="12" s="1"/>
  <c r="L148" i="12"/>
  <c r="J149" i="12"/>
  <c r="K148" i="12"/>
  <c r="R130" i="12" l="1"/>
  <c r="S130" i="12" s="1"/>
  <c r="O131" i="12"/>
  <c r="Q131" i="12" s="1"/>
  <c r="J150" i="12"/>
  <c r="K149" i="12"/>
  <c r="L149" i="12"/>
  <c r="O132" i="12" l="1"/>
  <c r="Q132" i="12" s="1"/>
  <c r="R131" i="12"/>
  <c r="S131" i="12" s="1"/>
  <c r="L150" i="12"/>
  <c r="J151" i="12"/>
  <c r="K150" i="12"/>
  <c r="O133" i="12" l="1"/>
  <c r="Q133" i="12" s="1"/>
  <c r="R132" i="12"/>
  <c r="S132" i="12" s="1"/>
  <c r="J152" i="12"/>
  <c r="K151" i="12"/>
  <c r="L151" i="12"/>
  <c r="L152" i="12" l="1"/>
  <c r="R133" i="12"/>
  <c r="S133" i="12" s="1"/>
  <c r="O134" i="12"/>
  <c r="Q134" i="12" s="1"/>
  <c r="J153" i="12"/>
  <c r="K152" i="12"/>
  <c r="R134" i="12" l="1"/>
  <c r="S134" i="12" s="1"/>
  <c r="O135" i="12"/>
  <c r="Q135" i="12" s="1"/>
  <c r="J154" i="12"/>
  <c r="K153" i="12"/>
  <c r="L153" i="12"/>
  <c r="L154" i="12" s="1"/>
  <c r="R135" i="12" l="1"/>
  <c r="AA135" i="12" s="1"/>
  <c r="AB135" i="12" s="1"/>
  <c r="O136" i="12"/>
  <c r="Q136" i="12" s="1"/>
  <c r="J155" i="12"/>
  <c r="K154" i="12"/>
  <c r="R136" i="12" l="1"/>
  <c r="S136" i="12" s="1"/>
  <c r="O137" i="12"/>
  <c r="Q137" i="12" s="1"/>
  <c r="X135" i="12"/>
  <c r="S135" i="12"/>
  <c r="T135" i="12" s="1"/>
  <c r="K155" i="12"/>
  <c r="J156" i="12"/>
  <c r="L155" i="12"/>
  <c r="O138" i="12" l="1"/>
  <c r="Q138" i="12" s="1"/>
  <c r="R137" i="12"/>
  <c r="S137" i="12" s="1"/>
  <c r="Y135" i="12"/>
  <c r="Z135" i="12"/>
  <c r="L156" i="12"/>
  <c r="J157" i="12"/>
  <c r="K157" i="12" s="1"/>
  <c r="K156" i="12"/>
  <c r="O139" i="12" l="1"/>
  <c r="Q139" i="12" s="1"/>
  <c r="R138" i="12"/>
  <c r="S138" i="12" s="1"/>
  <c r="L157" i="12"/>
  <c r="L158" i="12" s="1"/>
  <c r="L159" i="12" s="1"/>
  <c r="R139" i="12" l="1"/>
  <c r="S139" i="12" s="1"/>
  <c r="O140" i="12"/>
  <c r="Q140" i="12" s="1"/>
  <c r="J160" i="12"/>
  <c r="L160" i="12" s="1"/>
  <c r="O141" i="12" l="1"/>
  <c r="Q141" i="12" s="1"/>
  <c r="R140" i="12"/>
  <c r="S140" i="12" s="1"/>
  <c r="J161" i="12"/>
  <c r="K160" i="12"/>
  <c r="O142" i="12" l="1"/>
  <c r="Q142" i="12" s="1"/>
  <c r="R141" i="12"/>
  <c r="S141" i="12" s="1"/>
  <c r="J162" i="12"/>
  <c r="K161" i="12"/>
  <c r="L161" i="12"/>
  <c r="R142" i="12" l="1"/>
  <c r="S142" i="12" s="1"/>
  <c r="O143" i="12"/>
  <c r="Q143" i="12" s="1"/>
  <c r="L162" i="12"/>
  <c r="J163" i="12"/>
  <c r="K162" i="12"/>
  <c r="R143" i="12" l="1"/>
  <c r="S143" i="12" s="1"/>
  <c r="O144" i="12"/>
  <c r="Q144" i="12" s="1"/>
  <c r="L163" i="12"/>
  <c r="J164" i="12"/>
  <c r="K163" i="12"/>
  <c r="O145" i="12" l="1"/>
  <c r="Q145" i="12" s="1"/>
  <c r="R144" i="12"/>
  <c r="S144" i="12" s="1"/>
  <c r="K164" i="12"/>
  <c r="J165" i="12"/>
  <c r="L164" i="12"/>
  <c r="L165" i="12" l="1"/>
  <c r="O146" i="12"/>
  <c r="Q146" i="12" s="1"/>
  <c r="R145" i="12"/>
  <c r="S145" i="12" s="1"/>
  <c r="K165" i="12"/>
  <c r="J166" i="12"/>
  <c r="O147" i="12" l="1"/>
  <c r="Q147" i="12" s="1"/>
  <c r="R146" i="12"/>
  <c r="S146" i="12" s="1"/>
  <c r="J167" i="12"/>
  <c r="K166" i="12"/>
  <c r="L166" i="12"/>
  <c r="R147" i="12" l="1"/>
  <c r="O148" i="12"/>
  <c r="Q148" i="12" s="1"/>
  <c r="L167" i="12"/>
  <c r="J168" i="12"/>
  <c r="K167" i="12"/>
  <c r="R148" i="12" l="1"/>
  <c r="S148" i="12" s="1"/>
  <c r="O149" i="12"/>
  <c r="Q149" i="12" s="1"/>
  <c r="X147" i="12"/>
  <c r="S147" i="12"/>
  <c r="T147" i="12" s="1"/>
  <c r="L168" i="12"/>
  <c r="K168" i="12"/>
  <c r="J169" i="12"/>
  <c r="K169" i="12" s="1"/>
  <c r="O150" i="12" l="1"/>
  <c r="Q150" i="12" s="1"/>
  <c r="R149" i="12"/>
  <c r="S149" i="12" s="1"/>
  <c r="Z147" i="12"/>
  <c r="Y147" i="12"/>
  <c r="L169" i="12"/>
  <c r="L170" i="12" s="1"/>
  <c r="L171" i="12" s="1"/>
  <c r="J172" i="12" s="1"/>
  <c r="R150" i="12" l="1"/>
  <c r="S150" i="12" s="1"/>
  <c r="O151" i="12"/>
  <c r="Q151" i="12" s="1"/>
  <c r="L172" i="12"/>
  <c r="J173" i="12"/>
  <c r="K172" i="12"/>
  <c r="R151" i="12" l="1"/>
  <c r="S151" i="12" s="1"/>
  <c r="O152" i="12"/>
  <c r="Q152" i="12" s="1"/>
  <c r="L173" i="12"/>
  <c r="J174" i="12"/>
  <c r="K173" i="12"/>
  <c r="R152" i="12" l="1"/>
  <c r="S152" i="12" s="1"/>
  <c r="O153" i="12"/>
  <c r="Q153" i="12" s="1"/>
  <c r="L174" i="12"/>
  <c r="J175" i="12"/>
  <c r="K174" i="12"/>
  <c r="O154" i="12" l="1"/>
  <c r="Q154" i="12" s="1"/>
  <c r="R153" i="12"/>
  <c r="S153" i="12" s="1"/>
  <c r="L175" i="12"/>
  <c r="J176" i="12"/>
  <c r="K175" i="12"/>
  <c r="O155" i="12" l="1"/>
  <c r="Q155" i="12" s="1"/>
  <c r="R154" i="12"/>
  <c r="S154" i="12" s="1"/>
  <c r="L176" i="12"/>
  <c r="K176" i="12"/>
  <c r="J177" i="12"/>
  <c r="R155" i="12" l="1"/>
  <c r="S155" i="12" s="1"/>
  <c r="O156" i="12"/>
  <c r="Q156" i="12" s="1"/>
  <c r="L177" i="12"/>
  <c r="J178" i="12"/>
  <c r="K177" i="12"/>
  <c r="R156" i="12" l="1"/>
  <c r="S156" i="12" s="1"/>
  <c r="O157" i="12"/>
  <c r="Q157" i="12" s="1"/>
  <c r="L178" i="12"/>
  <c r="K178" i="12"/>
  <c r="J179" i="12"/>
  <c r="L179" i="12" l="1"/>
  <c r="O158" i="12"/>
  <c r="Q158" i="12" s="1"/>
  <c r="R157" i="12"/>
  <c r="S157" i="12" s="1"/>
  <c r="K179" i="12"/>
  <c r="J180" i="12"/>
  <c r="L180" i="12" l="1"/>
  <c r="R158" i="12"/>
  <c r="S158" i="12" s="1"/>
  <c r="O159" i="12"/>
  <c r="Q159" i="12" s="1"/>
  <c r="K180" i="12"/>
  <c r="J181" i="12"/>
  <c r="K181" i="12" s="1"/>
  <c r="R159" i="12" l="1"/>
  <c r="O160" i="12"/>
  <c r="Q160" i="12" s="1"/>
  <c r="L181" i="12"/>
  <c r="L182" i="12" s="1"/>
  <c r="L183" i="12" s="1"/>
  <c r="J184" i="12" s="1"/>
  <c r="O161" i="12" l="1"/>
  <c r="Q161" i="12" s="1"/>
  <c r="R160" i="12"/>
  <c r="S160" i="12" s="1"/>
  <c r="S159" i="12"/>
  <c r="T159" i="12" s="1"/>
  <c r="X159" i="12"/>
  <c r="Y159" i="12" s="1"/>
  <c r="L184" i="12"/>
  <c r="J185" i="12"/>
  <c r="K184" i="12"/>
  <c r="O162" i="12" l="1"/>
  <c r="Q162" i="12" s="1"/>
  <c r="R161" i="12"/>
  <c r="S161" i="12" s="1"/>
  <c r="L185" i="12"/>
  <c r="K185" i="12"/>
  <c r="J186" i="12"/>
  <c r="R162" i="12" l="1"/>
  <c r="S162" i="12" s="1"/>
  <c r="O163" i="12"/>
  <c r="Q163" i="12" s="1"/>
  <c r="J187" i="12"/>
  <c r="K186" i="12"/>
  <c r="L186" i="12"/>
  <c r="L187" i="12" l="1"/>
  <c r="R163" i="12"/>
  <c r="S163" i="12" s="1"/>
  <c r="O164" i="12"/>
  <c r="Q164" i="12" s="1"/>
  <c r="K187" i="12"/>
  <c r="J188" i="12"/>
  <c r="O165" i="12" l="1"/>
  <c r="Q165" i="12" s="1"/>
  <c r="R164" i="12"/>
  <c r="S164" i="12" s="1"/>
  <c r="J189" i="12"/>
  <c r="K188" i="12"/>
  <c r="L188" i="12"/>
  <c r="L189" i="12" l="1"/>
  <c r="R165" i="12"/>
  <c r="S165" i="12" s="1"/>
  <c r="O166" i="12"/>
  <c r="Q166" i="12" s="1"/>
  <c r="J190" i="12"/>
  <c r="K189" i="12"/>
  <c r="R166" i="12" l="1"/>
  <c r="S166" i="12" s="1"/>
  <c r="O167" i="12"/>
  <c r="Q167" i="12" s="1"/>
  <c r="L190" i="12"/>
  <c r="K190" i="12"/>
  <c r="J191" i="12"/>
  <c r="O168" i="12" l="1"/>
  <c r="Q168" i="12" s="1"/>
  <c r="R167" i="12"/>
  <c r="S167" i="12" s="1"/>
  <c r="L191" i="12"/>
  <c r="J192" i="12"/>
  <c r="K191" i="12"/>
  <c r="O169" i="12" l="1"/>
  <c r="Q169" i="12" s="1"/>
  <c r="R168" i="12"/>
  <c r="S168" i="12" s="1"/>
  <c r="J193" i="12"/>
  <c r="K193" i="12" s="1"/>
  <c r="K192" i="12"/>
  <c r="L192" i="12"/>
  <c r="L193" i="12" s="1"/>
  <c r="L194" i="12" s="1"/>
  <c r="L195" i="12" s="1"/>
  <c r="O170" i="12" l="1"/>
  <c r="Q170" i="12" s="1"/>
  <c r="R169" i="12"/>
  <c r="S169" i="12" s="1"/>
  <c r="J196" i="12"/>
  <c r="L196" i="12" s="1"/>
  <c r="O171" i="12" l="1"/>
  <c r="Q171" i="12" s="1"/>
  <c r="R170" i="12"/>
  <c r="S170" i="12" s="1"/>
  <c r="J197" i="12"/>
  <c r="K196" i="12"/>
  <c r="O172" i="12" l="1"/>
  <c r="Q172" i="12" s="1"/>
  <c r="R171" i="12"/>
  <c r="J198" i="12"/>
  <c r="K197" i="12"/>
  <c r="L197" i="12"/>
  <c r="L198" i="12" l="1"/>
  <c r="S171" i="12"/>
  <c r="T171" i="12" s="1"/>
  <c r="X171" i="12"/>
  <c r="Y171" i="12" s="1"/>
  <c r="O173" i="12"/>
  <c r="Q173" i="12" s="1"/>
  <c r="R172" i="12"/>
  <c r="S172" i="12" s="1"/>
  <c r="J199" i="12"/>
  <c r="K198" i="12"/>
  <c r="O174" i="12" l="1"/>
  <c r="Q174" i="12" s="1"/>
  <c r="R173" i="12"/>
  <c r="S173" i="12" s="1"/>
  <c r="J200" i="12"/>
  <c r="K199" i="12"/>
  <c r="L199" i="12"/>
  <c r="L200" i="12" s="1"/>
  <c r="O175" i="12" l="1"/>
  <c r="Q175" i="12" s="1"/>
  <c r="R174" i="12"/>
  <c r="S174" i="12" s="1"/>
  <c r="J201" i="12"/>
  <c r="K200" i="12"/>
  <c r="R175" i="12" l="1"/>
  <c r="S175" i="12" s="1"/>
  <c r="O176" i="12"/>
  <c r="Q176" i="12" s="1"/>
  <c r="J202" i="12"/>
  <c r="K201" i="12"/>
  <c r="L201" i="12"/>
  <c r="L202" i="12" s="1"/>
  <c r="O177" i="12" l="1"/>
  <c r="Q177" i="12" s="1"/>
  <c r="R176" i="12"/>
  <c r="S176" i="12" s="1"/>
  <c r="J203" i="12"/>
  <c r="K202" i="12"/>
  <c r="R177" i="12" l="1"/>
  <c r="S177" i="12" s="1"/>
  <c r="O178" i="12"/>
  <c r="Q178" i="12" s="1"/>
  <c r="J204" i="12"/>
  <c r="K203" i="12"/>
  <c r="L203" i="12"/>
  <c r="L204" i="12" s="1"/>
  <c r="O179" i="12" l="1"/>
  <c r="Q179" i="12" s="1"/>
  <c r="R178" i="12"/>
  <c r="S178" i="12" s="1"/>
  <c r="J205" i="12"/>
  <c r="K205" i="12" s="1"/>
  <c r="K204" i="12"/>
  <c r="O180" i="12" l="1"/>
  <c r="Q180" i="12" s="1"/>
  <c r="R179" i="12"/>
  <c r="S179" i="12" s="1"/>
  <c r="L205" i="12"/>
  <c r="L206" i="12" s="1"/>
  <c r="L207" i="12" s="1"/>
  <c r="R180" i="12" l="1"/>
  <c r="S180" i="12" s="1"/>
  <c r="O181" i="12"/>
  <c r="Q181" i="12" s="1"/>
  <c r="J208" i="12"/>
  <c r="O182" i="12" l="1"/>
  <c r="Q182" i="12" s="1"/>
  <c r="R181" i="12"/>
  <c r="S181" i="12" s="1"/>
  <c r="J209" i="12"/>
  <c r="K208" i="12"/>
  <c r="L208" i="12"/>
  <c r="L209" i="12" s="1"/>
  <c r="O183" i="12" l="1"/>
  <c r="Q183" i="12" s="1"/>
  <c r="R182" i="12"/>
  <c r="S182" i="12" s="1"/>
  <c r="J210" i="12"/>
  <c r="K209" i="12"/>
  <c r="O184" i="12" l="1"/>
  <c r="Q184" i="12" s="1"/>
  <c r="R183" i="12"/>
  <c r="J211" i="12"/>
  <c r="K210" i="12"/>
  <c r="L210" i="12"/>
  <c r="L211" i="12" s="1"/>
  <c r="S183" i="12" l="1"/>
  <c r="T183" i="12" s="1"/>
  <c r="X183" i="12"/>
  <c r="Y183" i="12" s="1"/>
  <c r="O185" i="12"/>
  <c r="Q185" i="12" s="1"/>
  <c r="R184" i="12"/>
  <c r="S184" i="12" s="1"/>
  <c r="J212" i="12"/>
  <c r="K211" i="12"/>
  <c r="O186" i="12" l="1"/>
  <c r="Q186" i="12" s="1"/>
  <c r="R185" i="12"/>
  <c r="S185" i="12" s="1"/>
  <c r="J213" i="12"/>
  <c r="K212" i="12"/>
  <c r="L212" i="12"/>
  <c r="L213" i="12" s="1"/>
  <c r="O187" i="12" l="1"/>
  <c r="Q187" i="12" s="1"/>
  <c r="R186" i="12"/>
  <c r="S186" i="12" s="1"/>
  <c r="J214" i="12"/>
  <c r="K213" i="12"/>
  <c r="O188" i="12" l="1"/>
  <c r="Q188" i="12" s="1"/>
  <c r="R187" i="12"/>
  <c r="S187" i="12" s="1"/>
  <c r="J215" i="12"/>
  <c r="K214" i="12"/>
  <c r="L214" i="12"/>
  <c r="L215" i="12" s="1"/>
  <c r="O189" i="12" l="1"/>
  <c r="Q189" i="12" s="1"/>
  <c r="R188" i="12"/>
  <c r="S188" i="12" s="1"/>
  <c r="J216" i="12"/>
  <c r="K215" i="12"/>
  <c r="R189" i="12" l="1"/>
  <c r="S189" i="12" s="1"/>
  <c r="O190" i="12"/>
  <c r="Q190" i="12" s="1"/>
  <c r="J217" i="12"/>
  <c r="K217" i="12" s="1"/>
  <c r="K216" i="12"/>
  <c r="L216" i="12"/>
  <c r="L217" i="12" s="1"/>
  <c r="L218" i="12" s="1"/>
  <c r="L219" i="12" s="1"/>
  <c r="J220" i="12" s="1"/>
  <c r="R190" i="12" l="1"/>
  <c r="S190" i="12" s="1"/>
  <c r="O191" i="12"/>
  <c r="Q191" i="12" s="1"/>
  <c r="L220" i="12"/>
  <c r="J221" i="12"/>
  <c r="K220" i="12"/>
  <c r="R191" i="12" l="1"/>
  <c r="S191" i="12" s="1"/>
  <c r="O192" i="12"/>
  <c r="Q192" i="12" s="1"/>
  <c r="J222" i="12"/>
  <c r="K221" i="12"/>
  <c r="L221" i="12"/>
  <c r="L222" i="12" s="1"/>
  <c r="R192" i="12" l="1"/>
  <c r="S192" i="12" s="1"/>
  <c r="O193" i="12"/>
  <c r="Q193" i="12" s="1"/>
  <c r="J223" i="12"/>
  <c r="K222" i="12"/>
  <c r="R193" i="12" l="1"/>
  <c r="S193" i="12" s="1"/>
  <c r="O194" i="12"/>
  <c r="Q194" i="12" s="1"/>
  <c r="J224" i="12"/>
  <c r="K223" i="12"/>
  <c r="L223" i="12"/>
  <c r="L224" i="12" s="1"/>
  <c r="R194" i="12" l="1"/>
  <c r="S194" i="12" s="1"/>
  <c r="O195" i="12"/>
  <c r="Q195" i="12" s="1"/>
  <c r="J225" i="12"/>
  <c r="K224" i="12"/>
  <c r="R195" i="12" l="1"/>
  <c r="O196" i="12"/>
  <c r="Q196" i="12" s="1"/>
  <c r="J226" i="12"/>
  <c r="K225" i="12"/>
  <c r="L225" i="12"/>
  <c r="L226" i="12" l="1"/>
  <c r="O197" i="12"/>
  <c r="Q197" i="12" s="1"/>
  <c r="R196" i="12"/>
  <c r="S196" i="12" s="1"/>
  <c r="X195" i="12"/>
  <c r="Y195" i="12" s="1"/>
  <c r="S195" i="12"/>
  <c r="T195" i="12" s="1"/>
  <c r="J227" i="12"/>
  <c r="K226" i="12"/>
  <c r="O198" i="12" l="1"/>
  <c r="Q198" i="12" s="1"/>
  <c r="R197" i="12"/>
  <c r="S197" i="12" s="1"/>
  <c r="J228" i="12"/>
  <c r="K227" i="12"/>
  <c r="L227" i="12"/>
  <c r="L228" i="12" s="1"/>
  <c r="O199" i="12" l="1"/>
  <c r="Q199" i="12" s="1"/>
  <c r="R198" i="12"/>
  <c r="S198" i="12" s="1"/>
  <c r="J229" i="12"/>
  <c r="K229" i="12" s="1"/>
  <c r="K228" i="12"/>
  <c r="R199" i="12" l="1"/>
  <c r="S199" i="12" s="1"/>
  <c r="O200" i="12"/>
  <c r="Q200" i="12" s="1"/>
  <c r="L229" i="12"/>
  <c r="L230" i="12" s="1"/>
  <c r="L231" i="12" s="1"/>
  <c r="R200" i="12" l="1"/>
  <c r="S200" i="12" s="1"/>
  <c r="O201" i="12"/>
  <c r="Q201" i="12" s="1"/>
  <c r="J232" i="12"/>
  <c r="R201" i="12" l="1"/>
  <c r="S201" i="12" s="1"/>
  <c r="O202" i="12"/>
  <c r="Q202" i="12" s="1"/>
  <c r="J233" i="12"/>
  <c r="K232" i="12"/>
  <c r="L232" i="12"/>
  <c r="L233" i="12" s="1"/>
  <c r="O203" i="12" l="1"/>
  <c r="Q203" i="12" s="1"/>
  <c r="R202" i="12"/>
  <c r="S202" i="12" s="1"/>
  <c r="J234" i="12"/>
  <c r="K233" i="12"/>
  <c r="O204" i="12" l="1"/>
  <c r="Q204" i="12" s="1"/>
  <c r="R203" i="12"/>
  <c r="S203" i="12" s="1"/>
  <c r="J235" i="12"/>
  <c r="K234" i="12"/>
  <c r="L234" i="12"/>
  <c r="L235" i="12" s="1"/>
  <c r="O205" i="12" l="1"/>
  <c r="Q205" i="12" s="1"/>
  <c r="R204" i="12"/>
  <c r="S204" i="12" s="1"/>
  <c r="J236" i="12"/>
  <c r="K235" i="12"/>
  <c r="R205" i="12" l="1"/>
  <c r="S205" i="12" s="1"/>
  <c r="O206" i="12"/>
  <c r="Q206" i="12" s="1"/>
  <c r="J237" i="12"/>
  <c r="K236" i="12"/>
  <c r="L236" i="12"/>
  <c r="L237" i="12" s="1"/>
  <c r="O207" i="12" l="1"/>
  <c r="Q207" i="12" s="1"/>
  <c r="R206" i="12"/>
  <c r="S206" i="12" s="1"/>
  <c r="J238" i="12"/>
  <c r="K237" i="12"/>
  <c r="O208" i="12" l="1"/>
  <c r="Q208" i="12" s="1"/>
  <c r="R207" i="12"/>
  <c r="J239" i="12"/>
  <c r="K238" i="12"/>
  <c r="L238" i="12"/>
  <c r="L239" i="12" s="1"/>
  <c r="S207" i="12" l="1"/>
  <c r="T207" i="12" s="1"/>
  <c r="X207" i="12"/>
  <c r="Y207" i="12" s="1"/>
  <c r="O209" i="12"/>
  <c r="Q209" i="12" s="1"/>
  <c r="R208" i="12"/>
  <c r="S208" i="12" s="1"/>
  <c r="J240" i="12"/>
  <c r="K239" i="12"/>
  <c r="O210" i="12" l="1"/>
  <c r="Q210" i="12" s="1"/>
  <c r="R209" i="12"/>
  <c r="S209" i="12" s="1"/>
  <c r="J241" i="12"/>
  <c r="K241" i="12" s="1"/>
  <c r="K240" i="12"/>
  <c r="L240" i="12"/>
  <c r="L241" i="12" s="1"/>
  <c r="L242" i="12" s="1"/>
  <c r="L243" i="12" s="1"/>
  <c r="J244" i="12" s="1"/>
  <c r="R210" i="12" l="1"/>
  <c r="S210" i="12" s="1"/>
  <c r="O211" i="12"/>
  <c r="Q211" i="12" s="1"/>
  <c r="L244" i="12"/>
  <c r="J245" i="12"/>
  <c r="K244" i="12"/>
  <c r="L245" i="12" l="1"/>
  <c r="R211" i="12"/>
  <c r="S211" i="12" s="1"/>
  <c r="O212" i="12"/>
  <c r="Q212" i="12" s="1"/>
  <c r="J246" i="12"/>
  <c r="L246" i="12" s="1"/>
  <c r="K245" i="12"/>
  <c r="O213" i="12" l="1"/>
  <c r="Q213" i="12" s="1"/>
  <c r="R212" i="12"/>
  <c r="S212" i="12" s="1"/>
  <c r="J247" i="12"/>
  <c r="L247" i="12" s="1"/>
  <c r="K246" i="12"/>
  <c r="O214" i="12" l="1"/>
  <c r="Q214" i="12" s="1"/>
  <c r="R213" i="12"/>
  <c r="S213" i="12" s="1"/>
  <c r="J248" i="12"/>
  <c r="K247" i="12"/>
  <c r="L248" i="12"/>
  <c r="R214" i="12" l="1"/>
  <c r="S214" i="12" s="1"/>
  <c r="O215" i="12"/>
  <c r="Q215" i="12" s="1"/>
  <c r="J249" i="12"/>
  <c r="K248" i="12"/>
  <c r="R215" i="12" l="1"/>
  <c r="S215" i="12" s="1"/>
  <c r="O216" i="12"/>
  <c r="Q216" i="12" s="1"/>
  <c r="J250" i="12"/>
  <c r="K249" i="12"/>
  <c r="L249" i="12"/>
  <c r="L250" i="12" s="1"/>
  <c r="O217" i="12" l="1"/>
  <c r="Q217" i="12" s="1"/>
  <c r="R216" i="12"/>
  <c r="S216" i="12" s="1"/>
  <c r="J251" i="12"/>
  <c r="K250" i="12"/>
  <c r="O218" i="12" l="1"/>
  <c r="Q218" i="12" s="1"/>
  <c r="R217" i="12"/>
  <c r="S217" i="12" s="1"/>
  <c r="J252" i="12"/>
  <c r="K251" i="12"/>
  <c r="L251" i="12"/>
  <c r="L252" i="12" l="1"/>
  <c r="R218" i="12"/>
  <c r="S218" i="12" s="1"/>
  <c r="O219" i="12"/>
  <c r="Q219" i="12" s="1"/>
  <c r="J253" i="12"/>
  <c r="K253" i="12" s="1"/>
  <c r="K252" i="12"/>
  <c r="O220" i="12" l="1"/>
  <c r="Q220" i="12" s="1"/>
  <c r="R219" i="12"/>
  <c r="L253" i="12"/>
  <c r="L254" i="12" s="1"/>
  <c r="L255" i="12" s="1"/>
  <c r="X219" i="12" l="1"/>
  <c r="Y219" i="12" s="1"/>
  <c r="S219" i="12"/>
  <c r="T219" i="12" s="1"/>
  <c r="O221" i="12"/>
  <c r="Q221" i="12" s="1"/>
  <c r="R220" i="12"/>
  <c r="S220" i="12" s="1"/>
  <c r="R221" i="12" l="1"/>
  <c r="S221" i="12" s="1"/>
  <c r="O222" i="12"/>
  <c r="Q222" i="12" s="1"/>
  <c r="O223" i="12" l="1"/>
  <c r="Q223" i="12" s="1"/>
  <c r="R222" i="12"/>
  <c r="S222" i="12" s="1"/>
  <c r="R223" i="12" l="1"/>
  <c r="S223" i="12" s="1"/>
  <c r="O224" i="12"/>
  <c r="Q224" i="12" s="1"/>
  <c r="O225" i="12" l="1"/>
  <c r="Q225" i="12" s="1"/>
  <c r="R224" i="12"/>
  <c r="S224" i="12" s="1"/>
  <c r="O226" i="12" l="1"/>
  <c r="Q226" i="12" s="1"/>
  <c r="R225" i="12"/>
  <c r="S225" i="12" s="1"/>
  <c r="O227" i="12" l="1"/>
  <c r="Q227" i="12" s="1"/>
  <c r="R226" i="12"/>
  <c r="S226" i="12" s="1"/>
  <c r="O228" i="12" l="1"/>
  <c r="Q228" i="12" s="1"/>
  <c r="R227" i="12"/>
  <c r="S227" i="12" s="1"/>
  <c r="O229" i="12" l="1"/>
  <c r="Q229" i="12" s="1"/>
  <c r="R228" i="12"/>
  <c r="S228" i="12" s="1"/>
  <c r="O230" i="12" l="1"/>
  <c r="Q230" i="12" s="1"/>
  <c r="R229" i="12"/>
  <c r="S229" i="12" s="1"/>
  <c r="R230" i="12" l="1"/>
  <c r="S230" i="12" s="1"/>
  <c r="O231" i="12"/>
  <c r="Q231" i="12" s="1"/>
  <c r="R231" i="12" l="1"/>
  <c r="O232" i="12"/>
  <c r="Q232" i="12" s="1"/>
  <c r="O233" i="12" l="1"/>
  <c r="Q233" i="12" s="1"/>
  <c r="R232" i="12"/>
  <c r="S232" i="12" s="1"/>
  <c r="S231" i="12"/>
  <c r="T231" i="12" s="1"/>
  <c r="X231" i="12"/>
  <c r="Y231" i="12" s="1"/>
  <c r="O234" i="12" l="1"/>
  <c r="Q234" i="12" s="1"/>
  <c r="R233" i="12"/>
  <c r="S233" i="12" s="1"/>
  <c r="R234" i="12" l="1"/>
  <c r="S234" i="12" s="1"/>
  <c r="O235" i="12"/>
  <c r="Q235" i="12" s="1"/>
  <c r="R235" i="12" l="1"/>
  <c r="S235" i="12" s="1"/>
  <c r="O236" i="12"/>
  <c r="Q236" i="12" s="1"/>
  <c r="O237" i="12" l="1"/>
  <c r="Q237" i="12" s="1"/>
  <c r="R236" i="12"/>
  <c r="S236" i="12" s="1"/>
  <c r="O238" i="12" l="1"/>
  <c r="Q238" i="12" s="1"/>
  <c r="R237" i="12"/>
  <c r="S237" i="12" s="1"/>
  <c r="O239" i="12" l="1"/>
  <c r="Q239" i="12" s="1"/>
  <c r="R238" i="12"/>
  <c r="S238" i="12" s="1"/>
  <c r="O240" i="12" l="1"/>
  <c r="Q240" i="12" s="1"/>
  <c r="R239" i="12"/>
  <c r="S239" i="12" s="1"/>
  <c r="R240" i="12" l="1"/>
  <c r="S240" i="12" s="1"/>
  <c r="O241" i="12"/>
  <c r="Q241" i="12" s="1"/>
  <c r="O242" i="12" l="1"/>
  <c r="Q242" i="12" s="1"/>
  <c r="R241" i="12"/>
  <c r="S241" i="12" s="1"/>
  <c r="O243" i="12" l="1"/>
  <c r="Q243" i="12" s="1"/>
  <c r="R242" i="12"/>
  <c r="S242" i="12" s="1"/>
  <c r="R243" i="12" l="1"/>
  <c r="O244" i="12"/>
  <c r="Q244" i="12" s="1"/>
  <c r="R244" i="12" l="1"/>
  <c r="S244" i="12" s="1"/>
  <c r="O245" i="12"/>
  <c r="Q245" i="12" s="1"/>
  <c r="X243" i="12"/>
  <c r="Y243" i="12" s="1"/>
  <c r="S243" i="12"/>
  <c r="T243" i="12" s="1"/>
  <c r="R245" i="12" l="1"/>
  <c r="S245" i="12" s="1"/>
  <c r="O246" i="12"/>
  <c r="Q246" i="12" s="1"/>
  <c r="R246" i="12" l="1"/>
  <c r="S246" i="12" s="1"/>
  <c r="O247" i="12"/>
  <c r="Q247" i="12" s="1"/>
  <c r="R247" i="12" l="1"/>
  <c r="S247" i="12" s="1"/>
  <c r="O248" i="12"/>
  <c r="Q248" i="12" s="1"/>
  <c r="R248" i="12" l="1"/>
  <c r="S248" i="12" s="1"/>
  <c r="O249" i="12"/>
  <c r="Q249" i="12" s="1"/>
  <c r="O250" i="12" l="1"/>
  <c r="Q250" i="12" s="1"/>
  <c r="R249" i="12"/>
  <c r="S249" i="12" s="1"/>
  <c r="O251" i="12" l="1"/>
  <c r="Q251" i="12" s="1"/>
  <c r="R250" i="12"/>
  <c r="S250" i="12" s="1"/>
  <c r="R251" i="12" l="1"/>
  <c r="S251" i="12" s="1"/>
  <c r="O252" i="12"/>
  <c r="Q252" i="12" s="1"/>
  <c r="O253" i="12" l="1"/>
  <c r="Q253" i="12" s="1"/>
  <c r="R252" i="12"/>
  <c r="S252" i="12" s="1"/>
  <c r="R253" i="12" l="1"/>
  <c r="S253" i="12" s="1"/>
  <c r="O254" i="12"/>
  <c r="Q254" i="12" s="1"/>
  <c r="R254" i="12" l="1"/>
  <c r="S254" i="12" s="1"/>
  <c r="O255" i="12"/>
  <c r="Q255" i="12" s="1"/>
  <c r="R255" i="12" l="1"/>
  <c r="S255" i="12" l="1"/>
  <c r="T255" i="12" s="1"/>
  <c r="X255" i="12"/>
  <c r="Y255" i="12" s="1"/>
</calcChain>
</file>

<file path=xl/sharedStrings.xml><?xml version="1.0" encoding="utf-8"?>
<sst xmlns="http://schemas.openxmlformats.org/spreadsheetml/2006/main" count="310" uniqueCount="146">
  <si>
    <t>세금</t>
    <phoneticPr fontId="1" type="noConversion"/>
  </si>
  <si>
    <t>투자</t>
    <phoneticPr fontId="1" type="noConversion"/>
  </si>
  <si>
    <t>생활비(카드)</t>
    <phoneticPr fontId="1" type="noConversion"/>
  </si>
  <si>
    <t>임차료</t>
    <phoneticPr fontId="1" type="noConversion"/>
  </si>
  <si>
    <t>주택</t>
    <phoneticPr fontId="1" type="noConversion"/>
  </si>
  <si>
    <t>보험</t>
    <phoneticPr fontId="1" type="noConversion"/>
  </si>
  <si>
    <t>전기료</t>
    <phoneticPr fontId="1" type="noConversion"/>
  </si>
  <si>
    <t>통신비</t>
    <phoneticPr fontId="1" type="noConversion"/>
  </si>
  <si>
    <t>병원비</t>
    <phoneticPr fontId="1" type="noConversion"/>
  </si>
  <si>
    <t>여행</t>
    <phoneticPr fontId="1" type="noConversion"/>
  </si>
  <si>
    <t>기타</t>
    <phoneticPr fontId="1" type="noConversion"/>
  </si>
  <si>
    <t>버퍼</t>
    <phoneticPr fontId="1" type="noConversion"/>
  </si>
  <si>
    <t>교통비</t>
    <phoneticPr fontId="1" type="noConversion"/>
  </si>
  <si>
    <t>합계</t>
    <phoneticPr fontId="1" type="noConversion"/>
  </si>
  <si>
    <t>원금</t>
    <phoneticPr fontId="1" type="noConversion"/>
  </si>
  <si>
    <t>목표수익율</t>
    <phoneticPr fontId="1" type="noConversion"/>
  </si>
  <si>
    <t>기준</t>
    <phoneticPr fontId="1" type="noConversion"/>
  </si>
  <si>
    <t>차감금</t>
    <phoneticPr fontId="1" type="noConversion"/>
  </si>
  <si>
    <t>매매횟수</t>
    <phoneticPr fontId="1" type="noConversion"/>
  </si>
  <si>
    <t>수익</t>
    <phoneticPr fontId="1" type="noConversion"/>
  </si>
  <si>
    <t>합산</t>
    <phoneticPr fontId="1" type="noConversion"/>
  </si>
  <si>
    <t>원금</t>
    <phoneticPr fontId="1" type="noConversion"/>
  </si>
  <si>
    <t>수익율(%)</t>
    <phoneticPr fontId="1" type="noConversion"/>
  </si>
  <si>
    <t>총합산</t>
    <phoneticPr fontId="1" type="noConversion"/>
  </si>
  <si>
    <t>이전</t>
    <phoneticPr fontId="1" type="noConversion"/>
  </si>
  <si>
    <t>예측</t>
    <phoneticPr fontId="1" type="noConversion"/>
  </si>
  <si>
    <t>발표</t>
    <phoneticPr fontId="1" type="noConversion"/>
  </si>
  <si>
    <t>ISM 제조업구매자지수</t>
    <phoneticPr fontId="1" type="noConversion"/>
  </si>
  <si>
    <t>ISM 비제조업구매자지수</t>
    <phoneticPr fontId="1" type="noConversion"/>
  </si>
  <si>
    <t>생산자물가지수 YOY</t>
    <phoneticPr fontId="1" type="noConversion"/>
  </si>
  <si>
    <t>소비자물가지수 YOY</t>
    <phoneticPr fontId="1" type="noConversion"/>
  </si>
  <si>
    <t>근원소비자물가지수 YOY</t>
    <phoneticPr fontId="1" type="noConversion"/>
  </si>
  <si>
    <t xml:space="preserve">신규실업수당청구건수 </t>
    <phoneticPr fontId="1" type="noConversion"/>
  </si>
  <si>
    <t>219k</t>
    <phoneticPr fontId="1" type="noConversion"/>
  </si>
  <si>
    <t>225k</t>
    <phoneticPr fontId="1" type="noConversion"/>
  </si>
  <si>
    <t>원유재고</t>
    <phoneticPr fontId="1" type="noConversion"/>
  </si>
  <si>
    <t>건축승인건수</t>
    <phoneticPr fontId="1" type="noConversion"/>
  </si>
  <si>
    <t>유가선물(USOI) 10월 마감</t>
    <phoneticPr fontId="1" type="noConversion"/>
  </si>
  <si>
    <t>필라델피아제조업활동지수</t>
    <phoneticPr fontId="1" type="noConversion"/>
  </si>
  <si>
    <t>기존주택판매</t>
    <phoneticPr fontId="1" type="noConversion"/>
  </si>
  <si>
    <t>근원생산자물가지수 YOY</t>
    <phoneticPr fontId="1" type="noConversion"/>
  </si>
  <si>
    <t>기업가치 = 자기자본 + 초과이익/할인율 = B0 + (B0 * (ROE - ke)) / ke</t>
    <phoneticPr fontId="1" type="noConversion"/>
  </si>
  <si>
    <t>신용등급금리</t>
    <phoneticPr fontId="1" type="noConversion"/>
  </si>
  <si>
    <t>BBB- 기준</t>
    <phoneticPr fontId="1" type="noConversion"/>
  </si>
  <si>
    <t>https://www.kisrating.com/ratingsStatistics/statics_spread.do#</t>
    <phoneticPr fontId="1" type="noConversion"/>
  </si>
  <si>
    <t>등급분포 - 등급별 금리스프레드 - 수익률(2022.10.20)</t>
  </si>
  <si>
    <t>구분</t>
  </si>
  <si>
    <t>3월</t>
  </si>
  <si>
    <t>6월</t>
  </si>
  <si>
    <t>9월</t>
  </si>
  <si>
    <t>1년</t>
  </si>
  <si>
    <t>1년6월</t>
  </si>
  <si>
    <t>2년</t>
  </si>
  <si>
    <t>3년</t>
  </si>
  <si>
    <t>5년</t>
  </si>
  <si>
    <t>국고채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</si>
  <si>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</si>
  <si>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</si>
  <si>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</si>
  <si>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</si>
  <si>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</si>
  <si>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</si>
  <si>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</si>
  <si>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</si>
  <si>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</si>
  <si>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</si>
  <si>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주택구입부담지수</t>
    <phoneticPr fontId="1" type="noConversion"/>
  </si>
  <si>
    <t>ISM제조업지수(제조업 PMI)</t>
    <phoneticPr fontId="1" type="noConversion"/>
  </si>
  <si>
    <t>100이면 소득의 25프로 원리금상환의미</t>
    <phoneticPr fontId="1" type="noConversion"/>
  </si>
  <si>
    <t>50기준 51이면 1프로 정도 생산경기 활성화 49면 1프로정도 경기 침체</t>
    <phoneticPr fontId="1" type="noConversion"/>
  </si>
  <si>
    <t>https://houstat.hf.go.kr/research/portal/theme/indexStatPage.do</t>
    <phoneticPr fontId="1" type="noConversion"/>
  </si>
  <si>
    <t>22년 8월 현재 매매법</t>
    <phoneticPr fontId="1" type="noConversion"/>
  </si>
  <si>
    <t>22년 9월 현재 매매법</t>
    <phoneticPr fontId="1" type="noConversion"/>
  </si>
  <si>
    <t>22년 10월 현재 매매법</t>
    <phoneticPr fontId="1" type="noConversion"/>
  </si>
  <si>
    <t>22년 11월 현재 매매법</t>
    <phoneticPr fontId="1" type="noConversion"/>
  </si>
  <si>
    <t>22년 12월 현재 매매법</t>
    <phoneticPr fontId="1" type="noConversion"/>
  </si>
  <si>
    <t>23년 1월 현재 매매법</t>
    <phoneticPr fontId="1" type="noConversion"/>
  </si>
  <si>
    <t>생활패턴1</t>
    <phoneticPr fontId="1" type="noConversion"/>
  </si>
  <si>
    <t>생활패턴2</t>
    <phoneticPr fontId="1" type="noConversion"/>
  </si>
  <si>
    <t>생활패턴3</t>
  </si>
  <si>
    <t>생활패턴4</t>
  </si>
  <si>
    <t>생활패턴5</t>
  </si>
  <si>
    <t>생활패턴6</t>
  </si>
  <si>
    <t>생활패턴7</t>
  </si>
  <si>
    <t>생활패턴8</t>
  </si>
  <si>
    <t>생활패턴9</t>
  </si>
  <si>
    <t>생활패턴10</t>
  </si>
  <si>
    <t>생활패턴11</t>
  </si>
  <si>
    <t>생활패턴12</t>
  </si>
  <si>
    <t>목표자산금액</t>
    <phoneticPr fontId="1" type="noConversion"/>
  </si>
  <si>
    <t>자산</t>
    <phoneticPr fontId="1" type="noConversion"/>
  </si>
  <si>
    <t>별도</t>
    <phoneticPr fontId="1" type="noConversion"/>
  </si>
  <si>
    <t>현금흐름</t>
    <phoneticPr fontId="1" type="noConversion"/>
  </si>
  <si>
    <t>퇴직금</t>
    <phoneticPr fontId="1" type="noConversion"/>
  </si>
  <si>
    <t>퇴직금(자산)*</t>
    <phoneticPr fontId="1" type="noConversion"/>
  </si>
  <si>
    <t>자산가용금</t>
    <phoneticPr fontId="1" type="noConversion"/>
  </si>
  <si>
    <t>총합산 
(자산 + 자본 + 퇴직)</t>
    <phoneticPr fontId="1" type="noConversion"/>
  </si>
  <si>
    <t>총합산2
(총합산 - 퇴직)</t>
    <phoneticPr fontId="1" type="noConversion"/>
  </si>
  <si>
    <t>유동자산금액</t>
    <phoneticPr fontId="1" type="noConversion"/>
  </si>
  <si>
    <t>월계획가용금</t>
    <phoneticPr fontId="1" type="noConversion"/>
  </si>
  <si>
    <t>미사용 자본</t>
    <phoneticPr fontId="1" type="noConversion"/>
  </si>
  <si>
    <t>추가 
유동자산금액</t>
    <phoneticPr fontId="1" type="noConversion"/>
  </si>
  <si>
    <t>실원금
(원금 - 차감금)</t>
    <phoneticPr fontId="1" type="noConversion"/>
  </si>
  <si>
    <t>수익금</t>
    <phoneticPr fontId="1" type="noConversion"/>
  </si>
  <si>
    <t>수익률</t>
    <phoneticPr fontId="1" type="noConversion"/>
  </si>
  <si>
    <t>세금예상</t>
    <phoneticPr fontId="1" type="noConversion"/>
  </si>
  <si>
    <t xml:space="preserve">직전해 **
충당자본 / 10 </t>
    <phoneticPr fontId="1" type="noConversion"/>
  </si>
  <si>
    <t>[연금] 17</t>
    <phoneticPr fontId="1" type="noConversion"/>
  </si>
  <si>
    <t>여유현금</t>
    <phoneticPr fontId="1" type="noConversion"/>
  </si>
  <si>
    <t>월 회수자본</t>
    <phoneticPr fontId="1" type="noConversion"/>
  </si>
  <si>
    <t>현금</t>
    <phoneticPr fontId="1" type="noConversion"/>
  </si>
  <si>
    <t>채권</t>
    <phoneticPr fontId="1" type="noConversion"/>
  </si>
  <si>
    <t>주식(배당) 수비</t>
    <phoneticPr fontId="1" type="noConversion"/>
  </si>
  <si>
    <t xml:space="preserve">주식(가치) 미드필더 </t>
    <phoneticPr fontId="1" type="noConversion"/>
  </si>
  <si>
    <t>주식(성장) 공격</t>
    <phoneticPr fontId="1" type="noConversion"/>
  </si>
  <si>
    <t xml:space="preserve">주식(공격적) 미드필더 </t>
    <phoneticPr fontId="1" type="noConversion"/>
  </si>
  <si>
    <t>합산</t>
    <phoneticPr fontId="1" type="noConversion"/>
  </si>
  <si>
    <t>23년 2월 현재 매매법</t>
    <phoneticPr fontId="1" type="noConversion"/>
  </si>
  <si>
    <t>23년 3월 현재 매매법</t>
    <phoneticPr fontId="1" type="noConversion"/>
  </si>
  <si>
    <t>S-RIM</t>
    <phoneticPr fontId="1" type="noConversion"/>
  </si>
  <si>
    <t>자기자본</t>
    <phoneticPr fontId="1" type="noConversion"/>
  </si>
  <si>
    <t>초과이익</t>
    <phoneticPr fontId="1" type="noConversion"/>
  </si>
  <si>
    <t>기업가치 = 자기자본 + 초과이익/할인율 
기업가치 = B + (B * (ROE - K) / K)</t>
    <phoneticPr fontId="1" type="noConversion"/>
  </si>
  <si>
    <t>기업</t>
    <phoneticPr fontId="1" type="noConversion"/>
  </si>
  <si>
    <t>두산퓨어셀</t>
    <phoneticPr fontId="1" type="noConversion"/>
  </si>
  <si>
    <t>ROE
(마지막)</t>
    <phoneticPr fontId="1" type="noConversion"/>
  </si>
  <si>
    <t>자기자본 + 초과이익</t>
    <phoneticPr fontId="1" type="noConversion"/>
  </si>
  <si>
    <t>2022년 4분기 예측</t>
    <phoneticPr fontId="1" type="noConversion"/>
  </si>
  <si>
    <t>할인율
(5년, BBB- 금리)</t>
    <phoneticPr fontId="1" type="noConversion"/>
  </si>
  <si>
    <t>비고</t>
    <phoneticPr fontId="1" type="noConversion"/>
  </si>
  <si>
    <t>총부채
Liabilities</t>
    <phoneticPr fontId="1" type="noConversion"/>
  </si>
  <si>
    <t>자기자본
Stockholders' Equity</t>
    <phoneticPr fontId="1" type="noConversion"/>
  </si>
  <si>
    <t>총자산
Assets
(총부채 + 자기자본)</t>
    <phoneticPr fontId="1" type="noConversion"/>
  </si>
  <si>
    <t>PLUG</t>
    <phoneticPr fontId="1" type="noConversion"/>
  </si>
  <si>
    <t>자본금</t>
    <phoneticPr fontId="1" type="noConversion"/>
  </si>
  <si>
    <t>자본잉여금
Additional paid-in capital</t>
    <phoneticPr fontId="1" type="noConversion"/>
  </si>
  <si>
    <t>결손금
Accumulated deficit</t>
    <phoneticPr fontId="1" type="noConversion"/>
  </si>
  <si>
    <t>자기자본율 = 자기자본 / 총자산 * 100
30%이상 안정적
20%미만 불안</t>
    <phoneticPr fontId="1" type="noConversion"/>
  </si>
  <si>
    <t>자본잠식율 
= ((자본금 - 자기자본) / 자본금) *100
마이너스가 정상 50퍼이상이면 상폐</t>
    <phoneticPr fontId="1" type="noConversion"/>
  </si>
  <si>
    <t>플러그파워</t>
    <phoneticPr fontId="1" type="noConversion"/>
  </si>
  <si>
    <t>자기자본
(국내-원, 해외-달라)</t>
    <phoneticPr fontId="1" type="noConversion"/>
  </si>
  <si>
    <t>자기자본 / 주식수</t>
    <phoneticPr fontId="1" type="noConversion"/>
  </si>
  <si>
    <t>해외 기업</t>
    <phoneticPr fontId="1" type="noConversion"/>
  </si>
  <si>
    <t>주식수
(구글파이낸스)</t>
    <phoneticPr fontId="1" type="noConversion"/>
  </si>
  <si>
    <t>x</t>
    <phoneticPr fontId="1" type="noConversion"/>
  </si>
  <si>
    <t>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</si>
</sst>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&quot;₩&quot;#,##0"/>
    <numFmt numFmtId="177" formatCode="&quot;₩&quot;#,##0_);[Red]\(&quot;₩&quot;#,##0\)"/>
    <numFmt numFmtId="178" formatCode="0.00000_ "/>
    <numFmt numFmtId="179" formatCode="#,##0_);[Red]\(#,##0\)"/>
    <numFmt numFmtId="180" formatCode="0.000_ "/>
    <numFmt numFmtId="181" formatCode="&quot;₩&quot;#,##0.00"/>
    <numFmt numFmtId="182" formatCode="0.00_ 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202124"/>
      <name val="Arial"/>
      <family val="2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DADCE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37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6" fontId="0" fillId="5" borderId="1" xfId="0" applyNumberForma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/>
    </xf>
    <xf numFmtId="0" fontId="19" fillId="0" borderId="0" xfId="35">
      <alignment vertical="center"/>
    </xf>
    <xf numFmtId="178" fontId="0" fillId="0" borderId="0" xfId="0" applyNumberFormat="1">
      <alignment vertical="center"/>
    </xf>
    <xf numFmtId="0" fontId="21" fillId="0" borderId="0" xfId="0" applyFont="1">
      <alignment vertical="center"/>
    </xf>
    <xf numFmtId="0" fontId="22" fillId="36" borderId="15" xfId="0" applyFont="1" applyFill="1" applyBorder="1" applyAlignment="1">
      <alignment horizontal="center" vertical="center" wrapText="1"/>
    </xf>
    <xf numFmtId="0" fontId="23" fillId="37" borderId="16" xfId="0" applyFont="1" applyFill="1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38" borderId="0" xfId="0" applyFill="1">
      <alignment vertical="center"/>
    </xf>
    <xf numFmtId="176" fontId="0" fillId="38" borderId="0" xfId="0" applyNumberFormat="1" applyFill="1">
      <alignment vertical="center"/>
    </xf>
    <xf numFmtId="176" fontId="0" fillId="38" borderId="18" xfId="0" applyNumberFormat="1" applyFill="1" applyBorder="1">
      <alignment vertical="center"/>
    </xf>
    <xf numFmtId="176" fontId="0" fillId="0" borderId="24" xfId="0" applyNumberFormat="1" applyBorder="1">
      <alignment vertical="center"/>
    </xf>
    <xf numFmtId="0" fontId="0" fillId="0" borderId="23" xfId="0" applyBorder="1">
      <alignment vertical="center"/>
    </xf>
    <xf numFmtId="176" fontId="0" fillId="0" borderId="25" xfId="0" applyNumberFormat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2" borderId="37" xfId="0" applyFill="1" applyBorder="1">
      <alignment vertical="center"/>
    </xf>
    <xf numFmtId="177" fontId="0" fillId="0" borderId="38" xfId="0" applyNumberFormat="1" applyBorder="1">
      <alignment vertical="center"/>
    </xf>
    <xf numFmtId="0" fontId="0" fillId="39" borderId="37" xfId="0" applyFill="1" applyBorder="1">
      <alignment vertical="center"/>
    </xf>
    <xf numFmtId="0" fontId="0" fillId="2" borderId="38" xfId="0" applyFill="1" applyBorder="1">
      <alignment vertical="center"/>
    </xf>
    <xf numFmtId="177" fontId="0" fillId="0" borderId="5" xfId="0" applyNumberFormat="1" applyBorder="1">
      <alignment vertical="center"/>
    </xf>
    <xf numFmtId="0" fontId="0" fillId="3" borderId="52" xfId="0" applyFill="1" applyBorder="1">
      <alignment vertical="center"/>
    </xf>
    <xf numFmtId="0" fontId="0" fillId="3" borderId="53" xfId="0" applyFill="1" applyBorder="1">
      <alignment vertical="center"/>
    </xf>
    <xf numFmtId="176" fontId="0" fillId="3" borderId="52" xfId="0" applyNumberFormat="1" applyFill="1" applyBorder="1">
      <alignment vertical="center"/>
    </xf>
    <xf numFmtId="177" fontId="0" fillId="3" borderId="54" xfId="0" applyNumberFormat="1" applyFill="1" applyBorder="1">
      <alignment vertical="center"/>
    </xf>
    <xf numFmtId="176" fontId="0" fillId="3" borderId="54" xfId="0" applyNumberFormat="1" applyFill="1" applyBorder="1">
      <alignment vertical="center"/>
    </xf>
    <xf numFmtId="176" fontId="0" fillId="3" borderId="55" xfId="0" applyNumberFormat="1" applyFill="1" applyBorder="1">
      <alignment vertical="center"/>
    </xf>
    <xf numFmtId="177" fontId="0" fillId="3" borderId="55" xfId="0" applyNumberFormat="1" applyFill="1" applyBorder="1">
      <alignment vertical="center"/>
    </xf>
    <xf numFmtId="0" fontId="0" fillId="3" borderId="56" xfId="0" applyFill="1" applyBorder="1">
      <alignment vertical="center"/>
    </xf>
    <xf numFmtId="177" fontId="0" fillId="3" borderId="57" xfId="0" applyNumberFormat="1" applyFill="1" applyBorder="1">
      <alignment vertical="center"/>
    </xf>
    <xf numFmtId="177" fontId="0" fillId="3" borderId="58" xfId="0" applyNumberFormat="1" applyFill="1" applyBorder="1">
      <alignment vertical="center"/>
    </xf>
    <xf numFmtId="177" fontId="0" fillId="3" borderId="56" xfId="0" applyNumberFormat="1" applyFill="1" applyBorder="1">
      <alignment vertical="center"/>
    </xf>
    <xf numFmtId="176" fontId="2" fillId="3" borderId="26" xfId="0" applyNumberFormat="1" applyFont="1" applyFill="1" applyBorder="1">
      <alignment vertical="center"/>
    </xf>
    <xf numFmtId="176" fontId="2" fillId="3" borderId="56" xfId="0" applyNumberFormat="1" applyFont="1" applyFill="1" applyBorder="1">
      <alignment vertical="center"/>
    </xf>
    <xf numFmtId="0" fontId="2" fillId="40" borderId="61" xfId="0" applyFont="1" applyFill="1" applyBorder="1" applyAlignment="1">
      <alignment horizontal="center" vertical="center"/>
    </xf>
    <xf numFmtId="0" fontId="2" fillId="40" borderId="52" xfId="0" applyFont="1" applyFill="1" applyBorder="1" applyAlignment="1">
      <alignment horizontal="center" vertical="center"/>
    </xf>
    <xf numFmtId="177" fontId="2" fillId="40" borderId="54" xfId="0" applyNumberFormat="1" applyFont="1" applyFill="1" applyBorder="1" applyAlignment="1">
      <alignment horizontal="center" vertical="center"/>
    </xf>
    <xf numFmtId="0" fontId="24" fillId="40" borderId="54" xfId="0" applyFont="1" applyFill="1" applyBorder="1" applyAlignment="1">
      <alignment horizontal="center" vertical="center" wrapText="1"/>
    </xf>
    <xf numFmtId="0" fontId="2" fillId="40" borderId="55" xfId="0" applyFont="1" applyFill="1" applyBorder="1" applyAlignment="1">
      <alignment horizontal="left" vertical="center" wrapText="1"/>
    </xf>
    <xf numFmtId="0" fontId="2" fillId="40" borderId="55" xfId="0" applyFont="1" applyFill="1" applyBorder="1" applyAlignment="1">
      <alignment horizontal="center" vertical="center" wrapText="1"/>
    </xf>
    <xf numFmtId="0" fontId="2" fillId="40" borderId="62" xfId="0" applyFont="1" applyFill="1" applyBorder="1" applyAlignment="1">
      <alignment horizontal="left" vertical="center" wrapText="1"/>
    </xf>
    <xf numFmtId="0" fontId="2" fillId="40" borderId="56" xfId="0" applyFont="1" applyFill="1" applyBorder="1" applyAlignment="1">
      <alignment horizontal="center" vertical="center"/>
    </xf>
    <xf numFmtId="0" fontId="2" fillId="40" borderId="54" xfId="0" applyFont="1" applyFill="1" applyBorder="1" applyAlignment="1">
      <alignment horizontal="center" vertical="center"/>
    </xf>
    <xf numFmtId="0" fontId="0" fillId="41" borderId="1" xfId="0" applyFill="1" applyBorder="1">
      <alignment vertical="center"/>
    </xf>
    <xf numFmtId="176" fontId="0" fillId="41" borderId="1" xfId="0" applyNumberFormat="1" applyFill="1" applyBorder="1">
      <alignment vertical="center"/>
    </xf>
    <xf numFmtId="0" fontId="0" fillId="41" borderId="2" xfId="0" applyFill="1" applyBorder="1">
      <alignment vertical="center"/>
    </xf>
    <xf numFmtId="176" fontId="0" fillId="41" borderId="2" xfId="0" applyNumberForma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26" xfId="0" applyFont="1" applyFill="1" applyBorder="1">
      <alignment vertical="center"/>
    </xf>
    <xf numFmtId="177" fontId="2" fillId="5" borderId="26" xfId="0" applyNumberFormat="1" applyFont="1" applyFill="1" applyBorder="1">
      <alignment vertical="center"/>
    </xf>
    <xf numFmtId="176" fontId="2" fillId="5" borderId="26" xfId="0" applyNumberFormat="1" applyFont="1" applyFill="1" applyBorder="1">
      <alignment vertical="center"/>
    </xf>
    <xf numFmtId="0" fontId="2" fillId="5" borderId="44" xfId="0" applyFont="1" applyFill="1" applyBorder="1">
      <alignment vertical="center"/>
    </xf>
    <xf numFmtId="0" fontId="0" fillId="5" borderId="26" xfId="0" applyFill="1" applyBorder="1">
      <alignment vertical="center"/>
    </xf>
    <xf numFmtId="0" fontId="0" fillId="5" borderId="30" xfId="0" applyFill="1" applyBorder="1">
      <alignment vertical="center"/>
    </xf>
    <xf numFmtId="176" fontId="0" fillId="5" borderId="43" xfId="0" applyNumberFormat="1" applyFill="1" applyBorder="1">
      <alignment vertical="center"/>
    </xf>
    <xf numFmtId="177" fontId="0" fillId="5" borderId="44" xfId="0" applyNumberFormat="1" applyFill="1" applyBorder="1">
      <alignment vertical="center"/>
    </xf>
    <xf numFmtId="176" fontId="0" fillId="5" borderId="44" xfId="0" applyNumberFormat="1" applyFill="1" applyBorder="1">
      <alignment vertical="center"/>
    </xf>
    <xf numFmtId="177" fontId="0" fillId="5" borderId="45" xfId="0" applyNumberFormat="1" applyFill="1" applyBorder="1">
      <alignment vertical="center"/>
    </xf>
    <xf numFmtId="177" fontId="0" fillId="5" borderId="3" xfId="0" applyNumberFormat="1" applyFill="1" applyBorder="1">
      <alignment vertical="center"/>
    </xf>
    <xf numFmtId="177" fontId="0" fillId="5" borderId="31" xfId="0" applyNumberFormat="1" applyFill="1" applyBorder="1">
      <alignment vertical="center"/>
    </xf>
    <xf numFmtId="176" fontId="0" fillId="5" borderId="26" xfId="0" applyNumberFormat="1" applyFill="1" applyBorder="1">
      <alignment vertical="center"/>
    </xf>
    <xf numFmtId="0" fontId="0" fillId="5" borderId="4" xfId="0" applyFill="1" applyBorder="1">
      <alignment vertical="center"/>
    </xf>
    <xf numFmtId="176" fontId="0" fillId="5" borderId="35" xfId="0" applyNumberFormat="1" applyFill="1" applyBorder="1">
      <alignment vertical="center"/>
    </xf>
    <xf numFmtId="177" fontId="0" fillId="5" borderId="36" xfId="0" applyNumberFormat="1" applyFill="1" applyBorder="1">
      <alignment vertical="center"/>
    </xf>
    <xf numFmtId="176" fontId="0" fillId="5" borderId="36" xfId="0" applyNumberFormat="1" applyFill="1" applyBorder="1">
      <alignment vertical="center"/>
    </xf>
    <xf numFmtId="177" fontId="0" fillId="5" borderId="41" xfId="0" applyNumberFormat="1" applyFill="1" applyBorder="1">
      <alignment vertical="center"/>
    </xf>
    <xf numFmtId="177" fontId="0" fillId="5" borderId="40" xfId="0" applyNumberFormat="1" applyFill="1" applyBorder="1">
      <alignment vertical="center"/>
    </xf>
    <xf numFmtId="177" fontId="0" fillId="5" borderId="5" xfId="0" applyNumberForma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27" xfId="0" applyFill="1" applyBorder="1">
      <alignment vertical="center"/>
    </xf>
    <xf numFmtId="176" fontId="0" fillId="5" borderId="48" xfId="0" applyNumberFormat="1" applyFill="1" applyBorder="1">
      <alignment vertical="center"/>
    </xf>
    <xf numFmtId="177" fontId="0" fillId="5" borderId="49" xfId="0" applyNumberFormat="1" applyFill="1" applyBorder="1">
      <alignment vertical="center"/>
    </xf>
    <xf numFmtId="176" fontId="0" fillId="5" borderId="49" xfId="0" applyNumberFormat="1" applyFill="1" applyBorder="1">
      <alignment vertical="center"/>
    </xf>
    <xf numFmtId="177" fontId="0" fillId="5" borderId="50" xfId="0" applyNumberFormat="1" applyFill="1" applyBorder="1">
      <alignment vertical="center"/>
    </xf>
    <xf numFmtId="177" fontId="0" fillId="5" borderId="28" xfId="0" applyNumberFormat="1" applyFill="1" applyBorder="1">
      <alignment vertical="center"/>
    </xf>
    <xf numFmtId="177" fontId="0" fillId="5" borderId="29" xfId="0" applyNumberFormat="1" applyFill="1" applyBorder="1">
      <alignment vertical="center"/>
    </xf>
    <xf numFmtId="176" fontId="0" fillId="5" borderId="2" xfId="0" applyNumberFormat="1" applyFill="1" applyBorder="1">
      <alignment vertical="center"/>
    </xf>
    <xf numFmtId="0" fontId="0" fillId="5" borderId="52" xfId="0" applyFill="1" applyBorder="1">
      <alignment vertical="center"/>
    </xf>
    <xf numFmtId="177" fontId="0" fillId="5" borderId="57" xfId="0" applyNumberFormat="1" applyFill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4" fillId="2" borderId="32" xfId="0" applyFont="1" applyFill="1" applyBorder="1" applyAlignment="1">
      <alignment horizontal="center" vertical="center"/>
    </xf>
    <xf numFmtId="176" fontId="2" fillId="2" borderId="26" xfId="0" applyNumberFormat="1" applyFont="1" applyFill="1" applyBorder="1">
      <alignment vertical="center"/>
    </xf>
    <xf numFmtId="176" fontId="2" fillId="5" borderId="64" xfId="0" applyNumberFormat="1" applyFont="1" applyFill="1" applyBorder="1">
      <alignment vertical="center"/>
    </xf>
    <xf numFmtId="0" fontId="0" fillId="42" borderId="1" xfId="0" applyFill="1" applyBorder="1">
      <alignment vertical="center"/>
    </xf>
    <xf numFmtId="0" fontId="0" fillId="42" borderId="4" xfId="0" applyFill="1" applyBorder="1">
      <alignment vertical="center"/>
    </xf>
    <xf numFmtId="176" fontId="0" fillId="42" borderId="35" xfId="0" applyNumberFormat="1" applyFill="1" applyBorder="1">
      <alignment vertical="center"/>
    </xf>
    <xf numFmtId="177" fontId="0" fillId="42" borderId="36" xfId="0" applyNumberFormat="1" applyFill="1" applyBorder="1">
      <alignment vertical="center"/>
    </xf>
    <xf numFmtId="176" fontId="0" fillId="42" borderId="36" xfId="0" applyNumberFormat="1" applyFill="1" applyBorder="1">
      <alignment vertical="center"/>
    </xf>
    <xf numFmtId="177" fontId="0" fillId="42" borderId="41" xfId="0" applyNumberFormat="1" applyFill="1" applyBorder="1">
      <alignment vertical="center"/>
    </xf>
    <xf numFmtId="177" fontId="0" fillId="42" borderId="40" xfId="0" applyNumberFormat="1" applyFill="1" applyBorder="1">
      <alignment vertical="center"/>
    </xf>
    <xf numFmtId="176" fontId="2" fillId="42" borderId="26" xfId="0" applyNumberFormat="1" applyFont="1" applyFill="1" applyBorder="1">
      <alignment vertical="center"/>
    </xf>
    <xf numFmtId="177" fontId="0" fillId="42" borderId="5" xfId="0" applyNumberFormat="1" applyFill="1" applyBorder="1">
      <alignment vertical="center"/>
    </xf>
    <xf numFmtId="176" fontId="0" fillId="42" borderId="1" xfId="0" applyNumberFormat="1" applyFill="1" applyBorder="1">
      <alignment vertical="center"/>
    </xf>
    <xf numFmtId="0" fontId="0" fillId="0" borderId="58" xfId="0" applyBorder="1">
      <alignment vertical="center"/>
    </xf>
    <xf numFmtId="177" fontId="0" fillId="0" borderId="37" xfId="0" applyNumberFormat="1" applyBorder="1">
      <alignment vertical="center"/>
    </xf>
    <xf numFmtId="177" fontId="0" fillId="0" borderId="63" xfId="0" applyNumberFormat="1" applyBorder="1">
      <alignment vertical="center"/>
    </xf>
    <xf numFmtId="176" fontId="0" fillId="41" borderId="26" xfId="0" applyNumberFormat="1" applyFill="1" applyBorder="1">
      <alignment vertical="center"/>
    </xf>
    <xf numFmtId="0" fontId="0" fillId="41" borderId="26" xfId="0" applyFill="1" applyBorder="1">
      <alignment vertical="center"/>
    </xf>
    <xf numFmtId="180" fontId="0" fillId="3" borderId="56" xfId="0" applyNumberFormat="1" applyFill="1" applyBorder="1">
      <alignment vertical="center"/>
    </xf>
    <xf numFmtId="0" fontId="0" fillId="42" borderId="30" xfId="0" applyFill="1" applyBorder="1">
      <alignment vertical="center"/>
    </xf>
    <xf numFmtId="176" fontId="0" fillId="42" borderId="43" xfId="0" applyNumberFormat="1" applyFill="1" applyBorder="1">
      <alignment vertical="center"/>
    </xf>
    <xf numFmtId="177" fontId="0" fillId="42" borderId="44" xfId="0" applyNumberFormat="1" applyFill="1" applyBorder="1">
      <alignment vertical="center"/>
    </xf>
    <xf numFmtId="176" fontId="0" fillId="42" borderId="44" xfId="0" applyNumberFormat="1" applyFill="1" applyBorder="1">
      <alignment vertical="center"/>
    </xf>
    <xf numFmtId="177" fontId="0" fillId="42" borderId="45" xfId="0" applyNumberFormat="1" applyFill="1" applyBorder="1">
      <alignment vertical="center"/>
    </xf>
    <xf numFmtId="177" fontId="0" fillId="42" borderId="3" xfId="0" applyNumberFormat="1" applyFill="1" applyBorder="1">
      <alignment vertical="center"/>
    </xf>
    <xf numFmtId="0" fontId="0" fillId="42" borderId="26" xfId="0" applyFill="1" applyBorder="1">
      <alignment vertical="center"/>
    </xf>
    <xf numFmtId="177" fontId="0" fillId="42" borderId="31" xfId="0" applyNumberFormat="1" applyFill="1" applyBorder="1">
      <alignment vertical="center"/>
    </xf>
    <xf numFmtId="176" fontId="0" fillId="42" borderId="0" xfId="0" applyNumberFormat="1" applyFill="1">
      <alignment vertical="center"/>
    </xf>
    <xf numFmtId="0" fontId="0" fillId="42" borderId="0" xfId="0" applyFill="1">
      <alignment vertical="center"/>
    </xf>
    <xf numFmtId="0" fontId="0" fillId="3" borderId="57" xfId="0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32" xfId="0" applyFont="1" applyFill="1" applyBorder="1">
      <alignment vertical="center"/>
    </xf>
    <xf numFmtId="176" fontId="2" fillId="3" borderId="52" xfId="0" applyNumberFormat="1" applyFont="1" applyFill="1" applyBorder="1">
      <alignment vertical="center"/>
    </xf>
    <xf numFmtId="176" fontId="2" fillId="3" borderId="35" xfId="0" applyNumberFormat="1" applyFont="1" applyFill="1" applyBorder="1">
      <alignment vertical="center"/>
    </xf>
    <xf numFmtId="176" fontId="2" fillId="3" borderId="54" xfId="0" applyNumberFormat="1" applyFont="1" applyFill="1" applyBorder="1">
      <alignment vertical="center"/>
    </xf>
    <xf numFmtId="176" fontId="2" fillId="5" borderId="44" xfId="0" applyNumberFormat="1" applyFont="1" applyFill="1" applyBorder="1">
      <alignment vertical="center"/>
    </xf>
    <xf numFmtId="176" fontId="2" fillId="5" borderId="36" xfId="0" applyNumberFormat="1" applyFont="1" applyFill="1" applyBorder="1">
      <alignment vertical="center"/>
    </xf>
    <xf numFmtId="176" fontId="2" fillId="5" borderId="49" xfId="0" applyNumberFormat="1" applyFont="1" applyFill="1" applyBorder="1">
      <alignment vertical="center"/>
    </xf>
    <xf numFmtId="176" fontId="2" fillId="42" borderId="36" xfId="0" applyNumberFormat="1" applyFont="1" applyFill="1" applyBorder="1">
      <alignment vertical="center"/>
    </xf>
    <xf numFmtId="176" fontId="2" fillId="3" borderId="36" xfId="0" applyNumberFormat="1" applyFont="1" applyFill="1" applyBorder="1">
      <alignment vertical="center"/>
    </xf>
    <xf numFmtId="176" fontId="2" fillId="42" borderId="44" xfId="0" applyNumberFormat="1" applyFont="1" applyFill="1" applyBorder="1">
      <alignment vertical="center"/>
    </xf>
    <xf numFmtId="0" fontId="2" fillId="0" borderId="38" xfId="0" applyFont="1" applyBorder="1">
      <alignment vertical="center"/>
    </xf>
    <xf numFmtId="176" fontId="2" fillId="2" borderId="24" xfId="0" applyNumberFormat="1" applyFont="1" applyFill="1" applyBorder="1">
      <alignment vertical="center"/>
    </xf>
    <xf numFmtId="176" fontId="2" fillId="2" borderId="18" xfId="0" applyNumberFormat="1" applyFont="1" applyFill="1" applyBorder="1">
      <alignment vertical="center"/>
    </xf>
    <xf numFmtId="176" fontId="2" fillId="2" borderId="51" xfId="0" applyNumberFormat="1" applyFont="1" applyFill="1" applyBorder="1">
      <alignment vertical="center"/>
    </xf>
    <xf numFmtId="176" fontId="2" fillId="2" borderId="32" xfId="0" applyNumberFormat="1" applyFont="1" applyFill="1" applyBorder="1">
      <alignment vertical="center"/>
    </xf>
    <xf numFmtId="176" fontId="2" fillId="42" borderId="18" xfId="0" applyNumberFormat="1" applyFont="1" applyFill="1" applyBorder="1">
      <alignment vertical="center"/>
    </xf>
    <xf numFmtId="176" fontId="2" fillId="3" borderId="32" xfId="0" applyNumberFormat="1" applyFont="1" applyFill="1" applyBorder="1">
      <alignment vertical="center"/>
    </xf>
    <xf numFmtId="176" fontId="2" fillId="42" borderId="24" xfId="0" applyNumberFormat="1" applyFont="1" applyFill="1" applyBorder="1">
      <alignment vertical="center"/>
    </xf>
    <xf numFmtId="0" fontId="2" fillId="2" borderId="21" xfId="0" applyFont="1" applyFill="1" applyBorder="1">
      <alignment vertical="center"/>
    </xf>
    <xf numFmtId="177" fontId="2" fillId="5" borderId="44" xfId="0" applyNumberFormat="1" applyFont="1" applyFill="1" applyBorder="1">
      <alignment vertical="center"/>
    </xf>
    <xf numFmtId="0" fontId="2" fillId="2" borderId="38" xfId="0" applyFont="1" applyFill="1" applyBorder="1">
      <alignment vertical="center"/>
    </xf>
    <xf numFmtId="177" fontId="2" fillId="3" borderId="56" xfId="0" applyNumberFormat="1" applyFont="1" applyFill="1" applyBorder="1">
      <alignment vertical="center"/>
    </xf>
    <xf numFmtId="177" fontId="2" fillId="5" borderId="1" xfId="0" applyNumberFormat="1" applyFont="1" applyFill="1" applyBorder="1">
      <alignment vertical="center"/>
    </xf>
    <xf numFmtId="177" fontId="2" fillId="5" borderId="2" xfId="0" applyNumberFormat="1" applyFont="1" applyFill="1" applyBorder="1">
      <alignment vertical="center"/>
    </xf>
    <xf numFmtId="177" fontId="2" fillId="42" borderId="1" xfId="0" applyNumberFormat="1" applyFont="1" applyFill="1" applyBorder="1">
      <alignment vertical="center"/>
    </xf>
    <xf numFmtId="177" fontId="2" fillId="3" borderId="1" xfId="0" applyNumberFormat="1" applyFont="1" applyFill="1" applyBorder="1">
      <alignment vertical="center"/>
    </xf>
    <xf numFmtId="177" fontId="2" fillId="42" borderId="26" xfId="0" applyNumberFormat="1" applyFont="1" applyFill="1" applyBorder="1">
      <alignment vertical="center"/>
    </xf>
    <xf numFmtId="176" fontId="0" fillId="38" borderId="1" xfId="0" applyNumberFormat="1" applyFill="1" applyBorder="1">
      <alignment vertical="center"/>
    </xf>
    <xf numFmtId="0" fontId="0" fillId="38" borderId="1" xfId="0" applyFill="1" applyBorder="1">
      <alignment vertical="center"/>
    </xf>
    <xf numFmtId="0" fontId="0" fillId="38" borderId="4" xfId="0" applyFill="1" applyBorder="1">
      <alignment vertical="center"/>
    </xf>
    <xf numFmtId="176" fontId="0" fillId="38" borderId="35" xfId="0" applyNumberFormat="1" applyFill="1" applyBorder="1">
      <alignment vertical="center"/>
    </xf>
    <xf numFmtId="177" fontId="0" fillId="38" borderId="36" xfId="0" applyNumberFormat="1" applyFill="1" applyBorder="1">
      <alignment vertical="center"/>
    </xf>
    <xf numFmtId="176" fontId="0" fillId="38" borderId="36" xfId="0" applyNumberFormat="1" applyFill="1" applyBorder="1">
      <alignment vertical="center"/>
    </xf>
    <xf numFmtId="177" fontId="0" fillId="38" borderId="41" xfId="0" applyNumberFormat="1" applyFill="1" applyBorder="1">
      <alignment vertical="center"/>
    </xf>
    <xf numFmtId="177" fontId="0" fillId="38" borderId="40" xfId="0" applyNumberFormat="1" applyFill="1" applyBorder="1">
      <alignment vertical="center"/>
    </xf>
    <xf numFmtId="177" fontId="2" fillId="38" borderId="1" xfId="0" applyNumberFormat="1" applyFont="1" applyFill="1" applyBorder="1">
      <alignment vertical="center"/>
    </xf>
    <xf numFmtId="176" fontId="2" fillId="38" borderId="18" xfId="0" applyNumberFormat="1" applyFont="1" applyFill="1" applyBorder="1">
      <alignment vertical="center"/>
    </xf>
    <xf numFmtId="176" fontId="2" fillId="38" borderId="26" xfId="0" applyNumberFormat="1" applyFont="1" applyFill="1" applyBorder="1">
      <alignment vertical="center"/>
    </xf>
    <xf numFmtId="176" fontId="2" fillId="38" borderId="36" xfId="0" applyNumberFormat="1" applyFont="1" applyFill="1" applyBorder="1">
      <alignment vertical="center"/>
    </xf>
    <xf numFmtId="177" fontId="0" fillId="38" borderId="5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179" fontId="2" fillId="2" borderId="52" xfId="0" applyNumberFormat="1" applyFont="1" applyFill="1" applyBorder="1" applyAlignment="1">
      <alignment horizontal="center" vertical="center"/>
    </xf>
    <xf numFmtId="176" fontId="2" fillId="2" borderId="35" xfId="0" applyNumberFormat="1" applyFont="1" applyFill="1" applyBorder="1">
      <alignment vertical="center"/>
    </xf>
    <xf numFmtId="176" fontId="2" fillId="2" borderId="48" xfId="0" applyNumberFormat="1" applyFont="1" applyFill="1" applyBorder="1">
      <alignment vertical="center"/>
    </xf>
    <xf numFmtId="176" fontId="2" fillId="2" borderId="52" xfId="0" applyNumberFormat="1" applyFont="1" applyFill="1" applyBorder="1">
      <alignment vertical="center"/>
    </xf>
    <xf numFmtId="176" fontId="2" fillId="2" borderId="43" xfId="0" applyNumberFormat="1" applyFont="1" applyFill="1" applyBorder="1">
      <alignment vertical="center"/>
    </xf>
    <xf numFmtId="179" fontId="2" fillId="2" borderId="37" xfId="0" applyNumberFormat="1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37" xfId="0" applyFont="1" applyFill="1" applyBorder="1">
      <alignment vertical="center"/>
    </xf>
    <xf numFmtId="176" fontId="0" fillId="3" borderId="1" xfId="0" applyNumberFormat="1" applyFill="1" applyBorder="1">
      <alignment vertical="center"/>
    </xf>
    <xf numFmtId="177" fontId="0" fillId="3" borderId="5" xfId="0" applyNumberFormat="1" applyFill="1" applyBorder="1">
      <alignment vertical="center"/>
    </xf>
    <xf numFmtId="0" fontId="0" fillId="3" borderId="1" xfId="0" applyFill="1" applyBorder="1">
      <alignment vertical="center"/>
    </xf>
    <xf numFmtId="177" fontId="2" fillId="43" borderId="44" xfId="0" applyNumberFormat="1" applyFont="1" applyFill="1" applyBorder="1">
      <alignment vertical="center"/>
    </xf>
    <xf numFmtId="0" fontId="0" fillId="43" borderId="26" xfId="0" applyFill="1" applyBorder="1">
      <alignment vertical="center"/>
    </xf>
    <xf numFmtId="0" fontId="0" fillId="43" borderId="1" xfId="0" applyFill="1" applyBorder="1">
      <alignment vertical="center"/>
    </xf>
    <xf numFmtId="0" fontId="0" fillId="43" borderId="4" xfId="0" applyFill="1" applyBorder="1">
      <alignment vertical="center"/>
    </xf>
    <xf numFmtId="176" fontId="0" fillId="43" borderId="35" xfId="0" applyNumberFormat="1" applyFill="1" applyBorder="1">
      <alignment vertical="center"/>
    </xf>
    <xf numFmtId="177" fontId="0" fillId="43" borderId="36" xfId="0" applyNumberFormat="1" applyFill="1" applyBorder="1">
      <alignment vertical="center"/>
    </xf>
    <xf numFmtId="176" fontId="0" fillId="43" borderId="36" xfId="0" applyNumberFormat="1" applyFill="1" applyBorder="1">
      <alignment vertical="center"/>
    </xf>
    <xf numFmtId="176" fontId="0" fillId="43" borderId="41" xfId="0" applyNumberFormat="1" applyFill="1" applyBorder="1">
      <alignment vertical="center"/>
    </xf>
    <xf numFmtId="177" fontId="0" fillId="43" borderId="40" xfId="0" applyNumberFormat="1" applyFill="1" applyBorder="1">
      <alignment vertical="center"/>
    </xf>
    <xf numFmtId="177" fontId="2" fillId="43" borderId="1" xfId="0" applyNumberFormat="1" applyFont="1" applyFill="1" applyBorder="1">
      <alignment vertical="center"/>
    </xf>
    <xf numFmtId="176" fontId="2" fillId="43" borderId="41" xfId="0" applyNumberFormat="1" applyFont="1" applyFill="1" applyBorder="1">
      <alignment vertical="center"/>
    </xf>
    <xf numFmtId="176" fontId="2" fillId="43" borderId="26" xfId="0" applyNumberFormat="1" applyFont="1" applyFill="1" applyBorder="1">
      <alignment vertical="center"/>
    </xf>
    <xf numFmtId="176" fontId="2" fillId="43" borderId="35" xfId="0" applyNumberFormat="1" applyFont="1" applyFill="1" applyBorder="1">
      <alignment vertical="center"/>
    </xf>
    <xf numFmtId="176" fontId="2" fillId="43" borderId="36" xfId="0" applyNumberFormat="1" applyFont="1" applyFill="1" applyBorder="1">
      <alignment vertical="center"/>
    </xf>
    <xf numFmtId="177" fontId="0" fillId="43" borderId="5" xfId="0" applyNumberFormat="1" applyFill="1" applyBorder="1">
      <alignment vertical="center"/>
    </xf>
    <xf numFmtId="0" fontId="0" fillId="43" borderId="2" xfId="0" applyFill="1" applyBorder="1">
      <alignment vertical="center"/>
    </xf>
    <xf numFmtId="0" fontId="0" fillId="43" borderId="27" xfId="0" applyFill="1" applyBorder="1">
      <alignment vertical="center"/>
    </xf>
    <xf numFmtId="176" fontId="0" fillId="43" borderId="48" xfId="0" applyNumberFormat="1" applyFill="1" applyBorder="1">
      <alignment vertical="center"/>
    </xf>
    <xf numFmtId="177" fontId="0" fillId="43" borderId="49" xfId="0" applyNumberFormat="1" applyFill="1" applyBorder="1">
      <alignment vertical="center"/>
    </xf>
    <xf numFmtId="176" fontId="0" fillId="43" borderId="49" xfId="0" applyNumberFormat="1" applyFill="1" applyBorder="1">
      <alignment vertical="center"/>
    </xf>
    <xf numFmtId="176" fontId="0" fillId="43" borderId="50" xfId="0" applyNumberFormat="1" applyFill="1" applyBorder="1">
      <alignment vertical="center"/>
    </xf>
    <xf numFmtId="177" fontId="0" fillId="43" borderId="28" xfId="0" applyNumberFormat="1" applyFill="1" applyBorder="1">
      <alignment vertical="center"/>
    </xf>
    <xf numFmtId="177" fontId="2" fillId="43" borderId="2" xfId="0" applyNumberFormat="1" applyFont="1" applyFill="1" applyBorder="1">
      <alignment vertical="center"/>
    </xf>
    <xf numFmtId="176" fontId="2" fillId="43" borderId="50" xfId="0" applyNumberFormat="1" applyFont="1" applyFill="1" applyBorder="1">
      <alignment vertical="center"/>
    </xf>
    <xf numFmtId="176" fontId="2" fillId="43" borderId="64" xfId="0" applyNumberFormat="1" applyFont="1" applyFill="1" applyBorder="1">
      <alignment vertical="center"/>
    </xf>
    <xf numFmtId="176" fontId="2" fillId="43" borderId="48" xfId="0" applyNumberFormat="1" applyFont="1" applyFill="1" applyBorder="1">
      <alignment vertical="center"/>
    </xf>
    <xf numFmtId="176" fontId="2" fillId="43" borderId="49" xfId="0" applyNumberFormat="1" applyFont="1" applyFill="1" applyBorder="1">
      <alignment vertical="center"/>
    </xf>
    <xf numFmtId="177" fontId="0" fillId="43" borderId="29" xfId="0" applyNumberFormat="1" applyFill="1" applyBorder="1">
      <alignment vertical="center"/>
    </xf>
    <xf numFmtId="176" fontId="2" fillId="3" borderId="55" xfId="0" applyNumberFormat="1" applyFont="1" applyFill="1" applyBorder="1">
      <alignment vertical="center"/>
    </xf>
    <xf numFmtId="177" fontId="2" fillId="3" borderId="44" xfId="0" applyNumberFormat="1" applyFont="1" applyFill="1" applyBorder="1">
      <alignment vertical="center"/>
    </xf>
    <xf numFmtId="0" fontId="0" fillId="39" borderId="0" xfId="0" applyFill="1">
      <alignment vertical="center"/>
    </xf>
    <xf numFmtId="176" fontId="0" fillId="39" borderId="0" xfId="0" applyNumberFormat="1" applyFill="1">
      <alignment vertical="center"/>
    </xf>
    <xf numFmtId="176" fontId="0" fillId="39" borderId="18" xfId="0" applyNumberFormat="1" applyFill="1" applyBorder="1">
      <alignment vertical="center"/>
    </xf>
    <xf numFmtId="176" fontId="0" fillId="3" borderId="56" xfId="0" applyNumberFormat="1" applyFill="1" applyBorder="1">
      <alignment vertical="center"/>
    </xf>
    <xf numFmtId="181" fontId="0" fillId="3" borderId="56" xfId="0" applyNumberFormat="1" applyFill="1" applyBorder="1">
      <alignment vertical="center"/>
    </xf>
    <xf numFmtId="0" fontId="25" fillId="37" borderId="66" xfId="0" applyFont="1" applyFill="1" applyBorder="1" applyAlignment="1">
      <alignment horizontal="center" vertical="center" wrapText="1"/>
    </xf>
    <xf numFmtId="182" fontId="0" fillId="0" borderId="1" xfId="0" applyNumberFormat="1" applyBorder="1">
      <alignment vertical="center"/>
    </xf>
    <xf numFmtId="0" fontId="2" fillId="43" borderId="1" xfId="0" applyFont="1" applyFill="1" applyBorder="1" applyAlignment="1">
      <alignment horizontal="center" vertical="center"/>
    </xf>
    <xf numFmtId="182" fontId="0" fillId="44" borderId="1" xfId="0" applyNumberFormat="1" applyFill="1" applyBorder="1">
      <alignment vertical="center"/>
    </xf>
    <xf numFmtId="182" fontId="0" fillId="40" borderId="1" xfId="0" applyNumberFormat="1" applyFill="1" applyBorder="1">
      <alignment vertical="center"/>
    </xf>
    <xf numFmtId="176" fontId="26" fillId="45" borderId="1" xfId="0" applyNumberFormat="1" applyFont="1" applyFill="1" applyBorder="1">
      <alignment vertical="center"/>
    </xf>
    <xf numFmtId="0" fontId="26" fillId="45" borderId="26" xfId="0" applyFont="1" applyFill="1" applyBorder="1">
      <alignment vertical="center"/>
    </xf>
    <xf numFmtId="0" fontId="26" fillId="45" borderId="30" xfId="0" applyFont="1" applyFill="1" applyBorder="1">
      <alignment vertical="center"/>
    </xf>
    <xf numFmtId="176" fontId="26" fillId="45" borderId="43" xfId="0" applyNumberFormat="1" applyFont="1" applyFill="1" applyBorder="1">
      <alignment vertical="center"/>
    </xf>
    <xf numFmtId="177" fontId="26" fillId="45" borderId="36" xfId="0" applyNumberFormat="1" applyFont="1" applyFill="1" applyBorder="1">
      <alignment vertical="center"/>
    </xf>
    <xf numFmtId="177" fontId="26" fillId="45" borderId="44" xfId="0" applyNumberFormat="1" applyFont="1" applyFill="1" applyBorder="1">
      <alignment vertical="center"/>
    </xf>
    <xf numFmtId="176" fontId="26" fillId="45" borderId="36" xfId="0" applyNumberFormat="1" applyFont="1" applyFill="1" applyBorder="1">
      <alignment vertical="center"/>
    </xf>
    <xf numFmtId="176" fontId="26" fillId="45" borderId="44" xfId="0" applyNumberFormat="1" applyFont="1" applyFill="1" applyBorder="1">
      <alignment vertical="center"/>
    </xf>
    <xf numFmtId="177" fontId="26" fillId="45" borderId="45" xfId="0" applyNumberFormat="1" applyFont="1" applyFill="1" applyBorder="1">
      <alignment vertical="center"/>
    </xf>
    <xf numFmtId="177" fontId="26" fillId="45" borderId="3" xfId="0" applyNumberFormat="1" applyFont="1" applyFill="1" applyBorder="1">
      <alignment vertical="center"/>
    </xf>
    <xf numFmtId="177" fontId="2" fillId="45" borderId="26" xfId="0" applyNumberFormat="1" applyFont="1" applyFill="1" applyBorder="1">
      <alignment vertical="center"/>
    </xf>
    <xf numFmtId="176" fontId="2" fillId="45" borderId="24" xfId="0" applyNumberFormat="1" applyFont="1" applyFill="1" applyBorder="1">
      <alignment vertical="center"/>
    </xf>
    <xf numFmtId="176" fontId="2" fillId="45" borderId="26" xfId="0" applyNumberFormat="1" applyFont="1" applyFill="1" applyBorder="1">
      <alignment vertical="center"/>
    </xf>
    <xf numFmtId="176" fontId="2" fillId="45" borderId="43" xfId="0" applyNumberFormat="1" applyFont="1" applyFill="1" applyBorder="1">
      <alignment vertical="center"/>
    </xf>
    <xf numFmtId="177" fontId="2" fillId="45" borderId="44" xfId="0" applyNumberFormat="1" applyFont="1" applyFill="1" applyBorder="1">
      <alignment vertical="center"/>
    </xf>
    <xf numFmtId="176" fontId="2" fillId="45" borderId="44" xfId="0" applyNumberFormat="1" applyFont="1" applyFill="1" applyBorder="1">
      <alignment vertical="center"/>
    </xf>
    <xf numFmtId="177" fontId="26" fillId="45" borderId="31" xfId="0" applyNumberFormat="1" applyFont="1" applyFill="1" applyBorder="1">
      <alignment vertical="center"/>
    </xf>
    <xf numFmtId="176" fontId="26" fillId="45" borderId="0" xfId="0" applyNumberFormat="1" applyFont="1" applyFill="1">
      <alignment vertical="center"/>
    </xf>
    <xf numFmtId="0" fontId="26" fillId="45" borderId="0" xfId="0" applyFont="1" applyFill="1">
      <alignment vertical="center"/>
    </xf>
    <xf numFmtId="0" fontId="26" fillId="45" borderId="1" xfId="0" applyFont="1" applyFill="1" applyBorder="1">
      <alignment vertical="center"/>
    </xf>
    <xf numFmtId="0" fontId="26" fillId="45" borderId="4" xfId="0" applyFont="1" applyFill="1" applyBorder="1">
      <alignment vertical="center"/>
    </xf>
    <xf numFmtId="177" fontId="26" fillId="45" borderId="41" xfId="0" applyNumberFormat="1" applyFont="1" applyFill="1" applyBorder="1">
      <alignment vertical="center"/>
    </xf>
    <xf numFmtId="177" fontId="26" fillId="45" borderId="40" xfId="0" applyNumberFormat="1" applyFont="1" applyFill="1" applyBorder="1">
      <alignment vertical="center"/>
    </xf>
    <xf numFmtId="177" fontId="2" fillId="45" borderId="1" xfId="0" applyNumberFormat="1" applyFont="1" applyFill="1" applyBorder="1">
      <alignment vertical="center"/>
    </xf>
    <xf numFmtId="176" fontId="2" fillId="45" borderId="35" xfId="0" applyNumberFormat="1" applyFont="1" applyFill="1" applyBorder="1">
      <alignment vertical="center"/>
    </xf>
    <xf numFmtId="176" fontId="2" fillId="45" borderId="36" xfId="0" applyNumberFormat="1" applyFont="1" applyFill="1" applyBorder="1">
      <alignment vertical="center"/>
    </xf>
    <xf numFmtId="177" fontId="26" fillId="45" borderId="5" xfId="0" applyNumberFormat="1" applyFont="1" applyFill="1" applyBorder="1">
      <alignment vertical="center"/>
    </xf>
    <xf numFmtId="0" fontId="26" fillId="45" borderId="2" xfId="0" applyFont="1" applyFill="1" applyBorder="1">
      <alignment vertical="center"/>
    </xf>
    <xf numFmtId="0" fontId="26" fillId="45" borderId="27" xfId="0" applyFont="1" applyFill="1" applyBorder="1">
      <alignment vertical="center"/>
    </xf>
    <xf numFmtId="177" fontId="26" fillId="45" borderId="65" xfId="0" applyNumberFormat="1" applyFont="1" applyFill="1" applyBorder="1">
      <alignment vertical="center"/>
    </xf>
    <xf numFmtId="176" fontId="26" fillId="45" borderId="49" xfId="0" applyNumberFormat="1" applyFont="1" applyFill="1" applyBorder="1">
      <alignment vertical="center"/>
    </xf>
    <xf numFmtId="177" fontId="26" fillId="45" borderId="50" xfId="0" applyNumberFormat="1" applyFont="1" applyFill="1" applyBorder="1">
      <alignment vertical="center"/>
    </xf>
    <xf numFmtId="177" fontId="26" fillId="45" borderId="28" xfId="0" applyNumberFormat="1" applyFont="1" applyFill="1" applyBorder="1">
      <alignment vertical="center"/>
    </xf>
    <xf numFmtId="177" fontId="2" fillId="45" borderId="2" xfId="0" applyNumberFormat="1" applyFont="1" applyFill="1" applyBorder="1">
      <alignment vertical="center"/>
    </xf>
    <xf numFmtId="176" fontId="2" fillId="45" borderId="21" xfId="0" applyNumberFormat="1" applyFont="1" applyFill="1" applyBorder="1">
      <alignment vertical="center"/>
    </xf>
    <xf numFmtId="176" fontId="2" fillId="45" borderId="64" xfId="0" applyNumberFormat="1" applyFont="1" applyFill="1" applyBorder="1">
      <alignment vertical="center"/>
    </xf>
    <xf numFmtId="176" fontId="2" fillId="45" borderId="48" xfId="0" applyNumberFormat="1" applyFont="1" applyFill="1" applyBorder="1">
      <alignment vertical="center"/>
    </xf>
    <xf numFmtId="176" fontId="2" fillId="45" borderId="49" xfId="0" applyNumberFormat="1" applyFont="1" applyFill="1" applyBorder="1">
      <alignment vertical="center"/>
    </xf>
    <xf numFmtId="177" fontId="26" fillId="45" borderId="29" xfId="0" applyNumberFormat="1" applyFont="1" applyFill="1" applyBorder="1">
      <alignment vertical="center"/>
    </xf>
    <xf numFmtId="0" fontId="26" fillId="45" borderId="52" xfId="0" applyFont="1" applyFill="1" applyBorder="1">
      <alignment vertical="center"/>
    </xf>
    <xf numFmtId="0" fontId="26" fillId="45" borderId="53" xfId="0" applyFont="1" applyFill="1" applyBorder="1">
      <alignment vertical="center"/>
    </xf>
    <xf numFmtId="177" fontId="26" fillId="45" borderId="54" xfId="0" applyNumberFormat="1" applyFont="1" applyFill="1" applyBorder="1">
      <alignment vertical="center"/>
    </xf>
    <xf numFmtId="176" fontId="26" fillId="45" borderId="54" xfId="0" applyNumberFormat="1" applyFont="1" applyFill="1" applyBorder="1">
      <alignment vertical="center"/>
    </xf>
    <xf numFmtId="177" fontId="26" fillId="45" borderId="55" xfId="0" applyNumberFormat="1" applyFont="1" applyFill="1" applyBorder="1">
      <alignment vertical="center"/>
    </xf>
    <xf numFmtId="177" fontId="26" fillId="45" borderId="58" xfId="0" applyNumberFormat="1" applyFont="1" applyFill="1" applyBorder="1">
      <alignment vertical="center"/>
    </xf>
    <xf numFmtId="177" fontId="2" fillId="45" borderId="56" xfId="0" applyNumberFormat="1" applyFont="1" applyFill="1" applyBorder="1">
      <alignment vertical="center"/>
    </xf>
    <xf numFmtId="176" fontId="2" fillId="45" borderId="32" xfId="0" applyNumberFormat="1" applyFont="1" applyFill="1" applyBorder="1">
      <alignment vertical="center"/>
    </xf>
    <xf numFmtId="176" fontId="2" fillId="45" borderId="56" xfId="0" applyNumberFormat="1" applyFont="1" applyFill="1" applyBorder="1">
      <alignment vertical="center"/>
    </xf>
    <xf numFmtId="176" fontId="2" fillId="45" borderId="52" xfId="0" applyNumberFormat="1" applyFont="1" applyFill="1" applyBorder="1">
      <alignment vertical="center"/>
    </xf>
    <xf numFmtId="0" fontId="26" fillId="45" borderId="56" xfId="0" applyFont="1" applyFill="1" applyBorder="1">
      <alignment vertical="center"/>
    </xf>
    <xf numFmtId="176" fontId="2" fillId="45" borderId="54" xfId="0" applyNumberFormat="1" applyFont="1" applyFill="1" applyBorder="1">
      <alignment vertical="center"/>
    </xf>
    <xf numFmtId="177" fontId="26" fillId="45" borderId="57" xfId="0" applyNumberFormat="1" applyFont="1" applyFill="1" applyBorder="1">
      <alignment vertical="center"/>
    </xf>
    <xf numFmtId="177" fontId="26" fillId="45" borderId="56" xfId="0" applyNumberFormat="1" applyFont="1" applyFill="1" applyBorder="1">
      <alignment vertical="center"/>
    </xf>
    <xf numFmtId="180" fontId="26" fillId="45" borderId="56" xfId="0" applyNumberFormat="1" applyFont="1" applyFill="1" applyBorder="1">
      <alignment vertical="center"/>
    </xf>
    <xf numFmtId="0" fontId="26" fillId="45" borderId="58" xfId="0" applyFont="1" applyFill="1" applyBorder="1">
      <alignment vertical="center"/>
    </xf>
    <xf numFmtId="0" fontId="2" fillId="0" borderId="67" xfId="0" applyFont="1" applyBorder="1" applyAlignment="1">
      <alignment horizontal="center" vertical="center"/>
    </xf>
    <xf numFmtId="0" fontId="0" fillId="41" borderId="30" xfId="0" applyFill="1" applyBorder="1">
      <alignment vertical="center"/>
    </xf>
    <xf numFmtId="176" fontId="0" fillId="41" borderId="43" xfId="0" applyNumberFormat="1" applyFill="1" applyBorder="1">
      <alignment vertical="center"/>
    </xf>
    <xf numFmtId="177" fontId="0" fillId="41" borderId="44" xfId="0" applyNumberFormat="1" applyFill="1" applyBorder="1">
      <alignment vertical="center"/>
    </xf>
    <xf numFmtId="176" fontId="0" fillId="41" borderId="44" xfId="0" applyNumberFormat="1" applyFill="1" applyBorder="1">
      <alignment vertical="center"/>
    </xf>
    <xf numFmtId="177" fontId="0" fillId="41" borderId="45" xfId="0" applyNumberFormat="1" applyFill="1" applyBorder="1">
      <alignment vertical="center"/>
    </xf>
    <xf numFmtId="177" fontId="0" fillId="41" borderId="3" xfId="0" applyNumberFormat="1" applyFill="1" applyBorder="1">
      <alignment vertical="center"/>
    </xf>
    <xf numFmtId="177" fontId="2" fillId="41" borderId="26" xfId="0" applyNumberFormat="1" applyFont="1" applyFill="1" applyBorder="1">
      <alignment vertical="center"/>
    </xf>
    <xf numFmtId="176" fontId="2" fillId="41" borderId="24" xfId="0" applyNumberFormat="1" applyFont="1" applyFill="1" applyBorder="1">
      <alignment vertical="center"/>
    </xf>
    <xf numFmtId="176" fontId="2" fillId="41" borderId="26" xfId="0" applyNumberFormat="1" applyFont="1" applyFill="1" applyBorder="1">
      <alignment vertical="center"/>
    </xf>
    <xf numFmtId="176" fontId="2" fillId="41" borderId="43" xfId="0" applyNumberFormat="1" applyFont="1" applyFill="1" applyBorder="1">
      <alignment vertical="center"/>
    </xf>
    <xf numFmtId="177" fontId="2" fillId="41" borderId="44" xfId="0" applyNumberFormat="1" applyFont="1" applyFill="1" applyBorder="1">
      <alignment vertical="center"/>
    </xf>
    <xf numFmtId="176" fontId="2" fillId="41" borderId="44" xfId="0" applyNumberFormat="1" applyFont="1" applyFill="1" applyBorder="1">
      <alignment vertical="center"/>
    </xf>
    <xf numFmtId="177" fontId="0" fillId="41" borderId="31" xfId="0" applyNumberFormat="1" applyFill="1" applyBorder="1">
      <alignment vertical="center"/>
    </xf>
    <xf numFmtId="176" fontId="0" fillId="0" borderId="2" xfId="0" applyNumberFormat="1" applyBorder="1">
      <alignment vertical="center"/>
    </xf>
    <xf numFmtId="0" fontId="2" fillId="0" borderId="37" xfId="0" applyFont="1" applyBorder="1" applyAlignment="1">
      <alignment horizontal="left" vertical="center" wrapText="1"/>
    </xf>
    <xf numFmtId="3" fontId="0" fillId="0" borderId="26" xfId="0" applyNumberFormat="1" applyBorder="1" applyAlignment="1">
      <alignment horizontal="center" vertical="center"/>
    </xf>
    <xf numFmtId="0" fontId="0" fillId="0" borderId="39" xfId="0" applyBorder="1">
      <alignment vertical="center"/>
    </xf>
    <xf numFmtId="3" fontId="0" fillId="0" borderId="33" xfId="0" applyNumberFormat="1" applyBorder="1">
      <alignment vertical="center"/>
    </xf>
    <xf numFmtId="0" fontId="0" fillId="0" borderId="34" xfId="0" applyBorder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52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left" vertical="center" wrapText="1"/>
    </xf>
    <xf numFmtId="0" fontId="2" fillId="0" borderId="56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0" fillId="43" borderId="0" xfId="0" applyFill="1">
      <alignment vertical="center"/>
    </xf>
    <xf numFmtId="176" fontId="0" fillId="43" borderId="0" xfId="0" applyNumberFormat="1" applyFill="1">
      <alignment vertical="center"/>
    </xf>
    <xf numFmtId="176" fontId="0" fillId="43" borderId="18" xfId="0" applyNumberFormat="1" applyFill="1" applyBorder="1">
      <alignment vertical="center"/>
    </xf>
    <xf numFmtId="0" fontId="0" fillId="40" borderId="0" xfId="0" applyFill="1">
      <alignment vertical="center"/>
    </xf>
    <xf numFmtId="176" fontId="0" fillId="40" borderId="0" xfId="0" applyNumberFormat="1" applyFill="1">
      <alignment vertical="center"/>
    </xf>
    <xf numFmtId="176" fontId="0" fillId="40" borderId="18" xfId="0" applyNumberFormat="1" applyFill="1" applyBorder="1">
      <alignment vertical="center"/>
    </xf>
    <xf numFmtId="0" fontId="0" fillId="40" borderId="23" xfId="0" applyFill="1" applyBorder="1">
      <alignment vertical="center"/>
    </xf>
    <xf numFmtId="176" fontId="0" fillId="40" borderId="25" xfId="0" applyNumberFormat="1" applyFill="1" applyBorder="1">
      <alignment vertical="center"/>
    </xf>
    <xf numFmtId="176" fontId="0" fillId="40" borderId="19" xfId="0" applyNumberFormat="1" applyFill="1" applyBorder="1">
      <alignment vertical="center"/>
    </xf>
    <xf numFmtId="0" fontId="0" fillId="40" borderId="25" xfId="0" applyFill="1" applyBorder="1">
      <alignment vertical="center"/>
    </xf>
    <xf numFmtId="176" fontId="0" fillId="40" borderId="24" xfId="0" applyNumberFormat="1" applyFill="1" applyBorder="1">
      <alignment vertical="center"/>
    </xf>
    <xf numFmtId="182" fontId="0" fillId="0" borderId="26" xfId="0" applyNumberFormat="1" applyBorder="1">
      <alignment vertical="center"/>
    </xf>
    <xf numFmtId="3" fontId="0" fillId="0" borderId="26" xfId="0" applyNumberFormat="1" applyBorder="1">
      <alignment vertical="center"/>
    </xf>
    <xf numFmtId="0" fontId="2" fillId="0" borderId="58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177" fontId="2" fillId="40" borderId="33" xfId="0" applyNumberFormat="1" applyFont="1" applyFill="1" applyBorder="1" applyAlignment="1">
      <alignment horizontal="center" vertical="center"/>
    </xf>
    <xf numFmtId="177" fontId="2" fillId="40" borderId="35" xfId="0" applyNumberFormat="1" applyFont="1" applyFill="1" applyBorder="1" applyAlignment="1">
      <alignment horizontal="center" vertical="center"/>
    </xf>
    <xf numFmtId="177" fontId="2" fillId="40" borderId="46" xfId="0" applyNumberFormat="1" applyFont="1" applyFill="1" applyBorder="1" applyAlignment="1">
      <alignment horizontal="center" vertical="center"/>
    </xf>
    <xf numFmtId="0" fontId="2" fillId="40" borderId="39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0" borderId="42" xfId="0" applyFont="1" applyFill="1" applyBorder="1" applyAlignment="1">
      <alignment horizontal="center" vertical="center"/>
    </xf>
    <xf numFmtId="0" fontId="2" fillId="40" borderId="39" xfId="0" applyFont="1" applyFill="1" applyBorder="1" applyAlignment="1">
      <alignment horizontal="center" vertical="center" wrapText="1"/>
    </xf>
    <xf numFmtId="0" fontId="2" fillId="40" borderId="34" xfId="0" applyFont="1" applyFill="1" applyBorder="1" applyAlignment="1">
      <alignment horizontal="center" vertical="center"/>
    </xf>
    <xf numFmtId="0" fontId="2" fillId="40" borderId="36" xfId="0" applyFont="1" applyFill="1" applyBorder="1" applyAlignment="1">
      <alignment horizontal="center" vertical="center"/>
    </xf>
    <xf numFmtId="0" fontId="2" fillId="40" borderId="47" xfId="0" applyFont="1" applyFill="1" applyBorder="1" applyAlignment="1">
      <alignment horizontal="center" vertical="center"/>
    </xf>
    <xf numFmtId="0" fontId="2" fillId="40" borderId="34" xfId="0" applyFont="1" applyFill="1" applyBorder="1" applyAlignment="1">
      <alignment horizontal="center" vertical="center" wrapText="1"/>
    </xf>
    <xf numFmtId="0" fontId="2" fillId="40" borderId="59" xfId="0" applyFont="1" applyFill="1" applyBorder="1" applyAlignment="1">
      <alignment horizontal="center" vertical="center"/>
    </xf>
    <xf numFmtId="0" fontId="2" fillId="40" borderId="60" xfId="0" applyFont="1" applyFill="1" applyBorder="1" applyAlignment="1">
      <alignment horizontal="center" vertical="center"/>
    </xf>
    <xf numFmtId="0" fontId="2" fillId="40" borderId="61" xfId="0" applyFont="1" applyFill="1" applyBorder="1" applyAlignment="1">
      <alignment horizontal="center" vertical="center"/>
    </xf>
    <xf numFmtId="179" fontId="2" fillId="40" borderId="62" xfId="0" applyNumberFormat="1" applyFont="1" applyFill="1" applyBorder="1" applyAlignment="1">
      <alignment horizontal="center" vertical="center"/>
    </xf>
    <xf numFmtId="179" fontId="2" fillId="40" borderId="58" xfId="0" applyNumberFormat="1" applyFont="1" applyFill="1" applyBorder="1" applyAlignment="1">
      <alignment horizontal="center" vertical="center"/>
    </xf>
    <xf numFmtId="179" fontId="2" fillId="40" borderId="55" xfId="0" applyNumberFormat="1" applyFont="1" applyFill="1" applyBorder="1" applyAlignment="1">
      <alignment horizontal="center" vertical="center"/>
    </xf>
    <xf numFmtId="0" fontId="26" fillId="4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/>
    </xf>
    <xf numFmtId="0" fontId="0" fillId="43" borderId="1" xfId="0" applyFill="1" applyBorder="1" applyAlignment="1">
      <alignment horizontal="left" vertical="top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0" borderId="20" xfId="0" applyFill="1" applyBorder="1" applyAlignment="1">
      <alignment horizontal="center" vertical="center"/>
    </xf>
    <xf numFmtId="0" fontId="0" fillId="40" borderId="21" xfId="0" applyFill="1" applyBorder="1" applyAlignment="1">
      <alignment horizontal="center" vertical="center"/>
    </xf>
    <xf numFmtId="0" fontId="0" fillId="40" borderId="22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2" fontId="0" fillId="44" borderId="4" xfId="0" applyNumberFormat="1" applyFill="1" applyBorder="1" applyAlignment="1">
      <alignment horizontal="center" vertical="center"/>
    </xf>
    <xf numFmtId="182" fontId="0" fillId="44" borderId="40" xfId="0" applyNumberFormat="1" applyFill="1" applyBorder="1" applyAlignment="1">
      <alignment horizontal="center" vertical="center"/>
    </xf>
    <xf numFmtId="182" fontId="0" fillId="44" borderId="5" xfId="0" applyNumberForma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3" fontId="0" fillId="0" borderId="69" xfId="0" applyNumberFormat="1" applyBorder="1" applyAlignment="1">
      <alignment horizontal="center" vertical="center"/>
    </xf>
    <xf numFmtId="3" fontId="0" fillId="0" borderId="72" xfId="0" applyNumberFormat="1" applyBorder="1" applyAlignment="1">
      <alignment horizontal="center" vertical="center"/>
    </xf>
    <xf numFmtId="3" fontId="0" fillId="0" borderId="70" xfId="0" applyNumberFormat="1" applyBorder="1" applyAlignment="1">
      <alignment horizontal="center" vertical="center"/>
    </xf>
    <xf numFmtId="3" fontId="0" fillId="0" borderId="60" xfId="0" applyNumberFormat="1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182" fontId="0" fillId="0" borderId="20" xfId="0" applyNumberFormat="1" applyBorder="1" applyAlignment="1">
      <alignment horizontal="center" vertical="center"/>
    </xf>
    <xf numFmtId="182" fontId="0" fillId="0" borderId="22" xfId="0" applyNumberFormat="1" applyBorder="1" applyAlignment="1">
      <alignment horizontal="center" vertical="center"/>
    </xf>
    <xf numFmtId="3" fontId="0" fillId="0" borderId="22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3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37" xr:uid="{00000000-0005-0000-0000-000030000000}"/>
    <cellStyle name="60% - 강조색2 2" xfId="38" xr:uid="{00000000-0005-0000-0000-000031000000}"/>
    <cellStyle name="60% - 강조색3 2" xfId="39" xr:uid="{00000000-0005-0000-0000-000032000000}"/>
    <cellStyle name="60% - 강조색4 2" xfId="40" xr:uid="{00000000-0005-0000-0000-000033000000}"/>
    <cellStyle name="60% - 강조색5 2" xfId="41" xr:uid="{00000000-0005-0000-0000-000034000000}"/>
    <cellStyle name="60% - 강조색6 2" xfId="42" xr:uid="{00000000-0005-0000-0000-000035000000}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1" builtinId="27" customBuiltin="1"/>
    <cellStyle name="메모" xfId="14" builtinId="10" customBuiltin="1"/>
    <cellStyle name="보통 2" xfId="36" xr:uid="{00000000-0005-0000-0000-000036000000}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9" builtinId="21" customBuiltin="1"/>
    <cellStyle name="표준" xfId="0" builtinId="0"/>
    <cellStyle name="하이퍼링크" xfId="3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289560</xdr:colOff>
      <xdr:row>46</xdr:row>
      <xdr:rowOff>211455</xdr:rowOff>
    </xdr:from>
    <xdr:to>
      <xdr:col>11</xdr:col>
      <xdr:colOff>797144</xdr:colOff>
      <xdr:row>76</xdr:row>
      <xdr:rowOff>33441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A13B175-B5F4-474C-9F46-35D090D70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4060" y="10429875"/>
          <a:ext cx="8440004" cy="6840006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62</xdr:row>
      <xdr:rowOff>182880</xdr:rowOff>
    </xdr:from>
    <xdr:to>
      <xdr:col>5</xdr:col>
      <xdr:colOff>1673507</xdr:colOff>
      <xdr:row>92</xdr:row>
      <xdr:rowOff>155412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16211A1-8FBA-4ECA-A80E-5DB04A47E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15102840"/>
          <a:ext cx="7906667" cy="6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651510</xdr:colOff>
      <xdr:row>92</xdr:row>
      <xdr:rowOff>118110</xdr:rowOff>
    </xdr:from>
    <xdr:to>
      <xdr:col>6</xdr:col>
      <xdr:colOff>73287</xdr:colOff>
      <xdr:row>107</xdr:row>
      <xdr:rowOff>110091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08B4A74-4621-4A3D-AEAB-DA76867F6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7310" y="21438870"/>
          <a:ext cx="8062857" cy="3184761"/>
        </a:xfrm>
        <a:prstGeom prst="rect">
          <a:avLst/>
        </a:prstGeom>
      </xdr:spPr>
    </xdr:pic>
    <xdr:clientData/>
  </xdr:twoCellAnchor>
  <xdr:twoCellAnchor editAs="oneCell">
    <xdr:from>
      <xdr:col>1</xdr:col>
      <xdr:colOff>411480</xdr:colOff>
      <xdr:row>108</xdr:row>
      <xdr:rowOff>198120</xdr:rowOff>
    </xdr:from>
    <xdr:to>
      <xdr:col>5</xdr:col>
      <xdr:colOff>1444896</xdr:colOff>
      <xdr:row>136</xdr:row>
      <xdr:rowOff>117373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0CD1C9E-B75F-4613-99E7-D662F2794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7280" y="24932640"/>
          <a:ext cx="7994286" cy="589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kisrating.com/ratingsStatistics/statics_spread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houstat.hf.go.kr/research/portal/theme/indexStatPage.d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48F3-FC0A-4664-8712-581CA7B86215}">
  <dimension ref="A1:AB255"/>
  <sheetViews>
    <sheetView topLeftCell="F7" workbookViewId="0">
      <selection activeCell="R17" sqref="R17"/>
    </sheetView>
  </sheetViews>
  <sheetFormatPr defaultRowHeight="16.5" x14ac:dyDescent="0.3"/>
  <cols>
    <col min="1" max="1" width="12.875" bestFit="1" customWidth="1"/>
    <col min="2" max="2" width="10" bestFit="1" customWidth="1"/>
    <col min="3" max="3" width="5.625" bestFit="1" customWidth="1"/>
    <col min="4" max="4" width="3.625" bestFit="1" customWidth="1"/>
    <col min="5" max="5" width="14.125" style="30" customWidth="1"/>
    <col min="6" max="6" width="14.375" style="31" bestFit="1" customWidth="1"/>
    <col min="7" max="7" width="14.25" style="31" customWidth="1"/>
    <col min="8" max="8" width="14.375" style="31" bestFit="1" customWidth="1"/>
    <col min="9" max="9" width="13" style="33" bestFit="1" customWidth="1"/>
    <col min="10" max="10" width="14.125" style="33" bestFit="1" customWidth="1"/>
    <col min="11" max="11" width="13.375" style="33" bestFit="1" customWidth="1"/>
    <col min="12" max="12" width="14" style="146" customWidth="1"/>
    <col min="13" max="13" width="14.875" style="144" bestFit="1" customWidth="1"/>
    <col min="14" max="14" width="13.375" style="32" bestFit="1" customWidth="1"/>
    <col min="15" max="15" width="16.625" style="172" bestFit="1" customWidth="1"/>
    <col min="16" max="16" width="9.125" bestFit="1" customWidth="1"/>
    <col min="17" max="17" width="17.375" style="146" bestFit="1" customWidth="1"/>
    <col min="18" max="18" width="20.625" style="174" bestFit="1" customWidth="1"/>
    <col min="19" max="19" width="16.625" style="136" bestFit="1" customWidth="1"/>
    <col min="20" max="20" width="13.75" style="34" bestFit="1" customWidth="1"/>
    <col min="21" max="21" width="13.75" style="1" bestFit="1" customWidth="1"/>
    <col min="22" max="22" width="13.75" bestFit="1" customWidth="1"/>
    <col min="23" max="23" width="15.25" customWidth="1"/>
    <col min="24" max="24" width="15.25" bestFit="1" customWidth="1"/>
    <col min="25" max="25" width="11.75" bestFit="1" customWidth="1"/>
    <col min="26" max="26" width="11.375" bestFit="1" customWidth="1"/>
    <col min="27" max="27" width="14.375" bestFit="1" customWidth="1"/>
    <col min="28" max="28" width="15.25" customWidth="1"/>
  </cols>
  <sheetData>
    <row r="1" spans="1:26" ht="17.25" thickBot="1" x14ac:dyDescent="0.35">
      <c r="A1" s="333"/>
      <c r="B1" s="333"/>
      <c r="C1" s="333"/>
      <c r="D1" s="334"/>
      <c r="E1" s="325" t="s">
        <v>92</v>
      </c>
      <c r="F1" s="326"/>
      <c r="G1" s="326"/>
      <c r="H1" s="326"/>
      <c r="I1" s="326"/>
      <c r="J1" s="326"/>
      <c r="K1" s="327"/>
      <c r="L1" s="48"/>
      <c r="M1" s="94" t="s">
        <v>91</v>
      </c>
      <c r="N1" s="328" t="s">
        <v>90</v>
      </c>
      <c r="O1" s="329"/>
      <c r="P1" s="329"/>
      <c r="Q1" s="330"/>
      <c r="R1" s="335" t="s">
        <v>96</v>
      </c>
      <c r="S1" s="324" t="s">
        <v>97</v>
      </c>
      <c r="T1" s="109"/>
      <c r="U1" s="314" t="s">
        <v>14</v>
      </c>
      <c r="V1" s="317" t="s">
        <v>17</v>
      </c>
      <c r="W1" s="320" t="s">
        <v>102</v>
      </c>
      <c r="X1" s="317" t="s">
        <v>103</v>
      </c>
      <c r="Y1" s="321" t="s">
        <v>104</v>
      </c>
    </row>
    <row r="2" spans="1:26" ht="33.75" thickBot="1" x14ac:dyDescent="0.35">
      <c r="A2" s="333"/>
      <c r="B2" s="333"/>
      <c r="C2" s="333"/>
      <c r="D2" s="334"/>
      <c r="E2" s="49" t="s">
        <v>14</v>
      </c>
      <c r="F2" s="50" t="s">
        <v>17</v>
      </c>
      <c r="G2" s="50" t="s">
        <v>93</v>
      </c>
      <c r="H2" s="50" t="s">
        <v>95</v>
      </c>
      <c r="I2" s="51" t="s">
        <v>109</v>
      </c>
      <c r="J2" s="52" t="s">
        <v>106</v>
      </c>
      <c r="K2" s="53" t="s">
        <v>99</v>
      </c>
      <c r="L2" s="53" t="s">
        <v>100</v>
      </c>
      <c r="M2" s="95" t="s">
        <v>94</v>
      </c>
      <c r="N2" s="54" t="s">
        <v>101</v>
      </c>
      <c r="O2" s="167" t="s">
        <v>98</v>
      </c>
      <c r="P2" s="55" t="s">
        <v>15</v>
      </c>
      <c r="Q2" s="56" t="s">
        <v>89</v>
      </c>
      <c r="R2" s="336"/>
      <c r="S2" s="323"/>
      <c r="T2" s="109"/>
      <c r="U2" s="315"/>
      <c r="V2" s="318"/>
      <c r="W2" s="318"/>
      <c r="X2" s="318"/>
      <c r="Y2" s="322"/>
      <c r="Z2" t="s">
        <v>105</v>
      </c>
    </row>
    <row r="3" spans="1:26" s="28" customFormat="1" ht="17.25" thickBot="1" x14ac:dyDescent="0.35">
      <c r="A3" s="126" t="s">
        <v>108</v>
      </c>
      <c r="B3" s="125" t="s">
        <v>16</v>
      </c>
      <c r="C3" s="61"/>
      <c r="D3" s="62"/>
      <c r="E3" s="63">
        <v>0</v>
      </c>
      <c r="F3" s="64"/>
      <c r="G3" s="64"/>
      <c r="H3" s="64"/>
      <c r="I3" s="63">
        <v>0</v>
      </c>
      <c r="J3" s="63"/>
      <c r="K3" s="63"/>
      <c r="L3" s="63">
        <v>0</v>
      </c>
      <c r="M3" s="96">
        <v>800000</v>
      </c>
      <c r="N3" s="65">
        <v>0</v>
      </c>
      <c r="O3" s="96">
        <v>0</v>
      </c>
      <c r="P3" s="63"/>
      <c r="Q3" s="63">
        <v>0</v>
      </c>
      <c r="R3" s="173"/>
      <c r="S3" s="66"/>
      <c r="T3" s="110"/>
      <c r="U3" s="316"/>
      <c r="V3" s="319"/>
      <c r="W3" s="319"/>
      <c r="X3" s="319"/>
      <c r="Y3" s="323"/>
    </row>
    <row r="4" spans="1:26" s="57" customFormat="1" x14ac:dyDescent="0.3">
      <c r="A4" s="179"/>
      <c r="B4" s="180">
        <v>1</v>
      </c>
      <c r="C4" s="337">
        <v>2022</v>
      </c>
      <c r="D4" s="181">
        <v>1</v>
      </c>
      <c r="E4" s="182">
        <v>2500000</v>
      </c>
      <c r="F4" s="183">
        <v>0</v>
      </c>
      <c r="G4" s="183">
        <v>400000</v>
      </c>
      <c r="H4" s="183">
        <f xml:space="preserve"> E4 - G4 - F4</f>
        <v>2100000</v>
      </c>
      <c r="I4" s="184">
        <v>0</v>
      </c>
      <c r="J4" s="185">
        <v>0</v>
      </c>
      <c r="K4" s="186">
        <f xml:space="preserve"> H4 + J4 - I4</f>
        <v>2100000</v>
      </c>
      <c r="L4" s="187">
        <f xml:space="preserve"> L3 +I4 - J4 - N4 - F4</f>
        <v>0</v>
      </c>
      <c r="M4" s="188">
        <f xml:space="preserve"> (M3 + G4) + ((M3 + G4) * P4 )</f>
        <v>1212000</v>
      </c>
      <c r="N4" s="189">
        <v>0</v>
      </c>
      <c r="O4" s="190">
        <f xml:space="preserve"> Q3 + K4 + N4</f>
        <v>2100000</v>
      </c>
      <c r="P4" s="180">
        <v>0.01</v>
      </c>
      <c r="Q4" s="178">
        <f xml:space="preserve"> ((O4 +N4) * P4) + (O4+N4)</f>
        <v>2121000</v>
      </c>
      <c r="R4" s="190">
        <f xml:space="preserve"> M4 + Q4 + L4</f>
        <v>3333000</v>
      </c>
      <c r="S4" s="191">
        <f xml:space="preserve"> R4 - M4</f>
        <v>2121000</v>
      </c>
      <c r="T4" s="192"/>
      <c r="U4" s="111"/>
      <c r="V4" s="112"/>
      <c r="W4" s="112"/>
      <c r="X4" s="112"/>
      <c r="Y4" s="112"/>
    </row>
    <row r="5" spans="1:26" s="57" customFormat="1" x14ac:dyDescent="0.3">
      <c r="A5" s="180"/>
      <c r="B5" s="180"/>
      <c r="C5" s="337"/>
      <c r="D5" s="181">
        <v>2</v>
      </c>
      <c r="E5" s="182">
        <v>2500000</v>
      </c>
      <c r="F5" s="183">
        <v>0</v>
      </c>
      <c r="G5" s="183">
        <v>400000</v>
      </c>
      <c r="H5" s="183">
        <f t="shared" ref="H5:H27" si="0" xml:space="preserve"> E5 - G5 - F5</f>
        <v>2100000</v>
      </c>
      <c r="I5" s="184">
        <v>0</v>
      </c>
      <c r="J5" s="185">
        <v>0</v>
      </c>
      <c r="K5" s="186">
        <f t="shared" ref="K5:K27" si="1" xml:space="preserve"> H5 + J5 - I5</f>
        <v>2100000</v>
      </c>
      <c r="L5" s="187">
        <f t="shared" ref="L5:L27" si="2" xml:space="preserve"> L4 +I5 - J5 - N5</f>
        <v>0</v>
      </c>
      <c r="M5" s="188">
        <f t="shared" ref="M5:M15" si="3" xml:space="preserve"> (M4 + G5) + ((M4 + G5) * P5 )</f>
        <v>1628120</v>
      </c>
      <c r="N5" s="189">
        <v>0</v>
      </c>
      <c r="O5" s="190">
        <f t="shared" ref="O5:O27" si="4" xml:space="preserve"> Q4 + K5</f>
        <v>4221000</v>
      </c>
      <c r="P5" s="180">
        <v>0.01</v>
      </c>
      <c r="Q5" s="178">
        <f xml:space="preserve"> ((O5 +N5) * P5) + (O5+N5)</f>
        <v>4263210</v>
      </c>
      <c r="R5" s="190">
        <f t="shared" ref="R5:R27" si="5" xml:space="preserve"> M5 + Q5 + L5</f>
        <v>5891330</v>
      </c>
      <c r="S5" s="191">
        <f t="shared" ref="S5:S27" si="6" xml:space="preserve"> R5 - M5</f>
        <v>4263210</v>
      </c>
      <c r="T5" s="192"/>
      <c r="U5" s="58"/>
    </row>
    <row r="6" spans="1:26" s="57" customFormat="1" x14ac:dyDescent="0.3">
      <c r="A6" s="180"/>
      <c r="B6" s="180"/>
      <c r="C6" s="337"/>
      <c r="D6" s="181">
        <v>3</v>
      </c>
      <c r="E6" s="182">
        <v>2500000</v>
      </c>
      <c r="F6" s="183">
        <v>0</v>
      </c>
      <c r="G6" s="183">
        <v>400000</v>
      </c>
      <c r="H6" s="183">
        <f t="shared" si="0"/>
        <v>2100000</v>
      </c>
      <c r="I6" s="184">
        <v>0</v>
      </c>
      <c r="J6" s="185">
        <v>0</v>
      </c>
      <c r="K6" s="186">
        <f t="shared" si="1"/>
        <v>2100000</v>
      </c>
      <c r="L6" s="187">
        <f t="shared" si="2"/>
        <v>0</v>
      </c>
      <c r="M6" s="188">
        <f t="shared" si="3"/>
        <v>2048401.2</v>
      </c>
      <c r="N6" s="189">
        <v>0</v>
      </c>
      <c r="O6" s="190">
        <f t="shared" si="4"/>
        <v>6363210</v>
      </c>
      <c r="P6" s="180">
        <v>0.01</v>
      </c>
      <c r="Q6" s="178">
        <f xml:space="preserve"> ((O6 +N6) * P6) + (O6+N6)</f>
        <v>6426842.0999999996</v>
      </c>
      <c r="R6" s="190">
        <f t="shared" si="5"/>
        <v>8475243.2999999989</v>
      </c>
      <c r="S6" s="191">
        <f t="shared" si="6"/>
        <v>6426842.0999999987</v>
      </c>
      <c r="T6" s="192"/>
      <c r="U6" s="58"/>
    </row>
    <row r="7" spans="1:26" s="57" customFormat="1" x14ac:dyDescent="0.3">
      <c r="A7" s="180"/>
      <c r="B7" s="180"/>
      <c r="C7" s="337"/>
      <c r="D7" s="181">
        <v>4</v>
      </c>
      <c r="E7" s="182">
        <v>2500000</v>
      </c>
      <c r="F7" s="183">
        <v>0</v>
      </c>
      <c r="G7" s="183">
        <v>400000</v>
      </c>
      <c r="H7" s="183">
        <f t="shared" si="0"/>
        <v>2100000</v>
      </c>
      <c r="I7" s="184">
        <v>0</v>
      </c>
      <c r="J7" s="185">
        <v>0</v>
      </c>
      <c r="K7" s="186">
        <f t="shared" si="1"/>
        <v>2100000</v>
      </c>
      <c r="L7" s="187">
        <f t="shared" si="2"/>
        <v>0</v>
      </c>
      <c r="M7" s="188">
        <f t="shared" si="3"/>
        <v>2472885.2120000003</v>
      </c>
      <c r="N7" s="189">
        <v>0</v>
      </c>
      <c r="O7" s="190">
        <f t="shared" si="4"/>
        <v>8526842.0999999996</v>
      </c>
      <c r="P7" s="180">
        <v>0.01</v>
      </c>
      <c r="Q7" s="178">
        <f t="shared" ref="Q7:Q70" si="7" xml:space="preserve"> ((O7 +N7) * P7) + (O7+N7)</f>
        <v>8612110.5209999997</v>
      </c>
      <c r="R7" s="190">
        <f t="shared" si="5"/>
        <v>11084995.732999999</v>
      </c>
      <c r="S7" s="191">
        <f t="shared" si="6"/>
        <v>8612110.5209999979</v>
      </c>
      <c r="T7" s="192"/>
      <c r="U7" s="58"/>
    </row>
    <row r="8" spans="1:26" s="57" customFormat="1" x14ac:dyDescent="0.3">
      <c r="A8" s="180"/>
      <c r="B8" s="180"/>
      <c r="C8" s="337"/>
      <c r="D8" s="181">
        <v>5</v>
      </c>
      <c r="E8" s="182">
        <v>2500000</v>
      </c>
      <c r="F8" s="183">
        <v>1000000</v>
      </c>
      <c r="G8" s="183">
        <v>400000</v>
      </c>
      <c r="H8" s="183">
        <f t="shared" si="0"/>
        <v>1100000</v>
      </c>
      <c r="I8" s="184">
        <v>0</v>
      </c>
      <c r="J8" s="185">
        <v>0</v>
      </c>
      <c r="K8" s="186">
        <f t="shared" si="1"/>
        <v>1100000</v>
      </c>
      <c r="L8" s="187">
        <f t="shared" si="2"/>
        <v>0</v>
      </c>
      <c r="M8" s="188">
        <f t="shared" si="3"/>
        <v>2901614.0641200002</v>
      </c>
      <c r="N8" s="189">
        <v>0</v>
      </c>
      <c r="O8" s="190">
        <f t="shared" si="4"/>
        <v>9712110.5209999997</v>
      </c>
      <c r="P8" s="180">
        <v>0.01</v>
      </c>
      <c r="Q8" s="178">
        <f t="shared" si="7"/>
        <v>9809231.6262100004</v>
      </c>
      <c r="R8" s="190">
        <f t="shared" si="5"/>
        <v>12710845.690330001</v>
      </c>
      <c r="S8" s="191">
        <f t="shared" si="6"/>
        <v>9809231.6262100004</v>
      </c>
      <c r="T8" s="192"/>
      <c r="U8" s="58"/>
    </row>
    <row r="9" spans="1:26" s="57" customFormat="1" x14ac:dyDescent="0.3">
      <c r="A9" s="180"/>
      <c r="B9" s="180"/>
      <c r="C9" s="337"/>
      <c r="D9" s="181">
        <v>6</v>
      </c>
      <c r="E9" s="182">
        <v>2500000</v>
      </c>
      <c r="F9" s="183">
        <v>0</v>
      </c>
      <c r="G9" s="183">
        <v>400000</v>
      </c>
      <c r="H9" s="183">
        <f t="shared" si="0"/>
        <v>2100000</v>
      </c>
      <c r="I9" s="184">
        <v>0</v>
      </c>
      <c r="J9" s="185">
        <v>0</v>
      </c>
      <c r="K9" s="186">
        <f t="shared" si="1"/>
        <v>2100000</v>
      </c>
      <c r="L9" s="187">
        <f t="shared" si="2"/>
        <v>0</v>
      </c>
      <c r="M9" s="188">
        <f t="shared" si="3"/>
        <v>3334630.2047612001</v>
      </c>
      <c r="N9" s="189">
        <v>0</v>
      </c>
      <c r="O9" s="190">
        <f t="shared" si="4"/>
        <v>11909231.62621</v>
      </c>
      <c r="P9" s="180">
        <v>0.01</v>
      </c>
      <c r="Q9" s="178">
        <f t="shared" si="7"/>
        <v>12028323.9424721</v>
      </c>
      <c r="R9" s="190">
        <f t="shared" si="5"/>
        <v>15362954.1472333</v>
      </c>
      <c r="S9" s="191">
        <f t="shared" si="6"/>
        <v>12028323.9424721</v>
      </c>
      <c r="T9" s="192"/>
      <c r="U9" s="58"/>
    </row>
    <row r="10" spans="1:26" s="57" customFormat="1" x14ac:dyDescent="0.3">
      <c r="A10" s="180"/>
      <c r="B10" s="180"/>
      <c r="C10" s="337"/>
      <c r="D10" s="181">
        <v>7</v>
      </c>
      <c r="E10" s="182">
        <v>2500000</v>
      </c>
      <c r="F10" s="183">
        <v>600000</v>
      </c>
      <c r="G10" s="183">
        <v>400000</v>
      </c>
      <c r="H10" s="183">
        <f t="shared" si="0"/>
        <v>1500000</v>
      </c>
      <c r="I10" s="184">
        <v>0</v>
      </c>
      <c r="J10" s="185">
        <v>0</v>
      </c>
      <c r="K10" s="186">
        <f t="shared" si="1"/>
        <v>1500000</v>
      </c>
      <c r="L10" s="187">
        <f t="shared" si="2"/>
        <v>0</v>
      </c>
      <c r="M10" s="188">
        <f t="shared" si="3"/>
        <v>3771976.5068088123</v>
      </c>
      <c r="N10" s="189">
        <v>0</v>
      </c>
      <c r="O10" s="190">
        <f t="shared" si="4"/>
        <v>13528323.9424721</v>
      </c>
      <c r="P10" s="180">
        <v>0.01</v>
      </c>
      <c r="Q10" s="178">
        <f t="shared" si="7"/>
        <v>13663607.181896821</v>
      </c>
      <c r="R10" s="190">
        <f t="shared" si="5"/>
        <v>17435583.688705634</v>
      </c>
      <c r="S10" s="191">
        <f t="shared" si="6"/>
        <v>13663607.181896823</v>
      </c>
      <c r="T10" s="192"/>
      <c r="U10" s="58"/>
    </row>
    <row r="11" spans="1:26" s="57" customFormat="1" x14ac:dyDescent="0.3">
      <c r="A11" s="180"/>
      <c r="B11" s="180"/>
      <c r="C11" s="337"/>
      <c r="D11" s="181">
        <v>8</v>
      </c>
      <c r="E11" s="182">
        <v>2500000</v>
      </c>
      <c r="F11" s="183">
        <v>5056544</v>
      </c>
      <c r="G11" s="183">
        <v>400000</v>
      </c>
      <c r="H11" s="183">
        <f t="shared" si="0"/>
        <v>-2956544</v>
      </c>
      <c r="I11" s="184">
        <v>0</v>
      </c>
      <c r="J11" s="185">
        <v>0</v>
      </c>
      <c r="K11" s="186">
        <f t="shared" si="1"/>
        <v>-2956544</v>
      </c>
      <c r="L11" s="187">
        <f t="shared" si="2"/>
        <v>0</v>
      </c>
      <c r="M11" s="188">
        <f t="shared" si="3"/>
        <v>4213696.2718769005</v>
      </c>
      <c r="N11" s="189">
        <v>0</v>
      </c>
      <c r="O11" s="190">
        <f t="shared" si="4"/>
        <v>10707063.181896821</v>
      </c>
      <c r="P11" s="180">
        <v>0.01</v>
      </c>
      <c r="Q11" s="178">
        <f t="shared" si="7"/>
        <v>10814133.813715789</v>
      </c>
      <c r="R11" s="190">
        <f t="shared" si="5"/>
        <v>15027830.085592691</v>
      </c>
      <c r="S11" s="191">
        <f t="shared" si="6"/>
        <v>10814133.813715789</v>
      </c>
      <c r="T11" s="192"/>
      <c r="U11" s="58"/>
    </row>
    <row r="12" spans="1:26" s="57" customFormat="1" x14ac:dyDescent="0.3">
      <c r="A12" s="180"/>
      <c r="B12" s="180"/>
      <c r="C12" s="337"/>
      <c r="D12" s="181">
        <v>9</v>
      </c>
      <c r="E12" s="182">
        <v>1800000</v>
      </c>
      <c r="F12" s="183">
        <v>1600000</v>
      </c>
      <c r="G12" s="183">
        <v>400000</v>
      </c>
      <c r="H12" s="183">
        <f t="shared" si="0"/>
        <v>-200000</v>
      </c>
      <c r="I12" s="184">
        <v>0</v>
      </c>
      <c r="J12" s="185">
        <v>0</v>
      </c>
      <c r="K12" s="186">
        <f t="shared" si="1"/>
        <v>-200000</v>
      </c>
      <c r="L12" s="187">
        <f t="shared" si="2"/>
        <v>0</v>
      </c>
      <c r="M12" s="188">
        <f t="shared" si="3"/>
        <v>4696742.8047706848</v>
      </c>
      <c r="N12" s="189">
        <v>0</v>
      </c>
      <c r="O12" s="190">
        <f t="shared" si="4"/>
        <v>10614133.813715789</v>
      </c>
      <c r="P12" s="180">
        <v>1.7999999999999999E-2</v>
      </c>
      <c r="Q12" s="178">
        <f t="shared" si="7"/>
        <v>10805188.222362673</v>
      </c>
      <c r="R12" s="190">
        <f t="shared" si="5"/>
        <v>15501931.027133357</v>
      </c>
      <c r="S12" s="191">
        <f t="shared" si="6"/>
        <v>10805188.222362671</v>
      </c>
      <c r="T12" s="192"/>
      <c r="U12" s="58"/>
    </row>
    <row r="13" spans="1:26" s="57" customFormat="1" x14ac:dyDescent="0.3">
      <c r="A13" s="180"/>
      <c r="B13" s="180"/>
      <c r="C13" s="337"/>
      <c r="D13" s="181">
        <v>10</v>
      </c>
      <c r="E13" s="182">
        <v>4500000</v>
      </c>
      <c r="F13" s="183">
        <v>3700000</v>
      </c>
      <c r="G13" s="183">
        <v>400000</v>
      </c>
      <c r="H13" s="183">
        <f t="shared" si="0"/>
        <v>400000</v>
      </c>
      <c r="I13" s="184">
        <v>0</v>
      </c>
      <c r="J13" s="185">
        <v>0</v>
      </c>
      <c r="K13" s="186">
        <f t="shared" si="1"/>
        <v>400000</v>
      </c>
      <c r="L13" s="187">
        <f t="shared" si="2"/>
        <v>0</v>
      </c>
      <c r="M13" s="188">
        <f t="shared" si="3"/>
        <v>4638035.9523413228</v>
      </c>
      <c r="N13" s="189">
        <v>0</v>
      </c>
      <c r="O13" s="190">
        <f t="shared" si="4"/>
        <v>11205188.222362673</v>
      </c>
      <c r="P13" s="180">
        <v>-0.09</v>
      </c>
      <c r="Q13" s="178">
        <f t="shared" si="7"/>
        <v>10196721.282350032</v>
      </c>
      <c r="R13" s="190">
        <f t="shared" si="5"/>
        <v>14834757.234691355</v>
      </c>
      <c r="S13" s="191">
        <f t="shared" si="6"/>
        <v>10196721.282350034</v>
      </c>
      <c r="T13" s="192"/>
      <c r="U13" s="58"/>
    </row>
    <row r="14" spans="1:26" s="59" customFormat="1" ht="15.75" customHeight="1" thickBot="1" x14ac:dyDescent="0.35">
      <c r="A14" s="193"/>
      <c r="B14" s="193"/>
      <c r="C14" s="337"/>
      <c r="D14" s="194">
        <v>11</v>
      </c>
      <c r="E14" s="195">
        <v>3500000</v>
      </c>
      <c r="F14" s="196">
        <v>0</v>
      </c>
      <c r="G14" s="196">
        <v>400000</v>
      </c>
      <c r="H14" s="196">
        <f t="shared" si="0"/>
        <v>3100000</v>
      </c>
      <c r="I14" s="197">
        <v>0</v>
      </c>
      <c r="J14" s="198">
        <v>0</v>
      </c>
      <c r="K14" s="199">
        <f t="shared" si="1"/>
        <v>3100000</v>
      </c>
      <c r="L14" s="200">
        <f t="shared" si="2"/>
        <v>0</v>
      </c>
      <c r="M14" s="201">
        <f t="shared" si="3"/>
        <v>5128720.5994834667</v>
      </c>
      <c r="N14" s="202">
        <v>0</v>
      </c>
      <c r="O14" s="203">
        <f t="shared" si="4"/>
        <v>13296721.282350032</v>
      </c>
      <c r="P14" s="193">
        <v>1.7999999999999999E-2</v>
      </c>
      <c r="Q14" s="178">
        <f t="shared" si="7"/>
        <v>13536062.265432332</v>
      </c>
      <c r="R14" s="203">
        <f t="shared" si="5"/>
        <v>18664782.864915799</v>
      </c>
      <c r="S14" s="204">
        <f t="shared" si="6"/>
        <v>13536062.265432332</v>
      </c>
      <c r="T14" s="205"/>
      <c r="U14" s="60"/>
    </row>
    <row r="15" spans="1:26" s="42" customFormat="1" ht="17.25" thickBot="1" x14ac:dyDescent="0.35">
      <c r="A15" s="124"/>
      <c r="B15" s="35"/>
      <c r="C15" s="337"/>
      <c r="D15" s="36">
        <v>12</v>
      </c>
      <c r="E15" s="37">
        <v>2500000</v>
      </c>
      <c r="F15" s="38">
        <v>1000000</v>
      </c>
      <c r="G15" s="38">
        <v>400000</v>
      </c>
      <c r="H15" s="38">
        <f t="shared" si="0"/>
        <v>1100000</v>
      </c>
      <c r="I15" s="39">
        <v>7110000</v>
      </c>
      <c r="J15" s="40">
        <v>0</v>
      </c>
      <c r="K15" s="44">
        <f t="shared" si="1"/>
        <v>-6010000</v>
      </c>
      <c r="L15" s="147">
        <f t="shared" si="2"/>
        <v>7110000</v>
      </c>
      <c r="M15" s="206">
        <f t="shared" si="3"/>
        <v>5241227.1283103265</v>
      </c>
      <c r="N15" s="47">
        <v>0</v>
      </c>
      <c r="O15" s="127">
        <f t="shared" si="4"/>
        <v>7526062.2654323317</v>
      </c>
      <c r="P15" s="42">
        <v>-5.1999999999999998E-2</v>
      </c>
      <c r="Q15" s="207">
        <f t="shared" si="7"/>
        <v>7134707.0276298504</v>
      </c>
      <c r="R15" s="127">
        <f t="shared" si="5"/>
        <v>19485934.155940175</v>
      </c>
      <c r="S15" s="129">
        <f t="shared" si="6"/>
        <v>14244707.027629849</v>
      </c>
      <c r="T15" s="176">
        <f xml:space="preserve"> S15 / 4</f>
        <v>3561176.7569074621</v>
      </c>
      <c r="U15" s="43">
        <f>SUM(E4:E15)</f>
        <v>32300000</v>
      </c>
      <c r="V15" s="43">
        <f>SUM(F4:F15)</f>
        <v>12956544</v>
      </c>
      <c r="W15" s="45">
        <f xml:space="preserve"> U15 - V15</f>
        <v>19343456</v>
      </c>
      <c r="X15" s="45">
        <f>R15-W15</f>
        <v>142478.15594017506</v>
      </c>
      <c r="Y15" s="113">
        <f xml:space="preserve"> X15 / W15 * 100</f>
        <v>0.73657032094045172</v>
      </c>
      <c r="Z15" s="45">
        <f xml:space="preserve"> (X15 - 2500000) * 0.16</f>
        <v>-377203.49504957203</v>
      </c>
    </row>
    <row r="16" spans="1:26" s="112" customFormat="1" x14ac:dyDescent="0.3">
      <c r="B16" s="112">
        <v>2</v>
      </c>
      <c r="C16" s="332">
        <v>2023</v>
      </c>
      <c r="D16" s="274">
        <v>1</v>
      </c>
      <c r="E16" s="275">
        <v>2500000</v>
      </c>
      <c r="F16" s="276">
        <v>0</v>
      </c>
      <c r="G16" s="276">
        <v>400000</v>
      </c>
      <c r="H16" s="276">
        <f t="shared" si="0"/>
        <v>2100000</v>
      </c>
      <c r="I16" s="277">
        <v>502920</v>
      </c>
      <c r="J16" s="278">
        <f xml:space="preserve"> L15 / 10</f>
        <v>711000</v>
      </c>
      <c r="K16" s="279">
        <f t="shared" si="1"/>
        <v>2308080</v>
      </c>
      <c r="L16" s="280">
        <f t="shared" si="2"/>
        <v>6901920</v>
      </c>
      <c r="M16" s="281">
        <f t="shared" ref="M16:M47" si="8" xml:space="preserve"> (M15 + 400000) + ((M15 + 400000) * P16 )</f>
        <v>5906364.8033409119</v>
      </c>
      <c r="N16" s="282">
        <v>0</v>
      </c>
      <c r="O16" s="283">
        <f t="shared" si="4"/>
        <v>9442787.0276298504</v>
      </c>
      <c r="P16" s="112">
        <v>4.7E-2</v>
      </c>
      <c r="Q16" s="284">
        <f t="shared" si="7"/>
        <v>9886598.0179284532</v>
      </c>
      <c r="R16" s="283">
        <f t="shared" si="5"/>
        <v>22694882.821269363</v>
      </c>
      <c r="S16" s="285">
        <f t="shared" si="6"/>
        <v>16788518.017928451</v>
      </c>
      <c r="T16" s="286"/>
      <c r="U16" s="111"/>
    </row>
    <row r="17" spans="1:28" s="29" customFormat="1" x14ac:dyDescent="0.3">
      <c r="A17" s="11">
        <v>0</v>
      </c>
      <c r="C17" s="332"/>
      <c r="D17" s="76">
        <v>2</v>
      </c>
      <c r="E17" s="77">
        <v>2500000</v>
      </c>
      <c r="F17" s="78">
        <v>0</v>
      </c>
      <c r="G17" s="78">
        <v>400000</v>
      </c>
      <c r="H17" s="78">
        <f t="shared" si="0"/>
        <v>2100000</v>
      </c>
      <c r="I17" s="79">
        <v>0</v>
      </c>
      <c r="J17" s="80">
        <f xml:space="preserve"> J16</f>
        <v>711000</v>
      </c>
      <c r="K17" s="81">
        <f t="shared" si="1"/>
        <v>2811000</v>
      </c>
      <c r="L17" s="148">
        <f t="shared" si="2"/>
        <v>6190920</v>
      </c>
      <c r="M17" s="138">
        <f t="shared" si="8"/>
        <v>6318977.5329475934</v>
      </c>
      <c r="N17" s="65">
        <v>0</v>
      </c>
      <c r="O17" s="168">
        <f t="shared" si="4"/>
        <v>12697598.017928453</v>
      </c>
      <c r="P17" s="29">
        <v>2E-3</v>
      </c>
      <c r="Q17" s="145">
        <f t="shared" si="7"/>
        <v>12722993.21396431</v>
      </c>
      <c r="R17" s="168">
        <f t="shared" si="5"/>
        <v>25232890.746911902</v>
      </c>
      <c r="S17" s="131">
        <f t="shared" si="6"/>
        <v>18913913.21396431</v>
      </c>
      <c r="T17" s="82"/>
      <c r="U17" s="11"/>
    </row>
    <row r="18" spans="1:28" s="29" customFormat="1" x14ac:dyDescent="0.3">
      <c r="A18" s="11">
        <f xml:space="preserve"> A17 +0</f>
        <v>0</v>
      </c>
      <c r="C18" s="332"/>
      <c r="D18" s="76">
        <v>3</v>
      </c>
      <c r="E18" s="77">
        <v>2500000</v>
      </c>
      <c r="F18" s="78">
        <v>0</v>
      </c>
      <c r="G18" s="78">
        <v>400000</v>
      </c>
      <c r="H18" s="78">
        <f t="shared" si="0"/>
        <v>2100000</v>
      </c>
      <c r="I18" s="79">
        <v>0</v>
      </c>
      <c r="J18" s="80">
        <f t="shared" ref="J18:J24" si="9" xml:space="preserve"> J17</f>
        <v>711000</v>
      </c>
      <c r="K18" s="81">
        <f t="shared" si="1"/>
        <v>2811000</v>
      </c>
      <c r="L18" s="148">
        <f t="shared" si="2"/>
        <v>5479920</v>
      </c>
      <c r="M18" s="138">
        <f t="shared" si="8"/>
        <v>6839919.12854065</v>
      </c>
      <c r="N18" s="65">
        <v>0</v>
      </c>
      <c r="O18" s="168">
        <f t="shared" si="4"/>
        <v>15533993.21396431</v>
      </c>
      <c r="P18" s="29">
        <v>1.7999999999999999E-2</v>
      </c>
      <c r="Q18" s="145">
        <f t="shared" si="7"/>
        <v>15813605.091815667</v>
      </c>
      <c r="R18" s="168">
        <f t="shared" si="5"/>
        <v>28133444.220356315</v>
      </c>
      <c r="S18" s="131">
        <f t="shared" si="6"/>
        <v>21293525.091815665</v>
      </c>
      <c r="T18" s="82"/>
      <c r="U18" s="11"/>
    </row>
    <row r="19" spans="1:28" s="29" customFormat="1" x14ac:dyDescent="0.3">
      <c r="A19" s="11">
        <f xml:space="preserve"> A18 +1000000</f>
        <v>1000000</v>
      </c>
      <c r="C19" s="332"/>
      <c r="D19" s="76">
        <v>4</v>
      </c>
      <c r="E19" s="77">
        <v>2500000</v>
      </c>
      <c r="F19" s="78">
        <v>0</v>
      </c>
      <c r="G19" s="78">
        <v>400000</v>
      </c>
      <c r="H19" s="78">
        <f t="shared" si="0"/>
        <v>2100000</v>
      </c>
      <c r="I19" s="79">
        <v>0</v>
      </c>
      <c r="J19" s="80">
        <f t="shared" si="9"/>
        <v>711000</v>
      </c>
      <c r="K19" s="81">
        <f t="shared" si="1"/>
        <v>2811000</v>
      </c>
      <c r="L19" s="148">
        <f t="shared" si="2"/>
        <v>4768920</v>
      </c>
      <c r="M19" s="138">
        <f t="shared" si="8"/>
        <v>7370237.6728543816</v>
      </c>
      <c r="N19" s="65">
        <v>0</v>
      </c>
      <c r="O19" s="168">
        <f t="shared" si="4"/>
        <v>18624605.091815665</v>
      </c>
      <c r="P19" s="29">
        <v>1.7999999999999999E-2</v>
      </c>
      <c r="Q19" s="145">
        <f t="shared" si="7"/>
        <v>18959847.983468346</v>
      </c>
      <c r="R19" s="168">
        <f t="shared" si="5"/>
        <v>31099005.656322729</v>
      </c>
      <c r="S19" s="131">
        <f t="shared" si="6"/>
        <v>23728767.983468346</v>
      </c>
      <c r="T19" s="82"/>
      <c r="U19" s="11"/>
    </row>
    <row r="20" spans="1:28" s="29" customFormat="1" x14ac:dyDescent="0.3">
      <c r="A20" s="11">
        <f t="shared" ref="A20:A83" si="10" xml:space="preserve"> A19 +1000000</f>
        <v>2000000</v>
      </c>
      <c r="C20" s="332"/>
      <c r="D20" s="76">
        <v>5</v>
      </c>
      <c r="E20" s="77">
        <v>2500000</v>
      </c>
      <c r="F20" s="78">
        <v>0</v>
      </c>
      <c r="G20" s="78">
        <v>400000</v>
      </c>
      <c r="H20" s="78">
        <f t="shared" si="0"/>
        <v>2100000</v>
      </c>
      <c r="I20" s="79">
        <v>0</v>
      </c>
      <c r="J20" s="80">
        <f t="shared" si="9"/>
        <v>711000</v>
      </c>
      <c r="K20" s="81">
        <f t="shared" si="1"/>
        <v>2811000</v>
      </c>
      <c r="L20" s="148">
        <f t="shared" si="2"/>
        <v>4057920</v>
      </c>
      <c r="M20" s="138">
        <f t="shared" si="8"/>
        <v>7910101.9509657603</v>
      </c>
      <c r="N20" s="65">
        <v>0</v>
      </c>
      <c r="O20" s="168">
        <f t="shared" si="4"/>
        <v>21770847.983468346</v>
      </c>
      <c r="P20" s="29">
        <v>1.7999999999999999E-2</v>
      </c>
      <c r="Q20" s="145">
        <f t="shared" si="7"/>
        <v>22162723.247170776</v>
      </c>
      <c r="R20" s="168">
        <f t="shared" si="5"/>
        <v>34130745.198136538</v>
      </c>
      <c r="S20" s="131">
        <f t="shared" si="6"/>
        <v>26220643.247170776</v>
      </c>
      <c r="T20" s="82"/>
      <c r="U20" s="11"/>
    </row>
    <row r="21" spans="1:28" s="29" customFormat="1" x14ac:dyDescent="0.3">
      <c r="A21" s="11">
        <f t="shared" si="10"/>
        <v>3000000</v>
      </c>
      <c r="C21" s="332"/>
      <c r="D21" s="76">
        <v>6</v>
      </c>
      <c r="E21" s="77">
        <v>2500000</v>
      </c>
      <c r="F21" s="78">
        <v>0</v>
      </c>
      <c r="G21" s="78">
        <v>400000</v>
      </c>
      <c r="H21" s="78">
        <f t="shared" si="0"/>
        <v>2100000</v>
      </c>
      <c r="I21" s="79">
        <v>0</v>
      </c>
      <c r="J21" s="80">
        <f t="shared" si="9"/>
        <v>711000</v>
      </c>
      <c r="K21" s="81">
        <f t="shared" si="1"/>
        <v>2811000</v>
      </c>
      <c r="L21" s="148">
        <f t="shared" si="2"/>
        <v>3346920</v>
      </c>
      <c r="M21" s="138">
        <f t="shared" si="8"/>
        <v>8459683.7860831432</v>
      </c>
      <c r="N21" s="65">
        <v>0</v>
      </c>
      <c r="O21" s="168">
        <f t="shared" si="4"/>
        <v>24973723.247170776</v>
      </c>
      <c r="P21" s="29">
        <v>1.7999999999999999E-2</v>
      </c>
      <c r="Q21" s="145">
        <f t="shared" si="7"/>
        <v>25423250.265619852</v>
      </c>
      <c r="R21" s="168">
        <f t="shared" si="5"/>
        <v>37229854.051702991</v>
      </c>
      <c r="S21" s="131">
        <f t="shared" si="6"/>
        <v>28770170.265619848</v>
      </c>
      <c r="T21" s="82"/>
      <c r="U21" s="11"/>
    </row>
    <row r="22" spans="1:28" s="29" customFormat="1" x14ac:dyDescent="0.3">
      <c r="A22" s="11">
        <f t="shared" si="10"/>
        <v>4000000</v>
      </c>
      <c r="C22" s="332"/>
      <c r="D22" s="76">
        <v>7</v>
      </c>
      <c r="E22" s="77">
        <v>2500000</v>
      </c>
      <c r="F22" s="78">
        <v>0</v>
      </c>
      <c r="G22" s="78">
        <v>400000</v>
      </c>
      <c r="H22" s="78">
        <f t="shared" si="0"/>
        <v>2100000</v>
      </c>
      <c r="I22" s="79">
        <v>0</v>
      </c>
      <c r="J22" s="80">
        <f t="shared" si="9"/>
        <v>711000</v>
      </c>
      <c r="K22" s="81">
        <f t="shared" si="1"/>
        <v>2811000</v>
      </c>
      <c r="L22" s="148">
        <f t="shared" si="2"/>
        <v>2635920</v>
      </c>
      <c r="M22" s="138">
        <f t="shared" si="8"/>
        <v>9019158.0942326393</v>
      </c>
      <c r="N22" s="65">
        <v>0</v>
      </c>
      <c r="O22" s="168">
        <f t="shared" si="4"/>
        <v>28234250.265619852</v>
      </c>
      <c r="P22" s="29">
        <v>1.7999999999999999E-2</v>
      </c>
      <c r="Q22" s="145">
        <f t="shared" si="7"/>
        <v>28742466.770401008</v>
      </c>
      <c r="R22" s="168">
        <f t="shared" si="5"/>
        <v>40397544.86463365</v>
      </c>
      <c r="S22" s="131">
        <f t="shared" si="6"/>
        <v>31378386.770401008</v>
      </c>
      <c r="T22" s="82"/>
      <c r="U22" s="11"/>
    </row>
    <row r="23" spans="1:28" s="29" customFormat="1" x14ac:dyDescent="0.3">
      <c r="A23" s="11">
        <f t="shared" si="10"/>
        <v>5000000</v>
      </c>
      <c r="C23" s="332"/>
      <c r="D23" s="76">
        <v>8</v>
      </c>
      <c r="E23" s="77">
        <v>2500000</v>
      </c>
      <c r="F23" s="78">
        <v>0</v>
      </c>
      <c r="G23" s="78">
        <v>400000</v>
      </c>
      <c r="H23" s="78">
        <f t="shared" si="0"/>
        <v>2100000</v>
      </c>
      <c r="I23" s="79">
        <v>0</v>
      </c>
      <c r="J23" s="80">
        <f t="shared" si="9"/>
        <v>711000</v>
      </c>
      <c r="K23" s="81">
        <f t="shared" si="1"/>
        <v>2811000</v>
      </c>
      <c r="L23" s="148">
        <f t="shared" si="2"/>
        <v>1924920</v>
      </c>
      <c r="M23" s="138">
        <f t="shared" si="8"/>
        <v>9588702.9399288259</v>
      </c>
      <c r="N23" s="65">
        <v>0</v>
      </c>
      <c r="O23" s="168">
        <f t="shared" si="4"/>
        <v>31553466.770401008</v>
      </c>
      <c r="P23" s="29">
        <v>1.7999999999999999E-2</v>
      </c>
      <c r="Q23" s="145">
        <f t="shared" si="7"/>
        <v>32121429.172268227</v>
      </c>
      <c r="R23" s="168">
        <f t="shared" si="5"/>
        <v>43635052.112197056</v>
      </c>
      <c r="S23" s="131">
        <f t="shared" si="6"/>
        <v>34046349.172268227</v>
      </c>
      <c r="T23" s="82"/>
      <c r="U23" s="11"/>
    </row>
    <row r="24" spans="1:28" s="29" customFormat="1" x14ac:dyDescent="0.3">
      <c r="A24" s="11">
        <f t="shared" si="10"/>
        <v>6000000</v>
      </c>
      <c r="C24" s="332"/>
      <c r="D24" s="76">
        <v>9</v>
      </c>
      <c r="E24" s="77">
        <v>2500000</v>
      </c>
      <c r="F24" s="78">
        <v>0</v>
      </c>
      <c r="G24" s="78">
        <v>400000</v>
      </c>
      <c r="H24" s="78">
        <f t="shared" si="0"/>
        <v>2100000</v>
      </c>
      <c r="I24" s="79">
        <v>0</v>
      </c>
      <c r="J24" s="80">
        <f t="shared" si="9"/>
        <v>711000</v>
      </c>
      <c r="K24" s="81">
        <f t="shared" si="1"/>
        <v>2811000</v>
      </c>
      <c r="L24" s="148">
        <f t="shared" si="2"/>
        <v>1213920</v>
      </c>
      <c r="M24" s="138">
        <f t="shared" si="8"/>
        <v>10168499.592847545</v>
      </c>
      <c r="N24" s="65">
        <v>0</v>
      </c>
      <c r="O24" s="168">
        <f t="shared" si="4"/>
        <v>34932429.172268227</v>
      </c>
      <c r="P24" s="29">
        <v>1.7999999999999999E-2</v>
      </c>
      <c r="Q24" s="145">
        <f t="shared" si="7"/>
        <v>35561212.897369057</v>
      </c>
      <c r="R24" s="168">
        <f t="shared" si="5"/>
        <v>46943632.490216598</v>
      </c>
      <c r="S24" s="131">
        <f t="shared" si="6"/>
        <v>36775132.897369057</v>
      </c>
      <c r="T24" s="82"/>
      <c r="U24" s="11"/>
    </row>
    <row r="25" spans="1:28" s="29" customFormat="1" x14ac:dyDescent="0.3">
      <c r="A25" s="11">
        <f t="shared" si="10"/>
        <v>7000000</v>
      </c>
      <c r="C25" s="332"/>
      <c r="D25" s="76">
        <v>10</v>
      </c>
      <c r="E25" s="77">
        <v>2500000</v>
      </c>
      <c r="F25" s="78">
        <v>0</v>
      </c>
      <c r="G25" s="78">
        <v>400000</v>
      </c>
      <c r="H25" s="78">
        <f t="shared" si="0"/>
        <v>2100000</v>
      </c>
      <c r="I25" s="79">
        <v>0</v>
      </c>
      <c r="J25" s="80">
        <f xml:space="preserve"> J24</f>
        <v>711000</v>
      </c>
      <c r="K25" s="81">
        <f t="shared" si="1"/>
        <v>2811000</v>
      </c>
      <c r="L25" s="148">
        <f t="shared" si="2"/>
        <v>502920</v>
      </c>
      <c r="M25" s="138">
        <f t="shared" si="8"/>
        <v>10758732.5855188</v>
      </c>
      <c r="N25" s="65">
        <v>0</v>
      </c>
      <c r="O25" s="168">
        <f t="shared" si="4"/>
        <v>38372212.897369057</v>
      </c>
      <c r="P25" s="29">
        <v>1.7999999999999999E-2</v>
      </c>
      <c r="Q25" s="145">
        <f t="shared" si="7"/>
        <v>39062912.729521699</v>
      </c>
      <c r="R25" s="168">
        <f t="shared" si="5"/>
        <v>50324565.315040499</v>
      </c>
      <c r="S25" s="131">
        <f t="shared" si="6"/>
        <v>39565832.729521699</v>
      </c>
      <c r="T25" s="82"/>
      <c r="U25" s="11"/>
    </row>
    <row r="26" spans="1:28" s="83" customFormat="1" ht="17.25" thickBot="1" x14ac:dyDescent="0.35">
      <c r="A26" s="11">
        <f t="shared" si="10"/>
        <v>8000000</v>
      </c>
      <c r="C26" s="332"/>
      <c r="D26" s="84">
        <v>11</v>
      </c>
      <c r="E26" s="85">
        <v>2500000</v>
      </c>
      <c r="F26" s="86">
        <v>0</v>
      </c>
      <c r="G26" s="86">
        <v>400000</v>
      </c>
      <c r="H26" s="86">
        <f t="shared" si="0"/>
        <v>2100000</v>
      </c>
      <c r="I26" s="87">
        <v>11000000</v>
      </c>
      <c r="J26" s="88">
        <v>0</v>
      </c>
      <c r="K26" s="89">
        <f t="shared" si="1"/>
        <v>-8900000</v>
      </c>
      <c r="L26" s="149">
        <f t="shared" si="2"/>
        <v>11502920</v>
      </c>
      <c r="M26" s="139">
        <f t="shared" si="8"/>
        <v>11359589.772058139</v>
      </c>
      <c r="N26" s="97">
        <v>0</v>
      </c>
      <c r="O26" s="169">
        <f t="shared" si="4"/>
        <v>30162912.729521699</v>
      </c>
      <c r="P26" s="83">
        <v>1.7999999999999999E-2</v>
      </c>
      <c r="Q26" s="145">
        <f t="shared" si="7"/>
        <v>30705845.158653088</v>
      </c>
      <c r="R26" s="169">
        <f t="shared" si="5"/>
        <v>53568354.930711225</v>
      </c>
      <c r="S26" s="132">
        <f t="shared" si="6"/>
        <v>42208765.158653088</v>
      </c>
      <c r="T26" s="90"/>
      <c r="U26" s="91"/>
    </row>
    <row r="27" spans="1:28" s="42" customFormat="1" ht="17.25" thickBot="1" x14ac:dyDescent="0.35">
      <c r="A27" s="175">
        <f t="shared" si="10"/>
        <v>9000000</v>
      </c>
      <c r="B27" s="35"/>
      <c r="C27" s="332"/>
      <c r="D27" s="36">
        <v>12</v>
      </c>
      <c r="E27" s="37">
        <v>2500000</v>
      </c>
      <c r="F27" s="38">
        <v>0</v>
      </c>
      <c r="G27" s="38">
        <v>400000</v>
      </c>
      <c r="H27" s="38">
        <f t="shared" si="0"/>
        <v>2100000</v>
      </c>
      <c r="I27" s="39">
        <v>11000000</v>
      </c>
      <c r="J27" s="41">
        <v>0</v>
      </c>
      <c r="K27" s="44">
        <f t="shared" si="1"/>
        <v>-8900000</v>
      </c>
      <c r="L27" s="147">
        <f t="shared" si="2"/>
        <v>22502920</v>
      </c>
      <c r="M27" s="142">
        <f t="shared" si="8"/>
        <v>11971262.387955185</v>
      </c>
      <c r="N27" s="47">
        <v>0</v>
      </c>
      <c r="O27" s="127">
        <f t="shared" si="4"/>
        <v>21805845.158653088</v>
      </c>
      <c r="P27" s="42">
        <v>1.7999999999999999E-2</v>
      </c>
      <c r="Q27" s="207">
        <f t="shared" si="7"/>
        <v>22198350.371508844</v>
      </c>
      <c r="R27" s="127">
        <f t="shared" si="5"/>
        <v>56672532.759464025</v>
      </c>
      <c r="S27" s="129">
        <f t="shared" si="6"/>
        <v>44701270.371508837</v>
      </c>
      <c r="T27" s="176">
        <f xml:space="preserve"> S27 / 4</f>
        <v>11175317.592877209</v>
      </c>
      <c r="U27" s="43">
        <f>SUM(E4:E27)</f>
        <v>62300000</v>
      </c>
      <c r="V27" s="43">
        <f>SUM(F4:F27)</f>
        <v>12956544</v>
      </c>
      <c r="W27" s="45">
        <f xml:space="preserve"> U27 - V27</f>
        <v>49343456</v>
      </c>
      <c r="X27" s="45">
        <f>R27-W27</f>
        <v>7329076.7594640255</v>
      </c>
      <c r="Y27" s="113">
        <f xml:space="preserve"> X27 / W27 * 100</f>
        <v>14.853188960789504</v>
      </c>
      <c r="Z27" s="45">
        <f xml:space="preserve"> (X27 - 2500000) * 0.16</f>
        <v>772652.28151424404</v>
      </c>
      <c r="AA27" s="211">
        <f xml:space="preserve"> R27 - ((2500000 * 12) + R15)</f>
        <v>7186598.6035238504</v>
      </c>
      <c r="AB27" s="211">
        <f xml:space="preserve"> (AA27 -2500000) * 0.16</f>
        <v>749855.77656381612</v>
      </c>
    </row>
    <row r="28" spans="1:28" s="67" customFormat="1" x14ac:dyDescent="0.3">
      <c r="A28" s="11">
        <f t="shared" si="10"/>
        <v>10000000</v>
      </c>
      <c r="B28" s="67">
        <v>3</v>
      </c>
      <c r="C28" s="332">
        <v>2024</v>
      </c>
      <c r="D28" s="68">
        <v>1</v>
      </c>
      <c r="E28" s="69">
        <v>2500000</v>
      </c>
      <c r="F28" s="70">
        <v>0</v>
      </c>
      <c r="G28" s="70">
        <v>400000</v>
      </c>
      <c r="H28" s="70">
        <f t="shared" ref="H28:H87" si="11" xml:space="preserve"> E28 - G28 - F28</f>
        <v>2100000</v>
      </c>
      <c r="I28" s="71">
        <v>0</v>
      </c>
      <c r="J28" s="72">
        <f xml:space="preserve"> L27 / 10</f>
        <v>2250292</v>
      </c>
      <c r="K28" s="73">
        <f t="shared" ref="K28:K87" si="12" xml:space="preserve"> H28 + J28 - I28</f>
        <v>4350292</v>
      </c>
      <c r="L28" s="64">
        <f t="shared" ref="L28:L87" si="13" xml:space="preserve"> L27 +I28 - J28 - N28</f>
        <v>20252628</v>
      </c>
      <c r="M28" s="137">
        <f t="shared" si="8"/>
        <v>12420747.437507005</v>
      </c>
      <c r="N28" s="65">
        <v>0</v>
      </c>
      <c r="O28" s="171">
        <f t="shared" ref="O28:O87" si="14" xml:space="preserve"> Q27 + K28</f>
        <v>26548642.371508844</v>
      </c>
      <c r="P28" s="67">
        <v>4.0000000000000001E-3</v>
      </c>
      <c r="Q28" s="145">
        <f t="shared" si="7"/>
        <v>26654836.940994881</v>
      </c>
      <c r="R28" s="171">
        <f t="shared" ref="R28:R87" si="15" xml:space="preserve"> M28 + Q28 + L28</f>
        <v>59328212.378501885</v>
      </c>
      <c r="S28" s="130">
        <f t="shared" ref="S28:S87" si="16" xml:space="preserve"> R28 - M28</f>
        <v>46907464.940994881</v>
      </c>
      <c r="T28" s="74"/>
      <c r="U28" s="75"/>
    </row>
    <row r="29" spans="1:28" s="98" customFormat="1" x14ac:dyDescent="0.3">
      <c r="A29" s="107">
        <f t="shared" si="10"/>
        <v>11000000</v>
      </c>
      <c r="C29" s="332"/>
      <c r="D29" s="99">
        <v>2</v>
      </c>
      <c r="E29" s="100">
        <v>2500000</v>
      </c>
      <c r="F29" s="101">
        <v>0</v>
      </c>
      <c r="G29" s="101">
        <v>400000</v>
      </c>
      <c r="H29" s="101">
        <f t="shared" si="11"/>
        <v>2100000</v>
      </c>
      <c r="I29" s="102">
        <v>0</v>
      </c>
      <c r="J29" s="103">
        <f xml:space="preserve"> J28</f>
        <v>2250292</v>
      </c>
      <c r="K29" s="104">
        <f t="shared" si="12"/>
        <v>4350292</v>
      </c>
      <c r="L29" s="150">
        <f t="shared" si="13"/>
        <v>18002336</v>
      </c>
      <c r="M29" s="141">
        <f t="shared" si="8"/>
        <v>13051520.891382132</v>
      </c>
      <c r="N29" s="105">
        <v>0</v>
      </c>
      <c r="O29" s="168">
        <f t="shared" si="14"/>
        <v>31005128.940994881</v>
      </c>
      <c r="P29" s="98">
        <v>1.7999999999999999E-2</v>
      </c>
      <c r="Q29" s="145">
        <f t="shared" si="7"/>
        <v>31563221.26193279</v>
      </c>
      <c r="R29" s="168">
        <f t="shared" si="15"/>
        <v>62617078.153314918</v>
      </c>
      <c r="S29" s="133">
        <f t="shared" si="16"/>
        <v>49565557.26193279</v>
      </c>
      <c r="T29" s="106"/>
      <c r="U29" s="107"/>
    </row>
    <row r="30" spans="1:28" s="29" customFormat="1" x14ac:dyDescent="0.3">
      <c r="A30" s="11">
        <f t="shared" si="10"/>
        <v>12000000</v>
      </c>
      <c r="C30" s="332"/>
      <c r="D30" s="76">
        <v>3</v>
      </c>
      <c r="E30" s="77">
        <v>2500000</v>
      </c>
      <c r="F30" s="78">
        <v>0</v>
      </c>
      <c r="G30" s="78">
        <v>400000</v>
      </c>
      <c r="H30" s="78">
        <f t="shared" si="11"/>
        <v>2100000</v>
      </c>
      <c r="I30" s="79">
        <v>0</v>
      </c>
      <c r="J30" s="80">
        <f t="shared" ref="J30:J36" si="17" xml:space="preserve"> J29</f>
        <v>2250292</v>
      </c>
      <c r="K30" s="81">
        <f t="shared" si="12"/>
        <v>4350292</v>
      </c>
      <c r="L30" s="148">
        <f t="shared" si="13"/>
        <v>15752044</v>
      </c>
      <c r="M30" s="138">
        <f t="shared" si="8"/>
        <v>13693648.26742701</v>
      </c>
      <c r="N30" s="65">
        <v>0</v>
      </c>
      <c r="O30" s="168">
        <f t="shared" si="14"/>
        <v>35913513.26193279</v>
      </c>
      <c r="P30" s="29">
        <v>1.7999999999999999E-2</v>
      </c>
      <c r="Q30" s="145">
        <f t="shared" si="7"/>
        <v>36559956.500647582</v>
      </c>
      <c r="R30" s="168">
        <f t="shared" si="15"/>
        <v>66005648.768074594</v>
      </c>
      <c r="S30" s="131">
        <f t="shared" si="16"/>
        <v>52312000.500647582</v>
      </c>
      <c r="T30" s="82"/>
      <c r="U30" s="11"/>
    </row>
    <row r="31" spans="1:28" s="29" customFormat="1" x14ac:dyDescent="0.3">
      <c r="A31" s="11">
        <f t="shared" si="10"/>
        <v>13000000</v>
      </c>
      <c r="C31" s="332"/>
      <c r="D31" s="76">
        <v>4</v>
      </c>
      <c r="E31" s="77">
        <v>2500000</v>
      </c>
      <c r="F31" s="78">
        <v>0</v>
      </c>
      <c r="G31" s="78">
        <v>400000</v>
      </c>
      <c r="H31" s="78">
        <f t="shared" si="11"/>
        <v>2100000</v>
      </c>
      <c r="I31" s="79">
        <v>0</v>
      </c>
      <c r="J31" s="80">
        <f t="shared" si="17"/>
        <v>2250292</v>
      </c>
      <c r="K31" s="81">
        <f t="shared" si="12"/>
        <v>4350292</v>
      </c>
      <c r="L31" s="148">
        <f t="shared" si="13"/>
        <v>13501752</v>
      </c>
      <c r="M31" s="138">
        <f t="shared" si="8"/>
        <v>14347333.936240697</v>
      </c>
      <c r="N31" s="65">
        <v>0</v>
      </c>
      <c r="O31" s="168">
        <f t="shared" si="14"/>
        <v>40910248.500647582</v>
      </c>
      <c r="P31" s="29">
        <v>1.7999999999999999E-2</v>
      </c>
      <c r="Q31" s="145">
        <f t="shared" si="7"/>
        <v>41646632.97365924</v>
      </c>
      <c r="R31" s="168">
        <f t="shared" si="15"/>
        <v>69495718.909899935</v>
      </c>
      <c r="S31" s="131">
        <f t="shared" si="16"/>
        <v>55148384.97365924</v>
      </c>
      <c r="T31" s="82"/>
      <c r="U31" s="11"/>
    </row>
    <row r="32" spans="1:28" s="29" customFormat="1" x14ac:dyDescent="0.3">
      <c r="A32" s="11">
        <f t="shared" si="10"/>
        <v>14000000</v>
      </c>
      <c r="C32" s="332"/>
      <c r="D32" s="76">
        <v>5</v>
      </c>
      <c r="E32" s="77">
        <v>2500000</v>
      </c>
      <c r="F32" s="78">
        <v>760000</v>
      </c>
      <c r="G32" s="78">
        <v>400000</v>
      </c>
      <c r="H32" s="78">
        <f t="shared" si="11"/>
        <v>1340000</v>
      </c>
      <c r="I32" s="79">
        <v>0</v>
      </c>
      <c r="J32" s="80">
        <f t="shared" si="17"/>
        <v>2250292</v>
      </c>
      <c r="K32" s="81">
        <f t="shared" si="12"/>
        <v>3590292</v>
      </c>
      <c r="L32" s="148">
        <f t="shared" si="13"/>
        <v>11251460</v>
      </c>
      <c r="M32" s="138">
        <f t="shared" si="8"/>
        <v>15012785.94709303</v>
      </c>
      <c r="N32" s="65">
        <v>0</v>
      </c>
      <c r="O32" s="168">
        <f t="shared" si="14"/>
        <v>45236924.97365924</v>
      </c>
      <c r="P32" s="29">
        <v>1.7999999999999999E-2</v>
      </c>
      <c r="Q32" s="145">
        <f t="shared" si="7"/>
        <v>46051189.623185106</v>
      </c>
      <c r="R32" s="168">
        <f t="shared" si="15"/>
        <v>72315435.570278138</v>
      </c>
      <c r="S32" s="131">
        <f t="shared" si="16"/>
        <v>57302649.623185106</v>
      </c>
      <c r="T32" s="82"/>
      <c r="U32" s="11"/>
    </row>
    <row r="33" spans="1:28" s="29" customFormat="1" x14ac:dyDescent="0.3">
      <c r="A33" s="11">
        <f t="shared" si="10"/>
        <v>15000000</v>
      </c>
      <c r="C33" s="332"/>
      <c r="D33" s="76">
        <v>6</v>
      </c>
      <c r="E33" s="77">
        <v>2500000</v>
      </c>
      <c r="F33" s="78">
        <v>0</v>
      </c>
      <c r="G33" s="78">
        <v>400000</v>
      </c>
      <c r="H33" s="78">
        <f t="shared" si="11"/>
        <v>2100000</v>
      </c>
      <c r="I33" s="79">
        <v>0</v>
      </c>
      <c r="J33" s="80">
        <f t="shared" si="17"/>
        <v>2250292</v>
      </c>
      <c r="K33" s="81">
        <f t="shared" si="12"/>
        <v>4350292</v>
      </c>
      <c r="L33" s="148">
        <f t="shared" si="13"/>
        <v>9001168</v>
      </c>
      <c r="M33" s="138">
        <f t="shared" si="8"/>
        <v>15690216.094140705</v>
      </c>
      <c r="N33" s="65">
        <v>0</v>
      </c>
      <c r="O33" s="168">
        <f t="shared" si="14"/>
        <v>50401481.623185106</v>
      </c>
      <c r="P33" s="29">
        <v>1.7999999999999999E-2</v>
      </c>
      <c r="Q33" s="145">
        <f t="shared" si="7"/>
        <v>51308708.292402439</v>
      </c>
      <c r="R33" s="168">
        <f t="shared" si="15"/>
        <v>76000092.38654314</v>
      </c>
      <c r="S33" s="131">
        <f t="shared" si="16"/>
        <v>60309876.292402431</v>
      </c>
      <c r="T33" s="82"/>
      <c r="U33" s="11"/>
    </row>
    <row r="34" spans="1:28" s="29" customFormat="1" x14ac:dyDescent="0.3">
      <c r="A34" s="11">
        <f t="shared" si="10"/>
        <v>16000000</v>
      </c>
      <c r="C34" s="332"/>
      <c r="D34" s="76">
        <v>7</v>
      </c>
      <c r="E34" s="77">
        <v>2500000</v>
      </c>
      <c r="F34" s="78">
        <v>0</v>
      </c>
      <c r="G34" s="78">
        <v>400000</v>
      </c>
      <c r="H34" s="78">
        <f t="shared" si="11"/>
        <v>2100000</v>
      </c>
      <c r="I34" s="79">
        <v>0</v>
      </c>
      <c r="J34" s="80">
        <f t="shared" si="17"/>
        <v>2250292</v>
      </c>
      <c r="K34" s="81">
        <f t="shared" si="12"/>
        <v>4350292</v>
      </c>
      <c r="L34" s="148">
        <f t="shared" si="13"/>
        <v>6750876</v>
      </c>
      <c r="M34" s="138">
        <f t="shared" si="8"/>
        <v>16379839.983835237</v>
      </c>
      <c r="N34" s="65">
        <v>0</v>
      </c>
      <c r="O34" s="168">
        <f t="shared" si="14"/>
        <v>55659000.292402439</v>
      </c>
      <c r="P34" s="29">
        <v>1.7999999999999999E-2</v>
      </c>
      <c r="Q34" s="145">
        <f t="shared" si="7"/>
        <v>56660862.297665685</v>
      </c>
      <c r="R34" s="168">
        <f t="shared" si="15"/>
        <v>79791578.281500921</v>
      </c>
      <c r="S34" s="131">
        <f t="shared" si="16"/>
        <v>63411738.297665685</v>
      </c>
      <c r="T34" s="82"/>
      <c r="U34" s="11"/>
    </row>
    <row r="35" spans="1:28" s="29" customFormat="1" x14ac:dyDescent="0.3">
      <c r="A35" s="11">
        <f t="shared" si="10"/>
        <v>17000000</v>
      </c>
      <c r="C35" s="332"/>
      <c r="D35" s="76">
        <v>8</v>
      </c>
      <c r="E35" s="77">
        <v>2500000</v>
      </c>
      <c r="F35" s="78">
        <v>0</v>
      </c>
      <c r="G35" s="78">
        <v>400000</v>
      </c>
      <c r="H35" s="78">
        <f t="shared" si="11"/>
        <v>2100000</v>
      </c>
      <c r="I35" s="79">
        <v>0</v>
      </c>
      <c r="J35" s="80">
        <f t="shared" si="17"/>
        <v>2250292</v>
      </c>
      <c r="K35" s="81">
        <f t="shared" si="12"/>
        <v>4350292</v>
      </c>
      <c r="L35" s="148">
        <f t="shared" si="13"/>
        <v>4500584</v>
      </c>
      <c r="M35" s="138">
        <f t="shared" si="8"/>
        <v>17081877.103544269</v>
      </c>
      <c r="N35" s="65">
        <v>0</v>
      </c>
      <c r="O35" s="168">
        <f t="shared" si="14"/>
        <v>61011154.297665685</v>
      </c>
      <c r="P35" s="29">
        <v>1.7999999999999999E-2</v>
      </c>
      <c r="Q35" s="145">
        <f t="shared" si="7"/>
        <v>62109355.075023666</v>
      </c>
      <c r="R35" s="168">
        <f t="shared" si="15"/>
        <v>83691816.178567931</v>
      </c>
      <c r="S35" s="131">
        <f t="shared" si="16"/>
        <v>66609939.075023666</v>
      </c>
      <c r="T35" s="82"/>
      <c r="U35" s="11"/>
    </row>
    <row r="36" spans="1:28" s="29" customFormat="1" x14ac:dyDescent="0.3">
      <c r="A36" s="11">
        <f t="shared" si="10"/>
        <v>18000000</v>
      </c>
      <c r="C36" s="332"/>
      <c r="D36" s="76">
        <v>9</v>
      </c>
      <c r="E36" s="77">
        <v>2500000</v>
      </c>
      <c r="F36" s="78">
        <v>0</v>
      </c>
      <c r="G36" s="78">
        <v>400000</v>
      </c>
      <c r="H36" s="78">
        <f t="shared" si="11"/>
        <v>2100000</v>
      </c>
      <c r="I36" s="79">
        <v>0</v>
      </c>
      <c r="J36" s="80">
        <f t="shared" si="17"/>
        <v>2250292</v>
      </c>
      <c r="K36" s="81">
        <f t="shared" si="12"/>
        <v>4350292</v>
      </c>
      <c r="L36" s="148">
        <f t="shared" si="13"/>
        <v>2250292</v>
      </c>
      <c r="M36" s="138">
        <f t="shared" si="8"/>
        <v>17796550.891408067</v>
      </c>
      <c r="N36" s="65">
        <v>0</v>
      </c>
      <c r="O36" s="168">
        <f t="shared" si="14"/>
        <v>66459647.075023666</v>
      </c>
      <c r="P36" s="29">
        <v>1.7999999999999999E-2</v>
      </c>
      <c r="Q36" s="145">
        <f t="shared" si="7"/>
        <v>67655920.722374097</v>
      </c>
      <c r="R36" s="168">
        <f t="shared" si="15"/>
        <v>87702763.613782167</v>
      </c>
      <c r="S36" s="131">
        <f t="shared" si="16"/>
        <v>69906212.722374097</v>
      </c>
      <c r="T36" s="82"/>
      <c r="U36" s="11"/>
    </row>
    <row r="37" spans="1:28" s="29" customFormat="1" x14ac:dyDescent="0.3">
      <c r="A37" s="11">
        <f t="shared" si="10"/>
        <v>19000000</v>
      </c>
      <c r="C37" s="332"/>
      <c r="D37" s="76">
        <v>10</v>
      </c>
      <c r="E37" s="77">
        <v>2500000</v>
      </c>
      <c r="F37" s="78">
        <v>0</v>
      </c>
      <c r="G37" s="78">
        <v>400000</v>
      </c>
      <c r="H37" s="78">
        <f t="shared" si="11"/>
        <v>2100000</v>
      </c>
      <c r="I37" s="79">
        <v>0</v>
      </c>
      <c r="J37" s="80">
        <f xml:space="preserve"> J36</f>
        <v>2250292</v>
      </c>
      <c r="K37" s="81">
        <f t="shared" si="12"/>
        <v>4350292</v>
      </c>
      <c r="L37" s="148">
        <f t="shared" si="13"/>
        <v>0</v>
      </c>
      <c r="M37" s="138">
        <f t="shared" si="8"/>
        <v>18524088.807453413</v>
      </c>
      <c r="N37" s="65">
        <v>0</v>
      </c>
      <c r="O37" s="168">
        <f t="shared" si="14"/>
        <v>72006212.722374097</v>
      </c>
      <c r="P37" s="29">
        <v>1.7999999999999999E-2</v>
      </c>
      <c r="Q37" s="145">
        <f t="shared" si="7"/>
        <v>73302324.551376835</v>
      </c>
      <c r="R37" s="168">
        <f t="shared" si="15"/>
        <v>91826413.358830243</v>
      </c>
      <c r="S37" s="131">
        <f t="shared" si="16"/>
        <v>73302324.551376835</v>
      </c>
      <c r="T37" s="82"/>
      <c r="U37" s="11"/>
    </row>
    <row r="38" spans="1:28" s="83" customFormat="1" ht="17.25" thickBot="1" x14ac:dyDescent="0.35">
      <c r="A38" s="11">
        <f t="shared" si="10"/>
        <v>20000000</v>
      </c>
      <c r="C38" s="332"/>
      <c r="D38" s="84">
        <v>11</v>
      </c>
      <c r="E38" s="85">
        <v>2500000</v>
      </c>
      <c r="F38" s="86">
        <v>0</v>
      </c>
      <c r="G38" s="86">
        <v>400000</v>
      </c>
      <c r="H38" s="86">
        <f t="shared" si="11"/>
        <v>2100000</v>
      </c>
      <c r="I38" s="87">
        <v>20000000</v>
      </c>
      <c r="J38" s="88">
        <v>0</v>
      </c>
      <c r="K38" s="89">
        <f t="shared" si="12"/>
        <v>-17900000</v>
      </c>
      <c r="L38" s="149">
        <f t="shared" si="13"/>
        <v>20000000</v>
      </c>
      <c r="M38" s="139">
        <f t="shared" si="8"/>
        <v>19264722.405987576</v>
      </c>
      <c r="N38" s="97">
        <v>0</v>
      </c>
      <c r="O38" s="169">
        <f t="shared" si="14"/>
        <v>55402324.551376835</v>
      </c>
      <c r="P38" s="83">
        <v>1.7999999999999999E-2</v>
      </c>
      <c r="Q38" s="145">
        <f t="shared" si="7"/>
        <v>56399566.393301621</v>
      </c>
      <c r="R38" s="169">
        <f t="shared" si="15"/>
        <v>95664288.799289197</v>
      </c>
      <c r="S38" s="132">
        <f t="shared" si="16"/>
        <v>76399566.393301621</v>
      </c>
      <c r="T38" s="90"/>
      <c r="U38" s="91"/>
    </row>
    <row r="39" spans="1:28" s="42" customFormat="1" ht="17.25" thickBot="1" x14ac:dyDescent="0.35">
      <c r="A39" s="175">
        <f t="shared" si="10"/>
        <v>21000000</v>
      </c>
      <c r="B39" s="35"/>
      <c r="C39" s="332"/>
      <c r="D39" s="36">
        <v>12</v>
      </c>
      <c r="E39" s="37">
        <v>2500000</v>
      </c>
      <c r="F39" s="38">
        <v>0</v>
      </c>
      <c r="G39" s="38">
        <v>400000</v>
      </c>
      <c r="H39" s="38">
        <f t="shared" si="11"/>
        <v>2100000</v>
      </c>
      <c r="I39" s="39">
        <v>20000000</v>
      </c>
      <c r="J39" s="41">
        <v>0</v>
      </c>
      <c r="K39" s="44">
        <f t="shared" si="12"/>
        <v>-17900000</v>
      </c>
      <c r="L39" s="147">
        <f t="shared" si="13"/>
        <v>40000000</v>
      </c>
      <c r="M39" s="142">
        <f t="shared" si="8"/>
        <v>20018687.40929535</v>
      </c>
      <c r="N39" s="47">
        <v>0</v>
      </c>
      <c r="O39" s="127">
        <f t="shared" si="14"/>
        <v>38499566.393301621</v>
      </c>
      <c r="P39" s="42">
        <v>1.7999999999999999E-2</v>
      </c>
      <c r="Q39" s="145">
        <f t="shared" si="7"/>
        <v>39192558.588381052</v>
      </c>
      <c r="R39" s="127">
        <f t="shared" si="15"/>
        <v>99211245.997676402</v>
      </c>
      <c r="S39" s="129">
        <f t="shared" si="16"/>
        <v>79192558.588381052</v>
      </c>
      <c r="T39" s="176">
        <f xml:space="preserve"> S39 / 4</f>
        <v>19798139.647095263</v>
      </c>
      <c r="U39" s="43">
        <f>SUM(E4:E39)</f>
        <v>92300000</v>
      </c>
      <c r="V39" s="43">
        <f>SUM(F4:F39)</f>
        <v>13716544</v>
      </c>
      <c r="W39" s="45">
        <f xml:space="preserve"> U39 - V39</f>
        <v>78583456</v>
      </c>
      <c r="X39" s="45">
        <f>R39-W39</f>
        <v>20627789.997676402</v>
      </c>
      <c r="Y39" s="113">
        <f xml:space="preserve"> X39 / W39 * 100</f>
        <v>26.249532723117198</v>
      </c>
      <c r="Z39" s="45">
        <f xml:space="preserve"> (X39 - 2500000) * 0.16</f>
        <v>2900446.3996282243</v>
      </c>
      <c r="AA39" s="211">
        <f xml:space="preserve"> R39 - ((2500000 * 12) + R27)</f>
        <v>12538713.238212377</v>
      </c>
      <c r="AB39" s="211">
        <f xml:space="preserve"> (AA39 -2500000) * 0.16</f>
        <v>1606194.1181139804</v>
      </c>
    </row>
    <row r="40" spans="1:28" s="67" customFormat="1" x14ac:dyDescent="0.3">
      <c r="A40" s="11">
        <f t="shared" si="10"/>
        <v>22000000</v>
      </c>
      <c r="B40" s="67">
        <v>4</v>
      </c>
      <c r="C40" s="332">
        <v>2025</v>
      </c>
      <c r="D40" s="68">
        <v>1</v>
      </c>
      <c r="E40" s="69">
        <v>2500000</v>
      </c>
      <c r="F40" s="70">
        <v>0</v>
      </c>
      <c r="G40" s="70">
        <v>400000</v>
      </c>
      <c r="H40" s="70">
        <f t="shared" ref="H40:H51" si="18" xml:space="preserve"> E40 - G40 - F40</f>
        <v>2100000</v>
      </c>
      <c r="I40" s="71">
        <v>0</v>
      </c>
      <c r="J40" s="72">
        <f xml:space="preserve"> L39 / 10</f>
        <v>4000000</v>
      </c>
      <c r="K40" s="73">
        <f t="shared" ref="K40:K51" si="19" xml:space="preserve"> H40 + J40 - I40</f>
        <v>6100000</v>
      </c>
      <c r="L40" s="64">
        <f t="shared" ref="L40:L50" si="20" xml:space="preserve"> L39 +I40 - J40 - N40</f>
        <v>36000000</v>
      </c>
      <c r="M40" s="137">
        <f t="shared" si="8"/>
        <v>20500362.158932533</v>
      </c>
      <c r="N40" s="65">
        <v>0</v>
      </c>
      <c r="O40" s="171">
        <f t="shared" ref="O40:O51" si="21" xml:space="preserve"> Q39 + K40</f>
        <v>45292558.588381052</v>
      </c>
      <c r="P40" s="67">
        <v>4.0000000000000001E-3</v>
      </c>
      <c r="Q40" s="145">
        <f t="shared" si="7"/>
        <v>45473728.822734579</v>
      </c>
      <c r="R40" s="171">
        <f t="shared" ref="R40:R51" si="22" xml:space="preserve"> M40 + Q40 + L40</f>
        <v>101974090.98166712</v>
      </c>
      <c r="S40" s="130">
        <f t="shared" ref="S40:S51" si="23" xml:space="preserve"> R40 - M40</f>
        <v>81473728.822734579</v>
      </c>
      <c r="T40" s="74"/>
      <c r="U40" s="75"/>
    </row>
    <row r="41" spans="1:28" s="29" customFormat="1" x14ac:dyDescent="0.3">
      <c r="A41" s="11">
        <f t="shared" si="10"/>
        <v>23000000</v>
      </c>
      <c r="C41" s="332"/>
      <c r="D41" s="76">
        <v>2</v>
      </c>
      <c r="E41" s="77">
        <v>2500000</v>
      </c>
      <c r="F41" s="78">
        <v>0</v>
      </c>
      <c r="G41" s="78">
        <v>400000</v>
      </c>
      <c r="H41" s="78">
        <f t="shared" si="18"/>
        <v>2100000</v>
      </c>
      <c r="I41" s="79">
        <v>0</v>
      </c>
      <c r="J41" s="80">
        <f xml:space="preserve"> J40</f>
        <v>4000000</v>
      </c>
      <c r="K41" s="81">
        <f t="shared" si="19"/>
        <v>6100000</v>
      </c>
      <c r="L41" s="148">
        <f t="shared" si="20"/>
        <v>32000000</v>
      </c>
      <c r="M41" s="138">
        <f t="shared" si="8"/>
        <v>21276568.67779332</v>
      </c>
      <c r="N41" s="65">
        <v>0</v>
      </c>
      <c r="O41" s="168">
        <f t="shared" si="21"/>
        <v>51573728.822734579</v>
      </c>
      <c r="P41" s="29">
        <v>1.7999999999999999E-2</v>
      </c>
      <c r="Q41" s="145">
        <f t="shared" si="7"/>
        <v>52502055.941543803</v>
      </c>
      <c r="R41" s="168">
        <f t="shared" si="22"/>
        <v>105778624.61933713</v>
      </c>
      <c r="S41" s="131">
        <f t="shared" si="23"/>
        <v>84502055.941543803</v>
      </c>
      <c r="T41" s="82"/>
      <c r="U41" s="11"/>
    </row>
    <row r="42" spans="1:28" s="29" customFormat="1" x14ac:dyDescent="0.3">
      <c r="A42" s="11">
        <f t="shared" si="10"/>
        <v>24000000</v>
      </c>
      <c r="C42" s="332"/>
      <c r="D42" s="76">
        <v>3</v>
      </c>
      <c r="E42" s="77">
        <v>2500000</v>
      </c>
      <c r="F42" s="78">
        <v>0</v>
      </c>
      <c r="G42" s="78">
        <v>400000</v>
      </c>
      <c r="H42" s="78">
        <f t="shared" si="18"/>
        <v>2100000</v>
      </c>
      <c r="I42" s="79">
        <v>0</v>
      </c>
      <c r="J42" s="80">
        <f t="shared" ref="J42:J48" si="24" xml:space="preserve"> J41</f>
        <v>4000000</v>
      </c>
      <c r="K42" s="81">
        <f t="shared" si="19"/>
        <v>6100000</v>
      </c>
      <c r="L42" s="148">
        <f t="shared" si="20"/>
        <v>28000000</v>
      </c>
      <c r="M42" s="138">
        <f t="shared" si="8"/>
        <v>22066746.913993601</v>
      </c>
      <c r="N42" s="65">
        <v>0</v>
      </c>
      <c r="O42" s="168">
        <f t="shared" si="21"/>
        <v>58602055.941543803</v>
      </c>
      <c r="P42" s="29">
        <v>1.7999999999999999E-2</v>
      </c>
      <c r="Q42" s="145">
        <f t="shared" si="7"/>
        <v>59656892.948491588</v>
      </c>
      <c r="R42" s="168">
        <f t="shared" si="22"/>
        <v>109723639.86248519</v>
      </c>
      <c r="S42" s="131">
        <f t="shared" si="23"/>
        <v>87656892.948491588</v>
      </c>
      <c r="T42" s="82"/>
      <c r="U42" s="11"/>
    </row>
    <row r="43" spans="1:28" s="29" customFormat="1" x14ac:dyDescent="0.3">
      <c r="A43" s="11">
        <f t="shared" si="10"/>
        <v>25000000</v>
      </c>
      <c r="C43" s="332"/>
      <c r="D43" s="76">
        <v>4</v>
      </c>
      <c r="E43" s="77">
        <v>2500000</v>
      </c>
      <c r="F43" s="78">
        <v>0</v>
      </c>
      <c r="G43" s="78">
        <v>400000</v>
      </c>
      <c r="H43" s="78">
        <f t="shared" si="18"/>
        <v>2100000</v>
      </c>
      <c r="I43" s="79">
        <v>0</v>
      </c>
      <c r="J43" s="80">
        <f t="shared" si="24"/>
        <v>4000000</v>
      </c>
      <c r="K43" s="81">
        <f t="shared" si="19"/>
        <v>6100000</v>
      </c>
      <c r="L43" s="148">
        <f t="shared" si="20"/>
        <v>24000000</v>
      </c>
      <c r="M43" s="138">
        <f t="shared" si="8"/>
        <v>22871148.358445484</v>
      </c>
      <c r="N43" s="65">
        <v>0</v>
      </c>
      <c r="O43" s="168">
        <f t="shared" si="21"/>
        <v>65756892.948491588</v>
      </c>
      <c r="P43" s="29">
        <v>1.7999999999999999E-2</v>
      </c>
      <c r="Q43" s="145">
        <f t="shared" si="7"/>
        <v>66940517.021564439</v>
      </c>
      <c r="R43" s="168">
        <f t="shared" si="22"/>
        <v>113811665.38000992</v>
      </c>
      <c r="S43" s="131">
        <f t="shared" si="23"/>
        <v>90940517.021564439</v>
      </c>
      <c r="T43" s="82"/>
      <c r="U43" s="11"/>
    </row>
    <row r="44" spans="1:28" s="29" customFormat="1" x14ac:dyDescent="0.3">
      <c r="A44" s="11">
        <f t="shared" si="10"/>
        <v>26000000</v>
      </c>
      <c r="C44" s="332"/>
      <c r="D44" s="76">
        <v>5</v>
      </c>
      <c r="E44" s="77">
        <v>2500000</v>
      </c>
      <c r="F44" s="78">
        <v>1610000</v>
      </c>
      <c r="G44" s="78">
        <v>400000</v>
      </c>
      <c r="H44" s="78">
        <f t="shared" si="18"/>
        <v>490000</v>
      </c>
      <c r="I44" s="79">
        <v>0</v>
      </c>
      <c r="J44" s="80">
        <f t="shared" si="24"/>
        <v>4000000</v>
      </c>
      <c r="K44" s="81">
        <f t="shared" si="19"/>
        <v>4490000</v>
      </c>
      <c r="L44" s="148">
        <f t="shared" si="20"/>
        <v>20000000</v>
      </c>
      <c r="M44" s="138">
        <f t="shared" si="8"/>
        <v>23690029.028897502</v>
      </c>
      <c r="N44" s="65">
        <v>0</v>
      </c>
      <c r="O44" s="168">
        <f t="shared" si="21"/>
        <v>71430517.021564439</v>
      </c>
      <c r="P44" s="29">
        <v>1.7999999999999999E-2</v>
      </c>
      <c r="Q44" s="145">
        <f t="shared" si="7"/>
        <v>72716266.327952594</v>
      </c>
      <c r="R44" s="168">
        <f t="shared" si="22"/>
        <v>116406295.35685009</v>
      </c>
      <c r="S44" s="131">
        <f t="shared" si="23"/>
        <v>92716266.327952594</v>
      </c>
      <c r="T44" s="82"/>
      <c r="U44" s="11"/>
    </row>
    <row r="45" spans="1:28" s="29" customFormat="1" x14ac:dyDescent="0.3">
      <c r="A45" s="11">
        <f t="shared" si="10"/>
        <v>27000000</v>
      </c>
      <c r="C45" s="332"/>
      <c r="D45" s="76">
        <v>6</v>
      </c>
      <c r="E45" s="77">
        <v>2500000</v>
      </c>
      <c r="F45" s="78">
        <v>0</v>
      </c>
      <c r="G45" s="78">
        <v>400000</v>
      </c>
      <c r="H45" s="78">
        <f t="shared" si="18"/>
        <v>2100000</v>
      </c>
      <c r="I45" s="79">
        <v>0</v>
      </c>
      <c r="J45" s="80">
        <f t="shared" si="24"/>
        <v>4000000</v>
      </c>
      <c r="K45" s="81">
        <f t="shared" si="19"/>
        <v>6100000</v>
      </c>
      <c r="L45" s="148">
        <f t="shared" si="20"/>
        <v>16000000</v>
      </c>
      <c r="M45" s="138">
        <f t="shared" si="8"/>
        <v>24523649.551417656</v>
      </c>
      <c r="N45" s="65">
        <v>0</v>
      </c>
      <c r="O45" s="168">
        <f t="shared" si="21"/>
        <v>78816266.327952594</v>
      </c>
      <c r="P45" s="29">
        <v>1.7999999999999999E-2</v>
      </c>
      <c r="Q45" s="145">
        <f t="shared" si="7"/>
        <v>80234959.121855736</v>
      </c>
      <c r="R45" s="168">
        <f t="shared" si="22"/>
        <v>120758608.67327338</v>
      </c>
      <c r="S45" s="131">
        <f t="shared" si="23"/>
        <v>96234959.121855736</v>
      </c>
      <c r="T45" s="82"/>
      <c r="U45" s="11"/>
    </row>
    <row r="46" spans="1:28" s="29" customFormat="1" x14ac:dyDescent="0.3">
      <c r="A46" s="11">
        <f t="shared" si="10"/>
        <v>28000000</v>
      </c>
      <c r="C46" s="332"/>
      <c r="D46" s="76">
        <v>7</v>
      </c>
      <c r="E46" s="77">
        <v>2500000</v>
      </c>
      <c r="F46" s="78">
        <v>0</v>
      </c>
      <c r="G46" s="78">
        <v>400000</v>
      </c>
      <c r="H46" s="78">
        <f t="shared" si="18"/>
        <v>2100000</v>
      </c>
      <c r="I46" s="79">
        <v>0</v>
      </c>
      <c r="J46" s="80">
        <f t="shared" si="24"/>
        <v>4000000</v>
      </c>
      <c r="K46" s="81">
        <f t="shared" si="19"/>
        <v>6100000</v>
      </c>
      <c r="L46" s="148">
        <f t="shared" si="20"/>
        <v>12000000</v>
      </c>
      <c r="M46" s="138">
        <f t="shared" si="8"/>
        <v>25372275.243343174</v>
      </c>
      <c r="N46" s="65">
        <v>0</v>
      </c>
      <c r="O46" s="168">
        <f t="shared" si="21"/>
        <v>86334959.121855736</v>
      </c>
      <c r="P46" s="29">
        <v>1.7999999999999999E-2</v>
      </c>
      <c r="Q46" s="145">
        <f t="shared" si="7"/>
        <v>87888988.386049137</v>
      </c>
      <c r="R46" s="168">
        <f t="shared" si="22"/>
        <v>125261263.62939231</v>
      </c>
      <c r="S46" s="131">
        <f t="shared" si="23"/>
        <v>99888988.386049137</v>
      </c>
      <c r="T46" s="82"/>
      <c r="U46" s="11"/>
    </row>
    <row r="47" spans="1:28" s="29" customFormat="1" x14ac:dyDescent="0.3">
      <c r="A47" s="11">
        <f t="shared" si="10"/>
        <v>29000000</v>
      </c>
      <c r="C47" s="332"/>
      <c r="D47" s="76">
        <v>8</v>
      </c>
      <c r="E47" s="77">
        <v>2500000</v>
      </c>
      <c r="F47" s="78">
        <v>0</v>
      </c>
      <c r="G47" s="78">
        <v>400000</v>
      </c>
      <c r="H47" s="78">
        <f t="shared" si="18"/>
        <v>2100000</v>
      </c>
      <c r="I47" s="79">
        <v>0</v>
      </c>
      <c r="J47" s="80">
        <f t="shared" si="24"/>
        <v>4000000</v>
      </c>
      <c r="K47" s="81">
        <f t="shared" si="19"/>
        <v>6100000</v>
      </c>
      <c r="L47" s="148">
        <f t="shared" si="20"/>
        <v>8000000</v>
      </c>
      <c r="M47" s="138">
        <f t="shared" si="8"/>
        <v>26236176.197723351</v>
      </c>
      <c r="N47" s="65">
        <v>0</v>
      </c>
      <c r="O47" s="168">
        <f t="shared" si="21"/>
        <v>93988988.386049137</v>
      </c>
      <c r="P47" s="29">
        <v>1.7999999999999999E-2</v>
      </c>
      <c r="Q47" s="145">
        <f t="shared" si="7"/>
        <v>95680790.176998019</v>
      </c>
      <c r="R47" s="168">
        <f t="shared" si="22"/>
        <v>129916966.37472138</v>
      </c>
      <c r="S47" s="131">
        <f t="shared" si="23"/>
        <v>103680790.17699802</v>
      </c>
      <c r="T47" s="82"/>
      <c r="U47" s="11"/>
    </row>
    <row r="48" spans="1:28" s="154" customFormat="1" x14ac:dyDescent="0.3">
      <c r="A48" s="153">
        <f t="shared" si="10"/>
        <v>30000000</v>
      </c>
      <c r="C48" s="332"/>
      <c r="D48" s="155">
        <v>9</v>
      </c>
      <c r="E48" s="156">
        <v>2500000</v>
      </c>
      <c r="F48" s="157">
        <v>60000000</v>
      </c>
      <c r="G48" s="157">
        <v>400000</v>
      </c>
      <c r="H48" s="157">
        <f t="shared" si="18"/>
        <v>-57900000</v>
      </c>
      <c r="I48" s="158">
        <v>0</v>
      </c>
      <c r="J48" s="159">
        <f t="shared" si="24"/>
        <v>4000000</v>
      </c>
      <c r="K48" s="160">
        <f t="shared" si="19"/>
        <v>-53900000</v>
      </c>
      <c r="L48" s="161">
        <f t="shared" si="20"/>
        <v>4000000</v>
      </c>
      <c r="M48" s="162">
        <f t="shared" ref="M48:M79" si="25" xml:space="preserve"> (M47 + 400000) + ((M47 + 400000) * P48 )</f>
        <v>27115627.369282372</v>
      </c>
      <c r="N48" s="163">
        <v>0</v>
      </c>
      <c r="O48" s="168">
        <f t="shared" si="21"/>
        <v>41780790.176998019</v>
      </c>
      <c r="P48" s="154">
        <v>1.7999999999999999E-2</v>
      </c>
      <c r="Q48" s="145">
        <f t="shared" si="7"/>
        <v>42532844.400183983</v>
      </c>
      <c r="R48" s="168">
        <f t="shared" si="22"/>
        <v>73648471.769466355</v>
      </c>
      <c r="S48" s="164">
        <f t="shared" si="23"/>
        <v>46532844.400183983</v>
      </c>
      <c r="T48" s="165"/>
      <c r="U48" s="153"/>
    </row>
    <row r="49" spans="1:28" s="29" customFormat="1" x14ac:dyDescent="0.3">
      <c r="A49" s="166">
        <f xml:space="preserve"> 0 +1000000</f>
        <v>1000000</v>
      </c>
      <c r="C49" s="332"/>
      <c r="D49" s="76">
        <v>10</v>
      </c>
      <c r="E49" s="77">
        <v>2500000</v>
      </c>
      <c r="F49" s="78">
        <v>0</v>
      </c>
      <c r="G49" s="78">
        <v>400000</v>
      </c>
      <c r="H49" s="78">
        <f t="shared" si="18"/>
        <v>2100000</v>
      </c>
      <c r="I49" s="79">
        <v>0</v>
      </c>
      <c r="J49" s="80">
        <f xml:space="preserve"> J48</f>
        <v>4000000</v>
      </c>
      <c r="K49" s="81">
        <f t="shared" si="19"/>
        <v>6100000</v>
      </c>
      <c r="L49" s="148">
        <f t="shared" si="20"/>
        <v>0</v>
      </c>
      <c r="M49" s="138">
        <f t="shared" si="25"/>
        <v>28010908.661929455</v>
      </c>
      <c r="N49" s="65">
        <v>0</v>
      </c>
      <c r="O49" s="168">
        <f t="shared" si="21"/>
        <v>48632844.400183983</v>
      </c>
      <c r="P49" s="29">
        <v>1.7999999999999999E-2</v>
      </c>
      <c r="Q49" s="145">
        <f t="shared" si="7"/>
        <v>49508235.599387296</v>
      </c>
      <c r="R49" s="168">
        <f t="shared" si="22"/>
        <v>77519144.261316746</v>
      </c>
      <c r="S49" s="131">
        <f t="shared" si="23"/>
        <v>49508235.599387288</v>
      </c>
      <c r="T49" s="82"/>
      <c r="U49" s="11"/>
    </row>
    <row r="50" spans="1:28" s="83" customFormat="1" ht="17.25" thickBot="1" x14ac:dyDescent="0.35">
      <c r="A50" s="166">
        <f t="shared" si="10"/>
        <v>2000000</v>
      </c>
      <c r="C50" s="332"/>
      <c r="D50" s="84">
        <v>11</v>
      </c>
      <c r="E50" s="85">
        <v>2500000</v>
      </c>
      <c r="F50" s="86">
        <v>0</v>
      </c>
      <c r="G50" s="86">
        <v>400000</v>
      </c>
      <c r="H50" s="86">
        <f t="shared" si="18"/>
        <v>2100000</v>
      </c>
      <c r="I50" s="87">
        <v>13800000</v>
      </c>
      <c r="J50" s="88">
        <v>0</v>
      </c>
      <c r="K50" s="89">
        <f t="shared" si="19"/>
        <v>-11700000</v>
      </c>
      <c r="L50" s="149">
        <f t="shared" si="20"/>
        <v>13800000</v>
      </c>
      <c r="M50" s="139">
        <f t="shared" si="25"/>
        <v>28922305.017844185</v>
      </c>
      <c r="N50" s="97">
        <v>0</v>
      </c>
      <c r="O50" s="169">
        <f t="shared" si="21"/>
        <v>37808235.599387296</v>
      </c>
      <c r="P50" s="83">
        <v>1.7999999999999999E-2</v>
      </c>
      <c r="Q50" s="145">
        <f t="shared" si="7"/>
        <v>38488783.840176269</v>
      </c>
      <c r="R50" s="169">
        <f t="shared" si="22"/>
        <v>81211088.858020455</v>
      </c>
      <c r="S50" s="132">
        <f t="shared" si="23"/>
        <v>52288783.840176269</v>
      </c>
      <c r="T50" s="90"/>
      <c r="U50" s="91"/>
    </row>
    <row r="51" spans="1:28" s="42" customFormat="1" ht="17.25" thickBot="1" x14ac:dyDescent="0.35">
      <c r="A51" s="175">
        <f t="shared" si="10"/>
        <v>3000000</v>
      </c>
      <c r="B51" s="35"/>
      <c r="C51" s="332"/>
      <c r="D51" s="36">
        <v>12</v>
      </c>
      <c r="E51" s="37">
        <v>2500000</v>
      </c>
      <c r="F51" s="38">
        <v>0</v>
      </c>
      <c r="G51" s="38">
        <v>400000</v>
      </c>
      <c r="H51" s="38">
        <f t="shared" si="18"/>
        <v>2100000</v>
      </c>
      <c r="I51" s="87">
        <v>13800000</v>
      </c>
      <c r="J51" s="41">
        <v>0</v>
      </c>
      <c r="K51" s="44">
        <f t="shared" si="19"/>
        <v>-11700000</v>
      </c>
      <c r="L51" s="147">
        <f xml:space="preserve"> L50 +I51 - J51 - N51</f>
        <v>27600000</v>
      </c>
      <c r="M51" s="142">
        <f t="shared" si="25"/>
        <v>29850106.508165382</v>
      </c>
      <c r="N51" s="47">
        <v>0</v>
      </c>
      <c r="O51" s="127">
        <f t="shared" si="21"/>
        <v>26788783.840176269</v>
      </c>
      <c r="P51" s="42">
        <v>1.7999999999999999E-2</v>
      </c>
      <c r="Q51" s="145">
        <f t="shared" si="7"/>
        <v>27270981.949299444</v>
      </c>
      <c r="R51" s="127">
        <f t="shared" si="22"/>
        <v>84721088.457464829</v>
      </c>
      <c r="S51" s="129">
        <f t="shared" si="23"/>
        <v>54870981.949299447</v>
      </c>
      <c r="T51" s="176">
        <f xml:space="preserve"> S51 / 4</f>
        <v>13717745.487324862</v>
      </c>
      <c r="U51" s="43">
        <f>SUM(E4:E51)</f>
        <v>122300000</v>
      </c>
      <c r="V51" s="43">
        <f>SUM(F4:F51)</f>
        <v>75326544</v>
      </c>
      <c r="W51" s="45">
        <f xml:space="preserve"> U51 - V51</f>
        <v>46973456</v>
      </c>
      <c r="X51" s="45">
        <f>R51-W51</f>
        <v>37747632.457464829</v>
      </c>
      <c r="Y51" s="113">
        <f xml:space="preserve"> X51 / W51 * 100</f>
        <v>80.359495919280093</v>
      </c>
      <c r="Z51" s="45">
        <f xml:space="preserve"> (X51 - 2500000) * 0.16</f>
        <v>5639621.1931943726</v>
      </c>
      <c r="AA51" s="212">
        <f xml:space="preserve"> (R51+60000000) - ((2500000 * 12) + R39)</f>
        <v>15509842.459788412</v>
      </c>
      <c r="AB51" s="211">
        <f xml:space="preserve"> (AA51 -2500000) * 0.16</f>
        <v>2081574.7935661459</v>
      </c>
    </row>
    <row r="52" spans="1:28" s="67" customFormat="1" x14ac:dyDescent="0.3">
      <c r="A52" s="166">
        <f t="shared" si="10"/>
        <v>4000000</v>
      </c>
      <c r="B52" s="67">
        <v>4</v>
      </c>
      <c r="C52" s="332">
        <v>2026</v>
      </c>
      <c r="D52" s="68">
        <v>1</v>
      </c>
      <c r="E52" s="69">
        <v>2500000</v>
      </c>
      <c r="F52" s="70">
        <v>0</v>
      </c>
      <c r="G52" s="70">
        <v>400000</v>
      </c>
      <c r="H52" s="70">
        <f t="shared" ref="H52:H63" si="26" xml:space="preserve"> E52 - G52 - F52</f>
        <v>2100000</v>
      </c>
      <c r="I52" s="71">
        <v>0</v>
      </c>
      <c r="J52" s="72">
        <f xml:space="preserve"> L51 / 10</f>
        <v>2760000</v>
      </c>
      <c r="K52" s="73">
        <f t="shared" ref="K52:K63" si="27" xml:space="preserve"> H52 + J52 - I52</f>
        <v>4860000</v>
      </c>
      <c r="L52" s="64">
        <f t="shared" ref="L52:L63" si="28" xml:space="preserve"> L51 +I52 - J52 - N52</f>
        <v>24840000</v>
      </c>
      <c r="M52" s="137">
        <f t="shared" si="25"/>
        <v>30371106.934198044</v>
      </c>
      <c r="N52" s="65">
        <v>0</v>
      </c>
      <c r="O52" s="171">
        <f t="shared" ref="O52:O63" si="29" xml:space="preserve"> Q51 + K52</f>
        <v>32130981.949299444</v>
      </c>
      <c r="P52" s="67">
        <v>4.0000000000000001E-3</v>
      </c>
      <c r="Q52" s="145">
        <f t="shared" si="7"/>
        <v>32259505.877096642</v>
      </c>
      <c r="R52" s="171">
        <f t="shared" ref="R52:R63" si="30" xml:space="preserve"> M52 + Q52 + L52</f>
        <v>87470612.81129469</v>
      </c>
      <c r="S52" s="130">
        <f t="shared" ref="S52:S63" si="31" xml:space="preserve"> R52 - M52</f>
        <v>57099505.877096646</v>
      </c>
      <c r="T52" s="74"/>
      <c r="U52" s="75"/>
    </row>
    <row r="53" spans="1:28" s="98" customFormat="1" x14ac:dyDescent="0.3">
      <c r="A53" s="166">
        <f t="shared" si="10"/>
        <v>5000000</v>
      </c>
      <c r="C53" s="332"/>
      <c r="D53" s="99">
        <v>2</v>
      </c>
      <c r="E53" s="100">
        <v>2500000</v>
      </c>
      <c r="F53" s="101">
        <v>0</v>
      </c>
      <c r="G53" s="101">
        <v>400000</v>
      </c>
      <c r="H53" s="101">
        <f t="shared" si="26"/>
        <v>2100000</v>
      </c>
      <c r="I53" s="102">
        <v>0</v>
      </c>
      <c r="J53" s="103">
        <f xml:space="preserve"> J52</f>
        <v>2760000</v>
      </c>
      <c r="K53" s="104">
        <f t="shared" si="27"/>
        <v>4860000</v>
      </c>
      <c r="L53" s="150">
        <f t="shared" si="28"/>
        <v>22080000</v>
      </c>
      <c r="M53" s="141">
        <f t="shared" si="25"/>
        <v>31324986.85901361</v>
      </c>
      <c r="N53" s="105">
        <v>0</v>
      </c>
      <c r="O53" s="168">
        <f t="shared" si="29"/>
        <v>37119505.877096638</v>
      </c>
      <c r="P53" s="98">
        <v>1.7999999999999999E-2</v>
      </c>
      <c r="Q53" s="145">
        <f t="shared" si="7"/>
        <v>37787656.982884377</v>
      </c>
      <c r="R53" s="168">
        <f t="shared" si="30"/>
        <v>91192643.841897994</v>
      </c>
      <c r="S53" s="133">
        <f t="shared" si="31"/>
        <v>59867656.982884385</v>
      </c>
      <c r="T53" s="106"/>
      <c r="U53" s="107"/>
    </row>
    <row r="54" spans="1:28" s="29" customFormat="1" x14ac:dyDescent="0.3">
      <c r="A54" s="166">
        <f t="shared" si="10"/>
        <v>6000000</v>
      </c>
      <c r="C54" s="332"/>
      <c r="D54" s="76">
        <v>3</v>
      </c>
      <c r="E54" s="77">
        <v>2500000</v>
      </c>
      <c r="F54" s="78">
        <v>0</v>
      </c>
      <c r="G54" s="78">
        <v>400000</v>
      </c>
      <c r="H54" s="78">
        <f t="shared" si="26"/>
        <v>2100000</v>
      </c>
      <c r="I54" s="79">
        <v>0</v>
      </c>
      <c r="J54" s="80">
        <f t="shared" ref="J54:J60" si="32" xml:space="preserve"> J53</f>
        <v>2760000</v>
      </c>
      <c r="K54" s="81">
        <f t="shared" si="27"/>
        <v>4860000</v>
      </c>
      <c r="L54" s="148">
        <f t="shared" si="28"/>
        <v>19320000</v>
      </c>
      <c r="M54" s="138">
        <f t="shared" si="25"/>
        <v>32296036.622475855</v>
      </c>
      <c r="N54" s="65">
        <v>0</v>
      </c>
      <c r="O54" s="168">
        <f t="shared" si="29"/>
        <v>42647656.982884377</v>
      </c>
      <c r="P54" s="29">
        <v>1.7999999999999999E-2</v>
      </c>
      <c r="Q54" s="145">
        <f t="shared" si="7"/>
        <v>43415314.808576293</v>
      </c>
      <c r="R54" s="168">
        <f t="shared" si="30"/>
        <v>95031351.431052148</v>
      </c>
      <c r="S54" s="131">
        <f t="shared" si="31"/>
        <v>62735314.808576293</v>
      </c>
      <c r="T54" s="82"/>
      <c r="U54" s="11"/>
    </row>
    <row r="55" spans="1:28" s="29" customFormat="1" x14ac:dyDescent="0.3">
      <c r="A55" s="166">
        <f t="shared" si="10"/>
        <v>7000000</v>
      </c>
      <c r="C55" s="332"/>
      <c r="D55" s="76">
        <v>4</v>
      </c>
      <c r="E55" s="77">
        <v>2500000</v>
      </c>
      <c r="F55" s="78">
        <v>0</v>
      </c>
      <c r="G55" s="78">
        <v>400000</v>
      </c>
      <c r="H55" s="78">
        <f t="shared" si="26"/>
        <v>2100000</v>
      </c>
      <c r="I55" s="79">
        <v>0</v>
      </c>
      <c r="J55" s="80">
        <f t="shared" si="32"/>
        <v>2760000</v>
      </c>
      <c r="K55" s="81">
        <f t="shared" si="27"/>
        <v>4860000</v>
      </c>
      <c r="L55" s="148">
        <f t="shared" si="28"/>
        <v>16560000</v>
      </c>
      <c r="M55" s="138">
        <f t="shared" si="25"/>
        <v>33284565.28168042</v>
      </c>
      <c r="N55" s="65">
        <v>0</v>
      </c>
      <c r="O55" s="168">
        <f t="shared" si="29"/>
        <v>48275314.808576293</v>
      </c>
      <c r="P55" s="29">
        <v>1.7999999999999999E-2</v>
      </c>
      <c r="Q55" s="145">
        <f t="shared" si="7"/>
        <v>49144270.47513067</v>
      </c>
      <c r="R55" s="168">
        <f t="shared" si="30"/>
        <v>98988835.756811082</v>
      </c>
      <c r="S55" s="131">
        <f t="shared" si="31"/>
        <v>65704270.475130662</v>
      </c>
      <c r="T55" s="82"/>
      <c r="U55" s="11"/>
    </row>
    <row r="56" spans="1:28" s="29" customFormat="1" x14ac:dyDescent="0.3">
      <c r="A56" s="166">
        <f t="shared" si="10"/>
        <v>8000000</v>
      </c>
      <c r="C56" s="332"/>
      <c r="D56" s="76">
        <v>5</v>
      </c>
      <c r="E56" s="77">
        <v>2500000</v>
      </c>
      <c r="F56" s="78">
        <v>2100000</v>
      </c>
      <c r="G56" s="78">
        <v>400000</v>
      </c>
      <c r="H56" s="78">
        <f t="shared" si="26"/>
        <v>0</v>
      </c>
      <c r="I56" s="79">
        <v>0</v>
      </c>
      <c r="J56" s="80">
        <f t="shared" si="32"/>
        <v>2760000</v>
      </c>
      <c r="K56" s="81">
        <f t="shared" si="27"/>
        <v>2760000</v>
      </c>
      <c r="L56" s="148">
        <f t="shared" si="28"/>
        <v>13800000</v>
      </c>
      <c r="M56" s="138">
        <f t="shared" si="25"/>
        <v>34290887.456750669</v>
      </c>
      <c r="N56" s="65">
        <v>0</v>
      </c>
      <c r="O56" s="168">
        <f t="shared" si="29"/>
        <v>51904270.47513067</v>
      </c>
      <c r="P56" s="29">
        <v>1.7999999999999999E-2</v>
      </c>
      <c r="Q56" s="145">
        <f t="shared" si="7"/>
        <v>52838547.343683019</v>
      </c>
      <c r="R56" s="168">
        <f t="shared" si="30"/>
        <v>100929434.8004337</v>
      </c>
      <c r="S56" s="131">
        <f t="shared" si="31"/>
        <v>66638547.343683027</v>
      </c>
      <c r="T56" s="82"/>
      <c r="U56" s="11"/>
    </row>
    <row r="57" spans="1:28" s="29" customFormat="1" x14ac:dyDescent="0.3">
      <c r="A57" s="166">
        <f t="shared" si="10"/>
        <v>9000000</v>
      </c>
      <c r="C57" s="332"/>
      <c r="D57" s="76">
        <v>6</v>
      </c>
      <c r="E57" s="77">
        <v>2500000</v>
      </c>
      <c r="F57" s="78">
        <v>0</v>
      </c>
      <c r="G57" s="78">
        <v>400000</v>
      </c>
      <c r="H57" s="78">
        <f t="shared" si="26"/>
        <v>2100000</v>
      </c>
      <c r="I57" s="79">
        <v>0</v>
      </c>
      <c r="J57" s="80">
        <f t="shared" si="32"/>
        <v>2760000</v>
      </c>
      <c r="K57" s="81">
        <f t="shared" si="27"/>
        <v>4860000</v>
      </c>
      <c r="L57" s="148">
        <f t="shared" si="28"/>
        <v>11040000</v>
      </c>
      <c r="M57" s="138">
        <f t="shared" si="25"/>
        <v>35315323.430972181</v>
      </c>
      <c r="N57" s="65">
        <v>0</v>
      </c>
      <c r="O57" s="168">
        <f t="shared" si="29"/>
        <v>57698547.343683019</v>
      </c>
      <c r="P57" s="29">
        <v>1.7999999999999999E-2</v>
      </c>
      <c r="Q57" s="145">
        <f t="shared" si="7"/>
        <v>58737121.195869312</v>
      </c>
      <c r="R57" s="168">
        <f t="shared" si="30"/>
        <v>105092444.62684149</v>
      </c>
      <c r="S57" s="131">
        <f t="shared" si="31"/>
        <v>69777121.195869297</v>
      </c>
      <c r="T57" s="82"/>
      <c r="U57" s="11"/>
    </row>
    <row r="58" spans="1:28" s="29" customFormat="1" x14ac:dyDescent="0.3">
      <c r="A58" s="166">
        <f t="shared" si="10"/>
        <v>10000000</v>
      </c>
      <c r="C58" s="332"/>
      <c r="D58" s="76">
        <v>7</v>
      </c>
      <c r="E58" s="77">
        <v>2500000</v>
      </c>
      <c r="F58" s="78">
        <v>0</v>
      </c>
      <c r="G58" s="78">
        <v>400000</v>
      </c>
      <c r="H58" s="78">
        <f t="shared" si="26"/>
        <v>2100000</v>
      </c>
      <c r="I58" s="79">
        <v>0</v>
      </c>
      <c r="J58" s="80">
        <f t="shared" si="32"/>
        <v>2760000</v>
      </c>
      <c r="K58" s="81">
        <f t="shared" si="27"/>
        <v>4860000</v>
      </c>
      <c r="L58" s="148">
        <f t="shared" si="28"/>
        <v>8280000</v>
      </c>
      <c r="M58" s="138">
        <f t="shared" si="25"/>
        <v>36358199.252729684</v>
      </c>
      <c r="N58" s="65">
        <v>0</v>
      </c>
      <c r="O58" s="168">
        <f t="shared" si="29"/>
        <v>63597121.195869312</v>
      </c>
      <c r="P58" s="29">
        <v>1.7999999999999999E-2</v>
      </c>
      <c r="Q58" s="145">
        <f t="shared" si="7"/>
        <v>64741869.377394959</v>
      </c>
      <c r="R58" s="168">
        <f t="shared" si="30"/>
        <v>109380068.63012464</v>
      </c>
      <c r="S58" s="131">
        <f t="shared" si="31"/>
        <v>73021869.377394959</v>
      </c>
      <c r="T58" s="82"/>
      <c r="U58" s="11"/>
    </row>
    <row r="59" spans="1:28" s="29" customFormat="1" x14ac:dyDescent="0.3">
      <c r="A59" s="166">
        <f t="shared" si="10"/>
        <v>11000000</v>
      </c>
      <c r="C59" s="332"/>
      <c r="D59" s="76">
        <v>8</v>
      </c>
      <c r="E59" s="77">
        <v>2500000</v>
      </c>
      <c r="F59" s="78">
        <v>0</v>
      </c>
      <c r="G59" s="78">
        <v>400000</v>
      </c>
      <c r="H59" s="78">
        <f t="shared" si="26"/>
        <v>2100000</v>
      </c>
      <c r="I59" s="79">
        <v>0</v>
      </c>
      <c r="J59" s="80">
        <f t="shared" si="32"/>
        <v>2760000</v>
      </c>
      <c r="K59" s="81">
        <f t="shared" si="27"/>
        <v>4860000</v>
      </c>
      <c r="L59" s="148">
        <f t="shared" si="28"/>
        <v>5520000</v>
      </c>
      <c r="M59" s="138">
        <f t="shared" si="25"/>
        <v>37419846.839278817</v>
      </c>
      <c r="N59" s="65">
        <v>0</v>
      </c>
      <c r="O59" s="168">
        <f t="shared" si="29"/>
        <v>69601869.377394959</v>
      </c>
      <c r="P59" s="29">
        <v>1.7999999999999999E-2</v>
      </c>
      <c r="Q59" s="145">
        <f t="shared" si="7"/>
        <v>70854703.026188076</v>
      </c>
      <c r="R59" s="168">
        <f t="shared" si="30"/>
        <v>113794549.86546689</v>
      </c>
      <c r="S59" s="131">
        <f t="shared" si="31"/>
        <v>76374703.026188076</v>
      </c>
      <c r="T59" s="82"/>
      <c r="U59" s="11"/>
    </row>
    <row r="60" spans="1:28" s="29" customFormat="1" x14ac:dyDescent="0.3">
      <c r="A60" s="166">
        <f t="shared" si="10"/>
        <v>12000000</v>
      </c>
      <c r="C60" s="332"/>
      <c r="D60" s="76">
        <v>9</v>
      </c>
      <c r="E60" s="77">
        <v>2500000</v>
      </c>
      <c r="F60" s="78">
        <v>0</v>
      </c>
      <c r="G60" s="78">
        <v>400000</v>
      </c>
      <c r="H60" s="78">
        <f t="shared" si="26"/>
        <v>2100000</v>
      </c>
      <c r="I60" s="79">
        <v>0</v>
      </c>
      <c r="J60" s="80">
        <f t="shared" si="32"/>
        <v>2760000</v>
      </c>
      <c r="K60" s="81">
        <f t="shared" si="27"/>
        <v>4860000</v>
      </c>
      <c r="L60" s="148">
        <f t="shared" si="28"/>
        <v>2760000</v>
      </c>
      <c r="M60" s="138">
        <f t="shared" si="25"/>
        <v>38500604.082385838</v>
      </c>
      <c r="N60" s="65">
        <v>0</v>
      </c>
      <c r="O60" s="168">
        <f t="shared" si="29"/>
        <v>75714703.026188076</v>
      </c>
      <c r="P60" s="29">
        <v>1.7999999999999999E-2</v>
      </c>
      <c r="Q60" s="145">
        <f t="shared" si="7"/>
        <v>77077567.680659458</v>
      </c>
      <c r="R60" s="168">
        <f t="shared" si="30"/>
        <v>118338171.7630453</v>
      </c>
      <c r="S60" s="131">
        <f t="shared" si="31"/>
        <v>79837567.680659458</v>
      </c>
      <c r="T60" s="82"/>
      <c r="U60" s="11"/>
    </row>
    <row r="61" spans="1:28" s="29" customFormat="1" x14ac:dyDescent="0.3">
      <c r="A61" s="166">
        <f t="shared" si="10"/>
        <v>13000000</v>
      </c>
      <c r="C61" s="332"/>
      <c r="D61" s="76">
        <v>10</v>
      </c>
      <c r="E61" s="77">
        <v>2500000</v>
      </c>
      <c r="F61" s="78">
        <v>0</v>
      </c>
      <c r="G61" s="78">
        <v>400000</v>
      </c>
      <c r="H61" s="78">
        <f t="shared" si="26"/>
        <v>2100000</v>
      </c>
      <c r="I61" s="79">
        <v>0</v>
      </c>
      <c r="J61" s="80">
        <f xml:space="preserve"> J60</f>
        <v>2760000</v>
      </c>
      <c r="K61" s="81">
        <f t="shared" si="27"/>
        <v>4860000</v>
      </c>
      <c r="L61" s="148">
        <f t="shared" si="28"/>
        <v>0</v>
      </c>
      <c r="M61" s="138">
        <f t="shared" si="25"/>
        <v>39600814.955868781</v>
      </c>
      <c r="N61" s="65">
        <v>0</v>
      </c>
      <c r="O61" s="168">
        <f t="shared" si="29"/>
        <v>81937567.680659458</v>
      </c>
      <c r="P61" s="29">
        <v>1.7999999999999999E-2</v>
      </c>
      <c r="Q61" s="145">
        <f t="shared" si="7"/>
        <v>83412443.898911327</v>
      </c>
      <c r="R61" s="168">
        <f t="shared" si="30"/>
        <v>123013258.85478011</v>
      </c>
      <c r="S61" s="131">
        <f t="shared" si="31"/>
        <v>83412443.898911327</v>
      </c>
      <c r="T61" s="82"/>
      <c r="U61" s="11"/>
    </row>
    <row r="62" spans="1:28" s="83" customFormat="1" ht="17.25" thickBot="1" x14ac:dyDescent="0.35">
      <c r="A62" s="166">
        <f t="shared" si="10"/>
        <v>14000000</v>
      </c>
      <c r="C62" s="332"/>
      <c r="D62" s="84">
        <v>11</v>
      </c>
      <c r="E62" s="85">
        <v>2500000</v>
      </c>
      <c r="F62" s="86">
        <v>0</v>
      </c>
      <c r="G62" s="86">
        <v>400000</v>
      </c>
      <c r="H62" s="86">
        <f t="shared" si="26"/>
        <v>2100000</v>
      </c>
      <c r="I62" s="87">
        <v>22400000</v>
      </c>
      <c r="J62" s="88">
        <v>0</v>
      </c>
      <c r="K62" s="89">
        <f t="shared" si="27"/>
        <v>-20300000</v>
      </c>
      <c r="L62" s="149">
        <f t="shared" si="28"/>
        <v>22400000</v>
      </c>
      <c r="M62" s="139">
        <f t="shared" si="25"/>
        <v>40720829.625074416</v>
      </c>
      <c r="N62" s="97">
        <v>0</v>
      </c>
      <c r="O62" s="169">
        <f t="shared" si="29"/>
        <v>63112443.898911327</v>
      </c>
      <c r="P62" s="83">
        <v>1.7999999999999999E-2</v>
      </c>
      <c r="Q62" s="145">
        <f t="shared" si="7"/>
        <v>64248467.88909173</v>
      </c>
      <c r="R62" s="169">
        <f t="shared" si="30"/>
        <v>127369297.51416615</v>
      </c>
      <c r="S62" s="132">
        <f t="shared" si="31"/>
        <v>86648467.88909173</v>
      </c>
      <c r="T62" s="90"/>
      <c r="U62" s="91"/>
    </row>
    <row r="63" spans="1:28" s="42" customFormat="1" ht="17.25" thickBot="1" x14ac:dyDescent="0.35">
      <c r="A63" s="175">
        <f t="shared" si="10"/>
        <v>15000000</v>
      </c>
      <c r="B63" s="35"/>
      <c r="C63" s="332"/>
      <c r="D63" s="36">
        <v>12</v>
      </c>
      <c r="E63" s="37">
        <v>2500000</v>
      </c>
      <c r="F63" s="38">
        <v>0</v>
      </c>
      <c r="G63" s="38">
        <v>400000</v>
      </c>
      <c r="H63" s="38">
        <f t="shared" si="26"/>
        <v>2100000</v>
      </c>
      <c r="I63" s="39">
        <v>22400000</v>
      </c>
      <c r="J63" s="41">
        <v>0</v>
      </c>
      <c r="K63" s="44">
        <f t="shared" si="27"/>
        <v>-20300000</v>
      </c>
      <c r="L63" s="147">
        <f t="shared" si="28"/>
        <v>44800000</v>
      </c>
      <c r="M63" s="142">
        <f t="shared" si="25"/>
        <v>41861004.558325753</v>
      </c>
      <c r="N63" s="47">
        <v>0</v>
      </c>
      <c r="O63" s="127">
        <f t="shared" si="29"/>
        <v>43948467.88909173</v>
      </c>
      <c r="P63" s="42">
        <v>1.7999999999999999E-2</v>
      </c>
      <c r="Q63" s="145">
        <f t="shared" si="7"/>
        <v>44739540.311095379</v>
      </c>
      <c r="R63" s="127">
        <f t="shared" si="30"/>
        <v>131400544.86942112</v>
      </c>
      <c r="S63" s="129">
        <f t="shared" si="31"/>
        <v>89539540.311095372</v>
      </c>
      <c r="T63" s="176">
        <f xml:space="preserve"> S63 / 4</f>
        <v>22384885.077773843</v>
      </c>
      <c r="U63" s="43">
        <f>SUM(E4:E63)</f>
        <v>152300000</v>
      </c>
      <c r="V63" s="43">
        <f>SUM(F4:F63)</f>
        <v>77426544</v>
      </c>
      <c r="W63" s="45">
        <f xml:space="preserve"> U63 - V63</f>
        <v>74873456</v>
      </c>
      <c r="X63" s="45">
        <f>R63-W63</f>
        <v>56527088.869421124</v>
      </c>
      <c r="Y63" s="113">
        <f xml:space="preserve"> X63 / W63 * 100</f>
        <v>75.496834110904558</v>
      </c>
      <c r="Z63" s="45">
        <f xml:space="preserve"> (X63 - 2500000) * 0.16</f>
        <v>8644334.2191073801</v>
      </c>
      <c r="AA63" s="211">
        <f xml:space="preserve"> R63 - ((2500000 * 12) + R51)</f>
        <v>16679456.411956295</v>
      </c>
      <c r="AB63" s="211">
        <f xml:space="preserve"> (AA63 -2500000) * 0.16</f>
        <v>2268713.0259130071</v>
      </c>
    </row>
    <row r="64" spans="1:28" s="67" customFormat="1" x14ac:dyDescent="0.3">
      <c r="A64" s="166">
        <f t="shared" si="10"/>
        <v>16000000</v>
      </c>
      <c r="B64" s="67">
        <v>6</v>
      </c>
      <c r="C64" s="332">
        <v>2027</v>
      </c>
      <c r="D64" s="68">
        <v>1</v>
      </c>
      <c r="E64" s="69">
        <v>2500000</v>
      </c>
      <c r="F64" s="70">
        <v>0</v>
      </c>
      <c r="G64" s="70">
        <v>400000</v>
      </c>
      <c r="H64" s="70">
        <f t="shared" si="11"/>
        <v>2100000</v>
      </c>
      <c r="I64" s="71">
        <v>0</v>
      </c>
      <c r="J64" s="72">
        <f xml:space="preserve"> L63 / 10</f>
        <v>4480000</v>
      </c>
      <c r="K64" s="73">
        <f t="shared" si="12"/>
        <v>6580000</v>
      </c>
      <c r="L64" s="64">
        <f t="shared" si="13"/>
        <v>40320000</v>
      </c>
      <c r="M64" s="137">
        <f t="shared" si="25"/>
        <v>42430048.576559059</v>
      </c>
      <c r="N64" s="65">
        <v>0</v>
      </c>
      <c r="O64" s="171">
        <f t="shared" si="14"/>
        <v>51319540.311095379</v>
      </c>
      <c r="P64" s="67">
        <v>4.0000000000000001E-3</v>
      </c>
      <c r="Q64" s="145">
        <f t="shared" si="7"/>
        <v>51524818.472339764</v>
      </c>
      <c r="R64" s="171">
        <f t="shared" si="15"/>
        <v>134274867.04889882</v>
      </c>
      <c r="S64" s="130">
        <f t="shared" si="16"/>
        <v>91844818.472339749</v>
      </c>
      <c r="T64" s="74"/>
      <c r="U64" s="75"/>
    </row>
    <row r="65" spans="1:28" s="29" customFormat="1" x14ac:dyDescent="0.3">
      <c r="A65" s="166">
        <f t="shared" si="10"/>
        <v>17000000</v>
      </c>
      <c r="C65" s="332"/>
      <c r="D65" s="76">
        <v>2</v>
      </c>
      <c r="E65" s="77">
        <v>2500000</v>
      </c>
      <c r="F65" s="78">
        <v>0</v>
      </c>
      <c r="G65" s="78">
        <v>400000</v>
      </c>
      <c r="H65" s="78">
        <f t="shared" si="11"/>
        <v>2100000</v>
      </c>
      <c r="I65" s="79">
        <v>0</v>
      </c>
      <c r="J65" s="80">
        <f xml:space="preserve"> J64</f>
        <v>4480000</v>
      </c>
      <c r="K65" s="81">
        <f t="shared" si="12"/>
        <v>6580000</v>
      </c>
      <c r="L65" s="148">
        <f t="shared" si="13"/>
        <v>35840000</v>
      </c>
      <c r="M65" s="138">
        <f t="shared" si="25"/>
        <v>43600989.450937122</v>
      </c>
      <c r="N65" s="65">
        <v>0</v>
      </c>
      <c r="O65" s="168">
        <f t="shared" si="14"/>
        <v>58104818.472339764</v>
      </c>
      <c r="P65" s="29">
        <v>1.7999999999999999E-2</v>
      </c>
      <c r="Q65" s="145">
        <f t="shared" si="7"/>
        <v>59150705.204841882</v>
      </c>
      <c r="R65" s="168">
        <f t="shared" si="15"/>
        <v>138591694.655779</v>
      </c>
      <c r="S65" s="131">
        <f t="shared" si="16"/>
        <v>94990705.204841882</v>
      </c>
      <c r="T65" s="82"/>
      <c r="U65" s="11"/>
    </row>
    <row r="66" spans="1:28" s="29" customFormat="1" x14ac:dyDescent="0.3">
      <c r="A66" s="166">
        <f t="shared" si="10"/>
        <v>18000000</v>
      </c>
      <c r="C66" s="332"/>
      <c r="D66" s="76">
        <v>3</v>
      </c>
      <c r="E66" s="77">
        <v>2500000</v>
      </c>
      <c r="F66" s="78">
        <v>0</v>
      </c>
      <c r="G66" s="78">
        <v>400000</v>
      </c>
      <c r="H66" s="78">
        <f t="shared" si="11"/>
        <v>2100000</v>
      </c>
      <c r="I66" s="79">
        <v>0</v>
      </c>
      <c r="J66" s="80">
        <f t="shared" ref="J66:J72" si="33" xml:space="preserve"> J65</f>
        <v>4480000</v>
      </c>
      <c r="K66" s="81">
        <f t="shared" si="12"/>
        <v>6580000</v>
      </c>
      <c r="L66" s="148">
        <f t="shared" si="13"/>
        <v>31360000</v>
      </c>
      <c r="M66" s="138">
        <f t="shared" si="25"/>
        <v>44793007.261053987</v>
      </c>
      <c r="N66" s="65">
        <v>0</v>
      </c>
      <c r="O66" s="168">
        <f t="shared" si="14"/>
        <v>65730705.204841882</v>
      </c>
      <c r="P66" s="29">
        <v>1.7999999999999999E-2</v>
      </c>
      <c r="Q66" s="145">
        <f t="shared" si="7"/>
        <v>66913857.898529038</v>
      </c>
      <c r="R66" s="168">
        <f t="shared" si="15"/>
        <v>143066865.15958303</v>
      </c>
      <c r="S66" s="131">
        <f t="shared" si="16"/>
        <v>98273857.898529053</v>
      </c>
      <c r="T66" s="82"/>
      <c r="U66" s="11"/>
    </row>
    <row r="67" spans="1:28" s="29" customFormat="1" x14ac:dyDescent="0.3">
      <c r="A67" s="166">
        <f t="shared" si="10"/>
        <v>19000000</v>
      </c>
      <c r="C67" s="332"/>
      <c r="D67" s="76">
        <v>4</v>
      </c>
      <c r="E67" s="77">
        <v>2500000</v>
      </c>
      <c r="F67" s="78">
        <v>0</v>
      </c>
      <c r="G67" s="78">
        <v>400000</v>
      </c>
      <c r="H67" s="78">
        <f t="shared" si="11"/>
        <v>2100000</v>
      </c>
      <c r="I67" s="79">
        <v>0</v>
      </c>
      <c r="J67" s="80">
        <f t="shared" si="33"/>
        <v>4480000</v>
      </c>
      <c r="K67" s="81">
        <f t="shared" si="12"/>
        <v>6580000</v>
      </c>
      <c r="L67" s="148">
        <f t="shared" si="13"/>
        <v>26880000</v>
      </c>
      <c r="M67" s="138">
        <f t="shared" si="25"/>
        <v>46006481.391752958</v>
      </c>
      <c r="N67" s="65">
        <v>0</v>
      </c>
      <c r="O67" s="168">
        <f t="shared" si="14"/>
        <v>73493857.898529038</v>
      </c>
      <c r="P67" s="29">
        <v>1.7999999999999999E-2</v>
      </c>
      <c r="Q67" s="145">
        <f t="shared" si="7"/>
        <v>74816747.340702564</v>
      </c>
      <c r="R67" s="168">
        <f t="shared" si="15"/>
        <v>147703228.73245552</v>
      </c>
      <c r="S67" s="131">
        <f t="shared" si="16"/>
        <v>101696747.34070256</v>
      </c>
      <c r="T67" s="82"/>
      <c r="U67" s="11"/>
    </row>
    <row r="68" spans="1:28" s="29" customFormat="1" x14ac:dyDescent="0.3">
      <c r="A68" s="166">
        <f t="shared" si="10"/>
        <v>20000000</v>
      </c>
      <c r="C68" s="332"/>
      <c r="D68" s="76">
        <v>5</v>
      </c>
      <c r="E68" s="77">
        <v>2500000</v>
      </c>
      <c r="F68" s="78">
        <v>2250000</v>
      </c>
      <c r="G68" s="78">
        <v>400000</v>
      </c>
      <c r="H68" s="78">
        <f t="shared" si="11"/>
        <v>-150000</v>
      </c>
      <c r="I68" s="79">
        <v>0</v>
      </c>
      <c r="J68" s="80">
        <f t="shared" si="33"/>
        <v>4480000</v>
      </c>
      <c r="K68" s="81">
        <f t="shared" si="12"/>
        <v>4330000</v>
      </c>
      <c r="L68" s="148">
        <f t="shared" si="13"/>
        <v>22400000</v>
      </c>
      <c r="M68" s="138">
        <f t="shared" si="25"/>
        <v>47241798.056804508</v>
      </c>
      <c r="N68" s="65">
        <v>0</v>
      </c>
      <c r="O68" s="168">
        <f t="shared" si="14"/>
        <v>79146747.340702564</v>
      </c>
      <c r="P68" s="29">
        <v>1.7999999999999999E-2</v>
      </c>
      <c r="Q68" s="145">
        <f t="shared" si="7"/>
        <v>80571388.792835206</v>
      </c>
      <c r="R68" s="168">
        <f t="shared" si="15"/>
        <v>150213186.84963971</v>
      </c>
      <c r="S68" s="131">
        <f t="shared" si="16"/>
        <v>102971388.79283521</v>
      </c>
      <c r="T68" s="82"/>
      <c r="U68" s="11"/>
    </row>
    <row r="69" spans="1:28" s="29" customFormat="1" x14ac:dyDescent="0.3">
      <c r="A69" s="166">
        <f t="shared" si="10"/>
        <v>21000000</v>
      </c>
      <c r="C69" s="332"/>
      <c r="D69" s="76">
        <v>6</v>
      </c>
      <c r="E69" s="77">
        <v>2500000</v>
      </c>
      <c r="F69" s="78">
        <v>0</v>
      </c>
      <c r="G69" s="78">
        <v>400000</v>
      </c>
      <c r="H69" s="78">
        <f t="shared" si="11"/>
        <v>2100000</v>
      </c>
      <c r="I69" s="79">
        <v>0</v>
      </c>
      <c r="J69" s="80">
        <f t="shared" si="33"/>
        <v>4480000</v>
      </c>
      <c r="K69" s="81">
        <f t="shared" si="12"/>
        <v>6580000</v>
      </c>
      <c r="L69" s="148">
        <f t="shared" si="13"/>
        <v>17920000</v>
      </c>
      <c r="M69" s="138">
        <f t="shared" si="25"/>
        <v>48499350.421826988</v>
      </c>
      <c r="N69" s="65">
        <v>0</v>
      </c>
      <c r="O69" s="168">
        <f t="shared" si="14"/>
        <v>87151388.792835206</v>
      </c>
      <c r="P69" s="29">
        <v>1.7999999999999999E-2</v>
      </c>
      <c r="Q69" s="145">
        <f t="shared" si="7"/>
        <v>88720113.791106239</v>
      </c>
      <c r="R69" s="168">
        <f t="shared" si="15"/>
        <v>155139464.21293324</v>
      </c>
      <c r="S69" s="131">
        <f t="shared" si="16"/>
        <v>106640113.79110625</v>
      </c>
      <c r="T69" s="82"/>
      <c r="U69" s="11"/>
    </row>
    <row r="70" spans="1:28" s="29" customFormat="1" x14ac:dyDescent="0.3">
      <c r="A70" s="166">
        <f t="shared" si="10"/>
        <v>22000000</v>
      </c>
      <c r="C70" s="332"/>
      <c r="D70" s="76">
        <v>7</v>
      </c>
      <c r="E70" s="77">
        <v>2500000</v>
      </c>
      <c r="F70" s="78">
        <v>0</v>
      </c>
      <c r="G70" s="78">
        <v>400000</v>
      </c>
      <c r="H70" s="78">
        <f t="shared" si="11"/>
        <v>2100000</v>
      </c>
      <c r="I70" s="79">
        <v>0</v>
      </c>
      <c r="J70" s="80">
        <f t="shared" si="33"/>
        <v>4480000</v>
      </c>
      <c r="K70" s="81">
        <f t="shared" si="12"/>
        <v>6580000</v>
      </c>
      <c r="L70" s="148">
        <f t="shared" si="13"/>
        <v>13440000</v>
      </c>
      <c r="M70" s="138">
        <f t="shared" si="25"/>
        <v>49779538.729419872</v>
      </c>
      <c r="N70" s="65">
        <v>0</v>
      </c>
      <c r="O70" s="168">
        <f t="shared" si="14"/>
        <v>95300113.791106239</v>
      </c>
      <c r="P70" s="29">
        <v>1.7999999999999999E-2</v>
      </c>
      <c r="Q70" s="145">
        <f t="shared" si="7"/>
        <v>97015515.839346156</v>
      </c>
      <c r="R70" s="168">
        <f t="shared" si="15"/>
        <v>160235054.56876603</v>
      </c>
      <c r="S70" s="131">
        <f t="shared" si="16"/>
        <v>110455515.83934616</v>
      </c>
      <c r="T70" s="82"/>
      <c r="U70" s="11"/>
    </row>
    <row r="71" spans="1:28" s="29" customFormat="1" x14ac:dyDescent="0.3">
      <c r="A71" s="166">
        <f t="shared" si="10"/>
        <v>23000000</v>
      </c>
      <c r="C71" s="332"/>
      <c r="D71" s="76">
        <v>8</v>
      </c>
      <c r="E71" s="77">
        <v>2500000</v>
      </c>
      <c r="F71" s="78">
        <v>0</v>
      </c>
      <c r="G71" s="78">
        <v>400000</v>
      </c>
      <c r="H71" s="78">
        <f t="shared" si="11"/>
        <v>2100000</v>
      </c>
      <c r="I71" s="79">
        <v>0</v>
      </c>
      <c r="J71" s="80">
        <f t="shared" si="33"/>
        <v>4480000</v>
      </c>
      <c r="K71" s="81">
        <f t="shared" si="12"/>
        <v>6580000</v>
      </c>
      <c r="L71" s="148">
        <f t="shared" si="13"/>
        <v>8960000</v>
      </c>
      <c r="M71" s="138">
        <f t="shared" si="25"/>
        <v>51082770.426549427</v>
      </c>
      <c r="N71" s="65">
        <v>0</v>
      </c>
      <c r="O71" s="168">
        <f t="shared" si="14"/>
        <v>103595515.83934616</v>
      </c>
      <c r="P71" s="29">
        <v>1.7999999999999999E-2</v>
      </c>
      <c r="Q71" s="145">
        <f t="shared" ref="Q71:Q134" si="34" xml:space="preserve"> ((O71 +N71) * P71) + (O71+N71)</f>
        <v>105460235.12445438</v>
      </c>
      <c r="R71" s="168">
        <f t="shared" si="15"/>
        <v>165503005.55100381</v>
      </c>
      <c r="S71" s="131">
        <f t="shared" si="16"/>
        <v>114420235.12445438</v>
      </c>
      <c r="T71" s="82"/>
      <c r="U71" s="11"/>
    </row>
    <row r="72" spans="1:28" s="29" customFormat="1" x14ac:dyDescent="0.3">
      <c r="A72" s="166">
        <f t="shared" si="10"/>
        <v>24000000</v>
      </c>
      <c r="C72" s="332"/>
      <c r="D72" s="76">
        <v>9</v>
      </c>
      <c r="E72" s="77">
        <v>2500000</v>
      </c>
      <c r="F72" s="78">
        <v>0</v>
      </c>
      <c r="G72" s="78">
        <v>400000</v>
      </c>
      <c r="H72" s="78">
        <f t="shared" si="11"/>
        <v>2100000</v>
      </c>
      <c r="I72" s="79">
        <v>0</v>
      </c>
      <c r="J72" s="80">
        <f t="shared" si="33"/>
        <v>4480000</v>
      </c>
      <c r="K72" s="81">
        <f t="shared" si="12"/>
        <v>6580000</v>
      </c>
      <c r="L72" s="148">
        <f t="shared" si="13"/>
        <v>4480000</v>
      </c>
      <c r="M72" s="138">
        <f t="shared" si="25"/>
        <v>52409460.294227317</v>
      </c>
      <c r="N72" s="65">
        <v>0</v>
      </c>
      <c r="O72" s="168">
        <f t="shared" si="14"/>
        <v>112040235.12445438</v>
      </c>
      <c r="P72" s="29">
        <v>1.7999999999999999E-2</v>
      </c>
      <c r="Q72" s="145">
        <f t="shared" si="34"/>
        <v>114056959.35669456</v>
      </c>
      <c r="R72" s="168">
        <f t="shared" si="15"/>
        <v>170946419.65092188</v>
      </c>
      <c r="S72" s="131">
        <f t="shared" si="16"/>
        <v>118536959.35669456</v>
      </c>
      <c r="T72" s="82"/>
      <c r="U72" s="11"/>
    </row>
    <row r="73" spans="1:28" s="29" customFormat="1" x14ac:dyDescent="0.3">
      <c r="A73" s="166">
        <f t="shared" si="10"/>
        <v>25000000</v>
      </c>
      <c r="C73" s="332"/>
      <c r="D73" s="76">
        <v>10</v>
      </c>
      <c r="E73" s="77">
        <v>2500000</v>
      </c>
      <c r="F73" s="78">
        <v>0</v>
      </c>
      <c r="G73" s="78">
        <v>400000</v>
      </c>
      <c r="H73" s="78">
        <f t="shared" si="11"/>
        <v>2100000</v>
      </c>
      <c r="I73" s="79">
        <v>0</v>
      </c>
      <c r="J73" s="80">
        <f xml:space="preserve"> J72</f>
        <v>4480000</v>
      </c>
      <c r="K73" s="81">
        <f t="shared" si="12"/>
        <v>6580000</v>
      </c>
      <c r="L73" s="148">
        <f t="shared" si="13"/>
        <v>0</v>
      </c>
      <c r="M73" s="138">
        <f t="shared" si="25"/>
        <v>53760030.579523407</v>
      </c>
      <c r="N73" s="65">
        <v>0</v>
      </c>
      <c r="O73" s="168">
        <f t="shared" si="14"/>
        <v>120636959.35669456</v>
      </c>
      <c r="P73" s="29">
        <v>1.7999999999999999E-2</v>
      </c>
      <c r="Q73" s="145">
        <f t="shared" si="34"/>
        <v>122808424.62511507</v>
      </c>
      <c r="R73" s="168">
        <f t="shared" si="15"/>
        <v>176568455.20463848</v>
      </c>
      <c r="S73" s="131">
        <f t="shared" si="16"/>
        <v>122808424.62511507</v>
      </c>
      <c r="T73" s="82"/>
      <c r="U73" s="11"/>
    </row>
    <row r="74" spans="1:28" s="83" customFormat="1" ht="17.25" thickBot="1" x14ac:dyDescent="0.35">
      <c r="A74" s="166">
        <f t="shared" si="10"/>
        <v>26000000</v>
      </c>
      <c r="C74" s="332"/>
      <c r="D74" s="84">
        <v>11</v>
      </c>
      <c r="E74" s="85">
        <v>2500000</v>
      </c>
      <c r="F74" s="86">
        <v>0</v>
      </c>
      <c r="G74" s="86">
        <v>400000</v>
      </c>
      <c r="H74" s="86">
        <f t="shared" si="11"/>
        <v>2100000</v>
      </c>
      <c r="I74" s="87">
        <v>32500000</v>
      </c>
      <c r="J74" s="88">
        <v>0</v>
      </c>
      <c r="K74" s="89">
        <f t="shared" si="12"/>
        <v>-30400000</v>
      </c>
      <c r="L74" s="149">
        <f t="shared" si="13"/>
        <v>32500000</v>
      </c>
      <c r="M74" s="139">
        <f t="shared" si="25"/>
        <v>55134911.12995483</v>
      </c>
      <c r="N74" s="97">
        <v>0</v>
      </c>
      <c r="O74" s="169">
        <f t="shared" si="14"/>
        <v>92408424.625115067</v>
      </c>
      <c r="P74" s="83">
        <v>1.7999999999999999E-2</v>
      </c>
      <c r="Q74" s="145">
        <f t="shared" si="34"/>
        <v>94071776.268367141</v>
      </c>
      <c r="R74" s="169">
        <f t="shared" si="15"/>
        <v>181706687.39832199</v>
      </c>
      <c r="S74" s="132">
        <f t="shared" si="16"/>
        <v>126571776.26836716</v>
      </c>
      <c r="T74" s="90"/>
      <c r="U74" s="91"/>
    </row>
    <row r="75" spans="1:28" s="42" customFormat="1" ht="17.25" thickBot="1" x14ac:dyDescent="0.35">
      <c r="A75" s="175">
        <f t="shared" si="10"/>
        <v>27000000</v>
      </c>
      <c r="B75" s="35"/>
      <c r="C75" s="332"/>
      <c r="D75" s="36">
        <v>12</v>
      </c>
      <c r="E75" s="37">
        <v>2500000</v>
      </c>
      <c r="F75" s="38">
        <v>0</v>
      </c>
      <c r="G75" s="38">
        <v>400000</v>
      </c>
      <c r="H75" s="38">
        <f t="shared" si="11"/>
        <v>2100000</v>
      </c>
      <c r="I75" s="87">
        <v>32500000</v>
      </c>
      <c r="J75" s="41">
        <v>0</v>
      </c>
      <c r="K75" s="44">
        <f t="shared" si="12"/>
        <v>-30400000</v>
      </c>
      <c r="L75" s="147">
        <f t="shared" si="13"/>
        <v>65000000</v>
      </c>
      <c r="M75" s="142">
        <f t="shared" si="25"/>
        <v>56534539.530294016</v>
      </c>
      <c r="N75" s="47">
        <v>0</v>
      </c>
      <c r="O75" s="127">
        <f t="shared" si="14"/>
        <v>63671776.268367141</v>
      </c>
      <c r="P75" s="42">
        <v>1.7999999999999999E-2</v>
      </c>
      <c r="Q75" s="145">
        <f t="shared" si="34"/>
        <v>64817868.24119775</v>
      </c>
      <c r="R75" s="127">
        <f t="shared" si="15"/>
        <v>186352407.77149177</v>
      </c>
      <c r="S75" s="129">
        <f t="shared" si="16"/>
        <v>129817868.24119775</v>
      </c>
      <c r="T75" s="176">
        <f xml:space="preserve"> S75 / 4</f>
        <v>32454467.060299437</v>
      </c>
      <c r="U75" s="43">
        <f>SUM(E4:E75)</f>
        <v>182300000</v>
      </c>
      <c r="V75" s="43">
        <f>SUM(F4:F75)</f>
        <v>79676544</v>
      </c>
      <c r="W75" s="45">
        <f xml:space="preserve"> U75 - V75</f>
        <v>102623456</v>
      </c>
      <c r="X75" s="45">
        <f>R75-W75</f>
        <v>83728951.771491766</v>
      </c>
      <c r="Y75" s="113">
        <f xml:space="preserve"> X75 / W75 * 100</f>
        <v>81.58851303106745</v>
      </c>
      <c r="Z75" s="45">
        <f xml:space="preserve"> (X75 - 2500000) * 0.16</f>
        <v>12996632.283438683</v>
      </c>
      <c r="AA75" s="211">
        <f xml:space="preserve"> R75 - ((2500000 * 12) + R63)</f>
        <v>24951862.902070642</v>
      </c>
      <c r="AB75" s="211">
        <f xml:space="preserve"> (AA75 -2500000) * 0.16</f>
        <v>3592298.0643313029</v>
      </c>
    </row>
    <row r="76" spans="1:28" s="67" customFormat="1" x14ac:dyDescent="0.3">
      <c r="A76" s="166">
        <f t="shared" si="10"/>
        <v>28000000</v>
      </c>
      <c r="B76" s="67">
        <v>7</v>
      </c>
      <c r="C76" s="332">
        <v>2028</v>
      </c>
      <c r="D76" s="68">
        <v>1</v>
      </c>
      <c r="E76" s="69">
        <v>2500000</v>
      </c>
      <c r="F76" s="70">
        <v>0</v>
      </c>
      <c r="G76" s="70">
        <v>400000</v>
      </c>
      <c r="H76" s="70">
        <f t="shared" si="11"/>
        <v>2100000</v>
      </c>
      <c r="I76" s="71">
        <v>0</v>
      </c>
      <c r="J76" s="72">
        <f xml:space="preserve"> L75 / 10</f>
        <v>6500000</v>
      </c>
      <c r="K76" s="73">
        <f t="shared" si="12"/>
        <v>8600000</v>
      </c>
      <c r="L76" s="64">
        <f t="shared" si="13"/>
        <v>58500000</v>
      </c>
      <c r="M76" s="137">
        <f t="shared" si="25"/>
        <v>57162277.688415192</v>
      </c>
      <c r="N76" s="65">
        <v>0</v>
      </c>
      <c r="O76" s="171">
        <f t="shared" si="14"/>
        <v>73417868.24119775</v>
      </c>
      <c r="P76" s="67">
        <v>4.0000000000000001E-3</v>
      </c>
      <c r="Q76" s="145">
        <f t="shared" si="34"/>
        <v>73711539.714162543</v>
      </c>
      <c r="R76" s="171">
        <f t="shared" si="15"/>
        <v>189373817.40257773</v>
      </c>
      <c r="S76" s="130">
        <f t="shared" si="16"/>
        <v>132211539.71416253</v>
      </c>
      <c r="T76" s="74"/>
      <c r="U76" s="75"/>
    </row>
    <row r="77" spans="1:28" s="29" customFormat="1" x14ac:dyDescent="0.3">
      <c r="A77" s="166">
        <f t="shared" si="10"/>
        <v>29000000</v>
      </c>
      <c r="C77" s="332"/>
      <c r="D77" s="76">
        <v>2</v>
      </c>
      <c r="E77" s="77">
        <v>2500000</v>
      </c>
      <c r="F77" s="78">
        <v>0</v>
      </c>
      <c r="G77" s="78">
        <v>400000</v>
      </c>
      <c r="H77" s="78">
        <f t="shared" si="11"/>
        <v>2100000</v>
      </c>
      <c r="I77" s="79">
        <v>0</v>
      </c>
      <c r="J77" s="80">
        <f xml:space="preserve"> J76</f>
        <v>6500000</v>
      </c>
      <c r="K77" s="81">
        <f t="shared" si="12"/>
        <v>8600000</v>
      </c>
      <c r="L77" s="148">
        <f t="shared" si="13"/>
        <v>52000000</v>
      </c>
      <c r="M77" s="138">
        <f t="shared" si="25"/>
        <v>58598398.686806664</v>
      </c>
      <c r="N77" s="65">
        <v>0</v>
      </c>
      <c r="O77" s="168">
        <f t="shared" si="14"/>
        <v>82311539.714162543</v>
      </c>
      <c r="P77" s="29">
        <v>1.7999999999999999E-2</v>
      </c>
      <c r="Q77" s="145">
        <f t="shared" si="34"/>
        <v>83793147.429017469</v>
      </c>
      <c r="R77" s="168">
        <f t="shared" si="15"/>
        <v>194391546.11582413</v>
      </c>
      <c r="S77" s="131">
        <f t="shared" si="16"/>
        <v>135793147.42901748</v>
      </c>
      <c r="T77" s="82"/>
      <c r="U77" s="11"/>
    </row>
    <row r="78" spans="1:28" s="29" customFormat="1" x14ac:dyDescent="0.3">
      <c r="A78" s="166">
        <f t="shared" si="10"/>
        <v>30000000</v>
      </c>
      <c r="C78" s="332"/>
      <c r="D78" s="76">
        <v>3</v>
      </c>
      <c r="E78" s="77">
        <v>2500000</v>
      </c>
      <c r="F78" s="78">
        <v>0</v>
      </c>
      <c r="G78" s="78">
        <v>400000</v>
      </c>
      <c r="H78" s="78">
        <f t="shared" si="11"/>
        <v>2100000</v>
      </c>
      <c r="I78" s="79">
        <v>0</v>
      </c>
      <c r="J78" s="80">
        <f t="shared" ref="J78:J84" si="35" xml:space="preserve"> J77</f>
        <v>6500000</v>
      </c>
      <c r="K78" s="81">
        <f t="shared" si="12"/>
        <v>8600000</v>
      </c>
      <c r="L78" s="148">
        <f t="shared" si="13"/>
        <v>45500000</v>
      </c>
      <c r="M78" s="138">
        <f t="shared" si="25"/>
        <v>60060369.863169186</v>
      </c>
      <c r="N78" s="65">
        <v>0</v>
      </c>
      <c r="O78" s="168">
        <f t="shared" si="14"/>
        <v>92393147.429017469</v>
      </c>
      <c r="P78" s="29">
        <v>1.7999999999999999E-2</v>
      </c>
      <c r="Q78" s="145">
        <f t="shared" si="34"/>
        <v>94056224.082739785</v>
      </c>
      <c r="R78" s="168">
        <f t="shared" si="15"/>
        <v>199616593.94590896</v>
      </c>
      <c r="S78" s="131">
        <f t="shared" si="16"/>
        <v>139556224.08273977</v>
      </c>
      <c r="T78" s="82"/>
      <c r="U78" s="11"/>
    </row>
    <row r="79" spans="1:28" s="29" customFormat="1" x14ac:dyDescent="0.3">
      <c r="A79" s="166">
        <f t="shared" si="10"/>
        <v>31000000</v>
      </c>
      <c r="C79" s="332"/>
      <c r="D79" s="76">
        <v>4</v>
      </c>
      <c r="E79" s="77">
        <v>2500000</v>
      </c>
      <c r="F79" s="78">
        <v>0</v>
      </c>
      <c r="G79" s="78">
        <v>400000</v>
      </c>
      <c r="H79" s="78">
        <f t="shared" si="11"/>
        <v>2100000</v>
      </c>
      <c r="I79" s="79">
        <v>0</v>
      </c>
      <c r="J79" s="80">
        <f t="shared" si="35"/>
        <v>6500000</v>
      </c>
      <c r="K79" s="81">
        <f t="shared" si="12"/>
        <v>8600000</v>
      </c>
      <c r="L79" s="148">
        <f t="shared" si="13"/>
        <v>39000000</v>
      </c>
      <c r="M79" s="138">
        <f t="shared" si="25"/>
        <v>61548656.520706229</v>
      </c>
      <c r="N79" s="65">
        <v>0</v>
      </c>
      <c r="O79" s="168">
        <f t="shared" si="14"/>
        <v>102656224.08273979</v>
      </c>
      <c r="P79" s="29">
        <v>1.7999999999999999E-2</v>
      </c>
      <c r="Q79" s="145">
        <f t="shared" si="34"/>
        <v>104504036.1162291</v>
      </c>
      <c r="R79" s="168">
        <f t="shared" si="15"/>
        <v>205052692.63693532</v>
      </c>
      <c r="S79" s="131">
        <f t="shared" si="16"/>
        <v>143504036.11622909</v>
      </c>
      <c r="T79" s="82"/>
      <c r="U79" s="11"/>
    </row>
    <row r="80" spans="1:28" s="29" customFormat="1" x14ac:dyDescent="0.3">
      <c r="A80" s="166">
        <f t="shared" si="10"/>
        <v>32000000</v>
      </c>
      <c r="C80" s="332"/>
      <c r="D80" s="76">
        <v>5</v>
      </c>
      <c r="E80" s="77">
        <v>2500000</v>
      </c>
      <c r="F80" s="78">
        <v>3550000</v>
      </c>
      <c r="G80" s="78">
        <v>400000</v>
      </c>
      <c r="H80" s="78">
        <f t="shared" si="11"/>
        <v>-1450000</v>
      </c>
      <c r="I80" s="79">
        <v>0</v>
      </c>
      <c r="J80" s="80">
        <f t="shared" si="35"/>
        <v>6500000</v>
      </c>
      <c r="K80" s="81">
        <f t="shared" si="12"/>
        <v>5050000</v>
      </c>
      <c r="L80" s="148">
        <f t="shared" si="13"/>
        <v>32500000</v>
      </c>
      <c r="M80" s="138">
        <f t="shared" ref="M80:M111" si="36" xml:space="preserve"> (M79 + 400000) + ((M79 + 400000) * P80 )</f>
        <v>63063732.338078938</v>
      </c>
      <c r="N80" s="65">
        <v>0</v>
      </c>
      <c r="O80" s="168">
        <f t="shared" si="14"/>
        <v>109554036.1162291</v>
      </c>
      <c r="P80" s="29">
        <v>1.7999999999999999E-2</v>
      </c>
      <c r="Q80" s="145">
        <f t="shared" si="34"/>
        <v>111526008.76632123</v>
      </c>
      <c r="R80" s="168">
        <f t="shared" si="15"/>
        <v>207089741.10440016</v>
      </c>
      <c r="S80" s="131">
        <f t="shared" si="16"/>
        <v>144026008.76632121</v>
      </c>
      <c r="T80" s="82"/>
      <c r="U80" s="11"/>
    </row>
    <row r="81" spans="1:28" s="29" customFormat="1" x14ac:dyDescent="0.3">
      <c r="A81" s="166">
        <f t="shared" si="10"/>
        <v>33000000</v>
      </c>
      <c r="C81" s="332"/>
      <c r="D81" s="76">
        <v>6</v>
      </c>
      <c r="E81" s="77">
        <v>2500000</v>
      </c>
      <c r="F81" s="78">
        <v>0</v>
      </c>
      <c r="G81" s="78">
        <v>400000</v>
      </c>
      <c r="H81" s="78">
        <f t="shared" si="11"/>
        <v>2100000</v>
      </c>
      <c r="I81" s="79">
        <v>0</v>
      </c>
      <c r="J81" s="80">
        <f t="shared" si="35"/>
        <v>6500000</v>
      </c>
      <c r="K81" s="81">
        <f t="shared" si="12"/>
        <v>8600000</v>
      </c>
      <c r="L81" s="148">
        <f t="shared" si="13"/>
        <v>26000000</v>
      </c>
      <c r="M81" s="138">
        <f t="shared" si="36"/>
        <v>64606079.520164356</v>
      </c>
      <c r="N81" s="65">
        <v>0</v>
      </c>
      <c r="O81" s="168">
        <f t="shared" si="14"/>
        <v>120126008.76632123</v>
      </c>
      <c r="P81" s="29">
        <v>1.7999999999999999E-2</v>
      </c>
      <c r="Q81" s="145">
        <f t="shared" si="34"/>
        <v>122288276.924115</v>
      </c>
      <c r="R81" s="168">
        <f t="shared" si="15"/>
        <v>212894356.44427937</v>
      </c>
      <c r="S81" s="131">
        <f t="shared" si="16"/>
        <v>148288276.924115</v>
      </c>
      <c r="T81" s="82"/>
      <c r="U81" s="11"/>
    </row>
    <row r="82" spans="1:28" s="29" customFormat="1" x14ac:dyDescent="0.3">
      <c r="A82" s="166">
        <f t="shared" si="10"/>
        <v>34000000</v>
      </c>
      <c r="C82" s="332"/>
      <c r="D82" s="76">
        <v>7</v>
      </c>
      <c r="E82" s="77">
        <v>2500000</v>
      </c>
      <c r="F82" s="78">
        <v>0</v>
      </c>
      <c r="G82" s="78">
        <v>400000</v>
      </c>
      <c r="H82" s="78">
        <f t="shared" si="11"/>
        <v>2100000</v>
      </c>
      <c r="I82" s="79">
        <v>0</v>
      </c>
      <c r="J82" s="80">
        <f t="shared" si="35"/>
        <v>6500000</v>
      </c>
      <c r="K82" s="81">
        <f t="shared" si="12"/>
        <v>8600000</v>
      </c>
      <c r="L82" s="148">
        <f t="shared" si="13"/>
        <v>19500000</v>
      </c>
      <c r="M82" s="138">
        <f t="shared" si="36"/>
        <v>66176188.951527312</v>
      </c>
      <c r="N82" s="65">
        <v>0</v>
      </c>
      <c r="O82" s="168">
        <f t="shared" si="14"/>
        <v>130888276.924115</v>
      </c>
      <c r="P82" s="29">
        <v>1.7999999999999999E-2</v>
      </c>
      <c r="Q82" s="145">
        <f t="shared" si="34"/>
        <v>133244265.90874907</v>
      </c>
      <c r="R82" s="168">
        <f t="shared" si="15"/>
        <v>218920454.8602764</v>
      </c>
      <c r="S82" s="131">
        <f t="shared" si="16"/>
        <v>152744265.9087491</v>
      </c>
      <c r="T82" s="82"/>
      <c r="U82" s="11"/>
    </row>
    <row r="83" spans="1:28" s="29" customFormat="1" x14ac:dyDescent="0.3">
      <c r="A83" s="166">
        <f t="shared" si="10"/>
        <v>35000000</v>
      </c>
      <c r="C83" s="332"/>
      <c r="D83" s="76">
        <v>8</v>
      </c>
      <c r="E83" s="77">
        <v>2500000</v>
      </c>
      <c r="F83" s="78">
        <v>0</v>
      </c>
      <c r="G83" s="78">
        <v>400000</v>
      </c>
      <c r="H83" s="78">
        <f t="shared" si="11"/>
        <v>2100000</v>
      </c>
      <c r="I83" s="79">
        <v>0</v>
      </c>
      <c r="J83" s="80">
        <f t="shared" si="35"/>
        <v>6500000</v>
      </c>
      <c r="K83" s="81">
        <f t="shared" si="12"/>
        <v>8600000</v>
      </c>
      <c r="L83" s="148">
        <f t="shared" si="13"/>
        <v>13000000</v>
      </c>
      <c r="M83" s="138">
        <f t="shared" si="36"/>
        <v>67774560.3526548</v>
      </c>
      <c r="N83" s="65">
        <v>0</v>
      </c>
      <c r="O83" s="168">
        <f t="shared" si="14"/>
        <v>141844265.90874907</v>
      </c>
      <c r="P83" s="29">
        <v>1.7999999999999999E-2</v>
      </c>
      <c r="Q83" s="145">
        <f t="shared" si="34"/>
        <v>144397462.69510657</v>
      </c>
      <c r="R83" s="168">
        <f t="shared" si="15"/>
        <v>225172023.04776138</v>
      </c>
      <c r="S83" s="131">
        <f t="shared" si="16"/>
        <v>157397462.69510657</v>
      </c>
      <c r="T83" s="82"/>
      <c r="U83" s="11"/>
    </row>
    <row r="84" spans="1:28" s="29" customFormat="1" x14ac:dyDescent="0.3">
      <c r="A84" s="166">
        <f t="shared" ref="A84:A135" si="37" xml:space="preserve"> A83 +1000000</f>
        <v>36000000</v>
      </c>
      <c r="C84" s="332"/>
      <c r="D84" s="76">
        <v>9</v>
      </c>
      <c r="E84" s="77">
        <v>2500000</v>
      </c>
      <c r="F84" s="78">
        <v>0</v>
      </c>
      <c r="G84" s="78">
        <v>400000</v>
      </c>
      <c r="H84" s="78">
        <f t="shared" si="11"/>
        <v>2100000</v>
      </c>
      <c r="I84" s="79">
        <v>0</v>
      </c>
      <c r="J84" s="80">
        <f t="shared" si="35"/>
        <v>6500000</v>
      </c>
      <c r="K84" s="81">
        <f t="shared" si="12"/>
        <v>8600000</v>
      </c>
      <c r="L84" s="148">
        <f t="shared" si="13"/>
        <v>6500000</v>
      </c>
      <c r="M84" s="138">
        <f t="shared" si="36"/>
        <v>69401702.439002588</v>
      </c>
      <c r="N84" s="65">
        <v>0</v>
      </c>
      <c r="O84" s="168">
        <f t="shared" si="14"/>
        <v>152997462.69510657</v>
      </c>
      <c r="P84" s="29">
        <v>1.7999999999999999E-2</v>
      </c>
      <c r="Q84" s="145">
        <f t="shared" si="34"/>
        <v>155751417.02361849</v>
      </c>
      <c r="R84" s="168">
        <f t="shared" si="15"/>
        <v>231653119.46262109</v>
      </c>
      <c r="S84" s="131">
        <f t="shared" si="16"/>
        <v>162251417.02361852</v>
      </c>
      <c r="T84" s="82"/>
      <c r="U84" s="11"/>
    </row>
    <row r="85" spans="1:28" s="29" customFormat="1" x14ac:dyDescent="0.3">
      <c r="A85" s="166">
        <f t="shared" si="37"/>
        <v>37000000</v>
      </c>
      <c r="C85" s="332"/>
      <c r="D85" s="76">
        <v>10</v>
      </c>
      <c r="E85" s="77">
        <v>2500000</v>
      </c>
      <c r="F85" s="78">
        <v>0</v>
      </c>
      <c r="G85" s="78">
        <v>400000</v>
      </c>
      <c r="H85" s="78">
        <f t="shared" si="11"/>
        <v>2100000</v>
      </c>
      <c r="I85" s="79">
        <v>0</v>
      </c>
      <c r="J85" s="80">
        <f xml:space="preserve"> J84</f>
        <v>6500000</v>
      </c>
      <c r="K85" s="81">
        <f t="shared" si="12"/>
        <v>8600000</v>
      </c>
      <c r="L85" s="148">
        <f t="shared" si="13"/>
        <v>0</v>
      </c>
      <c r="M85" s="138">
        <f t="shared" si="36"/>
        <v>71058133.082904637</v>
      </c>
      <c r="N85" s="65">
        <v>0</v>
      </c>
      <c r="O85" s="168">
        <f t="shared" si="14"/>
        <v>164351417.02361849</v>
      </c>
      <c r="P85" s="29">
        <v>1.7999999999999999E-2</v>
      </c>
      <c r="Q85" s="145">
        <f t="shared" si="34"/>
        <v>167309742.53004363</v>
      </c>
      <c r="R85" s="168">
        <f t="shared" si="15"/>
        <v>238367875.61294827</v>
      </c>
      <c r="S85" s="131">
        <f t="shared" si="16"/>
        <v>167309742.53004363</v>
      </c>
      <c r="T85" s="82"/>
      <c r="U85" s="11"/>
    </row>
    <row r="86" spans="1:28" s="29" customFormat="1" ht="17.25" thickBot="1" x14ac:dyDescent="0.35">
      <c r="A86" s="166">
        <f t="shared" si="37"/>
        <v>38000000</v>
      </c>
      <c r="C86" s="332"/>
      <c r="D86" s="84">
        <v>11</v>
      </c>
      <c r="E86" s="85">
        <v>2500000</v>
      </c>
      <c r="F86" s="86">
        <v>0</v>
      </c>
      <c r="G86" s="86">
        <v>400000</v>
      </c>
      <c r="H86" s="86">
        <f t="shared" si="11"/>
        <v>2100000</v>
      </c>
      <c r="I86" s="87">
        <v>43900000</v>
      </c>
      <c r="J86" s="88">
        <v>0</v>
      </c>
      <c r="K86" s="89">
        <f t="shared" si="12"/>
        <v>-41800000</v>
      </c>
      <c r="L86" s="148">
        <f t="shared" si="13"/>
        <v>43900000</v>
      </c>
      <c r="M86" s="139">
        <f t="shared" si="36"/>
        <v>72744379.478396922</v>
      </c>
      <c r="N86" s="65">
        <v>0</v>
      </c>
      <c r="O86" s="169">
        <f t="shared" si="14"/>
        <v>125509742.53004363</v>
      </c>
      <c r="P86" s="83">
        <v>1.7999999999999999E-2</v>
      </c>
      <c r="Q86" s="145">
        <f t="shared" si="34"/>
        <v>127768917.89558442</v>
      </c>
      <c r="R86" s="168">
        <f t="shared" si="15"/>
        <v>244413297.37398136</v>
      </c>
      <c r="S86" s="131">
        <f t="shared" si="16"/>
        <v>171668917.89558443</v>
      </c>
      <c r="T86" s="82"/>
      <c r="U86" s="11"/>
    </row>
    <row r="87" spans="1:28" s="177" customFormat="1" ht="17.25" thickBot="1" x14ac:dyDescent="0.35">
      <c r="A87" s="175">
        <f t="shared" si="37"/>
        <v>39000000</v>
      </c>
      <c r="C87" s="332"/>
      <c r="D87" s="36">
        <v>12</v>
      </c>
      <c r="E87" s="37">
        <v>2500000</v>
      </c>
      <c r="F87" s="38">
        <v>0</v>
      </c>
      <c r="G87" s="38">
        <v>400000</v>
      </c>
      <c r="H87" s="38">
        <f t="shared" si="11"/>
        <v>2100000</v>
      </c>
      <c r="I87" s="87">
        <v>43900000</v>
      </c>
      <c r="J87" s="41">
        <v>0</v>
      </c>
      <c r="K87" s="44">
        <f t="shared" si="12"/>
        <v>-41800000</v>
      </c>
      <c r="L87" s="151">
        <f t="shared" si="13"/>
        <v>87800000</v>
      </c>
      <c r="M87" s="142">
        <f t="shared" si="36"/>
        <v>74460978.309008062</v>
      </c>
      <c r="N87" s="46">
        <v>0</v>
      </c>
      <c r="O87" s="127">
        <f t="shared" si="14"/>
        <v>85968917.895584419</v>
      </c>
      <c r="P87" s="42">
        <v>1.7999999999999999E-2</v>
      </c>
      <c r="Q87" s="145">
        <f t="shared" si="34"/>
        <v>87516358.41770494</v>
      </c>
      <c r="R87" s="128">
        <f t="shared" si="15"/>
        <v>249777336.726713</v>
      </c>
      <c r="S87" s="134">
        <f t="shared" si="16"/>
        <v>175316358.41770494</v>
      </c>
      <c r="T87" s="176">
        <f xml:space="preserve"> S87 / 4</f>
        <v>43829089.604426235</v>
      </c>
      <c r="U87" s="43">
        <f>SUM(E4:E87)</f>
        <v>212300000</v>
      </c>
      <c r="V87" s="43">
        <f>SUM(F4:F87)</f>
        <v>83226544</v>
      </c>
      <c r="W87" s="45">
        <f xml:space="preserve"> U87 - V87</f>
        <v>129073456</v>
      </c>
      <c r="X87" s="45">
        <f>R87-W87</f>
        <v>120703880.726713</v>
      </c>
      <c r="Y87" s="113">
        <f xml:space="preserve"> X87 / W87 * 100</f>
        <v>93.515649512563598</v>
      </c>
      <c r="Z87" s="45">
        <f xml:space="preserve"> (X87 - 2500000) * 0.16</f>
        <v>18912620.916274082</v>
      </c>
      <c r="AA87" s="211">
        <f xml:space="preserve"> R87 - ((2500000 * 12) + R75)</f>
        <v>33424928.955221236</v>
      </c>
      <c r="AB87" s="211">
        <f xml:space="preserve"> (AA87 -2500000) * 0.16</f>
        <v>4947988.6328353975</v>
      </c>
    </row>
    <row r="88" spans="1:28" s="29" customFormat="1" x14ac:dyDescent="0.3">
      <c r="A88" s="166">
        <f t="shared" si="37"/>
        <v>40000000</v>
      </c>
      <c r="B88" s="29">
        <v>8</v>
      </c>
      <c r="C88" s="332">
        <v>2029</v>
      </c>
      <c r="D88" s="68">
        <v>1</v>
      </c>
      <c r="E88" s="69">
        <v>2500000</v>
      </c>
      <c r="F88" s="70">
        <v>0</v>
      </c>
      <c r="G88" s="70">
        <v>400000</v>
      </c>
      <c r="H88" s="70">
        <f t="shared" ref="H88:H99" si="38" xml:space="preserve"> E88 - G88 - F88</f>
        <v>2100000</v>
      </c>
      <c r="I88" s="71">
        <v>0</v>
      </c>
      <c r="J88" s="72">
        <f xml:space="preserve"> L87 / 10</f>
        <v>8780000</v>
      </c>
      <c r="K88" s="73">
        <f t="shared" ref="K88:K99" si="39" xml:space="preserve"> H88 + J88 - I88</f>
        <v>10880000</v>
      </c>
      <c r="L88" s="64">
        <f t="shared" ref="L88:L99" si="40" xml:space="preserve"> L87 +I88 - J88 - N88</f>
        <v>79020000</v>
      </c>
      <c r="M88" s="137">
        <f t="shared" si="36"/>
        <v>75160422.222244099</v>
      </c>
      <c r="N88" s="65">
        <v>0</v>
      </c>
      <c r="O88" s="171">
        <f t="shared" ref="O88:O99" si="41" xml:space="preserve"> Q87 + K88</f>
        <v>98396358.41770494</v>
      </c>
      <c r="P88" s="67">
        <v>4.0000000000000001E-3</v>
      </c>
      <c r="Q88" s="145">
        <f t="shared" si="34"/>
        <v>98789943.851375759</v>
      </c>
      <c r="R88" s="171">
        <f t="shared" ref="R88:R99" si="42" xml:space="preserve"> M88 + Q88 + L88</f>
        <v>252970366.07361984</v>
      </c>
      <c r="S88" s="130">
        <f t="shared" ref="S88:S99" si="43" xml:space="preserve"> R88 - M88</f>
        <v>177809943.85137576</v>
      </c>
      <c r="T88" s="74"/>
      <c r="U88" s="11"/>
    </row>
    <row r="89" spans="1:28" s="29" customFormat="1" x14ac:dyDescent="0.3">
      <c r="A89" s="166">
        <f t="shared" si="37"/>
        <v>41000000</v>
      </c>
      <c r="C89" s="332"/>
      <c r="D89" s="76">
        <v>2</v>
      </c>
      <c r="E89" s="77">
        <v>2500000</v>
      </c>
      <c r="F89" s="78">
        <v>0</v>
      </c>
      <c r="G89" s="78">
        <v>400000</v>
      </c>
      <c r="H89" s="78">
        <f t="shared" si="38"/>
        <v>2100000</v>
      </c>
      <c r="I89" s="79">
        <v>0</v>
      </c>
      <c r="J89" s="80">
        <f xml:space="preserve"> J88</f>
        <v>8780000</v>
      </c>
      <c r="K89" s="81">
        <f t="shared" si="39"/>
        <v>10880000</v>
      </c>
      <c r="L89" s="148">
        <f t="shared" si="40"/>
        <v>70240000</v>
      </c>
      <c r="M89" s="138">
        <f t="shared" si="36"/>
        <v>76920509.822244495</v>
      </c>
      <c r="N89" s="65">
        <v>0</v>
      </c>
      <c r="O89" s="168">
        <f t="shared" si="41"/>
        <v>109669943.85137576</v>
      </c>
      <c r="P89" s="29">
        <v>1.7999999999999999E-2</v>
      </c>
      <c r="Q89" s="145">
        <f t="shared" si="34"/>
        <v>111644002.84070052</v>
      </c>
      <c r="R89" s="168">
        <f t="shared" si="42"/>
        <v>258804512.66294503</v>
      </c>
      <c r="S89" s="131">
        <f t="shared" si="43"/>
        <v>181884002.84070054</v>
      </c>
      <c r="T89" s="82"/>
      <c r="U89" s="11"/>
    </row>
    <row r="90" spans="1:28" s="29" customFormat="1" x14ac:dyDescent="0.3">
      <c r="A90" s="166">
        <f t="shared" si="37"/>
        <v>42000000</v>
      </c>
      <c r="C90" s="332"/>
      <c r="D90" s="76">
        <v>3</v>
      </c>
      <c r="E90" s="77">
        <v>2500000</v>
      </c>
      <c r="F90" s="78">
        <v>0</v>
      </c>
      <c r="G90" s="78">
        <v>400000</v>
      </c>
      <c r="H90" s="78">
        <f t="shared" si="38"/>
        <v>2100000</v>
      </c>
      <c r="I90" s="79">
        <v>0</v>
      </c>
      <c r="J90" s="80">
        <f t="shared" ref="J90:J96" si="44" xml:space="preserve"> J89</f>
        <v>8780000</v>
      </c>
      <c r="K90" s="81">
        <f t="shared" si="39"/>
        <v>10880000</v>
      </c>
      <c r="L90" s="148">
        <f t="shared" si="40"/>
        <v>61460000</v>
      </c>
      <c r="M90" s="138">
        <f t="shared" si="36"/>
        <v>78712278.999044895</v>
      </c>
      <c r="N90" s="65">
        <v>0</v>
      </c>
      <c r="O90" s="168">
        <f t="shared" si="41"/>
        <v>122524002.84070052</v>
      </c>
      <c r="P90" s="29">
        <v>1.7999999999999999E-2</v>
      </c>
      <c r="Q90" s="145">
        <f t="shared" si="34"/>
        <v>124729434.89183313</v>
      </c>
      <c r="R90" s="168">
        <f t="shared" si="42"/>
        <v>264901713.89087802</v>
      </c>
      <c r="S90" s="131">
        <f t="shared" si="43"/>
        <v>186189434.89183313</v>
      </c>
      <c r="T90" s="82"/>
      <c r="U90" s="11"/>
    </row>
    <row r="91" spans="1:28" s="29" customFormat="1" x14ac:dyDescent="0.3">
      <c r="A91" s="166">
        <f t="shared" si="37"/>
        <v>43000000</v>
      </c>
      <c r="C91" s="332"/>
      <c r="D91" s="76">
        <v>4</v>
      </c>
      <c r="E91" s="77">
        <v>2500000</v>
      </c>
      <c r="F91" s="78">
        <v>0</v>
      </c>
      <c r="G91" s="78">
        <v>400000</v>
      </c>
      <c r="H91" s="78">
        <f t="shared" si="38"/>
        <v>2100000</v>
      </c>
      <c r="I91" s="79">
        <v>0</v>
      </c>
      <c r="J91" s="80">
        <f t="shared" si="44"/>
        <v>8780000</v>
      </c>
      <c r="K91" s="81">
        <f t="shared" si="39"/>
        <v>10880000</v>
      </c>
      <c r="L91" s="148">
        <f t="shared" si="40"/>
        <v>52680000</v>
      </c>
      <c r="M91" s="138">
        <f t="shared" si="36"/>
        <v>80536300.021027699</v>
      </c>
      <c r="N91" s="65">
        <v>0</v>
      </c>
      <c r="O91" s="168">
        <f t="shared" si="41"/>
        <v>135609434.89183313</v>
      </c>
      <c r="P91" s="29">
        <v>1.7999999999999999E-2</v>
      </c>
      <c r="Q91" s="145">
        <f t="shared" si="34"/>
        <v>138050404.71988612</v>
      </c>
      <c r="R91" s="168">
        <f t="shared" si="42"/>
        <v>271266704.74091381</v>
      </c>
      <c r="S91" s="131">
        <f t="shared" si="43"/>
        <v>190730404.71988612</v>
      </c>
      <c r="T91" s="82"/>
      <c r="U91" s="11"/>
    </row>
    <row r="92" spans="1:28" s="29" customFormat="1" x14ac:dyDescent="0.3">
      <c r="A92" s="166">
        <f t="shared" si="37"/>
        <v>44000000</v>
      </c>
      <c r="C92" s="332"/>
      <c r="D92" s="76">
        <v>5</v>
      </c>
      <c r="E92" s="77">
        <v>2500000</v>
      </c>
      <c r="F92" s="78">
        <v>4900000</v>
      </c>
      <c r="G92" s="78">
        <v>400000</v>
      </c>
      <c r="H92" s="78">
        <f t="shared" si="38"/>
        <v>-2800000</v>
      </c>
      <c r="I92" s="79">
        <v>0</v>
      </c>
      <c r="J92" s="80">
        <f t="shared" si="44"/>
        <v>8780000</v>
      </c>
      <c r="K92" s="81">
        <f t="shared" si="39"/>
        <v>5980000</v>
      </c>
      <c r="L92" s="148">
        <f t="shared" si="40"/>
        <v>43900000</v>
      </c>
      <c r="M92" s="138">
        <f t="shared" si="36"/>
        <v>82393153.421406195</v>
      </c>
      <c r="N92" s="65">
        <v>0</v>
      </c>
      <c r="O92" s="168">
        <f t="shared" si="41"/>
        <v>144030404.71988612</v>
      </c>
      <c r="P92" s="29">
        <v>1.7999999999999999E-2</v>
      </c>
      <c r="Q92" s="145">
        <f t="shared" si="34"/>
        <v>146622952.00484407</v>
      </c>
      <c r="R92" s="168">
        <f t="shared" si="42"/>
        <v>272916105.42625028</v>
      </c>
      <c r="S92" s="131">
        <f t="shared" si="43"/>
        <v>190522952.00484407</v>
      </c>
      <c r="T92" s="82"/>
      <c r="U92" s="11"/>
    </row>
    <row r="93" spans="1:28" s="29" customFormat="1" x14ac:dyDescent="0.3">
      <c r="A93" s="166">
        <f t="shared" si="37"/>
        <v>45000000</v>
      </c>
      <c r="C93" s="332"/>
      <c r="D93" s="76">
        <v>6</v>
      </c>
      <c r="E93" s="77">
        <v>2500000</v>
      </c>
      <c r="F93" s="78">
        <v>0</v>
      </c>
      <c r="G93" s="78">
        <v>400000</v>
      </c>
      <c r="H93" s="78">
        <f t="shared" si="38"/>
        <v>2100000</v>
      </c>
      <c r="I93" s="79">
        <v>0</v>
      </c>
      <c r="J93" s="80">
        <f t="shared" si="44"/>
        <v>8780000</v>
      </c>
      <c r="K93" s="81">
        <f t="shared" si="39"/>
        <v>10880000</v>
      </c>
      <c r="L93" s="148">
        <f t="shared" si="40"/>
        <v>35120000</v>
      </c>
      <c r="M93" s="138">
        <f t="shared" si="36"/>
        <v>84283430.182991505</v>
      </c>
      <c r="N93" s="65">
        <v>0</v>
      </c>
      <c r="O93" s="168">
        <f t="shared" si="41"/>
        <v>157502952.00484407</v>
      </c>
      <c r="P93" s="29">
        <v>1.7999999999999999E-2</v>
      </c>
      <c r="Q93" s="145">
        <f t="shared" si="34"/>
        <v>160338005.14093125</v>
      </c>
      <c r="R93" s="168">
        <f t="shared" si="42"/>
        <v>279741435.32392275</v>
      </c>
      <c r="S93" s="131">
        <f t="shared" si="43"/>
        <v>195458005.14093125</v>
      </c>
      <c r="T93" s="82"/>
      <c r="U93" s="11"/>
    </row>
    <row r="94" spans="1:28" s="29" customFormat="1" x14ac:dyDescent="0.3">
      <c r="A94" s="166">
        <f t="shared" si="37"/>
        <v>46000000</v>
      </c>
      <c r="C94" s="332"/>
      <c r="D94" s="76">
        <v>7</v>
      </c>
      <c r="E94" s="77">
        <v>2500000</v>
      </c>
      <c r="F94" s="78">
        <v>0</v>
      </c>
      <c r="G94" s="78">
        <v>400000</v>
      </c>
      <c r="H94" s="78">
        <f t="shared" si="38"/>
        <v>2100000</v>
      </c>
      <c r="I94" s="79">
        <v>0</v>
      </c>
      <c r="J94" s="80">
        <f t="shared" si="44"/>
        <v>8780000</v>
      </c>
      <c r="K94" s="81">
        <f t="shared" si="39"/>
        <v>10880000</v>
      </c>
      <c r="L94" s="148">
        <f t="shared" si="40"/>
        <v>26340000</v>
      </c>
      <c r="M94" s="138">
        <f t="shared" si="36"/>
        <v>86207731.926285356</v>
      </c>
      <c r="N94" s="65">
        <v>0</v>
      </c>
      <c r="O94" s="168">
        <f t="shared" si="41"/>
        <v>171218005.14093125</v>
      </c>
      <c r="P94" s="29">
        <v>1.7999999999999999E-2</v>
      </c>
      <c r="Q94" s="145">
        <f t="shared" si="34"/>
        <v>174299929.233468</v>
      </c>
      <c r="R94" s="168">
        <f t="shared" si="42"/>
        <v>286847661.15975332</v>
      </c>
      <c r="S94" s="131">
        <f t="shared" si="43"/>
        <v>200639929.23346797</v>
      </c>
      <c r="T94" s="82"/>
      <c r="U94" s="11"/>
    </row>
    <row r="95" spans="1:28" s="29" customFormat="1" x14ac:dyDescent="0.3">
      <c r="A95" s="166">
        <f t="shared" si="37"/>
        <v>47000000</v>
      </c>
      <c r="C95" s="332"/>
      <c r="D95" s="76">
        <v>8</v>
      </c>
      <c r="E95" s="77">
        <v>2500000</v>
      </c>
      <c r="F95" s="78">
        <v>0</v>
      </c>
      <c r="G95" s="78">
        <v>400000</v>
      </c>
      <c r="H95" s="78">
        <f t="shared" si="38"/>
        <v>2100000</v>
      </c>
      <c r="I95" s="79">
        <v>0</v>
      </c>
      <c r="J95" s="80">
        <f t="shared" si="44"/>
        <v>8780000</v>
      </c>
      <c r="K95" s="81">
        <f t="shared" si="39"/>
        <v>10880000</v>
      </c>
      <c r="L95" s="148">
        <f t="shared" si="40"/>
        <v>17560000</v>
      </c>
      <c r="M95" s="138">
        <f t="shared" si="36"/>
        <v>88166671.100958496</v>
      </c>
      <c r="N95" s="65">
        <v>0</v>
      </c>
      <c r="O95" s="168">
        <f t="shared" si="41"/>
        <v>185179929.233468</v>
      </c>
      <c r="P95" s="29">
        <v>1.7999999999999999E-2</v>
      </c>
      <c r="Q95" s="145">
        <f t="shared" si="34"/>
        <v>188513167.95967042</v>
      </c>
      <c r="R95" s="168">
        <f t="shared" si="42"/>
        <v>294239839.06062889</v>
      </c>
      <c r="S95" s="131">
        <f t="shared" si="43"/>
        <v>206073167.95967039</v>
      </c>
      <c r="T95" s="82"/>
      <c r="U95" s="11"/>
    </row>
    <row r="96" spans="1:28" s="29" customFormat="1" x14ac:dyDescent="0.3">
      <c r="A96" s="166">
        <f t="shared" si="37"/>
        <v>48000000</v>
      </c>
      <c r="C96" s="332"/>
      <c r="D96" s="76">
        <v>9</v>
      </c>
      <c r="E96" s="77">
        <v>2500000</v>
      </c>
      <c r="F96" s="78">
        <v>0</v>
      </c>
      <c r="G96" s="78">
        <v>400000</v>
      </c>
      <c r="H96" s="78">
        <f t="shared" si="38"/>
        <v>2100000</v>
      </c>
      <c r="I96" s="79">
        <v>0</v>
      </c>
      <c r="J96" s="80">
        <f t="shared" si="44"/>
        <v>8780000</v>
      </c>
      <c r="K96" s="81">
        <f t="shared" si="39"/>
        <v>10880000</v>
      </c>
      <c r="L96" s="148">
        <f t="shared" si="40"/>
        <v>8780000</v>
      </c>
      <c r="M96" s="138">
        <f t="shared" si="36"/>
        <v>90160871.180775747</v>
      </c>
      <c r="N96" s="65">
        <v>0</v>
      </c>
      <c r="O96" s="168">
        <f t="shared" si="41"/>
        <v>199393167.95967042</v>
      </c>
      <c r="P96" s="29">
        <v>1.7999999999999999E-2</v>
      </c>
      <c r="Q96" s="145">
        <f t="shared" si="34"/>
        <v>202982244.98294449</v>
      </c>
      <c r="R96" s="168">
        <f t="shared" si="42"/>
        <v>301923116.16372025</v>
      </c>
      <c r="S96" s="131">
        <f t="shared" si="43"/>
        <v>211762244.98294449</v>
      </c>
      <c r="T96" s="82"/>
      <c r="U96" s="11"/>
    </row>
    <row r="97" spans="1:28" s="29" customFormat="1" x14ac:dyDescent="0.3">
      <c r="A97" s="166">
        <f t="shared" si="37"/>
        <v>49000000</v>
      </c>
      <c r="C97" s="332"/>
      <c r="D97" s="76">
        <v>10</v>
      </c>
      <c r="E97" s="77">
        <v>2500000</v>
      </c>
      <c r="F97" s="78">
        <v>0</v>
      </c>
      <c r="G97" s="78">
        <v>400000</v>
      </c>
      <c r="H97" s="78">
        <f t="shared" si="38"/>
        <v>2100000</v>
      </c>
      <c r="I97" s="79">
        <v>0</v>
      </c>
      <c r="J97" s="80">
        <f xml:space="preserve"> J96</f>
        <v>8780000</v>
      </c>
      <c r="K97" s="81">
        <f t="shared" si="39"/>
        <v>10880000</v>
      </c>
      <c r="L97" s="148">
        <f t="shared" si="40"/>
        <v>0</v>
      </c>
      <c r="M97" s="138">
        <f t="shared" si="36"/>
        <v>92190966.862029716</v>
      </c>
      <c r="N97" s="65">
        <v>0</v>
      </c>
      <c r="O97" s="168">
        <f t="shared" si="41"/>
        <v>213862244.98294449</v>
      </c>
      <c r="P97" s="29">
        <v>1.7999999999999999E-2</v>
      </c>
      <c r="Q97" s="145">
        <f t="shared" si="34"/>
        <v>217711765.39263749</v>
      </c>
      <c r="R97" s="168">
        <f t="shared" si="42"/>
        <v>309902732.25466722</v>
      </c>
      <c r="S97" s="131">
        <f t="shared" si="43"/>
        <v>217711765.39263749</v>
      </c>
      <c r="T97" s="82"/>
      <c r="U97" s="11"/>
    </row>
    <row r="98" spans="1:28" s="29" customFormat="1" ht="17.25" thickBot="1" x14ac:dyDescent="0.35">
      <c r="A98" s="166">
        <f t="shared" si="37"/>
        <v>50000000</v>
      </c>
      <c r="C98" s="332"/>
      <c r="D98" s="84">
        <v>11</v>
      </c>
      <c r="E98" s="85">
        <v>2500000</v>
      </c>
      <c r="F98" s="86">
        <v>0</v>
      </c>
      <c r="G98" s="86">
        <v>400000</v>
      </c>
      <c r="H98" s="86">
        <f t="shared" si="38"/>
        <v>2100000</v>
      </c>
      <c r="I98" s="87">
        <v>56700000</v>
      </c>
      <c r="J98" s="88">
        <v>0</v>
      </c>
      <c r="K98" s="89">
        <f t="shared" si="39"/>
        <v>-54600000</v>
      </c>
      <c r="L98" s="148">
        <f t="shared" si="40"/>
        <v>56700000</v>
      </c>
      <c r="M98" s="139">
        <f t="shared" si="36"/>
        <v>94257604.265546247</v>
      </c>
      <c r="N98" s="65">
        <v>0</v>
      </c>
      <c r="O98" s="169">
        <f t="shared" si="41"/>
        <v>163111765.39263749</v>
      </c>
      <c r="P98" s="83">
        <v>1.7999999999999999E-2</v>
      </c>
      <c r="Q98" s="145">
        <f t="shared" si="34"/>
        <v>166047777.16970497</v>
      </c>
      <c r="R98" s="168">
        <f t="shared" si="42"/>
        <v>317005381.43525124</v>
      </c>
      <c r="S98" s="131">
        <f t="shared" si="43"/>
        <v>222747777.16970497</v>
      </c>
      <c r="T98" s="82"/>
      <c r="U98" s="11"/>
    </row>
    <row r="99" spans="1:28" s="29" customFormat="1" ht="17.25" thickBot="1" x14ac:dyDescent="0.35">
      <c r="A99" s="166">
        <f t="shared" si="37"/>
        <v>51000000</v>
      </c>
      <c r="C99" s="332"/>
      <c r="D99" s="36">
        <v>12</v>
      </c>
      <c r="E99" s="37">
        <v>2500000</v>
      </c>
      <c r="F99" s="38">
        <v>0</v>
      </c>
      <c r="G99" s="38">
        <v>400000</v>
      </c>
      <c r="H99" s="38">
        <f t="shared" si="38"/>
        <v>2100000</v>
      </c>
      <c r="I99" s="39">
        <v>56700000</v>
      </c>
      <c r="J99" s="41">
        <v>0</v>
      </c>
      <c r="K99" s="44">
        <f t="shared" si="39"/>
        <v>-54600000</v>
      </c>
      <c r="L99" s="151">
        <f t="shared" si="40"/>
        <v>113400000</v>
      </c>
      <c r="M99" s="140">
        <f t="shared" si="36"/>
        <v>96361441.142326087</v>
      </c>
      <c r="N99" s="46">
        <v>0</v>
      </c>
      <c r="O99" s="170">
        <f t="shared" si="41"/>
        <v>111447777.16970497</v>
      </c>
      <c r="P99" s="42">
        <v>1.7999999999999999E-2</v>
      </c>
      <c r="Q99" s="145">
        <f t="shared" si="34"/>
        <v>113453837.15875967</v>
      </c>
      <c r="R99" s="168">
        <f t="shared" si="42"/>
        <v>323215278.30108577</v>
      </c>
      <c r="S99" s="134">
        <f t="shared" si="43"/>
        <v>226853837.15875968</v>
      </c>
      <c r="T99" s="82">
        <f xml:space="preserve"> S99 / 4</f>
        <v>56713459.289689921</v>
      </c>
      <c r="U99" s="43">
        <f>SUM(E4:E99)</f>
        <v>242300000</v>
      </c>
      <c r="V99" s="43">
        <f>SUM(F4:F99)</f>
        <v>88126544</v>
      </c>
      <c r="W99" s="45">
        <f xml:space="preserve"> U99 - V99</f>
        <v>154173456</v>
      </c>
      <c r="X99" s="45">
        <f>R99-W99</f>
        <v>169041822.30108577</v>
      </c>
      <c r="Y99" s="113">
        <f xml:space="preserve"> X99 / W99 * 100</f>
        <v>109.64392100095736</v>
      </c>
      <c r="Z99" s="45">
        <f xml:space="preserve"> (X99 - 2500000) * 0.16</f>
        <v>26646691.568173725</v>
      </c>
      <c r="AA99" s="211">
        <f xml:space="preserve"> R99 - ((2500000 * 12) + R87)</f>
        <v>43437941.574372768</v>
      </c>
      <c r="AB99" s="211">
        <f xml:space="preserve"> (AA99 -2500000) * 0.16</f>
        <v>6550070.6518996432</v>
      </c>
    </row>
    <row r="100" spans="1:28" s="29" customFormat="1" x14ac:dyDescent="0.3">
      <c r="A100" s="166">
        <f t="shared" si="37"/>
        <v>52000000</v>
      </c>
      <c r="B100" s="29">
        <v>9</v>
      </c>
      <c r="C100" s="332">
        <v>2030</v>
      </c>
      <c r="D100" s="68">
        <v>1</v>
      </c>
      <c r="E100" s="69">
        <v>2500000</v>
      </c>
      <c r="F100" s="70">
        <v>0</v>
      </c>
      <c r="G100" s="70">
        <v>400000</v>
      </c>
      <c r="H100" s="70">
        <f t="shared" ref="H100:H111" si="45" xml:space="preserve"> E100 - G100 - F100</f>
        <v>2100000</v>
      </c>
      <c r="I100" s="71">
        <v>0</v>
      </c>
      <c r="J100" s="72">
        <f xml:space="preserve"> L99 / 10</f>
        <v>11340000</v>
      </c>
      <c r="K100" s="73">
        <f t="shared" ref="K100:K111" si="46" xml:space="preserve"> H100 + J100 - I100</f>
        <v>13440000</v>
      </c>
      <c r="L100" s="64">
        <f t="shared" ref="L100:L111" si="47" xml:space="preserve"> L99 +I100 - J100 - N100</f>
        <v>102060000</v>
      </c>
      <c r="M100" s="137">
        <f t="shared" si="36"/>
        <v>97148486.906895384</v>
      </c>
      <c r="N100" s="65">
        <v>0</v>
      </c>
      <c r="O100" s="171">
        <f t="shared" ref="O100:O111" si="48" xml:space="preserve"> Q99 + K100</f>
        <v>126893837.15875967</v>
      </c>
      <c r="P100" s="67">
        <v>4.0000000000000001E-3</v>
      </c>
      <c r="Q100" s="145">
        <f t="shared" si="34"/>
        <v>127401412.5073947</v>
      </c>
      <c r="R100" s="171">
        <f t="shared" ref="R100:R111" si="49" xml:space="preserve"> M100 + Q100 + L100</f>
        <v>326609899.41429007</v>
      </c>
      <c r="S100" s="130">
        <f t="shared" ref="S100:S111" si="50" xml:space="preserve"> R100 - M100</f>
        <v>229461412.50739467</v>
      </c>
      <c r="T100" s="74"/>
      <c r="U100" s="11"/>
    </row>
    <row r="101" spans="1:28" s="29" customFormat="1" x14ac:dyDescent="0.3">
      <c r="A101" s="166">
        <f t="shared" si="37"/>
        <v>53000000</v>
      </c>
      <c r="C101" s="332"/>
      <c r="D101" s="76">
        <v>2</v>
      </c>
      <c r="E101" s="77">
        <v>2500000</v>
      </c>
      <c r="F101" s="78">
        <v>0</v>
      </c>
      <c r="G101" s="78">
        <v>400000</v>
      </c>
      <c r="H101" s="78">
        <f t="shared" si="45"/>
        <v>2100000</v>
      </c>
      <c r="I101" s="79">
        <v>0</v>
      </c>
      <c r="J101" s="80">
        <f xml:space="preserve"> J100</f>
        <v>11340000</v>
      </c>
      <c r="K101" s="81">
        <f t="shared" si="46"/>
        <v>13440000</v>
      </c>
      <c r="L101" s="148">
        <f t="shared" si="47"/>
        <v>90720000</v>
      </c>
      <c r="M101" s="138">
        <f t="shared" si="36"/>
        <v>99304359.671219498</v>
      </c>
      <c r="N101" s="65">
        <v>0</v>
      </c>
      <c r="O101" s="168">
        <f t="shared" si="48"/>
        <v>140841412.5073947</v>
      </c>
      <c r="P101" s="29">
        <v>1.7999999999999999E-2</v>
      </c>
      <c r="Q101" s="145">
        <f t="shared" si="34"/>
        <v>143376557.93252781</v>
      </c>
      <c r="R101" s="168">
        <f t="shared" si="49"/>
        <v>333400917.60374731</v>
      </c>
      <c r="S101" s="131">
        <f t="shared" si="50"/>
        <v>234096557.93252781</v>
      </c>
      <c r="T101" s="82"/>
      <c r="U101" s="11"/>
    </row>
    <row r="102" spans="1:28" s="29" customFormat="1" x14ac:dyDescent="0.3">
      <c r="A102" s="166">
        <f t="shared" si="37"/>
        <v>54000000</v>
      </c>
      <c r="C102" s="332"/>
      <c r="D102" s="76">
        <v>3</v>
      </c>
      <c r="E102" s="77">
        <v>2500000</v>
      </c>
      <c r="F102" s="78">
        <v>0</v>
      </c>
      <c r="G102" s="78">
        <v>400000</v>
      </c>
      <c r="H102" s="78">
        <f t="shared" si="45"/>
        <v>2100000</v>
      </c>
      <c r="I102" s="79">
        <v>0</v>
      </c>
      <c r="J102" s="80">
        <f t="shared" ref="J102:J108" si="51" xml:space="preserve"> J101</f>
        <v>11340000</v>
      </c>
      <c r="K102" s="81">
        <f t="shared" si="46"/>
        <v>13440000</v>
      </c>
      <c r="L102" s="148">
        <f t="shared" si="47"/>
        <v>79380000</v>
      </c>
      <c r="M102" s="138">
        <f t="shared" si="36"/>
        <v>101499038.14530145</v>
      </c>
      <c r="N102" s="65">
        <v>0</v>
      </c>
      <c r="O102" s="168">
        <f t="shared" si="48"/>
        <v>156816557.93252781</v>
      </c>
      <c r="P102" s="29">
        <v>1.7999999999999999E-2</v>
      </c>
      <c r="Q102" s="145">
        <f t="shared" si="34"/>
        <v>159639255.97531331</v>
      </c>
      <c r="R102" s="168">
        <f t="shared" si="49"/>
        <v>340518294.12061477</v>
      </c>
      <c r="S102" s="131">
        <f t="shared" si="50"/>
        <v>239019255.97531331</v>
      </c>
      <c r="T102" s="82"/>
      <c r="U102" s="11"/>
    </row>
    <row r="103" spans="1:28" s="29" customFormat="1" x14ac:dyDescent="0.3">
      <c r="A103" s="166">
        <f t="shared" si="37"/>
        <v>55000000</v>
      </c>
      <c r="C103" s="332"/>
      <c r="D103" s="76">
        <v>4</v>
      </c>
      <c r="E103" s="77">
        <v>2500000</v>
      </c>
      <c r="F103" s="78">
        <v>0</v>
      </c>
      <c r="G103" s="78">
        <v>400000</v>
      </c>
      <c r="H103" s="78">
        <f t="shared" si="45"/>
        <v>2100000</v>
      </c>
      <c r="I103" s="79">
        <v>0</v>
      </c>
      <c r="J103" s="80">
        <f t="shared" si="51"/>
        <v>11340000</v>
      </c>
      <c r="K103" s="81">
        <f t="shared" si="46"/>
        <v>13440000</v>
      </c>
      <c r="L103" s="148">
        <f t="shared" si="47"/>
        <v>68040000</v>
      </c>
      <c r="M103" s="138">
        <f t="shared" si="36"/>
        <v>103733220.83191687</v>
      </c>
      <c r="N103" s="65">
        <v>0</v>
      </c>
      <c r="O103" s="168">
        <f t="shared" si="48"/>
        <v>173079255.97531331</v>
      </c>
      <c r="P103" s="29">
        <v>1.7999999999999999E-2</v>
      </c>
      <c r="Q103" s="145">
        <f t="shared" si="34"/>
        <v>176194682.58286893</v>
      </c>
      <c r="R103" s="168">
        <f t="shared" si="49"/>
        <v>347967903.4147858</v>
      </c>
      <c r="S103" s="131">
        <f t="shared" si="50"/>
        <v>244234682.58286893</v>
      </c>
      <c r="T103" s="82"/>
      <c r="U103" s="11"/>
    </row>
    <row r="104" spans="1:28" s="29" customFormat="1" x14ac:dyDescent="0.3">
      <c r="A104" s="166">
        <f t="shared" si="37"/>
        <v>56000000</v>
      </c>
      <c r="C104" s="332"/>
      <c r="D104" s="76">
        <v>5</v>
      </c>
      <c r="E104" s="77">
        <v>2500000</v>
      </c>
      <c r="F104" s="78">
        <v>6400000</v>
      </c>
      <c r="G104" s="78">
        <v>400000</v>
      </c>
      <c r="H104" s="78">
        <f t="shared" si="45"/>
        <v>-4300000</v>
      </c>
      <c r="I104" s="79">
        <v>0</v>
      </c>
      <c r="J104" s="80">
        <f t="shared" si="51"/>
        <v>11340000</v>
      </c>
      <c r="K104" s="81">
        <f t="shared" si="46"/>
        <v>7040000</v>
      </c>
      <c r="L104" s="148">
        <f t="shared" si="47"/>
        <v>56700000</v>
      </c>
      <c r="M104" s="138">
        <f t="shared" si="36"/>
        <v>106007618.80689137</v>
      </c>
      <c r="N104" s="65">
        <v>0</v>
      </c>
      <c r="O104" s="168">
        <f t="shared" si="48"/>
        <v>183234682.58286893</v>
      </c>
      <c r="P104" s="29">
        <v>1.7999999999999999E-2</v>
      </c>
      <c r="Q104" s="145">
        <f t="shared" si="34"/>
        <v>186532906.86936057</v>
      </c>
      <c r="R104" s="168">
        <f t="shared" si="49"/>
        <v>349240525.67625195</v>
      </c>
      <c r="S104" s="131">
        <f t="shared" si="50"/>
        <v>243232906.86936057</v>
      </c>
      <c r="T104" s="82"/>
      <c r="U104" s="11"/>
    </row>
    <row r="105" spans="1:28" s="29" customFormat="1" x14ac:dyDescent="0.3">
      <c r="A105" s="166">
        <f t="shared" si="37"/>
        <v>57000000</v>
      </c>
      <c r="C105" s="332"/>
      <c r="D105" s="76">
        <v>6</v>
      </c>
      <c r="E105" s="77">
        <v>2500000</v>
      </c>
      <c r="F105" s="78">
        <v>0</v>
      </c>
      <c r="G105" s="78">
        <v>400000</v>
      </c>
      <c r="H105" s="78">
        <f t="shared" si="45"/>
        <v>2100000</v>
      </c>
      <c r="I105" s="79">
        <v>0</v>
      </c>
      <c r="J105" s="80">
        <f t="shared" si="51"/>
        <v>11340000</v>
      </c>
      <c r="K105" s="81">
        <f t="shared" si="46"/>
        <v>13440000</v>
      </c>
      <c r="L105" s="148">
        <f t="shared" si="47"/>
        <v>45360000</v>
      </c>
      <c r="M105" s="138">
        <f t="shared" si="36"/>
        <v>108322955.94541541</v>
      </c>
      <c r="N105" s="65">
        <v>0</v>
      </c>
      <c r="O105" s="168">
        <f t="shared" si="48"/>
        <v>199972906.86936057</v>
      </c>
      <c r="P105" s="29">
        <v>1.7999999999999999E-2</v>
      </c>
      <c r="Q105" s="145">
        <f t="shared" si="34"/>
        <v>203572419.19300905</v>
      </c>
      <c r="R105" s="168">
        <f t="shared" si="49"/>
        <v>357255375.13842446</v>
      </c>
      <c r="S105" s="131">
        <f t="shared" si="50"/>
        <v>248932419.19300905</v>
      </c>
      <c r="T105" s="82"/>
      <c r="U105" s="11"/>
    </row>
    <row r="106" spans="1:28" s="29" customFormat="1" x14ac:dyDescent="0.3">
      <c r="A106" s="166">
        <f t="shared" si="37"/>
        <v>58000000</v>
      </c>
      <c r="C106" s="332"/>
      <c r="D106" s="76">
        <v>7</v>
      </c>
      <c r="E106" s="77">
        <v>2500000</v>
      </c>
      <c r="F106" s="78">
        <v>0</v>
      </c>
      <c r="G106" s="78">
        <v>400000</v>
      </c>
      <c r="H106" s="78">
        <f t="shared" si="45"/>
        <v>2100000</v>
      </c>
      <c r="I106" s="79">
        <v>0</v>
      </c>
      <c r="J106" s="80">
        <f t="shared" si="51"/>
        <v>11340000</v>
      </c>
      <c r="K106" s="81">
        <f t="shared" si="46"/>
        <v>13440000</v>
      </c>
      <c r="L106" s="148">
        <f t="shared" si="47"/>
        <v>34020000</v>
      </c>
      <c r="M106" s="138">
        <f t="shared" si="36"/>
        <v>110679969.15243289</v>
      </c>
      <c r="N106" s="65">
        <v>0</v>
      </c>
      <c r="O106" s="168">
        <f t="shared" si="48"/>
        <v>217012419.19300905</v>
      </c>
      <c r="P106" s="29">
        <v>1.7999999999999999E-2</v>
      </c>
      <c r="Q106" s="145">
        <f t="shared" si="34"/>
        <v>220918642.73848322</v>
      </c>
      <c r="R106" s="168">
        <f t="shared" si="49"/>
        <v>365618611.89091611</v>
      </c>
      <c r="S106" s="131">
        <f t="shared" si="50"/>
        <v>254938642.73848322</v>
      </c>
      <c r="T106" s="82"/>
      <c r="U106" s="11"/>
    </row>
    <row r="107" spans="1:28" s="29" customFormat="1" x14ac:dyDescent="0.3">
      <c r="A107" s="166">
        <f t="shared" si="37"/>
        <v>59000000</v>
      </c>
      <c r="C107" s="332"/>
      <c r="D107" s="76">
        <v>8</v>
      </c>
      <c r="E107" s="77">
        <v>2500000</v>
      </c>
      <c r="F107" s="78">
        <v>0</v>
      </c>
      <c r="G107" s="78">
        <v>400000</v>
      </c>
      <c r="H107" s="78">
        <f t="shared" si="45"/>
        <v>2100000</v>
      </c>
      <c r="I107" s="79">
        <v>0</v>
      </c>
      <c r="J107" s="80">
        <f t="shared" si="51"/>
        <v>11340000</v>
      </c>
      <c r="K107" s="81">
        <f t="shared" si="46"/>
        <v>13440000</v>
      </c>
      <c r="L107" s="148">
        <f t="shared" si="47"/>
        <v>22680000</v>
      </c>
      <c r="M107" s="138">
        <f t="shared" si="36"/>
        <v>113079408.59717669</v>
      </c>
      <c r="N107" s="65">
        <v>0</v>
      </c>
      <c r="O107" s="168">
        <f t="shared" si="48"/>
        <v>234358642.73848322</v>
      </c>
      <c r="P107" s="29">
        <v>1.7999999999999999E-2</v>
      </c>
      <c r="Q107" s="145">
        <f t="shared" si="34"/>
        <v>238577098.30777591</v>
      </c>
      <c r="R107" s="168">
        <f t="shared" si="49"/>
        <v>374336506.90495259</v>
      </c>
      <c r="S107" s="131">
        <f t="shared" si="50"/>
        <v>261257098.30777591</v>
      </c>
      <c r="T107" s="82"/>
      <c r="U107" s="11"/>
    </row>
    <row r="108" spans="1:28" s="29" customFormat="1" x14ac:dyDescent="0.3">
      <c r="A108" s="166">
        <f t="shared" si="37"/>
        <v>60000000</v>
      </c>
      <c r="C108" s="332"/>
      <c r="D108" s="76">
        <v>9</v>
      </c>
      <c r="E108" s="77">
        <v>2500000</v>
      </c>
      <c r="F108" s="78">
        <v>0</v>
      </c>
      <c r="G108" s="78">
        <v>400000</v>
      </c>
      <c r="H108" s="78">
        <f t="shared" si="45"/>
        <v>2100000</v>
      </c>
      <c r="I108" s="79">
        <v>0</v>
      </c>
      <c r="J108" s="80">
        <f t="shared" si="51"/>
        <v>11340000</v>
      </c>
      <c r="K108" s="81">
        <f t="shared" si="46"/>
        <v>13440000</v>
      </c>
      <c r="L108" s="148">
        <f t="shared" si="47"/>
        <v>11340000</v>
      </c>
      <c r="M108" s="138">
        <f t="shared" si="36"/>
        <v>115522037.95192586</v>
      </c>
      <c r="N108" s="65">
        <v>0</v>
      </c>
      <c r="O108" s="168">
        <f t="shared" si="48"/>
        <v>252017098.30777591</v>
      </c>
      <c r="P108" s="29">
        <v>1.7999999999999999E-2</v>
      </c>
      <c r="Q108" s="145">
        <f t="shared" si="34"/>
        <v>256553406.07731587</v>
      </c>
      <c r="R108" s="168">
        <f t="shared" si="49"/>
        <v>383415444.02924174</v>
      </c>
      <c r="S108" s="131">
        <f t="shared" si="50"/>
        <v>267893406.07731587</v>
      </c>
      <c r="T108" s="82"/>
      <c r="U108" s="11"/>
    </row>
    <row r="109" spans="1:28" s="29" customFormat="1" x14ac:dyDescent="0.3">
      <c r="A109" s="166">
        <f t="shared" si="37"/>
        <v>61000000</v>
      </c>
      <c r="C109" s="332"/>
      <c r="D109" s="76">
        <v>10</v>
      </c>
      <c r="E109" s="77">
        <v>2500000</v>
      </c>
      <c r="F109" s="78">
        <v>0</v>
      </c>
      <c r="G109" s="78">
        <v>400000</v>
      </c>
      <c r="H109" s="78">
        <f t="shared" si="45"/>
        <v>2100000</v>
      </c>
      <c r="I109" s="79">
        <v>0</v>
      </c>
      <c r="J109" s="80">
        <f xml:space="preserve"> J108</f>
        <v>11340000</v>
      </c>
      <c r="K109" s="81">
        <f t="shared" si="46"/>
        <v>13440000</v>
      </c>
      <c r="L109" s="148">
        <f t="shared" si="47"/>
        <v>0</v>
      </c>
      <c r="M109" s="138">
        <f t="shared" si="36"/>
        <v>118008634.63506052</v>
      </c>
      <c r="N109" s="65">
        <v>0</v>
      </c>
      <c r="O109" s="168">
        <f t="shared" si="48"/>
        <v>269993406.07731587</v>
      </c>
      <c r="P109" s="29">
        <v>1.7999999999999999E-2</v>
      </c>
      <c r="Q109" s="145">
        <f t="shared" si="34"/>
        <v>274853287.38670754</v>
      </c>
      <c r="R109" s="168">
        <f t="shared" si="49"/>
        <v>392861922.02176809</v>
      </c>
      <c r="S109" s="131">
        <f t="shared" si="50"/>
        <v>274853287.38670754</v>
      </c>
      <c r="T109" s="82"/>
      <c r="U109" s="11"/>
    </row>
    <row r="110" spans="1:28" s="29" customFormat="1" ht="17.25" thickBot="1" x14ac:dyDescent="0.35">
      <c r="A110" s="166">
        <f t="shared" si="37"/>
        <v>62000000</v>
      </c>
      <c r="C110" s="332"/>
      <c r="D110" s="84">
        <v>11</v>
      </c>
      <c r="E110" s="85">
        <v>2500000</v>
      </c>
      <c r="F110" s="86">
        <v>0</v>
      </c>
      <c r="G110" s="86">
        <v>400000</v>
      </c>
      <c r="H110" s="86">
        <f t="shared" si="45"/>
        <v>2100000</v>
      </c>
      <c r="I110" s="87">
        <v>71400000</v>
      </c>
      <c r="J110" s="88">
        <v>0</v>
      </c>
      <c r="K110" s="89">
        <f t="shared" si="46"/>
        <v>-69300000</v>
      </c>
      <c r="L110" s="148">
        <f t="shared" si="47"/>
        <v>71400000</v>
      </c>
      <c r="M110" s="139">
        <f t="shared" si="36"/>
        <v>120539990.0584916</v>
      </c>
      <c r="N110" s="65">
        <v>0</v>
      </c>
      <c r="O110" s="169">
        <f t="shared" si="48"/>
        <v>205553287.38670754</v>
      </c>
      <c r="P110" s="83">
        <v>1.7999999999999999E-2</v>
      </c>
      <c r="Q110" s="145">
        <f t="shared" si="34"/>
        <v>209253246.55966827</v>
      </c>
      <c r="R110" s="168">
        <f t="shared" si="49"/>
        <v>401193236.61815989</v>
      </c>
      <c r="S110" s="131">
        <f t="shared" si="50"/>
        <v>280653246.5596683</v>
      </c>
      <c r="T110" s="82"/>
      <c r="U110" s="11"/>
    </row>
    <row r="111" spans="1:28" s="177" customFormat="1" ht="17.25" thickBot="1" x14ac:dyDescent="0.35">
      <c r="A111" s="175">
        <f t="shared" si="37"/>
        <v>63000000</v>
      </c>
      <c r="C111" s="332"/>
      <c r="D111" s="36">
        <v>12</v>
      </c>
      <c r="E111" s="37">
        <v>2500000</v>
      </c>
      <c r="F111" s="38">
        <v>0</v>
      </c>
      <c r="G111" s="38">
        <v>400000</v>
      </c>
      <c r="H111" s="38">
        <f t="shared" si="45"/>
        <v>2100000</v>
      </c>
      <c r="I111" s="39">
        <v>71400000</v>
      </c>
      <c r="J111" s="41">
        <v>0</v>
      </c>
      <c r="K111" s="44">
        <f t="shared" si="46"/>
        <v>-69300000</v>
      </c>
      <c r="L111" s="151">
        <f t="shared" si="47"/>
        <v>142800000</v>
      </c>
      <c r="M111" s="142">
        <f t="shared" si="36"/>
        <v>123116909.87954445</v>
      </c>
      <c r="N111" s="46">
        <v>0</v>
      </c>
      <c r="O111" s="127">
        <f t="shared" si="48"/>
        <v>139953246.55966827</v>
      </c>
      <c r="P111" s="42">
        <v>1.7999999999999999E-2</v>
      </c>
      <c r="Q111" s="207">
        <f t="shared" si="34"/>
        <v>142472404.9977423</v>
      </c>
      <c r="R111" s="128">
        <f t="shared" si="49"/>
        <v>408389314.87728673</v>
      </c>
      <c r="S111" s="134">
        <f t="shared" si="50"/>
        <v>285272404.9977423</v>
      </c>
      <c r="T111" s="176">
        <f xml:space="preserve"> S111 / 4</f>
        <v>71318101.249435574</v>
      </c>
      <c r="U111" s="43">
        <f>SUM(E4:E111)</f>
        <v>272300000</v>
      </c>
      <c r="V111" s="43">
        <f>SUM(F4:F111)</f>
        <v>94526544</v>
      </c>
      <c r="W111" s="45">
        <f xml:space="preserve"> U111 - V111</f>
        <v>177773456</v>
      </c>
      <c r="X111" s="45">
        <f>R111-W111</f>
        <v>230615858.87728673</v>
      </c>
      <c r="Y111" s="113">
        <f xml:space="preserve"> X111 / W111 * 100</f>
        <v>129.72457422287314</v>
      </c>
      <c r="Z111" s="45">
        <f xml:space="preserve"> (X111 - 2500000) * 0.16</f>
        <v>36498537.420365877</v>
      </c>
      <c r="AA111" s="211">
        <f xml:space="preserve"> R111 - ((2500000 * 12) + R99)</f>
        <v>55174036.576200962</v>
      </c>
      <c r="AB111" s="211">
        <f xml:space="preserve"> (AA111 -2500000) * 0.16</f>
        <v>8427845.8521921542</v>
      </c>
    </row>
    <row r="112" spans="1:28" s="29" customFormat="1" x14ac:dyDescent="0.3">
      <c r="A112" s="166">
        <f t="shared" si="37"/>
        <v>64000000</v>
      </c>
      <c r="B112" s="29">
        <v>10</v>
      </c>
      <c r="C112" s="332">
        <v>2031</v>
      </c>
      <c r="D112" s="68">
        <v>1</v>
      </c>
      <c r="E112" s="69">
        <v>2500000</v>
      </c>
      <c r="F112" s="70">
        <v>0</v>
      </c>
      <c r="G112" s="70">
        <v>400000</v>
      </c>
      <c r="H112" s="70">
        <f t="shared" ref="H112:H123" si="52" xml:space="preserve"> E112 - G112 - F112</f>
        <v>2100000</v>
      </c>
      <c r="I112" s="71">
        <v>0</v>
      </c>
      <c r="J112" s="72">
        <f xml:space="preserve"> L111 / 10</f>
        <v>14280000</v>
      </c>
      <c r="K112" s="73">
        <f t="shared" ref="K112:K123" si="53" xml:space="preserve"> H112 + J112 - I112</f>
        <v>16380000</v>
      </c>
      <c r="L112" s="64">
        <f t="shared" ref="L112:L123" si="54" xml:space="preserve"> L111 +I112 - J112 - N112</f>
        <v>128520000</v>
      </c>
      <c r="M112" s="137">
        <f t="shared" ref="M112:M143" si="55" xml:space="preserve"> (M111 + 400000) + ((M111 + 400000) * P112 )</f>
        <v>124010977.51906262</v>
      </c>
      <c r="N112" s="65">
        <v>0</v>
      </c>
      <c r="O112" s="171">
        <f t="shared" ref="O112:O123" si="56" xml:space="preserve"> Q111 + K112</f>
        <v>158852404.9977423</v>
      </c>
      <c r="P112" s="67">
        <v>4.0000000000000001E-3</v>
      </c>
      <c r="Q112" s="145">
        <f t="shared" si="34"/>
        <v>159487814.61773327</v>
      </c>
      <c r="R112" s="171">
        <f t="shared" ref="R112:R123" si="57" xml:space="preserve"> M112 + Q112 + L112</f>
        <v>412018792.13679588</v>
      </c>
      <c r="S112" s="130">
        <f t="shared" ref="S112:S123" si="58" xml:space="preserve"> R112 - M112</f>
        <v>288007814.61773324</v>
      </c>
      <c r="T112" s="74"/>
      <c r="U112" s="11"/>
    </row>
    <row r="113" spans="1:28" s="29" customFormat="1" x14ac:dyDescent="0.3">
      <c r="A113" s="166">
        <f t="shared" si="37"/>
        <v>65000000</v>
      </c>
      <c r="C113" s="332"/>
      <c r="D113" s="76">
        <v>2</v>
      </c>
      <c r="E113" s="77">
        <v>2500000</v>
      </c>
      <c r="F113" s="78">
        <v>0</v>
      </c>
      <c r="G113" s="78">
        <v>400000</v>
      </c>
      <c r="H113" s="78">
        <f t="shared" si="52"/>
        <v>2100000</v>
      </c>
      <c r="I113" s="79">
        <v>0</v>
      </c>
      <c r="J113" s="80">
        <f xml:space="preserve"> J112</f>
        <v>14280000</v>
      </c>
      <c r="K113" s="81">
        <f t="shared" si="53"/>
        <v>16380000</v>
      </c>
      <c r="L113" s="148">
        <f t="shared" si="54"/>
        <v>114240000</v>
      </c>
      <c r="M113" s="138">
        <f t="shared" si="55"/>
        <v>126650375.11440575</v>
      </c>
      <c r="N113" s="65">
        <v>0</v>
      </c>
      <c r="O113" s="168">
        <f t="shared" si="56"/>
        <v>175867814.61773327</v>
      </c>
      <c r="P113" s="29">
        <v>1.7999999999999999E-2</v>
      </c>
      <c r="Q113" s="145">
        <f t="shared" si="34"/>
        <v>179033435.28085247</v>
      </c>
      <c r="R113" s="168">
        <f t="shared" si="57"/>
        <v>419923810.39525819</v>
      </c>
      <c r="S113" s="131">
        <f t="shared" si="58"/>
        <v>293273435.28085244</v>
      </c>
      <c r="T113" s="82"/>
      <c r="U113" s="11"/>
    </row>
    <row r="114" spans="1:28" s="29" customFormat="1" x14ac:dyDescent="0.3">
      <c r="A114" s="166">
        <f t="shared" si="37"/>
        <v>66000000</v>
      </c>
      <c r="C114" s="332"/>
      <c r="D114" s="76">
        <v>3</v>
      </c>
      <c r="E114" s="77">
        <v>2500000</v>
      </c>
      <c r="F114" s="78">
        <v>0</v>
      </c>
      <c r="G114" s="78">
        <v>400000</v>
      </c>
      <c r="H114" s="78">
        <f t="shared" si="52"/>
        <v>2100000</v>
      </c>
      <c r="I114" s="79">
        <v>0</v>
      </c>
      <c r="J114" s="80">
        <f t="shared" ref="J114:J120" si="59" xml:space="preserve"> J113</f>
        <v>14280000</v>
      </c>
      <c r="K114" s="81">
        <f t="shared" si="53"/>
        <v>16380000</v>
      </c>
      <c r="L114" s="148">
        <f t="shared" si="54"/>
        <v>99960000</v>
      </c>
      <c r="M114" s="138">
        <f t="shared" si="55"/>
        <v>129337281.86646506</v>
      </c>
      <c r="N114" s="65">
        <v>0</v>
      </c>
      <c r="O114" s="168">
        <f t="shared" si="56"/>
        <v>195413435.28085247</v>
      </c>
      <c r="P114" s="29">
        <v>1.7999999999999999E-2</v>
      </c>
      <c r="Q114" s="145">
        <f t="shared" si="34"/>
        <v>198930877.11590782</v>
      </c>
      <c r="R114" s="168">
        <f t="shared" si="57"/>
        <v>428228158.98237288</v>
      </c>
      <c r="S114" s="131">
        <f t="shared" si="58"/>
        <v>298890877.11590779</v>
      </c>
      <c r="T114" s="82"/>
      <c r="U114" s="11"/>
    </row>
    <row r="115" spans="1:28" s="29" customFormat="1" x14ac:dyDescent="0.3">
      <c r="A115" s="166">
        <f t="shared" si="37"/>
        <v>67000000</v>
      </c>
      <c r="C115" s="332"/>
      <c r="D115" s="76">
        <v>4</v>
      </c>
      <c r="E115" s="77">
        <v>2500000</v>
      </c>
      <c r="F115" s="78">
        <v>0</v>
      </c>
      <c r="G115" s="78">
        <v>400000</v>
      </c>
      <c r="H115" s="78">
        <f t="shared" si="52"/>
        <v>2100000</v>
      </c>
      <c r="I115" s="79">
        <v>0</v>
      </c>
      <c r="J115" s="80">
        <f t="shared" si="59"/>
        <v>14280000</v>
      </c>
      <c r="K115" s="81">
        <f t="shared" si="53"/>
        <v>16380000</v>
      </c>
      <c r="L115" s="148">
        <f t="shared" si="54"/>
        <v>85680000</v>
      </c>
      <c r="M115" s="138">
        <f t="shared" si="55"/>
        <v>132072552.94006144</v>
      </c>
      <c r="N115" s="65">
        <v>0</v>
      </c>
      <c r="O115" s="168">
        <f t="shared" si="56"/>
        <v>215310877.11590782</v>
      </c>
      <c r="P115" s="29">
        <v>1.7999999999999999E-2</v>
      </c>
      <c r="Q115" s="145">
        <f t="shared" si="34"/>
        <v>219186472.90399417</v>
      </c>
      <c r="R115" s="168">
        <f t="shared" si="57"/>
        <v>436939025.84405559</v>
      </c>
      <c r="S115" s="131">
        <f t="shared" si="58"/>
        <v>304866472.90399414</v>
      </c>
      <c r="T115" s="82"/>
      <c r="U115" s="11"/>
    </row>
    <row r="116" spans="1:28" s="29" customFormat="1" x14ac:dyDescent="0.3">
      <c r="A116" s="166">
        <f t="shared" si="37"/>
        <v>68000000</v>
      </c>
      <c r="C116" s="332"/>
      <c r="D116" s="76">
        <v>5</v>
      </c>
      <c r="E116" s="77">
        <v>2500000</v>
      </c>
      <c r="F116" s="78">
        <v>8170000</v>
      </c>
      <c r="G116" s="78">
        <v>400000</v>
      </c>
      <c r="H116" s="78">
        <f t="shared" si="52"/>
        <v>-6070000</v>
      </c>
      <c r="I116" s="79">
        <v>0</v>
      </c>
      <c r="J116" s="80">
        <f t="shared" si="59"/>
        <v>14280000</v>
      </c>
      <c r="K116" s="81">
        <f t="shared" si="53"/>
        <v>8210000</v>
      </c>
      <c r="L116" s="148">
        <f t="shared" si="54"/>
        <v>71400000</v>
      </c>
      <c r="M116" s="138">
        <f t="shared" si="55"/>
        <v>134857058.89298254</v>
      </c>
      <c r="N116" s="65">
        <v>0</v>
      </c>
      <c r="O116" s="168">
        <f t="shared" si="56"/>
        <v>227396472.90399417</v>
      </c>
      <c r="P116" s="29">
        <v>1.7999999999999999E-2</v>
      </c>
      <c r="Q116" s="145">
        <f t="shared" si="34"/>
        <v>231489609.41626605</v>
      </c>
      <c r="R116" s="168">
        <f t="shared" si="57"/>
        <v>437746668.30924857</v>
      </c>
      <c r="S116" s="131">
        <f t="shared" si="58"/>
        <v>302889609.41626602</v>
      </c>
      <c r="T116" s="82"/>
      <c r="U116" s="11"/>
    </row>
    <row r="117" spans="1:28" s="29" customFormat="1" x14ac:dyDescent="0.3">
      <c r="A117" s="166">
        <f t="shared" si="37"/>
        <v>69000000</v>
      </c>
      <c r="C117" s="332"/>
      <c r="D117" s="76">
        <v>6</v>
      </c>
      <c r="E117" s="77">
        <v>2500000</v>
      </c>
      <c r="F117" s="78">
        <v>0</v>
      </c>
      <c r="G117" s="78">
        <v>400000</v>
      </c>
      <c r="H117" s="78">
        <f t="shared" si="52"/>
        <v>2100000</v>
      </c>
      <c r="I117" s="79">
        <v>0</v>
      </c>
      <c r="J117" s="80">
        <f t="shared" si="59"/>
        <v>14280000</v>
      </c>
      <c r="K117" s="81">
        <f t="shared" si="53"/>
        <v>16380000</v>
      </c>
      <c r="L117" s="148">
        <f t="shared" si="54"/>
        <v>57120000</v>
      </c>
      <c r="M117" s="138">
        <f t="shared" si="55"/>
        <v>137691685.95305622</v>
      </c>
      <c r="N117" s="65">
        <v>0</v>
      </c>
      <c r="O117" s="168">
        <f t="shared" si="56"/>
        <v>247869609.41626605</v>
      </c>
      <c r="P117" s="29">
        <v>1.7999999999999999E-2</v>
      </c>
      <c r="Q117" s="145">
        <f t="shared" si="34"/>
        <v>252331262.38575885</v>
      </c>
      <c r="R117" s="168">
        <f t="shared" si="57"/>
        <v>447142948.33881509</v>
      </c>
      <c r="S117" s="131">
        <f t="shared" si="58"/>
        <v>309451262.38575888</v>
      </c>
      <c r="T117" s="82"/>
      <c r="U117" s="11"/>
    </row>
    <row r="118" spans="1:28" s="29" customFormat="1" x14ac:dyDescent="0.3">
      <c r="A118" s="166">
        <f t="shared" si="37"/>
        <v>70000000</v>
      </c>
      <c r="C118" s="332"/>
      <c r="D118" s="76">
        <v>7</v>
      </c>
      <c r="E118" s="77">
        <v>2500000</v>
      </c>
      <c r="F118" s="78">
        <v>0</v>
      </c>
      <c r="G118" s="78">
        <v>400000</v>
      </c>
      <c r="H118" s="78">
        <f t="shared" si="52"/>
        <v>2100000</v>
      </c>
      <c r="I118" s="79">
        <v>0</v>
      </c>
      <c r="J118" s="80">
        <f t="shared" si="59"/>
        <v>14280000</v>
      </c>
      <c r="K118" s="81">
        <f t="shared" si="53"/>
        <v>16380000</v>
      </c>
      <c r="L118" s="148">
        <f t="shared" si="54"/>
        <v>42840000</v>
      </c>
      <c r="M118" s="138">
        <f t="shared" si="55"/>
        <v>140577336.30021122</v>
      </c>
      <c r="N118" s="65">
        <v>0</v>
      </c>
      <c r="O118" s="168">
        <f t="shared" si="56"/>
        <v>268711262.38575888</v>
      </c>
      <c r="P118" s="29">
        <v>1.7999999999999999E-2</v>
      </c>
      <c r="Q118" s="145">
        <f t="shared" si="34"/>
        <v>273548065.10870254</v>
      </c>
      <c r="R118" s="168">
        <f t="shared" si="57"/>
        <v>456965401.40891373</v>
      </c>
      <c r="S118" s="131">
        <f t="shared" si="58"/>
        <v>316388065.10870254</v>
      </c>
      <c r="T118" s="82"/>
      <c r="U118" s="11"/>
    </row>
    <row r="119" spans="1:28" s="29" customFormat="1" x14ac:dyDescent="0.3">
      <c r="A119" s="166">
        <f t="shared" si="37"/>
        <v>71000000</v>
      </c>
      <c r="C119" s="332"/>
      <c r="D119" s="76">
        <v>8</v>
      </c>
      <c r="E119" s="77">
        <v>2500000</v>
      </c>
      <c r="F119" s="78">
        <v>0</v>
      </c>
      <c r="G119" s="78">
        <v>400000</v>
      </c>
      <c r="H119" s="78">
        <f t="shared" si="52"/>
        <v>2100000</v>
      </c>
      <c r="I119" s="79">
        <v>0</v>
      </c>
      <c r="J119" s="80">
        <f t="shared" si="59"/>
        <v>14280000</v>
      </c>
      <c r="K119" s="81">
        <f t="shared" si="53"/>
        <v>16380000</v>
      </c>
      <c r="L119" s="148">
        <f t="shared" si="54"/>
        <v>28560000</v>
      </c>
      <c r="M119" s="138">
        <f t="shared" si="55"/>
        <v>143514928.35361502</v>
      </c>
      <c r="N119" s="65">
        <v>0</v>
      </c>
      <c r="O119" s="168">
        <f t="shared" si="56"/>
        <v>289928065.10870254</v>
      </c>
      <c r="P119" s="29">
        <v>1.7999999999999999E-2</v>
      </c>
      <c r="Q119" s="145">
        <f t="shared" si="34"/>
        <v>295146770.2806592</v>
      </c>
      <c r="R119" s="168">
        <f t="shared" si="57"/>
        <v>467221698.63427424</v>
      </c>
      <c r="S119" s="131">
        <f t="shared" si="58"/>
        <v>323706770.2806592</v>
      </c>
      <c r="T119" s="82"/>
      <c r="U119" s="11"/>
    </row>
    <row r="120" spans="1:28" s="29" customFormat="1" x14ac:dyDescent="0.3">
      <c r="A120" s="166">
        <f t="shared" si="37"/>
        <v>72000000</v>
      </c>
      <c r="C120" s="332"/>
      <c r="D120" s="76">
        <v>9</v>
      </c>
      <c r="E120" s="77">
        <v>2500000</v>
      </c>
      <c r="F120" s="78">
        <v>0</v>
      </c>
      <c r="G120" s="78">
        <v>400000</v>
      </c>
      <c r="H120" s="78">
        <f t="shared" si="52"/>
        <v>2100000</v>
      </c>
      <c r="I120" s="79">
        <v>0</v>
      </c>
      <c r="J120" s="80">
        <f t="shared" si="59"/>
        <v>14280000</v>
      </c>
      <c r="K120" s="81">
        <f t="shared" si="53"/>
        <v>16380000</v>
      </c>
      <c r="L120" s="148">
        <f t="shared" si="54"/>
        <v>14280000</v>
      </c>
      <c r="M120" s="138">
        <f t="shared" si="55"/>
        <v>146505397.06398007</v>
      </c>
      <c r="N120" s="65">
        <v>0</v>
      </c>
      <c r="O120" s="168">
        <f t="shared" si="56"/>
        <v>311526770.2806592</v>
      </c>
      <c r="P120" s="29">
        <v>1.7999999999999999E-2</v>
      </c>
      <c r="Q120" s="145">
        <f t="shared" si="34"/>
        <v>317134252.14571106</v>
      </c>
      <c r="R120" s="168">
        <f t="shared" si="57"/>
        <v>477919649.20969117</v>
      </c>
      <c r="S120" s="131">
        <f t="shared" si="58"/>
        <v>331414252.14571106</v>
      </c>
      <c r="T120" s="82"/>
      <c r="U120" s="11"/>
    </row>
    <row r="121" spans="1:28" s="29" customFormat="1" x14ac:dyDescent="0.3">
      <c r="A121" s="166">
        <f t="shared" si="37"/>
        <v>73000000</v>
      </c>
      <c r="C121" s="332"/>
      <c r="D121" s="76">
        <v>10</v>
      </c>
      <c r="E121" s="77">
        <v>2500000</v>
      </c>
      <c r="F121" s="78">
        <v>0</v>
      </c>
      <c r="G121" s="78">
        <v>400000</v>
      </c>
      <c r="H121" s="78">
        <f t="shared" si="52"/>
        <v>2100000</v>
      </c>
      <c r="I121" s="79">
        <v>0</v>
      </c>
      <c r="J121" s="80">
        <f xml:space="preserve"> J120</f>
        <v>14280000</v>
      </c>
      <c r="K121" s="81">
        <f t="shared" si="53"/>
        <v>16380000</v>
      </c>
      <c r="L121" s="148">
        <f t="shared" si="54"/>
        <v>0</v>
      </c>
      <c r="M121" s="138">
        <f t="shared" si="55"/>
        <v>149549694.21113172</v>
      </c>
      <c r="N121" s="65">
        <v>0</v>
      </c>
      <c r="O121" s="168">
        <f t="shared" si="56"/>
        <v>333514252.14571106</v>
      </c>
      <c r="P121" s="29">
        <v>1.7999999999999999E-2</v>
      </c>
      <c r="Q121" s="145">
        <f t="shared" si="34"/>
        <v>339517508.68433386</v>
      </c>
      <c r="R121" s="168">
        <f t="shared" si="57"/>
        <v>489067202.89546561</v>
      </c>
      <c r="S121" s="131">
        <f t="shared" si="58"/>
        <v>339517508.68433392</v>
      </c>
      <c r="T121" s="82"/>
      <c r="U121" s="11"/>
    </row>
    <row r="122" spans="1:28" s="29" customFormat="1" ht="17.25" thickBot="1" x14ac:dyDescent="0.35">
      <c r="A122" s="166">
        <f t="shared" si="37"/>
        <v>74000000</v>
      </c>
      <c r="C122" s="332"/>
      <c r="D122" s="84">
        <v>11</v>
      </c>
      <c r="E122" s="85">
        <v>2500000</v>
      </c>
      <c r="F122" s="86">
        <v>0</v>
      </c>
      <c r="G122" s="86">
        <v>400000</v>
      </c>
      <c r="H122" s="86">
        <f t="shared" si="52"/>
        <v>2100000</v>
      </c>
      <c r="I122" s="87">
        <v>88000000</v>
      </c>
      <c r="J122" s="88">
        <v>0</v>
      </c>
      <c r="K122" s="89">
        <f t="shared" si="53"/>
        <v>-85900000</v>
      </c>
      <c r="L122" s="148">
        <f t="shared" si="54"/>
        <v>88000000</v>
      </c>
      <c r="M122" s="139">
        <f t="shared" si="55"/>
        <v>152648788.7069321</v>
      </c>
      <c r="N122" s="65">
        <v>0</v>
      </c>
      <c r="O122" s="169">
        <f t="shared" si="56"/>
        <v>253617508.68433386</v>
      </c>
      <c r="P122" s="83">
        <v>1.7999999999999999E-2</v>
      </c>
      <c r="Q122" s="145">
        <f t="shared" si="34"/>
        <v>258182623.84065187</v>
      </c>
      <c r="R122" s="168">
        <f t="shared" si="57"/>
        <v>498831412.54758394</v>
      </c>
      <c r="S122" s="131">
        <f t="shared" si="58"/>
        <v>346182623.84065187</v>
      </c>
      <c r="T122" s="82"/>
      <c r="U122" s="11"/>
    </row>
    <row r="123" spans="1:28" s="29" customFormat="1" ht="17.25" thickBot="1" x14ac:dyDescent="0.35">
      <c r="A123" s="166">
        <f t="shared" si="37"/>
        <v>75000000</v>
      </c>
      <c r="C123" s="332"/>
      <c r="D123" s="36">
        <v>12</v>
      </c>
      <c r="E123" s="37">
        <v>2500000</v>
      </c>
      <c r="F123" s="38">
        <v>0</v>
      </c>
      <c r="G123" s="38">
        <v>400000</v>
      </c>
      <c r="H123" s="38">
        <f t="shared" si="52"/>
        <v>2100000</v>
      </c>
      <c r="I123" s="39">
        <v>88000000</v>
      </c>
      <c r="J123" s="41">
        <v>0</v>
      </c>
      <c r="K123" s="44">
        <f t="shared" si="53"/>
        <v>-85900000</v>
      </c>
      <c r="L123" s="151">
        <f t="shared" si="54"/>
        <v>176000000</v>
      </c>
      <c r="M123" s="140">
        <f t="shared" si="55"/>
        <v>155803666.90365687</v>
      </c>
      <c r="N123" s="46">
        <v>0</v>
      </c>
      <c r="O123" s="170">
        <f t="shared" si="56"/>
        <v>172282623.84065187</v>
      </c>
      <c r="P123" s="42">
        <v>1.7999999999999999E-2</v>
      </c>
      <c r="Q123" s="145">
        <f t="shared" si="34"/>
        <v>175383711.0697836</v>
      </c>
      <c r="R123" s="168">
        <f t="shared" si="57"/>
        <v>507187377.97344047</v>
      </c>
      <c r="S123" s="134">
        <f t="shared" si="58"/>
        <v>351383711.06978357</v>
      </c>
      <c r="T123" s="82">
        <f xml:space="preserve"> S123 / 4</f>
        <v>87845927.767445892</v>
      </c>
      <c r="U123" s="43">
        <f>SUM(E4:E123)</f>
        <v>302300000</v>
      </c>
      <c r="V123" s="43">
        <f>SUM(F4:F123)</f>
        <v>102696544</v>
      </c>
      <c r="W123" s="45">
        <f xml:space="preserve"> U123 - V123</f>
        <v>199603456</v>
      </c>
      <c r="X123" s="45">
        <f>R123-W123</f>
        <v>307583921.97344047</v>
      </c>
      <c r="Y123" s="113">
        <f xml:space="preserve"> X123 / W123 * 100</f>
        <v>154.09749316837505</v>
      </c>
      <c r="Z123" s="45">
        <f xml:space="preserve"> (X123 - 2500000) * 0.16</f>
        <v>48813427.515750475</v>
      </c>
      <c r="AA123" s="211">
        <f xml:space="preserve"> R123 - ((2500000 * 12) + R111)</f>
        <v>68798063.096153736</v>
      </c>
      <c r="AB123" s="211">
        <f xml:space="preserve"> (AA123 -2500000) * 0.16</f>
        <v>10607690.095384598</v>
      </c>
    </row>
    <row r="124" spans="1:28" s="29" customFormat="1" x14ac:dyDescent="0.3">
      <c r="A124" s="166">
        <f t="shared" si="37"/>
        <v>76000000</v>
      </c>
      <c r="B124" s="29">
        <v>11</v>
      </c>
      <c r="C124" s="332">
        <v>2032</v>
      </c>
      <c r="D124" s="68">
        <v>1</v>
      </c>
      <c r="E124" s="69">
        <v>2500000</v>
      </c>
      <c r="F124" s="70">
        <v>0</v>
      </c>
      <c r="G124" s="70">
        <v>400000</v>
      </c>
      <c r="H124" s="70">
        <f t="shared" ref="H124:H135" si="60" xml:space="preserve"> E124 - G124 - F124</f>
        <v>2100000</v>
      </c>
      <c r="I124" s="71">
        <v>0</v>
      </c>
      <c r="J124" s="72">
        <f xml:space="preserve"> L123 / 10</f>
        <v>17600000</v>
      </c>
      <c r="K124" s="73">
        <f t="shared" ref="K124:K135" si="61" xml:space="preserve"> H124 + J124 - I124</f>
        <v>19700000</v>
      </c>
      <c r="L124" s="64">
        <f t="shared" ref="L124:L135" si="62" xml:space="preserve"> L123 +I124 - J124 - N124</f>
        <v>158400000</v>
      </c>
      <c r="M124" s="137">
        <f t="shared" si="55"/>
        <v>156828481.57127151</v>
      </c>
      <c r="N124" s="65">
        <v>0</v>
      </c>
      <c r="O124" s="171">
        <f t="shared" ref="O124:O135" si="63" xml:space="preserve"> Q123 + K124</f>
        <v>195083711.0697836</v>
      </c>
      <c r="P124" s="67">
        <v>4.0000000000000001E-3</v>
      </c>
      <c r="Q124" s="145">
        <f t="shared" si="34"/>
        <v>195864045.91406274</v>
      </c>
      <c r="R124" s="171">
        <f t="shared" ref="R124:R135" si="64" xml:space="preserve"> M124 + Q124 + L124</f>
        <v>511092527.48533428</v>
      </c>
      <c r="S124" s="130">
        <f t="shared" ref="S124:S135" si="65" xml:space="preserve"> R124 - M124</f>
        <v>354264045.91406274</v>
      </c>
      <c r="T124" s="74"/>
      <c r="U124" s="11"/>
    </row>
    <row r="125" spans="1:28" s="29" customFormat="1" x14ac:dyDescent="0.3">
      <c r="A125" s="166">
        <f t="shared" si="37"/>
        <v>77000000</v>
      </c>
      <c r="C125" s="332"/>
      <c r="D125" s="76">
        <v>2</v>
      </c>
      <c r="E125" s="77">
        <v>2500000</v>
      </c>
      <c r="F125" s="78">
        <v>0</v>
      </c>
      <c r="G125" s="78">
        <v>400000</v>
      </c>
      <c r="H125" s="78">
        <f t="shared" si="60"/>
        <v>2100000</v>
      </c>
      <c r="I125" s="79">
        <v>0</v>
      </c>
      <c r="J125" s="80">
        <f xml:space="preserve"> J124</f>
        <v>17600000</v>
      </c>
      <c r="K125" s="81">
        <f t="shared" si="61"/>
        <v>19700000</v>
      </c>
      <c r="L125" s="148">
        <f t="shared" si="62"/>
        <v>140800000</v>
      </c>
      <c r="M125" s="138">
        <f t="shared" si="55"/>
        <v>160058594.23955441</v>
      </c>
      <c r="N125" s="65">
        <v>0</v>
      </c>
      <c r="O125" s="168">
        <f t="shared" si="63"/>
        <v>215564045.91406274</v>
      </c>
      <c r="P125" s="29">
        <v>1.7999999999999999E-2</v>
      </c>
      <c r="Q125" s="145">
        <f t="shared" si="34"/>
        <v>219444198.74051586</v>
      </c>
      <c r="R125" s="168">
        <f t="shared" si="64"/>
        <v>520302792.98007023</v>
      </c>
      <c r="S125" s="131">
        <f t="shared" si="65"/>
        <v>360244198.74051583</v>
      </c>
      <c r="T125" s="82"/>
      <c r="U125" s="11"/>
    </row>
    <row r="126" spans="1:28" s="29" customFormat="1" x14ac:dyDescent="0.3">
      <c r="A126" s="166">
        <f t="shared" si="37"/>
        <v>78000000</v>
      </c>
      <c r="C126" s="332"/>
      <c r="D126" s="76">
        <v>3</v>
      </c>
      <c r="E126" s="77">
        <v>2500000</v>
      </c>
      <c r="F126" s="78">
        <v>0</v>
      </c>
      <c r="G126" s="78">
        <v>400000</v>
      </c>
      <c r="H126" s="78">
        <f t="shared" si="60"/>
        <v>2100000</v>
      </c>
      <c r="I126" s="79">
        <v>0</v>
      </c>
      <c r="J126" s="80">
        <f t="shared" ref="J126:J132" si="66" xml:space="preserve"> J125</f>
        <v>17600000</v>
      </c>
      <c r="K126" s="81">
        <f t="shared" si="61"/>
        <v>19700000</v>
      </c>
      <c r="L126" s="148">
        <f t="shared" si="62"/>
        <v>123200000</v>
      </c>
      <c r="M126" s="138">
        <f t="shared" si="55"/>
        <v>163346848.93586639</v>
      </c>
      <c r="N126" s="65">
        <v>0</v>
      </c>
      <c r="O126" s="168">
        <f t="shared" si="63"/>
        <v>239144198.74051586</v>
      </c>
      <c r="P126" s="29">
        <v>1.7999999999999999E-2</v>
      </c>
      <c r="Q126" s="145">
        <f t="shared" si="34"/>
        <v>243448794.31784514</v>
      </c>
      <c r="R126" s="168">
        <f t="shared" si="64"/>
        <v>529995643.25371152</v>
      </c>
      <c r="S126" s="131">
        <f t="shared" si="65"/>
        <v>366648794.31784511</v>
      </c>
      <c r="T126" s="82"/>
      <c r="U126" s="11"/>
    </row>
    <row r="127" spans="1:28" s="29" customFormat="1" x14ac:dyDescent="0.3">
      <c r="A127" s="166">
        <f t="shared" si="37"/>
        <v>79000000</v>
      </c>
      <c r="C127" s="332"/>
      <c r="D127" s="76">
        <v>4</v>
      </c>
      <c r="E127" s="77">
        <v>2500000</v>
      </c>
      <c r="F127" s="78">
        <v>0</v>
      </c>
      <c r="G127" s="78">
        <v>400000</v>
      </c>
      <c r="H127" s="78">
        <f t="shared" si="60"/>
        <v>2100000</v>
      </c>
      <c r="I127" s="79">
        <v>0</v>
      </c>
      <c r="J127" s="80">
        <f t="shared" si="66"/>
        <v>17600000</v>
      </c>
      <c r="K127" s="81">
        <f t="shared" si="61"/>
        <v>19700000</v>
      </c>
      <c r="L127" s="148">
        <f t="shared" si="62"/>
        <v>105600000</v>
      </c>
      <c r="M127" s="138">
        <f t="shared" si="55"/>
        <v>166694292.21671197</v>
      </c>
      <c r="N127" s="65">
        <v>0</v>
      </c>
      <c r="O127" s="168">
        <f t="shared" si="63"/>
        <v>263148794.31784514</v>
      </c>
      <c r="P127" s="29">
        <v>1.7999999999999999E-2</v>
      </c>
      <c r="Q127" s="145">
        <f t="shared" si="34"/>
        <v>267885472.61556634</v>
      </c>
      <c r="R127" s="168">
        <f t="shared" si="64"/>
        <v>540179764.83227825</v>
      </c>
      <c r="S127" s="131">
        <f t="shared" si="65"/>
        <v>373485472.61556625</v>
      </c>
      <c r="T127" s="82"/>
      <c r="U127" s="11"/>
    </row>
    <row r="128" spans="1:28" s="29" customFormat="1" x14ac:dyDescent="0.3">
      <c r="A128" s="166">
        <f t="shared" si="37"/>
        <v>80000000</v>
      </c>
      <c r="C128" s="332"/>
      <c r="D128" s="76">
        <v>5</v>
      </c>
      <c r="E128" s="77">
        <v>2500000</v>
      </c>
      <c r="F128" s="78">
        <v>10190000</v>
      </c>
      <c r="G128" s="78">
        <v>400000</v>
      </c>
      <c r="H128" s="78">
        <f t="shared" si="60"/>
        <v>-8090000</v>
      </c>
      <c r="I128" s="79">
        <v>0</v>
      </c>
      <c r="J128" s="80">
        <f t="shared" si="66"/>
        <v>17600000</v>
      </c>
      <c r="K128" s="81">
        <f t="shared" si="61"/>
        <v>9510000</v>
      </c>
      <c r="L128" s="148">
        <f t="shared" si="62"/>
        <v>88000000</v>
      </c>
      <c r="M128" s="138">
        <f t="shared" si="55"/>
        <v>170101989.47661278</v>
      </c>
      <c r="N128" s="65">
        <v>0</v>
      </c>
      <c r="O128" s="168">
        <f t="shared" si="63"/>
        <v>277395472.61556637</v>
      </c>
      <c r="P128" s="29">
        <v>1.7999999999999999E-2</v>
      </c>
      <c r="Q128" s="145">
        <f t="shared" si="34"/>
        <v>282388591.12264657</v>
      </c>
      <c r="R128" s="168">
        <f t="shared" si="64"/>
        <v>540490580.59925938</v>
      </c>
      <c r="S128" s="131">
        <f t="shared" si="65"/>
        <v>370388591.12264657</v>
      </c>
      <c r="T128" s="82"/>
      <c r="U128" s="11"/>
    </row>
    <row r="129" spans="1:28" s="29" customFormat="1" x14ac:dyDescent="0.3">
      <c r="A129" s="166">
        <f t="shared" si="37"/>
        <v>81000000</v>
      </c>
      <c r="C129" s="332"/>
      <c r="D129" s="76">
        <v>6</v>
      </c>
      <c r="E129" s="77">
        <v>2500000</v>
      </c>
      <c r="F129" s="78">
        <v>0</v>
      </c>
      <c r="G129" s="78">
        <v>400000</v>
      </c>
      <c r="H129" s="78">
        <f t="shared" si="60"/>
        <v>2100000</v>
      </c>
      <c r="I129" s="79">
        <v>0</v>
      </c>
      <c r="J129" s="80">
        <f t="shared" si="66"/>
        <v>17600000</v>
      </c>
      <c r="K129" s="81">
        <f t="shared" si="61"/>
        <v>19700000</v>
      </c>
      <c r="L129" s="148">
        <f t="shared" si="62"/>
        <v>70400000</v>
      </c>
      <c r="M129" s="138">
        <f t="shared" si="55"/>
        <v>173571025.28719181</v>
      </c>
      <c r="N129" s="65">
        <v>0</v>
      </c>
      <c r="O129" s="168">
        <f t="shared" si="63"/>
        <v>302088591.12264657</v>
      </c>
      <c r="P129" s="29">
        <v>1.7999999999999999E-2</v>
      </c>
      <c r="Q129" s="145">
        <f t="shared" si="34"/>
        <v>307526185.76285422</v>
      </c>
      <c r="R129" s="168">
        <f t="shared" si="64"/>
        <v>551497211.05004597</v>
      </c>
      <c r="S129" s="131">
        <f t="shared" si="65"/>
        <v>377926185.76285416</v>
      </c>
      <c r="T129" s="82"/>
      <c r="U129" s="11"/>
    </row>
    <row r="130" spans="1:28" s="29" customFormat="1" x14ac:dyDescent="0.3">
      <c r="A130" s="166">
        <f t="shared" si="37"/>
        <v>82000000</v>
      </c>
      <c r="C130" s="332"/>
      <c r="D130" s="76">
        <v>7</v>
      </c>
      <c r="E130" s="77">
        <v>2500000</v>
      </c>
      <c r="F130" s="78">
        <v>0</v>
      </c>
      <c r="G130" s="78">
        <v>400000</v>
      </c>
      <c r="H130" s="78">
        <f t="shared" si="60"/>
        <v>2100000</v>
      </c>
      <c r="I130" s="79">
        <v>0</v>
      </c>
      <c r="J130" s="80">
        <f t="shared" si="66"/>
        <v>17600000</v>
      </c>
      <c r="K130" s="81">
        <f t="shared" si="61"/>
        <v>19700000</v>
      </c>
      <c r="L130" s="148">
        <f t="shared" si="62"/>
        <v>52800000</v>
      </c>
      <c r="M130" s="138">
        <f t="shared" si="55"/>
        <v>177102503.74236125</v>
      </c>
      <c r="N130" s="65">
        <v>0</v>
      </c>
      <c r="O130" s="168">
        <f t="shared" si="63"/>
        <v>327226185.76285422</v>
      </c>
      <c r="P130" s="29">
        <v>1.7999999999999999E-2</v>
      </c>
      <c r="Q130" s="145">
        <f t="shared" si="34"/>
        <v>333116257.10658562</v>
      </c>
      <c r="R130" s="168">
        <f t="shared" si="64"/>
        <v>563018760.84894681</v>
      </c>
      <c r="S130" s="131">
        <f t="shared" si="65"/>
        <v>385916257.10658556</v>
      </c>
      <c r="T130" s="82"/>
      <c r="U130" s="11"/>
    </row>
    <row r="131" spans="1:28" s="29" customFormat="1" x14ac:dyDescent="0.3">
      <c r="A131" s="166">
        <f t="shared" si="37"/>
        <v>83000000</v>
      </c>
      <c r="C131" s="332"/>
      <c r="D131" s="76">
        <v>8</v>
      </c>
      <c r="E131" s="77">
        <v>2500000</v>
      </c>
      <c r="F131" s="78">
        <v>0</v>
      </c>
      <c r="G131" s="78">
        <v>400000</v>
      </c>
      <c r="H131" s="78">
        <f t="shared" si="60"/>
        <v>2100000</v>
      </c>
      <c r="I131" s="79">
        <v>0</v>
      </c>
      <c r="J131" s="80">
        <f t="shared" si="66"/>
        <v>17600000</v>
      </c>
      <c r="K131" s="81">
        <f t="shared" si="61"/>
        <v>19700000</v>
      </c>
      <c r="L131" s="148">
        <f t="shared" si="62"/>
        <v>35200000</v>
      </c>
      <c r="M131" s="138">
        <f t="shared" si="55"/>
        <v>180697548.80972373</v>
      </c>
      <c r="N131" s="65">
        <v>0</v>
      </c>
      <c r="O131" s="168">
        <f t="shared" si="63"/>
        <v>352816257.10658562</v>
      </c>
      <c r="P131" s="29">
        <v>1.7999999999999999E-2</v>
      </c>
      <c r="Q131" s="145">
        <f t="shared" si="34"/>
        <v>359166949.73450416</v>
      </c>
      <c r="R131" s="168">
        <f t="shared" si="64"/>
        <v>575064498.54422784</v>
      </c>
      <c r="S131" s="131">
        <f t="shared" si="65"/>
        <v>394366949.7345041</v>
      </c>
      <c r="T131" s="82"/>
      <c r="U131" s="11"/>
    </row>
    <row r="132" spans="1:28" s="29" customFormat="1" x14ac:dyDescent="0.3">
      <c r="A132" s="166">
        <f t="shared" si="37"/>
        <v>84000000</v>
      </c>
      <c r="C132" s="332"/>
      <c r="D132" s="76">
        <v>9</v>
      </c>
      <c r="E132" s="77">
        <v>2500000</v>
      </c>
      <c r="F132" s="78">
        <v>0</v>
      </c>
      <c r="G132" s="78">
        <v>400000</v>
      </c>
      <c r="H132" s="78">
        <f t="shared" si="60"/>
        <v>2100000</v>
      </c>
      <c r="I132" s="79">
        <v>0</v>
      </c>
      <c r="J132" s="80">
        <f t="shared" si="66"/>
        <v>17600000</v>
      </c>
      <c r="K132" s="81">
        <f t="shared" si="61"/>
        <v>19700000</v>
      </c>
      <c r="L132" s="148">
        <f t="shared" si="62"/>
        <v>17600000</v>
      </c>
      <c r="M132" s="138">
        <f t="shared" si="55"/>
        <v>184357304.68829876</v>
      </c>
      <c r="N132" s="65">
        <v>0</v>
      </c>
      <c r="O132" s="168">
        <f t="shared" si="63"/>
        <v>378866949.73450416</v>
      </c>
      <c r="P132" s="29">
        <v>1.7999999999999999E-2</v>
      </c>
      <c r="Q132" s="145">
        <f t="shared" si="34"/>
        <v>385686554.82972527</v>
      </c>
      <c r="R132" s="168">
        <f t="shared" si="64"/>
        <v>587643859.51802397</v>
      </c>
      <c r="S132" s="131">
        <f t="shared" si="65"/>
        <v>403286554.82972521</v>
      </c>
      <c r="T132" s="82"/>
      <c r="U132" s="11"/>
    </row>
    <row r="133" spans="1:28" s="29" customFormat="1" x14ac:dyDescent="0.3">
      <c r="A133" s="166">
        <f t="shared" si="37"/>
        <v>85000000</v>
      </c>
      <c r="C133" s="332"/>
      <c r="D133" s="76">
        <v>10</v>
      </c>
      <c r="E133" s="77">
        <v>2500000</v>
      </c>
      <c r="F133" s="78">
        <v>0</v>
      </c>
      <c r="G133" s="78">
        <v>400000</v>
      </c>
      <c r="H133" s="78">
        <f t="shared" si="60"/>
        <v>2100000</v>
      </c>
      <c r="I133" s="79">
        <v>0</v>
      </c>
      <c r="J133" s="80">
        <f xml:space="preserve"> J132</f>
        <v>17600000</v>
      </c>
      <c r="K133" s="81">
        <f t="shared" si="61"/>
        <v>19700000</v>
      </c>
      <c r="L133" s="148">
        <f t="shared" si="62"/>
        <v>0</v>
      </c>
      <c r="M133" s="138">
        <f t="shared" si="55"/>
        <v>188082936.17268813</v>
      </c>
      <c r="N133" s="65">
        <v>0</v>
      </c>
      <c r="O133" s="168">
        <f t="shared" si="63"/>
        <v>405386554.82972527</v>
      </c>
      <c r="P133" s="29">
        <v>1.7999999999999999E-2</v>
      </c>
      <c r="Q133" s="145">
        <f t="shared" si="34"/>
        <v>412683512.81666034</v>
      </c>
      <c r="R133" s="168">
        <f t="shared" si="64"/>
        <v>600766448.98934841</v>
      </c>
      <c r="S133" s="131">
        <f t="shared" si="65"/>
        <v>412683512.81666028</v>
      </c>
      <c r="T133" s="82"/>
      <c r="U133" s="11"/>
    </row>
    <row r="134" spans="1:28" s="29" customFormat="1" ht="17.25" thickBot="1" x14ac:dyDescent="0.35">
      <c r="A134" s="166">
        <f t="shared" si="37"/>
        <v>86000000</v>
      </c>
      <c r="C134" s="332"/>
      <c r="D134" s="84">
        <v>11</v>
      </c>
      <c r="E134" s="85">
        <v>2500000</v>
      </c>
      <c r="F134" s="86">
        <v>0</v>
      </c>
      <c r="G134" s="86">
        <v>400000</v>
      </c>
      <c r="H134" s="86">
        <f t="shared" si="60"/>
        <v>2100000</v>
      </c>
      <c r="I134" s="87">
        <v>106500000</v>
      </c>
      <c r="J134" s="88">
        <v>0</v>
      </c>
      <c r="K134" s="89">
        <f t="shared" si="61"/>
        <v>-104400000</v>
      </c>
      <c r="L134" s="148">
        <f t="shared" si="62"/>
        <v>106500000</v>
      </c>
      <c r="M134" s="139">
        <f t="shared" si="55"/>
        <v>191875629.0237965</v>
      </c>
      <c r="N134" s="65">
        <v>0</v>
      </c>
      <c r="O134" s="169">
        <f t="shared" si="63"/>
        <v>308283512.81666034</v>
      </c>
      <c r="P134" s="83">
        <v>1.7999999999999999E-2</v>
      </c>
      <c r="Q134" s="145">
        <f t="shared" si="34"/>
        <v>313832616.04736024</v>
      </c>
      <c r="R134" s="168">
        <f t="shared" si="64"/>
        <v>612208245.07115674</v>
      </c>
      <c r="S134" s="131">
        <f t="shared" si="65"/>
        <v>420332616.04736024</v>
      </c>
      <c r="T134" s="82"/>
      <c r="U134" s="11"/>
    </row>
    <row r="135" spans="1:28" s="29" customFormat="1" ht="17.25" thickBot="1" x14ac:dyDescent="0.35">
      <c r="A135" s="166">
        <f t="shared" si="37"/>
        <v>87000000</v>
      </c>
      <c r="C135" s="332"/>
      <c r="D135" s="36">
        <v>12</v>
      </c>
      <c r="E135" s="37">
        <v>2500000</v>
      </c>
      <c r="F135" s="38">
        <v>0</v>
      </c>
      <c r="G135" s="38">
        <v>400000</v>
      </c>
      <c r="H135" s="38">
        <f t="shared" si="60"/>
        <v>2100000</v>
      </c>
      <c r="I135" s="39">
        <v>106500000</v>
      </c>
      <c r="J135" s="41">
        <v>0</v>
      </c>
      <c r="K135" s="44">
        <f t="shared" si="61"/>
        <v>-104400000</v>
      </c>
      <c r="L135" s="151">
        <f t="shared" si="62"/>
        <v>213000000</v>
      </c>
      <c r="M135" s="140">
        <f t="shared" si="55"/>
        <v>195736590.34622484</v>
      </c>
      <c r="N135" s="46">
        <v>0</v>
      </c>
      <c r="O135" s="170">
        <f t="shared" si="63"/>
        <v>209432616.04736024</v>
      </c>
      <c r="P135" s="42">
        <v>1.7999999999999999E-2</v>
      </c>
      <c r="Q135" s="145">
        <f t="shared" ref="Q135:Q198" si="67" xml:space="preserve"> ((O135 +N135) * P135) + (O135+N135)</f>
        <v>213202403.13621274</v>
      </c>
      <c r="R135" s="168">
        <f t="shared" si="64"/>
        <v>621938993.48243761</v>
      </c>
      <c r="S135" s="134">
        <f t="shared" si="65"/>
        <v>426202403.13621277</v>
      </c>
      <c r="T135" s="82">
        <f xml:space="preserve"> S135 / 4</f>
        <v>106550600.78405319</v>
      </c>
      <c r="U135" s="43">
        <f>SUM(E4:E135)</f>
        <v>332300000</v>
      </c>
      <c r="V135" s="43">
        <f>SUM(F4:F135)</f>
        <v>112886544</v>
      </c>
      <c r="W135" s="45">
        <f xml:space="preserve"> U135 - V135</f>
        <v>219413456</v>
      </c>
      <c r="X135" s="45">
        <f>R135-W135</f>
        <v>402525537.48243761</v>
      </c>
      <c r="Y135" s="113">
        <f xml:space="preserve"> X135 / W135 * 100</f>
        <v>183.45526515130302</v>
      </c>
      <c r="Z135" s="45">
        <f xml:space="preserve"> (X135 - 2500000) * 0.16</f>
        <v>64004085.997190021</v>
      </c>
      <c r="AA135" s="211">
        <f xml:space="preserve"> R135 - ((2500000 * 12) + R123)</f>
        <v>84751615.508997202</v>
      </c>
      <c r="AB135" s="211">
        <f xml:space="preserve"> (AA135 -2500000) * 0.16</f>
        <v>13160258.481439553</v>
      </c>
    </row>
    <row r="136" spans="1:28" s="123" customFormat="1" x14ac:dyDescent="0.3">
      <c r="A136" s="11"/>
      <c r="B136" s="98">
        <v>12</v>
      </c>
      <c r="C136" s="332">
        <v>2033</v>
      </c>
      <c r="D136" s="114">
        <v>1</v>
      </c>
      <c r="E136" s="115">
        <v>0</v>
      </c>
      <c r="F136" s="116">
        <v>36000000</v>
      </c>
      <c r="G136" s="116">
        <v>400000</v>
      </c>
      <c r="H136" s="116">
        <f t="shared" ref="H136:H147" si="68" xml:space="preserve"> E136 - G136 - F136</f>
        <v>-36400000</v>
      </c>
      <c r="I136" s="117">
        <v>0</v>
      </c>
      <c r="J136" s="118">
        <f xml:space="preserve"> L135 / 10</f>
        <v>21300000</v>
      </c>
      <c r="K136" s="119">
        <f t="shared" ref="K136:K147" si="69" xml:space="preserve"> H136 + J136 - I136</f>
        <v>-15100000</v>
      </c>
      <c r="L136" s="152">
        <f t="shared" ref="L136:L147" si="70" xml:space="preserve"> L135 +I136 - J136 - N136</f>
        <v>191700000</v>
      </c>
      <c r="M136" s="143">
        <f t="shared" si="55"/>
        <v>196921136.70760974</v>
      </c>
      <c r="N136" s="105">
        <v>0</v>
      </c>
      <c r="O136" s="171">
        <f t="shared" ref="O136:O147" si="71" xml:space="preserve"> Q135 + K136</f>
        <v>198102403.13621274</v>
      </c>
      <c r="P136" s="120">
        <v>4.0000000000000001E-3</v>
      </c>
      <c r="Q136" s="145">
        <f t="shared" si="67"/>
        <v>198894812.7487576</v>
      </c>
      <c r="R136" s="171">
        <f t="shared" ref="R136:R147" si="72" xml:space="preserve"> M136 + Q136 + L136</f>
        <v>587515949.45636737</v>
      </c>
      <c r="S136" s="135">
        <f t="shared" ref="S136:S147" si="73" xml:space="preserve"> R136 - M136</f>
        <v>390594812.7487576</v>
      </c>
      <c r="T136" s="121"/>
      <c r="U136" s="122"/>
    </row>
    <row r="137" spans="1:28" x14ac:dyDescent="0.3">
      <c r="A137" s="11"/>
      <c r="B137" s="29"/>
      <c r="C137" s="332"/>
      <c r="D137" s="76">
        <v>2</v>
      </c>
      <c r="E137" s="77">
        <v>0</v>
      </c>
      <c r="F137" s="78">
        <v>0</v>
      </c>
      <c r="G137" s="78">
        <v>400000</v>
      </c>
      <c r="H137" s="78">
        <f t="shared" si="68"/>
        <v>-400000</v>
      </c>
      <c r="I137" s="79">
        <v>0</v>
      </c>
      <c r="J137" s="80">
        <f xml:space="preserve"> J136</f>
        <v>21300000</v>
      </c>
      <c r="K137" s="81">
        <f t="shared" si="69"/>
        <v>20900000</v>
      </c>
      <c r="L137" s="148">
        <f t="shared" si="70"/>
        <v>170400000</v>
      </c>
      <c r="M137" s="138">
        <f t="shared" si="55"/>
        <v>200872917.1683467</v>
      </c>
      <c r="N137" s="65">
        <v>0</v>
      </c>
      <c r="O137" s="168">
        <f t="shared" si="71"/>
        <v>219794812.7487576</v>
      </c>
      <c r="P137" s="29">
        <v>1.7999999999999999E-2</v>
      </c>
      <c r="Q137" s="145">
        <f t="shared" si="67"/>
        <v>223751119.37823525</v>
      </c>
      <c r="R137" s="168">
        <f t="shared" si="72"/>
        <v>595024036.54658198</v>
      </c>
      <c r="S137" s="131">
        <f t="shared" si="73"/>
        <v>394151119.37823528</v>
      </c>
      <c r="T137" s="82"/>
    </row>
    <row r="138" spans="1:28" x14ac:dyDescent="0.3">
      <c r="A138" s="11"/>
      <c r="B138" s="29"/>
      <c r="C138" s="332"/>
      <c r="D138" s="76">
        <v>3</v>
      </c>
      <c r="E138" s="77">
        <v>0</v>
      </c>
      <c r="F138" s="78">
        <v>0</v>
      </c>
      <c r="G138" s="78">
        <v>400000</v>
      </c>
      <c r="H138" s="78">
        <f t="shared" si="68"/>
        <v>-400000</v>
      </c>
      <c r="I138" s="79">
        <v>0</v>
      </c>
      <c r="J138" s="80">
        <f t="shared" ref="J138:J144" si="74" xml:space="preserve"> J137</f>
        <v>21300000</v>
      </c>
      <c r="K138" s="81">
        <f t="shared" si="69"/>
        <v>20900000</v>
      </c>
      <c r="L138" s="148">
        <f t="shared" si="70"/>
        <v>149100000</v>
      </c>
      <c r="M138" s="138">
        <f t="shared" si="55"/>
        <v>204895829.67737696</v>
      </c>
      <c r="N138" s="65">
        <v>0</v>
      </c>
      <c r="O138" s="168">
        <f t="shared" si="71"/>
        <v>244651119.37823525</v>
      </c>
      <c r="P138" s="29">
        <v>1.7999999999999999E-2</v>
      </c>
      <c r="Q138" s="145">
        <f t="shared" si="67"/>
        <v>249054839.52704349</v>
      </c>
      <c r="R138" s="168">
        <f t="shared" si="72"/>
        <v>603050669.20442045</v>
      </c>
      <c r="S138" s="131">
        <f t="shared" si="73"/>
        <v>398154839.52704346</v>
      </c>
      <c r="T138" s="82"/>
    </row>
    <row r="139" spans="1:28" x14ac:dyDescent="0.3">
      <c r="A139" s="11"/>
      <c r="B139" s="29"/>
      <c r="C139" s="332"/>
      <c r="D139" s="76">
        <v>4</v>
      </c>
      <c r="E139" s="77">
        <v>0</v>
      </c>
      <c r="F139" s="78">
        <v>0</v>
      </c>
      <c r="G139" s="78">
        <v>400000</v>
      </c>
      <c r="H139" s="78">
        <f t="shared" si="68"/>
        <v>-400000</v>
      </c>
      <c r="I139" s="79">
        <v>0</v>
      </c>
      <c r="J139" s="80">
        <f t="shared" si="74"/>
        <v>21300000</v>
      </c>
      <c r="K139" s="81">
        <f t="shared" si="69"/>
        <v>20900000</v>
      </c>
      <c r="L139" s="148">
        <f t="shared" si="70"/>
        <v>127800000</v>
      </c>
      <c r="M139" s="138">
        <f t="shared" si="55"/>
        <v>208991154.61156973</v>
      </c>
      <c r="N139" s="65">
        <v>0</v>
      </c>
      <c r="O139" s="168">
        <f t="shared" si="71"/>
        <v>269954839.52704346</v>
      </c>
      <c r="P139" s="29">
        <v>1.7999999999999999E-2</v>
      </c>
      <c r="Q139" s="145">
        <f t="shared" si="67"/>
        <v>274814026.63853025</v>
      </c>
      <c r="R139" s="168">
        <f t="shared" si="72"/>
        <v>611605181.25010002</v>
      </c>
      <c r="S139" s="131">
        <f t="shared" si="73"/>
        <v>402614026.63853025</v>
      </c>
      <c r="T139" s="82"/>
    </row>
    <row r="140" spans="1:28" x14ac:dyDescent="0.3">
      <c r="A140" s="11"/>
      <c r="B140" s="29"/>
      <c r="C140" s="332"/>
      <c r="D140" s="76">
        <v>5</v>
      </c>
      <c r="E140" s="77">
        <v>0</v>
      </c>
      <c r="F140" s="78">
        <v>0</v>
      </c>
      <c r="G140" s="78">
        <v>400000</v>
      </c>
      <c r="H140" s="78">
        <f t="shared" si="68"/>
        <v>-400000</v>
      </c>
      <c r="I140" s="79">
        <v>0</v>
      </c>
      <c r="J140" s="80">
        <f t="shared" si="74"/>
        <v>21300000</v>
      </c>
      <c r="K140" s="81">
        <f t="shared" si="69"/>
        <v>20900000</v>
      </c>
      <c r="L140" s="148">
        <f t="shared" si="70"/>
        <v>106500000</v>
      </c>
      <c r="M140" s="138">
        <f t="shared" si="55"/>
        <v>213160195.39457798</v>
      </c>
      <c r="N140" s="65">
        <v>0</v>
      </c>
      <c r="O140" s="168">
        <f t="shared" si="71"/>
        <v>295714026.63853025</v>
      </c>
      <c r="P140" s="29">
        <v>1.7999999999999999E-2</v>
      </c>
      <c r="Q140" s="145">
        <f t="shared" si="67"/>
        <v>301036879.11802381</v>
      </c>
      <c r="R140" s="168">
        <f t="shared" si="72"/>
        <v>620697074.51260185</v>
      </c>
      <c r="S140" s="131">
        <f t="shared" si="73"/>
        <v>407536879.11802387</v>
      </c>
      <c r="T140" s="82"/>
    </row>
    <row r="141" spans="1:28" x14ac:dyDescent="0.3">
      <c r="A141" s="11"/>
      <c r="B141" s="29"/>
      <c r="C141" s="332"/>
      <c r="D141" s="76">
        <v>6</v>
      </c>
      <c r="E141" s="77">
        <v>0</v>
      </c>
      <c r="F141" s="78">
        <v>0</v>
      </c>
      <c r="G141" s="78">
        <v>400000</v>
      </c>
      <c r="H141" s="78">
        <f t="shared" si="68"/>
        <v>-400000</v>
      </c>
      <c r="I141" s="79">
        <v>0</v>
      </c>
      <c r="J141" s="80">
        <f t="shared" si="74"/>
        <v>21300000</v>
      </c>
      <c r="K141" s="81">
        <f t="shared" si="69"/>
        <v>20900000</v>
      </c>
      <c r="L141" s="148">
        <f t="shared" si="70"/>
        <v>85200000</v>
      </c>
      <c r="M141" s="138">
        <f t="shared" si="55"/>
        <v>217404278.91168037</v>
      </c>
      <c r="N141" s="65">
        <v>0</v>
      </c>
      <c r="O141" s="168">
        <f t="shared" si="71"/>
        <v>321936879.11802381</v>
      </c>
      <c r="P141" s="29">
        <v>1.7999999999999999E-2</v>
      </c>
      <c r="Q141" s="145">
        <f t="shared" si="67"/>
        <v>327731742.94214827</v>
      </c>
      <c r="R141" s="168">
        <f t="shared" si="72"/>
        <v>630336021.85382867</v>
      </c>
      <c r="S141" s="131">
        <f t="shared" si="73"/>
        <v>412931742.94214833</v>
      </c>
      <c r="T141" s="82"/>
    </row>
    <row r="142" spans="1:28" x14ac:dyDescent="0.3">
      <c r="A142" s="11"/>
      <c r="B142" s="29"/>
      <c r="C142" s="332"/>
      <c r="D142" s="76">
        <v>7</v>
      </c>
      <c r="E142" s="77">
        <v>0</v>
      </c>
      <c r="F142" s="78">
        <v>0</v>
      </c>
      <c r="G142" s="78">
        <v>400000</v>
      </c>
      <c r="H142" s="78">
        <f t="shared" si="68"/>
        <v>-400000</v>
      </c>
      <c r="I142" s="79">
        <v>0</v>
      </c>
      <c r="J142" s="80">
        <f t="shared" si="74"/>
        <v>21300000</v>
      </c>
      <c r="K142" s="81">
        <f t="shared" si="69"/>
        <v>20900000</v>
      </c>
      <c r="L142" s="148">
        <f t="shared" si="70"/>
        <v>63900000</v>
      </c>
      <c r="M142" s="138">
        <f t="shared" si="55"/>
        <v>221724755.93209061</v>
      </c>
      <c r="N142" s="65">
        <v>0</v>
      </c>
      <c r="O142" s="168">
        <f t="shared" si="71"/>
        <v>348631742.94214827</v>
      </c>
      <c r="P142" s="29">
        <v>1.7999999999999999E-2</v>
      </c>
      <c r="Q142" s="145">
        <f t="shared" si="67"/>
        <v>354907114.31510693</v>
      </c>
      <c r="R142" s="168">
        <f t="shared" si="72"/>
        <v>640531870.24719751</v>
      </c>
      <c r="S142" s="131">
        <f t="shared" si="73"/>
        <v>418807114.31510687</v>
      </c>
      <c r="T142" s="82"/>
    </row>
    <row r="143" spans="1:28" x14ac:dyDescent="0.3">
      <c r="A143" s="11"/>
      <c r="B143" s="29"/>
      <c r="C143" s="332"/>
      <c r="D143" s="76">
        <v>8</v>
      </c>
      <c r="E143" s="77">
        <v>0</v>
      </c>
      <c r="F143" s="78">
        <v>0</v>
      </c>
      <c r="G143" s="78">
        <v>400000</v>
      </c>
      <c r="H143" s="78">
        <f t="shared" si="68"/>
        <v>-400000</v>
      </c>
      <c r="I143" s="79">
        <v>0</v>
      </c>
      <c r="J143" s="80">
        <f t="shared" si="74"/>
        <v>21300000</v>
      </c>
      <c r="K143" s="81">
        <f t="shared" si="69"/>
        <v>20900000</v>
      </c>
      <c r="L143" s="148">
        <f t="shared" si="70"/>
        <v>42600000</v>
      </c>
      <c r="M143" s="138">
        <f t="shared" si="55"/>
        <v>226123001.53886825</v>
      </c>
      <c r="N143" s="65">
        <v>0</v>
      </c>
      <c r="O143" s="168">
        <f t="shared" si="71"/>
        <v>375807114.31510693</v>
      </c>
      <c r="P143" s="29">
        <v>1.7999999999999999E-2</v>
      </c>
      <c r="Q143" s="145">
        <f t="shared" si="67"/>
        <v>382571642.37277883</v>
      </c>
      <c r="R143" s="168">
        <f t="shared" si="72"/>
        <v>651294643.91164708</v>
      </c>
      <c r="S143" s="131">
        <f t="shared" si="73"/>
        <v>425171642.37277883</v>
      </c>
      <c r="T143" s="82"/>
    </row>
    <row r="144" spans="1:28" x14ac:dyDescent="0.3">
      <c r="A144" s="11"/>
      <c r="B144" s="29"/>
      <c r="C144" s="332"/>
      <c r="D144" s="76">
        <v>9</v>
      </c>
      <c r="E144" s="77">
        <v>0</v>
      </c>
      <c r="F144" s="78">
        <v>0</v>
      </c>
      <c r="G144" s="78">
        <v>400000</v>
      </c>
      <c r="H144" s="78">
        <f t="shared" si="68"/>
        <v>-400000</v>
      </c>
      <c r="I144" s="79">
        <v>0</v>
      </c>
      <c r="J144" s="80">
        <f t="shared" si="74"/>
        <v>21300000</v>
      </c>
      <c r="K144" s="81">
        <f t="shared" si="69"/>
        <v>20900000</v>
      </c>
      <c r="L144" s="148">
        <f t="shared" si="70"/>
        <v>21300000</v>
      </c>
      <c r="M144" s="138">
        <f t="shared" ref="M144:M175" si="75" xml:space="preserve"> (M143 + 400000) + ((M143 + 400000) * P144 )</f>
        <v>230600415.56656787</v>
      </c>
      <c r="N144" s="65">
        <v>0</v>
      </c>
      <c r="O144" s="168">
        <f t="shared" si="71"/>
        <v>403471642.37277883</v>
      </c>
      <c r="P144" s="29">
        <v>1.7999999999999999E-2</v>
      </c>
      <c r="Q144" s="145">
        <f t="shared" si="67"/>
        <v>410734131.93548888</v>
      </c>
      <c r="R144" s="168">
        <f t="shared" si="72"/>
        <v>662634547.50205672</v>
      </c>
      <c r="S144" s="131">
        <f t="shared" si="73"/>
        <v>432034131.93548882</v>
      </c>
      <c r="T144" s="82"/>
    </row>
    <row r="145" spans="1:26" x14ac:dyDescent="0.3">
      <c r="A145" s="11"/>
      <c r="B145" s="29"/>
      <c r="C145" s="332"/>
      <c r="D145" s="76">
        <v>10</v>
      </c>
      <c r="E145" s="77">
        <v>0</v>
      </c>
      <c r="F145" s="78">
        <v>0</v>
      </c>
      <c r="G145" s="78">
        <v>400000</v>
      </c>
      <c r="H145" s="78">
        <f t="shared" si="68"/>
        <v>-400000</v>
      </c>
      <c r="I145" s="79">
        <v>0</v>
      </c>
      <c r="J145" s="80">
        <f xml:space="preserve"> J144</f>
        <v>21300000</v>
      </c>
      <c r="K145" s="81">
        <f t="shared" si="69"/>
        <v>20900000</v>
      </c>
      <c r="L145" s="148">
        <f t="shared" si="70"/>
        <v>0</v>
      </c>
      <c r="M145" s="138">
        <f t="shared" si="75"/>
        <v>235158423.0467661</v>
      </c>
      <c r="N145" s="65">
        <v>0</v>
      </c>
      <c r="O145" s="168">
        <f t="shared" si="71"/>
        <v>431634131.93548888</v>
      </c>
      <c r="P145" s="29">
        <v>1.7999999999999999E-2</v>
      </c>
      <c r="Q145" s="145">
        <f t="shared" si="67"/>
        <v>439403546.31032765</v>
      </c>
      <c r="R145" s="168">
        <f t="shared" si="72"/>
        <v>674561969.35709381</v>
      </c>
      <c r="S145" s="131">
        <f t="shared" si="73"/>
        <v>439403546.31032771</v>
      </c>
      <c r="T145" s="82"/>
    </row>
    <row r="146" spans="1:26" ht="17.25" thickBot="1" x14ac:dyDescent="0.35">
      <c r="A146" s="11"/>
      <c r="B146" s="29"/>
      <c r="C146" s="332"/>
      <c r="D146" s="84">
        <v>11</v>
      </c>
      <c r="E146" s="85">
        <v>0</v>
      </c>
      <c r="F146" s="86">
        <v>0</v>
      </c>
      <c r="G146" s="86">
        <v>400000</v>
      </c>
      <c r="H146" s="86">
        <f t="shared" si="68"/>
        <v>-400000</v>
      </c>
      <c r="I146" s="87">
        <v>108400000</v>
      </c>
      <c r="J146" s="88">
        <v>0</v>
      </c>
      <c r="K146" s="89">
        <f t="shared" si="69"/>
        <v>-108800000</v>
      </c>
      <c r="L146" s="148">
        <f t="shared" si="70"/>
        <v>108400000</v>
      </c>
      <c r="M146" s="139">
        <f t="shared" si="75"/>
        <v>239798474.66160789</v>
      </c>
      <c r="N146" s="65">
        <v>0</v>
      </c>
      <c r="O146" s="169">
        <f t="shared" si="71"/>
        <v>330603546.31032765</v>
      </c>
      <c r="P146" s="83">
        <v>1.7999999999999999E-2</v>
      </c>
      <c r="Q146" s="145">
        <f t="shared" si="67"/>
        <v>336554410.14391357</v>
      </c>
      <c r="R146" s="168">
        <f t="shared" si="72"/>
        <v>684752884.80552149</v>
      </c>
      <c r="S146" s="131">
        <f t="shared" si="73"/>
        <v>444954410.14391363</v>
      </c>
      <c r="T146" s="82"/>
    </row>
    <row r="147" spans="1:26" ht="17.25" thickBot="1" x14ac:dyDescent="0.35">
      <c r="A147" s="11"/>
      <c r="B147" s="29"/>
      <c r="C147" s="332"/>
      <c r="D147" s="36">
        <v>12</v>
      </c>
      <c r="E147" s="37">
        <v>0</v>
      </c>
      <c r="F147" s="38">
        <v>0</v>
      </c>
      <c r="G147" s="38">
        <v>400000</v>
      </c>
      <c r="H147" s="38">
        <f t="shared" si="68"/>
        <v>-400000</v>
      </c>
      <c r="I147" s="39">
        <v>108400000</v>
      </c>
      <c r="J147" s="41">
        <v>0</v>
      </c>
      <c r="K147" s="44">
        <f t="shared" si="69"/>
        <v>-108800000</v>
      </c>
      <c r="L147" s="151">
        <f t="shared" si="70"/>
        <v>216800000</v>
      </c>
      <c r="M147" s="140">
        <f t="shared" si="75"/>
        <v>244522047.20551684</v>
      </c>
      <c r="N147" s="46">
        <v>0</v>
      </c>
      <c r="O147" s="170">
        <f t="shared" si="71"/>
        <v>227754410.14391357</v>
      </c>
      <c r="P147" s="42">
        <v>1.7999999999999999E-2</v>
      </c>
      <c r="Q147" s="145">
        <f t="shared" si="67"/>
        <v>231853989.52650401</v>
      </c>
      <c r="R147" s="168">
        <f t="shared" si="72"/>
        <v>693176036.73202085</v>
      </c>
      <c r="S147" s="134">
        <f t="shared" si="73"/>
        <v>448653989.52650404</v>
      </c>
      <c r="T147" s="82">
        <f xml:space="preserve"> S147 / 4</f>
        <v>112163497.38162601</v>
      </c>
      <c r="U147" s="43">
        <f>SUM(E4:E147)</f>
        <v>332300000</v>
      </c>
      <c r="V147" s="43">
        <f>SUM(F4:F147)</f>
        <v>148886544</v>
      </c>
      <c r="W147" s="45">
        <f xml:space="preserve"> U147 - V147</f>
        <v>183413456</v>
      </c>
      <c r="X147" s="45">
        <f>R147-W147</f>
        <v>509762580.73202085</v>
      </c>
      <c r="Y147" s="113">
        <f xml:space="preserve"> X147 / W147 * 100</f>
        <v>277.93085188472804</v>
      </c>
      <c r="Z147" s="45">
        <f xml:space="preserve"> (X147 - 2500000) * 0.16</f>
        <v>81162012.917123333</v>
      </c>
    </row>
    <row r="148" spans="1:26" x14ac:dyDescent="0.3">
      <c r="A148" s="11"/>
      <c r="B148" s="29">
        <v>13</v>
      </c>
      <c r="C148" s="332">
        <v>2034</v>
      </c>
      <c r="D148" s="68">
        <v>1</v>
      </c>
      <c r="E148" s="69">
        <v>0</v>
      </c>
      <c r="F148" s="116">
        <v>36000000</v>
      </c>
      <c r="G148" s="70">
        <v>400000</v>
      </c>
      <c r="H148" s="70">
        <f t="shared" ref="H148:H195" si="76" xml:space="preserve"> E148 - G148 - F148</f>
        <v>-36400000</v>
      </c>
      <c r="I148" s="71">
        <v>0</v>
      </c>
      <c r="J148" s="72">
        <f xml:space="preserve"> L147 / 10</f>
        <v>21680000</v>
      </c>
      <c r="K148" s="73">
        <f t="shared" ref="K148:K195" si="77" xml:space="preserve"> H148 + J148 - I148</f>
        <v>-14720000</v>
      </c>
      <c r="L148" s="64">
        <f t="shared" ref="L148:L195" si="78" xml:space="preserve"> L147 +I148 - J148 - N148</f>
        <v>195120000</v>
      </c>
      <c r="M148" s="137">
        <f t="shared" si="75"/>
        <v>245901735.39433891</v>
      </c>
      <c r="N148" s="65">
        <v>0</v>
      </c>
      <c r="O148" s="171">
        <f t="shared" ref="O148:O195" si="79" xml:space="preserve"> Q147 + K148</f>
        <v>217133989.52650401</v>
      </c>
      <c r="P148" s="67">
        <v>4.0000000000000001E-3</v>
      </c>
      <c r="Q148" s="145">
        <f t="shared" si="67"/>
        <v>218002525.48461002</v>
      </c>
      <c r="R148" s="171">
        <f t="shared" ref="R148:R195" si="80" xml:space="preserve"> M148 + Q148 + L148</f>
        <v>659024260.87894893</v>
      </c>
      <c r="S148" s="130">
        <f t="shared" ref="S148:S195" si="81" xml:space="preserve"> R148 - M148</f>
        <v>413122525.48461002</v>
      </c>
      <c r="T148" s="74"/>
    </row>
    <row r="149" spans="1:26" x14ac:dyDescent="0.3">
      <c r="A149" s="11"/>
      <c r="B149" s="29"/>
      <c r="C149" s="332"/>
      <c r="D149" s="76">
        <v>2</v>
      </c>
      <c r="E149" s="77">
        <v>0</v>
      </c>
      <c r="F149" s="78">
        <v>0</v>
      </c>
      <c r="G149" s="78">
        <v>400000</v>
      </c>
      <c r="H149" s="78">
        <f t="shared" si="76"/>
        <v>-400000</v>
      </c>
      <c r="I149" s="79">
        <v>0</v>
      </c>
      <c r="J149" s="80">
        <f xml:space="preserve"> J148</f>
        <v>21680000</v>
      </c>
      <c r="K149" s="81">
        <f t="shared" si="77"/>
        <v>21280000</v>
      </c>
      <c r="L149" s="148">
        <f t="shared" si="78"/>
        <v>173440000</v>
      </c>
      <c r="M149" s="138">
        <f t="shared" si="75"/>
        <v>250735166.631437</v>
      </c>
      <c r="N149" s="65">
        <v>0</v>
      </c>
      <c r="O149" s="168">
        <f t="shared" si="79"/>
        <v>239282525.48461002</v>
      </c>
      <c r="P149" s="29">
        <v>1.7999999999999999E-2</v>
      </c>
      <c r="Q149" s="145">
        <f t="shared" si="67"/>
        <v>243589610.943333</v>
      </c>
      <c r="R149" s="168">
        <f t="shared" si="80"/>
        <v>667764777.57476997</v>
      </c>
      <c r="S149" s="131">
        <f t="shared" si="81"/>
        <v>417029610.94333297</v>
      </c>
      <c r="T149" s="82"/>
    </row>
    <row r="150" spans="1:26" x14ac:dyDescent="0.3">
      <c r="A150" s="11"/>
      <c r="B150" s="29"/>
      <c r="C150" s="332"/>
      <c r="D150" s="76">
        <v>3</v>
      </c>
      <c r="E150" s="77">
        <v>0</v>
      </c>
      <c r="F150" s="78">
        <v>0</v>
      </c>
      <c r="G150" s="78">
        <v>400000</v>
      </c>
      <c r="H150" s="78">
        <f t="shared" si="76"/>
        <v>-400000</v>
      </c>
      <c r="I150" s="79">
        <v>0</v>
      </c>
      <c r="J150" s="80">
        <f t="shared" ref="J150:J156" si="82" xml:space="preserve"> J149</f>
        <v>21680000</v>
      </c>
      <c r="K150" s="81">
        <f t="shared" si="77"/>
        <v>21280000</v>
      </c>
      <c r="L150" s="148">
        <f t="shared" si="78"/>
        <v>151760000</v>
      </c>
      <c r="M150" s="138">
        <f t="shared" si="75"/>
        <v>255655599.63080287</v>
      </c>
      <c r="N150" s="65">
        <v>0</v>
      </c>
      <c r="O150" s="168">
        <f t="shared" si="79"/>
        <v>264869610.943333</v>
      </c>
      <c r="P150" s="29">
        <v>1.7999999999999999E-2</v>
      </c>
      <c r="Q150" s="145">
        <f t="shared" si="67"/>
        <v>269637263.94031298</v>
      </c>
      <c r="R150" s="168">
        <f t="shared" si="80"/>
        <v>677052863.57111585</v>
      </c>
      <c r="S150" s="131">
        <f t="shared" si="81"/>
        <v>421397263.94031298</v>
      </c>
      <c r="T150" s="82"/>
    </row>
    <row r="151" spans="1:26" x14ac:dyDescent="0.3">
      <c r="A151" s="11"/>
      <c r="B151" s="29"/>
      <c r="C151" s="332"/>
      <c r="D151" s="76">
        <v>4</v>
      </c>
      <c r="E151" s="77">
        <v>0</v>
      </c>
      <c r="F151" s="78">
        <v>0</v>
      </c>
      <c r="G151" s="78">
        <v>400000</v>
      </c>
      <c r="H151" s="78">
        <f t="shared" si="76"/>
        <v>-400000</v>
      </c>
      <c r="I151" s="79">
        <v>0</v>
      </c>
      <c r="J151" s="80">
        <f t="shared" si="82"/>
        <v>21680000</v>
      </c>
      <c r="K151" s="81">
        <f t="shared" si="77"/>
        <v>21280000</v>
      </c>
      <c r="L151" s="148">
        <f t="shared" si="78"/>
        <v>130080000</v>
      </c>
      <c r="M151" s="138">
        <f t="shared" si="75"/>
        <v>260664600.42415732</v>
      </c>
      <c r="N151" s="65">
        <v>0</v>
      </c>
      <c r="O151" s="168">
        <f t="shared" si="79"/>
        <v>290917263.94031298</v>
      </c>
      <c r="P151" s="29">
        <v>1.7999999999999999E-2</v>
      </c>
      <c r="Q151" s="145">
        <f t="shared" si="67"/>
        <v>296153774.69123864</v>
      </c>
      <c r="R151" s="168">
        <f t="shared" si="80"/>
        <v>686898375.11539602</v>
      </c>
      <c r="S151" s="131">
        <f t="shared" si="81"/>
        <v>426233774.6912387</v>
      </c>
      <c r="T151" s="82"/>
    </row>
    <row r="152" spans="1:26" x14ac:dyDescent="0.3">
      <c r="A152" s="11"/>
      <c r="B152" s="29"/>
      <c r="C152" s="332"/>
      <c r="D152" s="76">
        <v>5</v>
      </c>
      <c r="E152" s="77">
        <v>0</v>
      </c>
      <c r="F152" s="78">
        <v>0</v>
      </c>
      <c r="G152" s="78">
        <v>400000</v>
      </c>
      <c r="H152" s="78">
        <f t="shared" si="76"/>
        <v>-400000</v>
      </c>
      <c r="I152" s="79">
        <v>0</v>
      </c>
      <c r="J152" s="80">
        <f t="shared" si="82"/>
        <v>21680000</v>
      </c>
      <c r="K152" s="81">
        <f t="shared" si="77"/>
        <v>21280000</v>
      </c>
      <c r="L152" s="148">
        <f t="shared" si="78"/>
        <v>108400000</v>
      </c>
      <c r="M152" s="138">
        <f t="shared" si="75"/>
        <v>265763763.23179215</v>
      </c>
      <c r="N152" s="65">
        <v>0</v>
      </c>
      <c r="O152" s="168">
        <f t="shared" si="79"/>
        <v>317433774.69123864</v>
      </c>
      <c r="P152" s="29">
        <v>1.7999999999999999E-2</v>
      </c>
      <c r="Q152" s="145">
        <f t="shared" si="67"/>
        <v>323147582.63568091</v>
      </c>
      <c r="R152" s="168">
        <f t="shared" si="80"/>
        <v>697311345.86747313</v>
      </c>
      <c r="S152" s="131">
        <f t="shared" si="81"/>
        <v>431547582.63568097</v>
      </c>
      <c r="T152" s="82"/>
    </row>
    <row r="153" spans="1:26" x14ac:dyDescent="0.3">
      <c r="A153" s="11"/>
      <c r="B153" s="29"/>
      <c r="C153" s="332"/>
      <c r="D153" s="76">
        <v>6</v>
      </c>
      <c r="E153" s="77">
        <v>0</v>
      </c>
      <c r="F153" s="78">
        <v>0</v>
      </c>
      <c r="G153" s="78">
        <v>400000</v>
      </c>
      <c r="H153" s="78">
        <f t="shared" si="76"/>
        <v>-400000</v>
      </c>
      <c r="I153" s="79">
        <v>0</v>
      </c>
      <c r="J153" s="80">
        <f t="shared" si="82"/>
        <v>21680000</v>
      </c>
      <c r="K153" s="81">
        <f t="shared" si="77"/>
        <v>21280000</v>
      </c>
      <c r="L153" s="148">
        <f t="shared" si="78"/>
        <v>86720000</v>
      </c>
      <c r="M153" s="138">
        <f t="shared" si="75"/>
        <v>270954710.96996439</v>
      </c>
      <c r="N153" s="65">
        <v>0</v>
      </c>
      <c r="O153" s="168">
        <f t="shared" si="79"/>
        <v>344427582.63568091</v>
      </c>
      <c r="P153" s="29">
        <v>1.7999999999999999E-2</v>
      </c>
      <c r="Q153" s="145">
        <f t="shared" si="67"/>
        <v>350627279.12312317</v>
      </c>
      <c r="R153" s="168">
        <f t="shared" si="80"/>
        <v>708301990.09308755</v>
      </c>
      <c r="S153" s="131">
        <f t="shared" si="81"/>
        <v>437347279.12312317</v>
      </c>
      <c r="T153" s="82"/>
    </row>
    <row r="154" spans="1:26" x14ac:dyDescent="0.3">
      <c r="A154" s="11"/>
      <c r="B154" s="29"/>
      <c r="C154" s="332"/>
      <c r="D154" s="76">
        <v>7</v>
      </c>
      <c r="E154" s="77">
        <v>0</v>
      </c>
      <c r="F154" s="78">
        <v>0</v>
      </c>
      <c r="G154" s="78">
        <v>400000</v>
      </c>
      <c r="H154" s="78">
        <f t="shared" si="76"/>
        <v>-400000</v>
      </c>
      <c r="I154" s="79">
        <v>0</v>
      </c>
      <c r="J154" s="80">
        <f t="shared" si="82"/>
        <v>21680000</v>
      </c>
      <c r="K154" s="81">
        <f t="shared" si="77"/>
        <v>21280000</v>
      </c>
      <c r="L154" s="148">
        <f t="shared" si="78"/>
        <v>65040000</v>
      </c>
      <c r="M154" s="138">
        <f t="shared" si="75"/>
        <v>276239095.76742375</v>
      </c>
      <c r="N154" s="65">
        <v>0</v>
      </c>
      <c r="O154" s="168">
        <f t="shared" si="79"/>
        <v>371907279.12312317</v>
      </c>
      <c r="P154" s="29">
        <v>1.7999999999999999E-2</v>
      </c>
      <c r="Q154" s="145">
        <f t="shared" si="67"/>
        <v>378601610.1473394</v>
      </c>
      <c r="R154" s="168">
        <f t="shared" si="80"/>
        <v>719880705.91476321</v>
      </c>
      <c r="S154" s="131">
        <f t="shared" si="81"/>
        <v>443641610.14733946</v>
      </c>
      <c r="T154" s="82"/>
    </row>
    <row r="155" spans="1:26" x14ac:dyDescent="0.3">
      <c r="A155" s="11"/>
      <c r="B155" s="29"/>
      <c r="C155" s="332"/>
      <c r="D155" s="76">
        <v>8</v>
      </c>
      <c r="E155" s="77">
        <v>0</v>
      </c>
      <c r="F155" s="78">
        <v>0</v>
      </c>
      <c r="G155" s="78">
        <v>400000</v>
      </c>
      <c r="H155" s="78">
        <f t="shared" si="76"/>
        <v>-400000</v>
      </c>
      <c r="I155" s="79">
        <v>0</v>
      </c>
      <c r="J155" s="80">
        <f t="shared" si="82"/>
        <v>21680000</v>
      </c>
      <c r="K155" s="81">
        <f t="shared" si="77"/>
        <v>21280000</v>
      </c>
      <c r="L155" s="148">
        <f t="shared" si="78"/>
        <v>43360000</v>
      </c>
      <c r="M155" s="138">
        <f t="shared" si="75"/>
        <v>281618599.4912374</v>
      </c>
      <c r="N155" s="65">
        <v>0</v>
      </c>
      <c r="O155" s="168">
        <f t="shared" si="79"/>
        <v>399881610.1473394</v>
      </c>
      <c r="P155" s="29">
        <v>1.7999999999999999E-2</v>
      </c>
      <c r="Q155" s="145">
        <f t="shared" si="67"/>
        <v>407079479.12999153</v>
      </c>
      <c r="R155" s="168">
        <f t="shared" si="80"/>
        <v>732058078.62122893</v>
      </c>
      <c r="S155" s="131">
        <f t="shared" si="81"/>
        <v>450439479.12999153</v>
      </c>
      <c r="T155" s="82"/>
    </row>
    <row r="156" spans="1:26" x14ac:dyDescent="0.3">
      <c r="A156" s="11"/>
      <c r="B156" s="29"/>
      <c r="C156" s="332"/>
      <c r="D156" s="76">
        <v>9</v>
      </c>
      <c r="E156" s="77">
        <v>0</v>
      </c>
      <c r="F156" s="78">
        <v>0</v>
      </c>
      <c r="G156" s="78">
        <v>400000</v>
      </c>
      <c r="H156" s="78">
        <f t="shared" si="76"/>
        <v>-400000</v>
      </c>
      <c r="I156" s="79">
        <v>0</v>
      </c>
      <c r="J156" s="80">
        <f t="shared" si="82"/>
        <v>21680000</v>
      </c>
      <c r="K156" s="81">
        <f t="shared" si="77"/>
        <v>21280000</v>
      </c>
      <c r="L156" s="148">
        <f t="shared" si="78"/>
        <v>21680000</v>
      </c>
      <c r="M156" s="138">
        <f t="shared" si="75"/>
        <v>287094934.2820797</v>
      </c>
      <c r="N156" s="65">
        <v>0</v>
      </c>
      <c r="O156" s="168">
        <f t="shared" si="79"/>
        <v>428359479.12999153</v>
      </c>
      <c r="P156" s="29">
        <v>1.7999999999999999E-2</v>
      </c>
      <c r="Q156" s="145">
        <f t="shared" si="67"/>
        <v>436069949.75433135</v>
      </c>
      <c r="R156" s="168">
        <f t="shared" si="80"/>
        <v>744844884.03641105</v>
      </c>
      <c r="S156" s="131">
        <f t="shared" si="81"/>
        <v>457749949.75433135</v>
      </c>
      <c r="T156" s="82"/>
    </row>
    <row r="157" spans="1:26" x14ac:dyDescent="0.3">
      <c r="A157" s="11"/>
      <c r="B157" s="29"/>
      <c r="C157" s="332"/>
      <c r="D157" s="76">
        <v>10</v>
      </c>
      <c r="E157" s="77">
        <v>0</v>
      </c>
      <c r="F157" s="78">
        <v>0</v>
      </c>
      <c r="G157" s="78">
        <v>400000</v>
      </c>
      <c r="H157" s="78">
        <f t="shared" si="76"/>
        <v>-400000</v>
      </c>
      <c r="I157" s="79">
        <v>0</v>
      </c>
      <c r="J157" s="80">
        <f xml:space="preserve"> J156</f>
        <v>21680000</v>
      </c>
      <c r="K157" s="81">
        <f t="shared" si="77"/>
        <v>21280000</v>
      </c>
      <c r="L157" s="148">
        <f t="shared" si="78"/>
        <v>0</v>
      </c>
      <c r="M157" s="138">
        <f t="shared" si="75"/>
        <v>292669843.09915715</v>
      </c>
      <c r="N157" s="65">
        <v>0</v>
      </c>
      <c r="O157" s="168">
        <f t="shared" si="79"/>
        <v>457349949.75433135</v>
      </c>
      <c r="P157" s="29">
        <v>1.7999999999999999E-2</v>
      </c>
      <c r="Q157" s="145">
        <f t="shared" si="67"/>
        <v>465582248.84990931</v>
      </c>
      <c r="R157" s="168">
        <f t="shared" si="80"/>
        <v>758252091.9490664</v>
      </c>
      <c r="S157" s="131">
        <f t="shared" si="81"/>
        <v>465582248.84990925</v>
      </c>
      <c r="T157" s="82"/>
    </row>
    <row r="158" spans="1:26" ht="17.25" thickBot="1" x14ac:dyDescent="0.35">
      <c r="A158" s="11"/>
      <c r="B158" s="29"/>
      <c r="C158" s="332"/>
      <c r="D158" s="84">
        <v>11</v>
      </c>
      <c r="E158" s="85">
        <v>0</v>
      </c>
      <c r="F158" s="86">
        <v>0</v>
      </c>
      <c r="G158" s="86">
        <v>400000</v>
      </c>
      <c r="H158" s="86">
        <f t="shared" si="76"/>
        <v>-400000</v>
      </c>
      <c r="I158" s="87">
        <v>110600000</v>
      </c>
      <c r="J158" s="88">
        <v>0</v>
      </c>
      <c r="K158" s="89">
        <f t="shared" si="77"/>
        <v>-111000000</v>
      </c>
      <c r="L158" s="148">
        <f t="shared" si="78"/>
        <v>110600000</v>
      </c>
      <c r="M158" s="139">
        <f t="shared" si="75"/>
        <v>298345100.27494198</v>
      </c>
      <c r="N158" s="65">
        <v>0</v>
      </c>
      <c r="O158" s="169">
        <f t="shared" si="79"/>
        <v>354582248.84990931</v>
      </c>
      <c r="P158" s="83">
        <v>1.7999999999999999E-2</v>
      </c>
      <c r="Q158" s="145">
        <f t="shared" si="67"/>
        <v>360964729.32920766</v>
      </c>
      <c r="R158" s="168">
        <f t="shared" si="80"/>
        <v>769909829.60414958</v>
      </c>
      <c r="S158" s="131">
        <f t="shared" si="81"/>
        <v>471564729.3292076</v>
      </c>
      <c r="T158" s="82"/>
    </row>
    <row r="159" spans="1:26" ht="17.25" thickBot="1" x14ac:dyDescent="0.35">
      <c r="A159" s="11"/>
      <c r="B159" s="29"/>
      <c r="C159" s="332"/>
      <c r="D159" s="36">
        <v>12</v>
      </c>
      <c r="E159" s="37">
        <v>0</v>
      </c>
      <c r="F159" s="38">
        <v>0</v>
      </c>
      <c r="G159" s="38">
        <v>400000</v>
      </c>
      <c r="H159" s="38">
        <f t="shared" si="76"/>
        <v>-400000</v>
      </c>
      <c r="I159" s="39">
        <v>110600000</v>
      </c>
      <c r="J159" s="41">
        <v>0</v>
      </c>
      <c r="K159" s="44">
        <f t="shared" si="77"/>
        <v>-111000000</v>
      </c>
      <c r="L159" s="151">
        <f t="shared" si="78"/>
        <v>221200000</v>
      </c>
      <c r="M159" s="140">
        <f t="shared" si="75"/>
        <v>304122512.07989091</v>
      </c>
      <c r="N159" s="46">
        <v>0</v>
      </c>
      <c r="O159" s="170">
        <f t="shared" si="79"/>
        <v>249964729.32920766</v>
      </c>
      <c r="P159" s="42">
        <v>1.7999999999999999E-2</v>
      </c>
      <c r="Q159" s="145">
        <f t="shared" si="67"/>
        <v>254464094.45713338</v>
      </c>
      <c r="R159" s="168">
        <f t="shared" si="80"/>
        <v>779786606.53702426</v>
      </c>
      <c r="S159" s="134">
        <f t="shared" si="81"/>
        <v>475664094.45713335</v>
      </c>
      <c r="T159" s="82">
        <f xml:space="preserve"> S159 / 4</f>
        <v>118916023.61428334</v>
      </c>
      <c r="U159" s="43">
        <f>SUM(E4:E159)</f>
        <v>332300000</v>
      </c>
      <c r="V159" s="43">
        <f>SUM(F4:F159)</f>
        <v>184886544</v>
      </c>
      <c r="W159" s="45">
        <f xml:space="preserve"> U159 - V159</f>
        <v>147413456</v>
      </c>
      <c r="X159" s="45">
        <f>R159-W159</f>
        <v>632373150.53702426</v>
      </c>
      <c r="Y159" s="113">
        <f xml:space="preserve"> X159 / W159 * 100</f>
        <v>428.97925854002381</v>
      </c>
    </row>
    <row r="160" spans="1:26" x14ac:dyDescent="0.3">
      <c r="A160" s="11"/>
      <c r="B160" s="29">
        <v>14</v>
      </c>
      <c r="C160" s="332">
        <v>2035</v>
      </c>
      <c r="D160" s="68">
        <v>1</v>
      </c>
      <c r="E160" s="69">
        <v>0</v>
      </c>
      <c r="F160" s="116">
        <v>36000000</v>
      </c>
      <c r="G160" s="70">
        <v>400000</v>
      </c>
      <c r="H160" s="70">
        <f t="shared" si="76"/>
        <v>-36400000</v>
      </c>
      <c r="I160" s="71">
        <v>0</v>
      </c>
      <c r="J160" s="72">
        <f xml:space="preserve"> L159 / 10</f>
        <v>22120000</v>
      </c>
      <c r="K160" s="73">
        <f t="shared" si="77"/>
        <v>-14280000</v>
      </c>
      <c r="L160" s="64">
        <f t="shared" si="78"/>
        <v>199080000</v>
      </c>
      <c r="M160" s="137">
        <f t="shared" si="75"/>
        <v>305740602.12821048</v>
      </c>
      <c r="N160" s="65">
        <v>0</v>
      </c>
      <c r="O160" s="171">
        <f t="shared" si="79"/>
        <v>240184094.45713338</v>
      </c>
      <c r="P160" s="67">
        <v>4.0000000000000001E-3</v>
      </c>
      <c r="Q160" s="145">
        <f t="shared" si="67"/>
        <v>241144830.83496192</v>
      </c>
      <c r="R160" s="171">
        <f t="shared" si="80"/>
        <v>745965432.96317244</v>
      </c>
      <c r="S160" s="130">
        <f t="shared" si="81"/>
        <v>440224830.83496195</v>
      </c>
      <c r="T160" s="74"/>
    </row>
    <row r="161" spans="1:25" x14ac:dyDescent="0.3">
      <c r="A161" s="11"/>
      <c r="B161" s="29"/>
      <c r="C161" s="332"/>
      <c r="D161" s="76">
        <v>2</v>
      </c>
      <c r="E161" s="77">
        <v>0</v>
      </c>
      <c r="F161" s="78">
        <v>0</v>
      </c>
      <c r="G161" s="78">
        <v>400000</v>
      </c>
      <c r="H161" s="78">
        <f t="shared" si="76"/>
        <v>-400000</v>
      </c>
      <c r="I161" s="79">
        <v>0</v>
      </c>
      <c r="J161" s="80">
        <f xml:space="preserve"> J160</f>
        <v>22120000</v>
      </c>
      <c r="K161" s="81">
        <f t="shared" si="77"/>
        <v>21720000</v>
      </c>
      <c r="L161" s="148">
        <f t="shared" si="78"/>
        <v>176960000</v>
      </c>
      <c r="M161" s="138">
        <f t="shared" si="75"/>
        <v>311651132.96651828</v>
      </c>
      <c r="N161" s="65">
        <v>0</v>
      </c>
      <c r="O161" s="168">
        <f t="shared" si="79"/>
        <v>262864830.83496192</v>
      </c>
      <c r="P161" s="29">
        <v>1.7999999999999999E-2</v>
      </c>
      <c r="Q161" s="145">
        <f t="shared" si="67"/>
        <v>267596397.78999123</v>
      </c>
      <c r="R161" s="168">
        <f t="shared" si="80"/>
        <v>756207530.75650954</v>
      </c>
      <c r="S161" s="131">
        <f t="shared" si="81"/>
        <v>444556397.78999126</v>
      </c>
      <c r="T161" s="82"/>
    </row>
    <row r="162" spans="1:25" x14ac:dyDescent="0.3">
      <c r="A162" s="11"/>
      <c r="B162" s="29"/>
      <c r="C162" s="332"/>
      <c r="D162" s="76">
        <v>3</v>
      </c>
      <c r="E162" s="77">
        <v>0</v>
      </c>
      <c r="F162" s="78">
        <v>0</v>
      </c>
      <c r="G162" s="78">
        <v>400000</v>
      </c>
      <c r="H162" s="78">
        <f t="shared" si="76"/>
        <v>-400000</v>
      </c>
      <c r="I162" s="79">
        <v>0</v>
      </c>
      <c r="J162" s="80">
        <f t="shared" ref="J162:J168" si="83" xml:space="preserve"> J161</f>
        <v>22120000</v>
      </c>
      <c r="K162" s="81">
        <f t="shared" si="77"/>
        <v>21720000</v>
      </c>
      <c r="L162" s="148">
        <f t="shared" si="78"/>
        <v>154840000</v>
      </c>
      <c r="M162" s="138">
        <f t="shared" si="75"/>
        <v>317668053.35991561</v>
      </c>
      <c r="N162" s="65">
        <v>0</v>
      </c>
      <c r="O162" s="168">
        <f t="shared" si="79"/>
        <v>289316397.78999126</v>
      </c>
      <c r="P162" s="29">
        <v>1.7999999999999999E-2</v>
      </c>
      <c r="Q162" s="145">
        <f t="shared" si="67"/>
        <v>294524092.95021111</v>
      </c>
      <c r="R162" s="168">
        <f t="shared" si="80"/>
        <v>767032146.31012678</v>
      </c>
      <c r="S162" s="131">
        <f t="shared" si="81"/>
        <v>449364092.95021117</v>
      </c>
      <c r="T162" s="82"/>
    </row>
    <row r="163" spans="1:25" x14ac:dyDescent="0.3">
      <c r="A163" s="11"/>
      <c r="B163" s="29"/>
      <c r="C163" s="332"/>
      <c r="D163" s="76">
        <v>4</v>
      </c>
      <c r="E163" s="77">
        <v>0</v>
      </c>
      <c r="F163" s="78">
        <v>0</v>
      </c>
      <c r="G163" s="78">
        <v>400000</v>
      </c>
      <c r="H163" s="78">
        <f t="shared" si="76"/>
        <v>-400000</v>
      </c>
      <c r="I163" s="79">
        <v>0</v>
      </c>
      <c r="J163" s="80">
        <f t="shared" si="83"/>
        <v>22120000</v>
      </c>
      <c r="K163" s="81">
        <f t="shared" si="77"/>
        <v>21720000</v>
      </c>
      <c r="L163" s="148">
        <f t="shared" si="78"/>
        <v>132720000</v>
      </c>
      <c r="M163" s="138">
        <f t="shared" si="75"/>
        <v>323793278.3203941</v>
      </c>
      <c r="N163" s="65">
        <v>0</v>
      </c>
      <c r="O163" s="168">
        <f t="shared" si="79"/>
        <v>316244092.95021111</v>
      </c>
      <c r="P163" s="29">
        <v>1.7999999999999999E-2</v>
      </c>
      <c r="Q163" s="145">
        <f t="shared" si="67"/>
        <v>321936486.62331492</v>
      </c>
      <c r="R163" s="168">
        <f t="shared" si="80"/>
        <v>778449764.94370902</v>
      </c>
      <c r="S163" s="131">
        <f t="shared" si="81"/>
        <v>454656486.62331492</v>
      </c>
      <c r="T163" s="82"/>
    </row>
    <row r="164" spans="1:25" x14ac:dyDescent="0.3">
      <c r="A164" s="11"/>
      <c r="B164" s="29"/>
      <c r="C164" s="332"/>
      <c r="D164" s="76">
        <v>5</v>
      </c>
      <c r="E164" s="77">
        <v>0</v>
      </c>
      <c r="F164" s="78">
        <v>0</v>
      </c>
      <c r="G164" s="78">
        <v>400000</v>
      </c>
      <c r="H164" s="78">
        <f t="shared" si="76"/>
        <v>-400000</v>
      </c>
      <c r="I164" s="79">
        <v>0</v>
      </c>
      <c r="J164" s="80">
        <f t="shared" si="83"/>
        <v>22120000</v>
      </c>
      <c r="K164" s="81">
        <f t="shared" si="77"/>
        <v>21720000</v>
      </c>
      <c r="L164" s="148">
        <f t="shared" si="78"/>
        <v>110600000</v>
      </c>
      <c r="M164" s="138">
        <f t="shared" si="75"/>
        <v>330028757.33016121</v>
      </c>
      <c r="N164" s="65">
        <v>0</v>
      </c>
      <c r="O164" s="168">
        <f t="shared" si="79"/>
        <v>343656486.62331492</v>
      </c>
      <c r="P164" s="29">
        <v>1.7999999999999999E-2</v>
      </c>
      <c r="Q164" s="145">
        <f t="shared" si="67"/>
        <v>349842303.38253456</v>
      </c>
      <c r="R164" s="168">
        <f t="shared" si="80"/>
        <v>790471060.71269584</v>
      </c>
      <c r="S164" s="131">
        <f t="shared" si="81"/>
        <v>460442303.38253462</v>
      </c>
      <c r="T164" s="82"/>
    </row>
    <row r="165" spans="1:25" x14ac:dyDescent="0.3">
      <c r="A165" s="11"/>
      <c r="B165" s="29"/>
      <c r="C165" s="332"/>
      <c r="D165" s="76">
        <v>6</v>
      </c>
      <c r="E165" s="77">
        <v>0</v>
      </c>
      <c r="F165" s="78">
        <v>0</v>
      </c>
      <c r="G165" s="78">
        <v>400000</v>
      </c>
      <c r="H165" s="78">
        <f t="shared" si="76"/>
        <v>-400000</v>
      </c>
      <c r="I165" s="79">
        <v>0</v>
      </c>
      <c r="J165" s="80">
        <f t="shared" si="83"/>
        <v>22120000</v>
      </c>
      <c r="K165" s="81">
        <f t="shared" si="77"/>
        <v>21720000</v>
      </c>
      <c r="L165" s="148">
        <f t="shared" si="78"/>
        <v>88480000</v>
      </c>
      <c r="M165" s="138">
        <f t="shared" si="75"/>
        <v>336376474.96210414</v>
      </c>
      <c r="N165" s="65">
        <v>0</v>
      </c>
      <c r="O165" s="168">
        <f t="shared" si="79"/>
        <v>371562303.38253456</v>
      </c>
      <c r="P165" s="29">
        <v>1.7999999999999999E-2</v>
      </c>
      <c r="Q165" s="145">
        <f t="shared" si="67"/>
        <v>378250424.84342021</v>
      </c>
      <c r="R165" s="168">
        <f t="shared" si="80"/>
        <v>803106899.80552435</v>
      </c>
      <c r="S165" s="131">
        <f t="shared" si="81"/>
        <v>466730424.84342021</v>
      </c>
      <c r="T165" s="82"/>
    </row>
    <row r="166" spans="1:25" x14ac:dyDescent="0.3">
      <c r="A166" s="11"/>
      <c r="B166" s="29"/>
      <c r="C166" s="332"/>
      <c r="D166" s="76">
        <v>7</v>
      </c>
      <c r="E166" s="77">
        <v>0</v>
      </c>
      <c r="F166" s="78">
        <v>0</v>
      </c>
      <c r="G166" s="78">
        <v>400000</v>
      </c>
      <c r="H166" s="78">
        <f t="shared" si="76"/>
        <v>-400000</v>
      </c>
      <c r="I166" s="79">
        <v>0</v>
      </c>
      <c r="J166" s="80">
        <f t="shared" si="83"/>
        <v>22120000</v>
      </c>
      <c r="K166" s="81">
        <f t="shared" si="77"/>
        <v>21720000</v>
      </c>
      <c r="L166" s="148">
        <f t="shared" si="78"/>
        <v>66360000</v>
      </c>
      <c r="M166" s="138">
        <f t="shared" si="75"/>
        <v>342838451.51142204</v>
      </c>
      <c r="N166" s="65">
        <v>0</v>
      </c>
      <c r="O166" s="168">
        <f t="shared" si="79"/>
        <v>399970424.84342021</v>
      </c>
      <c r="P166" s="29">
        <v>1.7999999999999999E-2</v>
      </c>
      <c r="Q166" s="145">
        <f t="shared" si="67"/>
        <v>407169892.49060178</v>
      </c>
      <c r="R166" s="168">
        <f t="shared" si="80"/>
        <v>816368344.00202382</v>
      </c>
      <c r="S166" s="131">
        <f t="shared" si="81"/>
        <v>473529892.49060178</v>
      </c>
      <c r="T166" s="82"/>
    </row>
    <row r="167" spans="1:25" x14ac:dyDescent="0.3">
      <c r="A167" s="11"/>
      <c r="B167" s="29"/>
      <c r="C167" s="332"/>
      <c r="D167" s="76">
        <v>8</v>
      </c>
      <c r="E167" s="77">
        <v>0</v>
      </c>
      <c r="F167" s="78">
        <v>0</v>
      </c>
      <c r="G167" s="78">
        <v>400000</v>
      </c>
      <c r="H167" s="78">
        <f t="shared" si="76"/>
        <v>-400000</v>
      </c>
      <c r="I167" s="79">
        <v>0</v>
      </c>
      <c r="J167" s="80">
        <f t="shared" si="83"/>
        <v>22120000</v>
      </c>
      <c r="K167" s="81">
        <f t="shared" si="77"/>
        <v>21720000</v>
      </c>
      <c r="L167" s="148">
        <f t="shared" si="78"/>
        <v>44240000</v>
      </c>
      <c r="M167" s="138">
        <f t="shared" si="75"/>
        <v>349416743.63862765</v>
      </c>
      <c r="N167" s="65">
        <v>0</v>
      </c>
      <c r="O167" s="168">
        <f t="shared" si="79"/>
        <v>428889892.49060178</v>
      </c>
      <c r="P167" s="29">
        <v>1.7999999999999999E-2</v>
      </c>
      <c r="Q167" s="145">
        <f t="shared" si="67"/>
        <v>436609910.55543262</v>
      </c>
      <c r="R167" s="168">
        <f t="shared" si="80"/>
        <v>830266654.19406033</v>
      </c>
      <c r="S167" s="131">
        <f t="shared" si="81"/>
        <v>480849910.55543268</v>
      </c>
      <c r="T167" s="82"/>
    </row>
    <row r="168" spans="1:25" x14ac:dyDescent="0.3">
      <c r="A168" s="11"/>
      <c r="B168" s="29"/>
      <c r="C168" s="332"/>
      <c r="D168" s="76">
        <v>9</v>
      </c>
      <c r="E168" s="77">
        <v>0</v>
      </c>
      <c r="F168" s="78">
        <v>0</v>
      </c>
      <c r="G168" s="78">
        <v>400000</v>
      </c>
      <c r="H168" s="78">
        <f t="shared" si="76"/>
        <v>-400000</v>
      </c>
      <c r="I168" s="79">
        <v>0</v>
      </c>
      <c r="J168" s="80">
        <f t="shared" si="83"/>
        <v>22120000</v>
      </c>
      <c r="K168" s="81">
        <f t="shared" si="77"/>
        <v>21720000</v>
      </c>
      <c r="L168" s="148">
        <f t="shared" si="78"/>
        <v>22120000</v>
      </c>
      <c r="M168" s="138">
        <f t="shared" si="75"/>
        <v>356113445.02412295</v>
      </c>
      <c r="N168" s="65">
        <v>0</v>
      </c>
      <c r="O168" s="168">
        <f t="shared" si="79"/>
        <v>458329910.55543262</v>
      </c>
      <c r="P168" s="29">
        <v>1.7999999999999999E-2</v>
      </c>
      <c r="Q168" s="145">
        <f t="shared" si="67"/>
        <v>466579848.9454304</v>
      </c>
      <c r="R168" s="168">
        <f t="shared" si="80"/>
        <v>844813293.96955335</v>
      </c>
      <c r="S168" s="131">
        <f t="shared" si="81"/>
        <v>488699848.9454304</v>
      </c>
      <c r="T168" s="82"/>
    </row>
    <row r="169" spans="1:25" x14ac:dyDescent="0.3">
      <c r="A169" s="11"/>
      <c r="B169" s="29"/>
      <c r="C169" s="332"/>
      <c r="D169" s="76">
        <v>10</v>
      </c>
      <c r="E169" s="77">
        <v>0</v>
      </c>
      <c r="F169" s="78">
        <v>0</v>
      </c>
      <c r="G169" s="78">
        <v>400000</v>
      </c>
      <c r="H169" s="78">
        <f t="shared" si="76"/>
        <v>-400000</v>
      </c>
      <c r="I169" s="79">
        <v>0</v>
      </c>
      <c r="J169" s="80">
        <f xml:space="preserve"> J168</f>
        <v>22120000</v>
      </c>
      <c r="K169" s="81">
        <f t="shared" si="77"/>
        <v>21720000</v>
      </c>
      <c r="L169" s="148">
        <f t="shared" si="78"/>
        <v>0</v>
      </c>
      <c r="M169" s="138">
        <f t="shared" si="75"/>
        <v>362930687.03455716</v>
      </c>
      <c r="N169" s="65">
        <v>0</v>
      </c>
      <c r="O169" s="168">
        <f t="shared" si="79"/>
        <v>488299848.9454304</v>
      </c>
      <c r="P169" s="29">
        <v>1.7999999999999999E-2</v>
      </c>
      <c r="Q169" s="145">
        <f t="shared" si="67"/>
        <v>497089246.22644812</v>
      </c>
      <c r="R169" s="168">
        <f t="shared" si="80"/>
        <v>860019933.26100528</v>
      </c>
      <c r="S169" s="131">
        <f t="shared" si="81"/>
        <v>497089246.22644812</v>
      </c>
      <c r="T169" s="82"/>
    </row>
    <row r="170" spans="1:25" ht="17.25" thickBot="1" x14ac:dyDescent="0.35">
      <c r="A170" s="11"/>
      <c r="B170" s="29"/>
      <c r="C170" s="332"/>
      <c r="D170" s="84">
        <v>11</v>
      </c>
      <c r="E170" s="85">
        <v>0</v>
      </c>
      <c r="F170" s="86">
        <v>0</v>
      </c>
      <c r="G170" s="86">
        <v>400000</v>
      </c>
      <c r="H170" s="86">
        <f t="shared" si="76"/>
        <v>-400000</v>
      </c>
      <c r="I170" s="87">
        <v>138972684</v>
      </c>
      <c r="J170" s="88">
        <v>0</v>
      </c>
      <c r="K170" s="89">
        <f t="shared" si="77"/>
        <v>-139372684</v>
      </c>
      <c r="L170" s="148">
        <f t="shared" si="78"/>
        <v>138972684</v>
      </c>
      <c r="M170" s="139">
        <f t="shared" si="75"/>
        <v>369870639.40117919</v>
      </c>
      <c r="N170" s="65">
        <v>0</v>
      </c>
      <c r="O170" s="169">
        <f t="shared" si="79"/>
        <v>357716562.22644812</v>
      </c>
      <c r="P170" s="83">
        <v>1.7999999999999999E-2</v>
      </c>
      <c r="Q170" s="145">
        <f t="shared" si="67"/>
        <v>364155460.34652418</v>
      </c>
      <c r="R170" s="168">
        <f t="shared" si="80"/>
        <v>872998783.74770331</v>
      </c>
      <c r="S170" s="131">
        <f t="shared" si="81"/>
        <v>503128144.34652412</v>
      </c>
      <c r="T170" s="82"/>
    </row>
    <row r="171" spans="1:25" ht="17.25" thickBot="1" x14ac:dyDescent="0.35">
      <c r="A171" s="11"/>
      <c r="B171" s="29"/>
      <c r="C171" s="332"/>
      <c r="D171" s="36">
        <v>12</v>
      </c>
      <c r="E171" s="37">
        <v>0</v>
      </c>
      <c r="F171" s="38">
        <v>0</v>
      </c>
      <c r="G171" s="38">
        <v>400000</v>
      </c>
      <c r="H171" s="38">
        <f t="shared" si="76"/>
        <v>-400000</v>
      </c>
      <c r="I171" s="39">
        <v>138972684</v>
      </c>
      <c r="J171" s="41">
        <v>0</v>
      </c>
      <c r="K171" s="44">
        <f t="shared" si="77"/>
        <v>-139372684</v>
      </c>
      <c r="L171" s="151">
        <f t="shared" si="78"/>
        <v>277945368</v>
      </c>
      <c r="M171" s="140">
        <f t="shared" si="75"/>
        <v>376935510.91040039</v>
      </c>
      <c r="N171" s="46">
        <v>0</v>
      </c>
      <c r="O171" s="170">
        <f t="shared" si="79"/>
        <v>224782776.34652418</v>
      </c>
      <c r="P171" s="42">
        <v>1.7999999999999999E-2</v>
      </c>
      <c r="Q171" s="145">
        <f t="shared" si="67"/>
        <v>228828866.32076162</v>
      </c>
      <c r="R171" s="168">
        <f t="shared" si="80"/>
        <v>883709745.23116207</v>
      </c>
      <c r="S171" s="134">
        <f t="shared" si="81"/>
        <v>506774234.32076168</v>
      </c>
      <c r="T171" s="82">
        <f xml:space="preserve"> S171 / 4</f>
        <v>126693558.58019042</v>
      </c>
      <c r="U171" s="43">
        <f>SUM(E4:E171)</f>
        <v>332300000</v>
      </c>
      <c r="V171" s="43">
        <f>SUM(F4:F171)</f>
        <v>220886544</v>
      </c>
      <c r="W171" s="45">
        <f xml:space="preserve"> U171 - V171</f>
        <v>111413456</v>
      </c>
      <c r="X171" s="45">
        <f>R171-W171</f>
        <v>772296289.23116207</v>
      </c>
      <c r="Y171" s="113">
        <f xml:space="preserve"> X171 / W171 * 100</f>
        <v>693.18044422853382</v>
      </c>
    </row>
    <row r="172" spans="1:25" x14ac:dyDescent="0.3">
      <c r="A172" s="11"/>
      <c r="B172" s="29">
        <v>15</v>
      </c>
      <c r="C172" s="332">
        <v>2036</v>
      </c>
      <c r="D172" s="68">
        <v>1</v>
      </c>
      <c r="E172" s="69">
        <v>0</v>
      </c>
      <c r="F172" s="116">
        <v>36000000</v>
      </c>
      <c r="G172" s="70">
        <v>400000</v>
      </c>
      <c r="H172" s="70">
        <f t="shared" si="76"/>
        <v>-36400000</v>
      </c>
      <c r="I172" s="71">
        <v>0</v>
      </c>
      <c r="J172" s="72">
        <f xml:space="preserve"> L171 / 10</f>
        <v>27794536.800000001</v>
      </c>
      <c r="K172" s="73">
        <f t="shared" si="77"/>
        <v>-8605463.1999999993</v>
      </c>
      <c r="L172" s="64">
        <f t="shared" si="78"/>
        <v>250150831.19999999</v>
      </c>
      <c r="M172" s="137">
        <f t="shared" si="75"/>
        <v>378844852.95404202</v>
      </c>
      <c r="N172" s="65">
        <v>0</v>
      </c>
      <c r="O172" s="171">
        <f t="shared" si="79"/>
        <v>220223403.12076163</v>
      </c>
      <c r="P172" s="67">
        <v>4.0000000000000001E-3</v>
      </c>
      <c r="Q172" s="145">
        <f t="shared" si="67"/>
        <v>221104296.73324469</v>
      </c>
      <c r="R172" s="171">
        <f t="shared" si="80"/>
        <v>850099980.88728666</v>
      </c>
      <c r="S172" s="130">
        <f t="shared" si="81"/>
        <v>471255127.93324465</v>
      </c>
      <c r="T172" s="74"/>
    </row>
    <row r="173" spans="1:25" x14ac:dyDescent="0.3">
      <c r="A173" s="11"/>
      <c r="B173" s="29"/>
      <c r="C173" s="332"/>
      <c r="D173" s="76">
        <v>2</v>
      </c>
      <c r="E173" s="77">
        <v>0</v>
      </c>
      <c r="F173" s="78">
        <v>0</v>
      </c>
      <c r="G173" s="78">
        <v>400000</v>
      </c>
      <c r="H173" s="78">
        <f t="shared" si="76"/>
        <v>-400000</v>
      </c>
      <c r="I173" s="79">
        <v>0</v>
      </c>
      <c r="J173" s="80">
        <f xml:space="preserve"> J172</f>
        <v>27794536.800000001</v>
      </c>
      <c r="K173" s="81">
        <f t="shared" si="77"/>
        <v>27394536.800000001</v>
      </c>
      <c r="L173" s="148">
        <f t="shared" si="78"/>
        <v>222356294.39999998</v>
      </c>
      <c r="M173" s="138">
        <f t="shared" si="75"/>
        <v>386071260.3072148</v>
      </c>
      <c r="N173" s="65">
        <v>0</v>
      </c>
      <c r="O173" s="168">
        <f t="shared" si="79"/>
        <v>248498833.5332447</v>
      </c>
      <c r="P173" s="29">
        <v>1.7999999999999999E-2</v>
      </c>
      <c r="Q173" s="145">
        <f t="shared" si="67"/>
        <v>252971812.53684309</v>
      </c>
      <c r="R173" s="168">
        <f t="shared" si="80"/>
        <v>861399367.24405789</v>
      </c>
      <c r="S173" s="131">
        <f t="shared" si="81"/>
        <v>475328106.9368431</v>
      </c>
      <c r="T173" s="82"/>
    </row>
    <row r="174" spans="1:25" x14ac:dyDescent="0.3">
      <c r="A174" s="11"/>
      <c r="B174" s="29"/>
      <c r="C174" s="332"/>
      <c r="D174" s="76">
        <v>3</v>
      </c>
      <c r="E174" s="77">
        <v>0</v>
      </c>
      <c r="F174" s="78">
        <v>0</v>
      </c>
      <c r="G174" s="78">
        <v>400000</v>
      </c>
      <c r="H174" s="78">
        <f t="shared" si="76"/>
        <v>-400000</v>
      </c>
      <c r="I174" s="79">
        <v>0</v>
      </c>
      <c r="J174" s="80">
        <f t="shared" ref="J174:J180" si="84" xml:space="preserve"> J173</f>
        <v>27794536.800000001</v>
      </c>
      <c r="K174" s="81">
        <f t="shared" si="77"/>
        <v>27394536.800000001</v>
      </c>
      <c r="L174" s="148">
        <f t="shared" si="78"/>
        <v>194561757.59999996</v>
      </c>
      <c r="M174" s="138">
        <f t="shared" si="75"/>
        <v>393427742.99274468</v>
      </c>
      <c r="N174" s="65">
        <v>0</v>
      </c>
      <c r="O174" s="168">
        <f t="shared" si="79"/>
        <v>280366349.33684307</v>
      </c>
      <c r="P174" s="29">
        <v>1.7999999999999999E-2</v>
      </c>
      <c r="Q174" s="145">
        <f t="shared" si="67"/>
        <v>285412943.62490624</v>
      </c>
      <c r="R174" s="168">
        <f t="shared" si="80"/>
        <v>873402444.21765089</v>
      </c>
      <c r="S174" s="131">
        <f t="shared" si="81"/>
        <v>479974701.22490621</v>
      </c>
      <c r="T174" s="82"/>
    </row>
    <row r="175" spans="1:25" x14ac:dyDescent="0.3">
      <c r="A175" s="11"/>
      <c r="B175" s="29"/>
      <c r="C175" s="332"/>
      <c r="D175" s="76">
        <v>4</v>
      </c>
      <c r="E175" s="77">
        <v>0</v>
      </c>
      <c r="F175" s="78">
        <v>0</v>
      </c>
      <c r="G175" s="78">
        <v>400000</v>
      </c>
      <c r="H175" s="78">
        <f t="shared" si="76"/>
        <v>-400000</v>
      </c>
      <c r="I175" s="79">
        <v>0</v>
      </c>
      <c r="J175" s="80">
        <f t="shared" si="84"/>
        <v>27794536.800000001</v>
      </c>
      <c r="K175" s="81">
        <f t="shared" si="77"/>
        <v>27394536.800000001</v>
      </c>
      <c r="L175" s="148">
        <f t="shared" si="78"/>
        <v>166767220.79999995</v>
      </c>
      <c r="M175" s="138">
        <f t="shared" si="75"/>
        <v>400916642.3666141</v>
      </c>
      <c r="N175" s="65">
        <v>0</v>
      </c>
      <c r="O175" s="168">
        <f t="shared" si="79"/>
        <v>312807480.42490625</v>
      </c>
      <c r="P175" s="29">
        <v>1.7999999999999999E-2</v>
      </c>
      <c r="Q175" s="145">
        <f t="shared" si="67"/>
        <v>318438015.07255459</v>
      </c>
      <c r="R175" s="168">
        <f t="shared" si="80"/>
        <v>886121878.23916864</v>
      </c>
      <c r="S175" s="131">
        <f t="shared" si="81"/>
        <v>485205235.87255454</v>
      </c>
      <c r="T175" s="82"/>
    </row>
    <row r="176" spans="1:25" x14ac:dyDescent="0.3">
      <c r="A176" s="11"/>
      <c r="B176" s="29"/>
      <c r="C176" s="332"/>
      <c r="D176" s="76">
        <v>5</v>
      </c>
      <c r="E176" s="77">
        <v>0</v>
      </c>
      <c r="F176" s="78">
        <v>0</v>
      </c>
      <c r="G176" s="78">
        <v>400000</v>
      </c>
      <c r="H176" s="78">
        <f t="shared" si="76"/>
        <v>-400000</v>
      </c>
      <c r="I176" s="79">
        <v>0</v>
      </c>
      <c r="J176" s="80">
        <f t="shared" si="84"/>
        <v>27794536.800000001</v>
      </c>
      <c r="K176" s="81">
        <f t="shared" si="77"/>
        <v>27394536.800000001</v>
      </c>
      <c r="L176" s="148">
        <f t="shared" si="78"/>
        <v>138972683.99999994</v>
      </c>
      <c r="M176" s="138">
        <f t="shared" ref="M176:M195" si="85" xml:space="preserve"> (M175 + 400000) + ((M175 + 400000) * P176 )</f>
        <v>408540341.92921317</v>
      </c>
      <c r="N176" s="65">
        <v>0</v>
      </c>
      <c r="O176" s="168">
        <f t="shared" si="79"/>
        <v>345832551.8725546</v>
      </c>
      <c r="P176" s="29">
        <v>1.7999999999999999E-2</v>
      </c>
      <c r="Q176" s="145">
        <f t="shared" si="67"/>
        <v>352057537.80626059</v>
      </c>
      <c r="R176" s="168">
        <f t="shared" si="80"/>
        <v>899570563.73547363</v>
      </c>
      <c r="S176" s="131">
        <f t="shared" si="81"/>
        <v>491030221.80626047</v>
      </c>
      <c r="T176" s="82"/>
    </row>
    <row r="177" spans="1:25" x14ac:dyDescent="0.3">
      <c r="A177" s="11"/>
      <c r="B177" s="29"/>
      <c r="C177" s="332"/>
      <c r="D177" s="76">
        <v>6</v>
      </c>
      <c r="E177" s="77">
        <v>0</v>
      </c>
      <c r="F177" s="78">
        <v>0</v>
      </c>
      <c r="G177" s="78">
        <v>400000</v>
      </c>
      <c r="H177" s="78">
        <f t="shared" si="76"/>
        <v>-400000</v>
      </c>
      <c r="I177" s="79">
        <v>0</v>
      </c>
      <c r="J177" s="80">
        <f t="shared" si="84"/>
        <v>27794536.800000001</v>
      </c>
      <c r="K177" s="81">
        <f t="shared" si="77"/>
        <v>27394536.800000001</v>
      </c>
      <c r="L177" s="148">
        <f t="shared" si="78"/>
        <v>111178147.19999994</v>
      </c>
      <c r="M177" s="138">
        <f t="shared" si="85"/>
        <v>416301268.08393902</v>
      </c>
      <c r="N177" s="65">
        <v>0</v>
      </c>
      <c r="O177" s="168">
        <f t="shared" si="79"/>
        <v>379452074.6062606</v>
      </c>
      <c r="P177" s="29">
        <v>1.7999999999999999E-2</v>
      </c>
      <c r="Q177" s="145">
        <f t="shared" si="67"/>
        <v>386282211.94917327</v>
      </c>
      <c r="R177" s="168">
        <f t="shared" si="80"/>
        <v>913761627.23311222</v>
      </c>
      <c r="S177" s="131">
        <f t="shared" si="81"/>
        <v>497460359.1491732</v>
      </c>
      <c r="T177" s="82"/>
    </row>
    <row r="178" spans="1:25" x14ac:dyDescent="0.3">
      <c r="A178" s="11"/>
      <c r="B178" s="29"/>
      <c r="C178" s="332"/>
      <c r="D178" s="76">
        <v>7</v>
      </c>
      <c r="E178" s="77">
        <v>0</v>
      </c>
      <c r="F178" s="78">
        <v>0</v>
      </c>
      <c r="G178" s="78">
        <v>400000</v>
      </c>
      <c r="H178" s="78">
        <f t="shared" si="76"/>
        <v>-400000</v>
      </c>
      <c r="I178" s="79">
        <v>0</v>
      </c>
      <c r="J178" s="80">
        <f t="shared" si="84"/>
        <v>27794536.800000001</v>
      </c>
      <c r="K178" s="81">
        <f t="shared" si="77"/>
        <v>27394536.800000001</v>
      </c>
      <c r="L178" s="148">
        <f t="shared" si="78"/>
        <v>83383610.399999946</v>
      </c>
      <c r="M178" s="138">
        <f t="shared" si="85"/>
        <v>424201890.90944993</v>
      </c>
      <c r="N178" s="65">
        <v>0</v>
      </c>
      <c r="O178" s="168">
        <f t="shared" si="79"/>
        <v>413676748.74917328</v>
      </c>
      <c r="P178" s="29">
        <v>1.7999999999999999E-2</v>
      </c>
      <c r="Q178" s="145">
        <f t="shared" si="67"/>
        <v>421122930.2266584</v>
      </c>
      <c r="R178" s="168">
        <f t="shared" si="80"/>
        <v>928708431.53610837</v>
      </c>
      <c r="S178" s="131">
        <f t="shared" si="81"/>
        <v>504506540.62665844</v>
      </c>
      <c r="T178" s="82"/>
    </row>
    <row r="179" spans="1:25" x14ac:dyDescent="0.3">
      <c r="A179" s="11"/>
      <c r="B179" s="29"/>
      <c r="C179" s="332"/>
      <c r="D179" s="76">
        <v>8</v>
      </c>
      <c r="E179" s="77">
        <v>0</v>
      </c>
      <c r="F179" s="78">
        <v>0</v>
      </c>
      <c r="G179" s="78">
        <v>400000</v>
      </c>
      <c r="H179" s="78">
        <f t="shared" si="76"/>
        <v>-400000</v>
      </c>
      <c r="I179" s="79">
        <v>0</v>
      </c>
      <c r="J179" s="80">
        <f t="shared" si="84"/>
        <v>27794536.800000001</v>
      </c>
      <c r="K179" s="81">
        <f t="shared" si="77"/>
        <v>27394536.800000001</v>
      </c>
      <c r="L179" s="148">
        <f t="shared" si="78"/>
        <v>55589073.599999949</v>
      </c>
      <c r="M179" s="138">
        <f t="shared" si="85"/>
        <v>432244724.94582003</v>
      </c>
      <c r="N179" s="65">
        <v>0</v>
      </c>
      <c r="O179" s="168">
        <f t="shared" si="79"/>
        <v>448517467.02665842</v>
      </c>
      <c r="P179" s="29">
        <v>1.7999999999999999E-2</v>
      </c>
      <c r="Q179" s="145">
        <f t="shared" si="67"/>
        <v>456590781.43313825</v>
      </c>
      <c r="R179" s="168">
        <f t="shared" si="80"/>
        <v>944424579.97895813</v>
      </c>
      <c r="S179" s="131">
        <f t="shared" si="81"/>
        <v>512179855.0331381</v>
      </c>
      <c r="T179" s="82"/>
    </row>
    <row r="180" spans="1:25" x14ac:dyDescent="0.3">
      <c r="A180" s="11"/>
      <c r="B180" s="29"/>
      <c r="C180" s="332"/>
      <c r="D180" s="76">
        <v>9</v>
      </c>
      <c r="E180" s="77">
        <v>0</v>
      </c>
      <c r="F180" s="78">
        <v>0</v>
      </c>
      <c r="G180" s="78">
        <v>400000</v>
      </c>
      <c r="H180" s="78">
        <f t="shared" si="76"/>
        <v>-400000</v>
      </c>
      <c r="I180" s="79">
        <v>0</v>
      </c>
      <c r="J180" s="80">
        <f t="shared" si="84"/>
        <v>27794536.800000001</v>
      </c>
      <c r="K180" s="81">
        <f t="shared" si="77"/>
        <v>27394536.800000001</v>
      </c>
      <c r="L180" s="148">
        <f t="shared" si="78"/>
        <v>27794536.799999949</v>
      </c>
      <c r="M180" s="138">
        <f t="shared" si="85"/>
        <v>440432329.99484479</v>
      </c>
      <c r="N180" s="65">
        <v>0</v>
      </c>
      <c r="O180" s="168">
        <f t="shared" si="79"/>
        <v>483985318.23313826</v>
      </c>
      <c r="P180" s="29">
        <v>1.7999999999999999E-2</v>
      </c>
      <c r="Q180" s="145">
        <f t="shared" si="67"/>
        <v>492697053.96133476</v>
      </c>
      <c r="R180" s="168">
        <f t="shared" si="80"/>
        <v>960923920.75617957</v>
      </c>
      <c r="S180" s="131">
        <f t="shared" si="81"/>
        <v>520491590.76133478</v>
      </c>
      <c r="T180" s="82"/>
    </row>
    <row r="181" spans="1:25" x14ac:dyDescent="0.3">
      <c r="A181" s="11"/>
      <c r="B181" s="29"/>
      <c r="C181" s="332"/>
      <c r="D181" s="76">
        <v>10</v>
      </c>
      <c r="E181" s="77">
        <v>0</v>
      </c>
      <c r="F181" s="78">
        <v>0</v>
      </c>
      <c r="G181" s="78">
        <v>400000</v>
      </c>
      <c r="H181" s="78">
        <f t="shared" si="76"/>
        <v>-400000</v>
      </c>
      <c r="I181" s="79">
        <v>0</v>
      </c>
      <c r="J181" s="80">
        <f xml:space="preserve"> J180</f>
        <v>27794536.800000001</v>
      </c>
      <c r="K181" s="81">
        <f t="shared" si="77"/>
        <v>27394536.800000001</v>
      </c>
      <c r="L181" s="148">
        <f t="shared" si="78"/>
        <v>-5.2154064178466797E-8</v>
      </c>
      <c r="M181" s="138">
        <f t="shared" si="85"/>
        <v>448767311.93475199</v>
      </c>
      <c r="N181" s="65">
        <v>0</v>
      </c>
      <c r="O181" s="168">
        <f t="shared" si="79"/>
        <v>520091590.76133478</v>
      </c>
      <c r="P181" s="29">
        <v>1.7999999999999999E-2</v>
      </c>
      <c r="Q181" s="145">
        <f t="shared" si="67"/>
        <v>529453239.39503878</v>
      </c>
      <c r="R181" s="168">
        <f t="shared" si="80"/>
        <v>978220551.32979083</v>
      </c>
      <c r="S181" s="131">
        <f t="shared" si="81"/>
        <v>529453239.39503884</v>
      </c>
      <c r="T181" s="82"/>
    </row>
    <row r="182" spans="1:25" ht="17.25" thickBot="1" x14ac:dyDescent="0.35">
      <c r="A182" s="11"/>
      <c r="B182" s="29"/>
      <c r="C182" s="332"/>
      <c r="D182" s="84">
        <v>11</v>
      </c>
      <c r="E182" s="85">
        <v>0</v>
      </c>
      <c r="F182" s="86">
        <v>0</v>
      </c>
      <c r="G182" s="86">
        <v>400000</v>
      </c>
      <c r="H182" s="86">
        <f t="shared" si="76"/>
        <v>-400000</v>
      </c>
      <c r="I182" s="87">
        <v>146209862</v>
      </c>
      <c r="J182" s="88">
        <v>0</v>
      </c>
      <c r="K182" s="89">
        <f t="shared" si="77"/>
        <v>-146609862</v>
      </c>
      <c r="L182" s="148">
        <f t="shared" si="78"/>
        <v>146209861.99999994</v>
      </c>
      <c r="M182" s="139">
        <f t="shared" si="85"/>
        <v>457252323.54957753</v>
      </c>
      <c r="N182" s="65">
        <v>0</v>
      </c>
      <c r="O182" s="169">
        <f t="shared" si="79"/>
        <v>382843377.39503878</v>
      </c>
      <c r="P182" s="83">
        <v>1.7999999999999999E-2</v>
      </c>
      <c r="Q182" s="145">
        <f t="shared" si="67"/>
        <v>389734558.18814945</v>
      </c>
      <c r="R182" s="168">
        <f t="shared" si="80"/>
        <v>993196743.73772693</v>
      </c>
      <c r="S182" s="131">
        <f t="shared" si="81"/>
        <v>535944420.18814939</v>
      </c>
      <c r="T182" s="82"/>
    </row>
    <row r="183" spans="1:25" ht="17.25" thickBot="1" x14ac:dyDescent="0.35">
      <c r="A183" s="11"/>
      <c r="B183" s="29"/>
      <c r="C183" s="332"/>
      <c r="D183" s="36">
        <v>12</v>
      </c>
      <c r="E183" s="37">
        <v>0</v>
      </c>
      <c r="F183" s="38">
        <v>0</v>
      </c>
      <c r="G183" s="38">
        <v>400000</v>
      </c>
      <c r="H183" s="38">
        <f t="shared" si="76"/>
        <v>-400000</v>
      </c>
      <c r="I183" s="39">
        <v>146209862</v>
      </c>
      <c r="J183" s="41">
        <v>0</v>
      </c>
      <c r="K183" s="44">
        <f t="shared" si="77"/>
        <v>-146609862</v>
      </c>
      <c r="L183" s="151">
        <f t="shared" si="78"/>
        <v>292419723.99999994</v>
      </c>
      <c r="M183" s="140">
        <f t="shared" si="85"/>
        <v>465890065.37346995</v>
      </c>
      <c r="N183" s="46">
        <v>0</v>
      </c>
      <c r="O183" s="170">
        <f t="shared" si="79"/>
        <v>243124696.18814945</v>
      </c>
      <c r="P183" s="42">
        <v>1.7999999999999999E-2</v>
      </c>
      <c r="Q183" s="145">
        <f t="shared" si="67"/>
        <v>247500940.71953616</v>
      </c>
      <c r="R183" s="168">
        <f t="shared" si="80"/>
        <v>1005810730.0930061</v>
      </c>
      <c r="S183" s="134">
        <f t="shared" si="81"/>
        <v>539920664.71953619</v>
      </c>
      <c r="T183" s="82">
        <f xml:space="preserve"> S183 / 4</f>
        <v>134980166.17988405</v>
      </c>
      <c r="U183" s="43">
        <f>SUM(E4:E183)</f>
        <v>332300000</v>
      </c>
      <c r="V183" s="43">
        <f>SUM(F4:F183)</f>
        <v>256886544</v>
      </c>
      <c r="W183" s="45">
        <f xml:space="preserve"> U183 - V183</f>
        <v>75413456</v>
      </c>
      <c r="X183" s="45">
        <f>R183-W183</f>
        <v>930397274.09300613</v>
      </c>
      <c r="Y183" s="113">
        <f xml:space="preserve"> X183 / W183 * 100</f>
        <v>1233.728466300505</v>
      </c>
    </row>
    <row r="184" spans="1:25" x14ac:dyDescent="0.3">
      <c r="A184" s="11"/>
      <c r="B184" s="29">
        <v>16</v>
      </c>
      <c r="C184" s="332">
        <v>2037</v>
      </c>
      <c r="D184" s="68">
        <v>1</v>
      </c>
      <c r="E184" s="69">
        <v>0</v>
      </c>
      <c r="F184" s="116">
        <v>36000000</v>
      </c>
      <c r="G184" s="70">
        <v>400000</v>
      </c>
      <c r="H184" s="70">
        <f t="shared" si="76"/>
        <v>-36400000</v>
      </c>
      <c r="I184" s="71">
        <v>0</v>
      </c>
      <c r="J184" s="72">
        <f xml:space="preserve"> L183 / 10</f>
        <v>29241972.399999995</v>
      </c>
      <c r="K184" s="73">
        <f t="shared" si="77"/>
        <v>-7158027.6000000052</v>
      </c>
      <c r="L184" s="64">
        <f t="shared" si="78"/>
        <v>263177751.59999993</v>
      </c>
      <c r="M184" s="137">
        <f t="shared" si="85"/>
        <v>468155225.63496381</v>
      </c>
      <c r="N184" s="65">
        <v>0</v>
      </c>
      <c r="O184" s="171">
        <f t="shared" si="79"/>
        <v>240342913.11953616</v>
      </c>
      <c r="P184" s="67">
        <v>4.0000000000000001E-3</v>
      </c>
      <c r="Q184" s="145">
        <f t="shared" si="67"/>
        <v>241304284.77201432</v>
      </c>
      <c r="R184" s="171">
        <f t="shared" si="80"/>
        <v>972637262.00697803</v>
      </c>
      <c r="S184" s="130">
        <f t="shared" si="81"/>
        <v>504482036.37201422</v>
      </c>
      <c r="T184" s="74"/>
    </row>
    <row r="185" spans="1:25" x14ac:dyDescent="0.3">
      <c r="A185" s="11"/>
      <c r="B185" s="29"/>
      <c r="C185" s="332"/>
      <c r="D185" s="76">
        <v>2</v>
      </c>
      <c r="E185" s="77">
        <v>0</v>
      </c>
      <c r="F185" s="78">
        <v>0</v>
      </c>
      <c r="G185" s="78">
        <v>400000</v>
      </c>
      <c r="H185" s="78">
        <f t="shared" si="76"/>
        <v>-400000</v>
      </c>
      <c r="I185" s="79">
        <v>0</v>
      </c>
      <c r="J185" s="80">
        <f xml:space="preserve"> J184</f>
        <v>29241972.399999995</v>
      </c>
      <c r="K185" s="81">
        <f t="shared" si="77"/>
        <v>28841972.399999995</v>
      </c>
      <c r="L185" s="148">
        <f t="shared" si="78"/>
        <v>233935779.19999993</v>
      </c>
      <c r="M185" s="138">
        <f t="shared" si="85"/>
        <v>476989219.69639313</v>
      </c>
      <c r="N185" s="65">
        <v>0</v>
      </c>
      <c r="O185" s="168">
        <f t="shared" si="79"/>
        <v>270146257.1720143</v>
      </c>
      <c r="P185" s="29">
        <v>1.7999999999999999E-2</v>
      </c>
      <c r="Q185" s="145">
        <f t="shared" si="67"/>
        <v>275008889.80111057</v>
      </c>
      <c r="R185" s="168">
        <f t="shared" si="80"/>
        <v>985933888.69750369</v>
      </c>
      <c r="S185" s="131">
        <f t="shared" si="81"/>
        <v>508944669.00111055</v>
      </c>
      <c r="T185" s="82"/>
    </row>
    <row r="186" spans="1:25" x14ac:dyDescent="0.3">
      <c r="A186" s="11"/>
      <c r="B186" s="29"/>
      <c r="C186" s="332"/>
      <c r="D186" s="76">
        <v>3</v>
      </c>
      <c r="E186" s="77">
        <v>0</v>
      </c>
      <c r="F186" s="78">
        <v>0</v>
      </c>
      <c r="G186" s="78">
        <v>400000</v>
      </c>
      <c r="H186" s="78">
        <f t="shared" si="76"/>
        <v>-400000</v>
      </c>
      <c r="I186" s="79">
        <v>0</v>
      </c>
      <c r="J186" s="80">
        <f t="shared" ref="J186:J192" si="86" xml:space="preserve"> J185</f>
        <v>29241972.399999995</v>
      </c>
      <c r="K186" s="81">
        <f t="shared" si="77"/>
        <v>28841972.399999995</v>
      </c>
      <c r="L186" s="148">
        <f t="shared" si="78"/>
        <v>204693806.79999992</v>
      </c>
      <c r="M186" s="138">
        <f t="shared" si="85"/>
        <v>485982225.6509282</v>
      </c>
      <c r="N186" s="65">
        <v>0</v>
      </c>
      <c r="O186" s="168">
        <f t="shared" si="79"/>
        <v>303850862.20111054</v>
      </c>
      <c r="P186" s="29">
        <v>1.7999999999999999E-2</v>
      </c>
      <c r="Q186" s="145">
        <f t="shared" si="67"/>
        <v>309320177.72073054</v>
      </c>
      <c r="R186" s="168">
        <f t="shared" si="80"/>
        <v>999996210.17165875</v>
      </c>
      <c r="S186" s="131">
        <f t="shared" si="81"/>
        <v>514013984.52073056</v>
      </c>
      <c r="T186" s="82"/>
    </row>
    <row r="187" spans="1:25" x14ac:dyDescent="0.3">
      <c r="A187" s="11"/>
      <c r="B187" s="29"/>
      <c r="C187" s="332"/>
      <c r="D187" s="76">
        <v>4</v>
      </c>
      <c r="E187" s="77">
        <v>0</v>
      </c>
      <c r="F187" s="78">
        <v>0</v>
      </c>
      <c r="G187" s="78">
        <v>400000</v>
      </c>
      <c r="H187" s="78">
        <f t="shared" si="76"/>
        <v>-400000</v>
      </c>
      <c r="I187" s="79">
        <v>0</v>
      </c>
      <c r="J187" s="80">
        <f t="shared" si="86"/>
        <v>29241972.399999995</v>
      </c>
      <c r="K187" s="81">
        <f t="shared" si="77"/>
        <v>28841972.399999995</v>
      </c>
      <c r="L187" s="148">
        <f t="shared" si="78"/>
        <v>175451834.39999992</v>
      </c>
      <c r="M187" s="138">
        <f t="shared" si="85"/>
        <v>495137105.71264493</v>
      </c>
      <c r="N187" s="65">
        <v>0</v>
      </c>
      <c r="O187" s="168">
        <f t="shared" si="79"/>
        <v>338162150.12073052</v>
      </c>
      <c r="P187" s="29">
        <v>1.7999999999999999E-2</v>
      </c>
      <c r="Q187" s="145">
        <f t="shared" si="67"/>
        <v>344249068.82290369</v>
      </c>
      <c r="R187" s="168">
        <f t="shared" si="80"/>
        <v>1014838008.9355485</v>
      </c>
      <c r="S187" s="131">
        <f t="shared" si="81"/>
        <v>519700903.22290361</v>
      </c>
      <c r="T187" s="82"/>
    </row>
    <row r="188" spans="1:25" x14ac:dyDescent="0.3">
      <c r="A188" s="11"/>
      <c r="B188" s="29"/>
      <c r="C188" s="332"/>
      <c r="D188" s="76">
        <v>5</v>
      </c>
      <c r="E188" s="77">
        <v>0</v>
      </c>
      <c r="F188" s="78">
        <v>0</v>
      </c>
      <c r="G188" s="78">
        <v>400000</v>
      </c>
      <c r="H188" s="78">
        <f t="shared" si="76"/>
        <v>-400000</v>
      </c>
      <c r="I188" s="79">
        <v>0</v>
      </c>
      <c r="J188" s="80">
        <f t="shared" si="86"/>
        <v>29241972.399999995</v>
      </c>
      <c r="K188" s="81">
        <f t="shared" si="77"/>
        <v>28841972.399999995</v>
      </c>
      <c r="L188" s="148">
        <f t="shared" si="78"/>
        <v>146209861.99999991</v>
      </c>
      <c r="M188" s="138">
        <f t="shared" si="85"/>
        <v>504456773.61547256</v>
      </c>
      <c r="N188" s="65">
        <v>0</v>
      </c>
      <c r="O188" s="168">
        <f t="shared" si="79"/>
        <v>373091041.22290367</v>
      </c>
      <c r="P188" s="29">
        <v>1.7999999999999999E-2</v>
      </c>
      <c r="Q188" s="145">
        <f t="shared" si="67"/>
        <v>379806679.96491593</v>
      </c>
      <c r="R188" s="168">
        <f t="shared" si="80"/>
        <v>1030473315.5803884</v>
      </c>
      <c r="S188" s="131">
        <f t="shared" si="81"/>
        <v>526016541.96491587</v>
      </c>
      <c r="T188" s="82"/>
    </row>
    <row r="189" spans="1:25" x14ac:dyDescent="0.3">
      <c r="A189" s="11"/>
      <c r="B189" s="29"/>
      <c r="C189" s="332"/>
      <c r="D189" s="76">
        <v>6</v>
      </c>
      <c r="E189" s="77">
        <v>0</v>
      </c>
      <c r="F189" s="78">
        <v>0</v>
      </c>
      <c r="G189" s="78">
        <v>400000</v>
      </c>
      <c r="H189" s="78">
        <f t="shared" si="76"/>
        <v>-400000</v>
      </c>
      <c r="I189" s="79">
        <v>0</v>
      </c>
      <c r="J189" s="80">
        <f t="shared" si="86"/>
        <v>29241972.399999995</v>
      </c>
      <c r="K189" s="81">
        <f t="shared" si="77"/>
        <v>28841972.399999995</v>
      </c>
      <c r="L189" s="148">
        <f t="shared" si="78"/>
        <v>116967889.59999992</v>
      </c>
      <c r="M189" s="138">
        <f t="shared" si="85"/>
        <v>513944195.54055107</v>
      </c>
      <c r="N189" s="65">
        <v>0</v>
      </c>
      <c r="O189" s="168">
        <f t="shared" si="79"/>
        <v>408648652.36491591</v>
      </c>
      <c r="P189" s="29">
        <v>1.7999999999999999E-2</v>
      </c>
      <c r="Q189" s="145">
        <f t="shared" si="67"/>
        <v>416004328.1074844</v>
      </c>
      <c r="R189" s="168">
        <f t="shared" si="80"/>
        <v>1046916413.2480354</v>
      </c>
      <c r="S189" s="131">
        <f t="shared" si="81"/>
        <v>532972217.70748436</v>
      </c>
      <c r="T189" s="82"/>
    </row>
    <row r="190" spans="1:25" x14ac:dyDescent="0.3">
      <c r="A190" s="11"/>
      <c r="B190" s="29"/>
      <c r="C190" s="332"/>
      <c r="D190" s="76">
        <v>7</v>
      </c>
      <c r="E190" s="77">
        <v>0</v>
      </c>
      <c r="F190" s="78">
        <v>0</v>
      </c>
      <c r="G190" s="78">
        <v>400000</v>
      </c>
      <c r="H190" s="78">
        <f t="shared" si="76"/>
        <v>-400000</v>
      </c>
      <c r="I190" s="79">
        <v>0</v>
      </c>
      <c r="J190" s="80">
        <f t="shared" si="86"/>
        <v>29241972.399999995</v>
      </c>
      <c r="K190" s="81">
        <f t="shared" si="77"/>
        <v>28841972.399999995</v>
      </c>
      <c r="L190" s="148">
        <f t="shared" si="78"/>
        <v>87725917.199999928</v>
      </c>
      <c r="M190" s="138">
        <f t="shared" si="85"/>
        <v>523602391.06028098</v>
      </c>
      <c r="N190" s="65">
        <v>0</v>
      </c>
      <c r="O190" s="168">
        <f t="shared" si="79"/>
        <v>444846300.50748438</v>
      </c>
      <c r="P190" s="29">
        <v>1.7999999999999999E-2</v>
      </c>
      <c r="Q190" s="145">
        <f t="shared" si="67"/>
        <v>452853533.91661912</v>
      </c>
      <c r="R190" s="168">
        <f t="shared" si="80"/>
        <v>1064181842.1769</v>
      </c>
      <c r="S190" s="131">
        <f t="shared" si="81"/>
        <v>540579451.11661911</v>
      </c>
      <c r="T190" s="82"/>
    </row>
    <row r="191" spans="1:25" x14ac:dyDescent="0.3">
      <c r="A191" s="11"/>
      <c r="B191" s="29"/>
      <c r="C191" s="332"/>
      <c r="D191" s="76">
        <v>8</v>
      </c>
      <c r="E191" s="77">
        <v>0</v>
      </c>
      <c r="F191" s="78">
        <v>0</v>
      </c>
      <c r="G191" s="78">
        <v>400000</v>
      </c>
      <c r="H191" s="78">
        <f t="shared" si="76"/>
        <v>-400000</v>
      </c>
      <c r="I191" s="79">
        <v>0</v>
      </c>
      <c r="J191" s="80">
        <f t="shared" si="86"/>
        <v>29241972.399999995</v>
      </c>
      <c r="K191" s="81">
        <f t="shared" si="77"/>
        <v>28841972.399999995</v>
      </c>
      <c r="L191" s="148">
        <f t="shared" si="78"/>
        <v>58483944.799999937</v>
      </c>
      <c r="M191" s="138">
        <f t="shared" si="85"/>
        <v>533434434.09936601</v>
      </c>
      <c r="N191" s="65">
        <v>0</v>
      </c>
      <c r="O191" s="168">
        <f t="shared" si="79"/>
        <v>481695506.3166191</v>
      </c>
      <c r="P191" s="29">
        <v>1.7999999999999999E-2</v>
      </c>
      <c r="Q191" s="145">
        <f t="shared" si="67"/>
        <v>490366025.43031824</v>
      </c>
      <c r="R191" s="168">
        <f t="shared" si="80"/>
        <v>1082284404.3296843</v>
      </c>
      <c r="S191" s="131">
        <f t="shared" si="81"/>
        <v>548849970.23031831</v>
      </c>
      <c r="T191" s="82"/>
    </row>
    <row r="192" spans="1:25" x14ac:dyDescent="0.3">
      <c r="A192" s="11"/>
      <c r="B192" s="29"/>
      <c r="C192" s="332"/>
      <c r="D192" s="76">
        <v>9</v>
      </c>
      <c r="E192" s="77">
        <v>0</v>
      </c>
      <c r="F192" s="78">
        <v>0</v>
      </c>
      <c r="G192" s="78">
        <v>400000</v>
      </c>
      <c r="H192" s="78">
        <f t="shared" si="76"/>
        <v>-400000</v>
      </c>
      <c r="I192" s="79">
        <v>0</v>
      </c>
      <c r="J192" s="80">
        <f t="shared" si="86"/>
        <v>29241972.399999995</v>
      </c>
      <c r="K192" s="81">
        <f t="shared" si="77"/>
        <v>28841972.399999995</v>
      </c>
      <c r="L192" s="148">
        <f t="shared" si="78"/>
        <v>29241972.399999943</v>
      </c>
      <c r="M192" s="138">
        <f t="shared" si="85"/>
        <v>543443453.9131546</v>
      </c>
      <c r="N192" s="65">
        <v>0</v>
      </c>
      <c r="O192" s="168">
        <f t="shared" si="79"/>
        <v>519207997.83031821</v>
      </c>
      <c r="P192" s="29">
        <v>1.7999999999999999E-2</v>
      </c>
      <c r="Q192" s="145">
        <f t="shared" si="67"/>
        <v>528553741.79126394</v>
      </c>
      <c r="R192" s="168">
        <f t="shared" si="80"/>
        <v>1101239168.1044185</v>
      </c>
      <c r="S192" s="131">
        <f t="shared" si="81"/>
        <v>557795714.19126391</v>
      </c>
      <c r="T192" s="82"/>
    </row>
    <row r="193" spans="1:25" x14ac:dyDescent="0.3">
      <c r="A193" s="11"/>
      <c r="B193" s="29"/>
      <c r="C193" s="332"/>
      <c r="D193" s="76">
        <v>10</v>
      </c>
      <c r="E193" s="77">
        <v>0</v>
      </c>
      <c r="F193" s="78">
        <v>0</v>
      </c>
      <c r="G193" s="78">
        <v>400000</v>
      </c>
      <c r="H193" s="78">
        <f t="shared" si="76"/>
        <v>-400000</v>
      </c>
      <c r="I193" s="79">
        <v>0</v>
      </c>
      <c r="J193" s="80">
        <f xml:space="preserve"> J192</f>
        <v>29241972.399999995</v>
      </c>
      <c r="K193" s="81">
        <f t="shared" si="77"/>
        <v>28841972.399999995</v>
      </c>
      <c r="L193" s="148">
        <f t="shared" si="78"/>
        <v>-5.2154064178466797E-8</v>
      </c>
      <c r="M193" s="138">
        <f t="shared" si="85"/>
        <v>553632636.08359134</v>
      </c>
      <c r="N193" s="65">
        <v>0</v>
      </c>
      <c r="O193" s="168">
        <f t="shared" si="79"/>
        <v>557395714.19126391</v>
      </c>
      <c r="P193" s="29">
        <v>1.7999999999999999E-2</v>
      </c>
      <c r="Q193" s="145">
        <f t="shared" si="67"/>
        <v>567428837.04670668</v>
      </c>
      <c r="R193" s="168">
        <f t="shared" si="80"/>
        <v>1121061473.1302981</v>
      </c>
      <c r="S193" s="131">
        <f t="shared" si="81"/>
        <v>567428837.0467068</v>
      </c>
      <c r="T193" s="82"/>
    </row>
    <row r="194" spans="1:25" ht="17.25" thickBot="1" x14ac:dyDescent="0.35">
      <c r="A194" s="11"/>
      <c r="B194" s="83"/>
      <c r="C194" s="332"/>
      <c r="D194" s="84">
        <v>11</v>
      </c>
      <c r="E194" s="85">
        <v>0</v>
      </c>
      <c r="F194" s="86">
        <v>0</v>
      </c>
      <c r="G194" s="86">
        <v>400000</v>
      </c>
      <c r="H194" s="86">
        <f t="shared" si="76"/>
        <v>-400000</v>
      </c>
      <c r="I194" s="87">
        <v>116500000</v>
      </c>
      <c r="J194" s="88">
        <v>0</v>
      </c>
      <c r="K194" s="89">
        <f t="shared" si="77"/>
        <v>-116900000</v>
      </c>
      <c r="L194" s="149">
        <f t="shared" si="78"/>
        <v>116499999.99999994</v>
      </c>
      <c r="M194" s="139">
        <f t="shared" si="85"/>
        <v>564005223.53309596</v>
      </c>
      <c r="N194" s="97">
        <v>0</v>
      </c>
      <c r="O194" s="169">
        <f t="shared" si="79"/>
        <v>450528837.04670668</v>
      </c>
      <c r="P194" s="83">
        <v>1.7999999999999999E-2</v>
      </c>
      <c r="Q194" s="145">
        <f t="shared" si="67"/>
        <v>458638356.11354738</v>
      </c>
      <c r="R194" s="169">
        <f t="shared" si="80"/>
        <v>1139143579.6466434</v>
      </c>
      <c r="S194" s="132">
        <f t="shared" si="81"/>
        <v>575138356.11354744</v>
      </c>
      <c r="T194" s="90"/>
    </row>
    <row r="195" spans="1:25" s="108" customFormat="1" ht="17.25" thickBot="1" x14ac:dyDescent="0.35">
      <c r="A195" s="11"/>
      <c r="B195" s="92"/>
      <c r="C195" s="332"/>
      <c r="D195" s="36">
        <v>12</v>
      </c>
      <c r="E195" s="37">
        <v>0</v>
      </c>
      <c r="F195" s="38">
        <v>0</v>
      </c>
      <c r="G195" s="38">
        <v>400000</v>
      </c>
      <c r="H195" s="38">
        <f t="shared" si="76"/>
        <v>-400000</v>
      </c>
      <c r="I195" s="39">
        <v>116500000</v>
      </c>
      <c r="J195" s="41">
        <v>0</v>
      </c>
      <c r="K195" s="44">
        <f t="shared" si="77"/>
        <v>-116900000</v>
      </c>
      <c r="L195" s="147">
        <f t="shared" si="78"/>
        <v>232999999.99999994</v>
      </c>
      <c r="M195" s="140">
        <f t="shared" si="85"/>
        <v>574564517.55669165</v>
      </c>
      <c r="N195" s="47">
        <v>0</v>
      </c>
      <c r="O195" s="170">
        <f t="shared" si="79"/>
        <v>341738356.11354738</v>
      </c>
      <c r="P195" s="42">
        <v>1.7999999999999999E-2</v>
      </c>
      <c r="Q195" s="145">
        <f t="shared" si="67"/>
        <v>347889646.52359122</v>
      </c>
      <c r="R195" s="170">
        <f t="shared" si="80"/>
        <v>1155454164.0802829</v>
      </c>
      <c r="S195" s="129">
        <f t="shared" si="81"/>
        <v>580889646.52359128</v>
      </c>
      <c r="T195" s="93">
        <f xml:space="preserve"> S195 / 4</f>
        <v>145222411.63089782</v>
      </c>
      <c r="U195" s="43">
        <f>SUM(E4:E195)</f>
        <v>332300000</v>
      </c>
      <c r="V195" s="43">
        <f>SUM(F4:F195)</f>
        <v>292886544</v>
      </c>
      <c r="W195" s="45">
        <f xml:space="preserve"> U195 - V195</f>
        <v>39413456</v>
      </c>
      <c r="X195" s="45">
        <f>R195-W195</f>
        <v>1116040708.0802829</v>
      </c>
      <c r="Y195" s="113">
        <f xml:space="preserve"> X195 / W195 * 100</f>
        <v>2831.6235655160076</v>
      </c>
    </row>
    <row r="196" spans="1:25" s="236" customFormat="1" x14ac:dyDescent="0.3">
      <c r="A196" s="218"/>
      <c r="B196" s="219" t="s">
        <v>107</v>
      </c>
      <c r="C196" s="331">
        <v>2038</v>
      </c>
      <c r="D196" s="220">
        <v>1</v>
      </c>
      <c r="E196" s="221">
        <v>2750000</v>
      </c>
      <c r="F196" s="222">
        <v>15000000</v>
      </c>
      <c r="G196" s="223">
        <v>0</v>
      </c>
      <c r="H196" s="224">
        <v>0</v>
      </c>
      <c r="I196" s="225">
        <v>0</v>
      </c>
      <c r="J196" s="226">
        <f xml:space="preserve"> L195 / 10</f>
        <v>23299999.999999993</v>
      </c>
      <c r="K196" s="227">
        <f t="shared" ref="K196:K207" si="87" xml:space="preserve"> H196 + J196 - I196</f>
        <v>23299999.999999993</v>
      </c>
      <c r="L196" s="228">
        <f t="shared" ref="L196:L207" si="88" xml:space="preserve"> L195 +I196 - J196 - N196</f>
        <v>209699999.99999994</v>
      </c>
      <c r="M196" s="229">
        <v>485643178</v>
      </c>
      <c r="N196" s="230">
        <v>0</v>
      </c>
      <c r="O196" s="231">
        <f t="shared" ref="O196:O207" si="89" xml:space="preserve"> Q195 + K196</f>
        <v>371189646.52359122</v>
      </c>
      <c r="P196" s="219">
        <v>4.0000000000000001E-3</v>
      </c>
      <c r="Q196" s="232">
        <f t="shared" si="67"/>
        <v>372674405.1096856</v>
      </c>
      <c r="R196" s="231">
        <f t="shared" ref="R196:R207" si="90" xml:space="preserve"> M196 + Q196 + L196</f>
        <v>1068017583.1096857</v>
      </c>
      <c r="S196" s="233">
        <f t="shared" ref="S196:S207" si="91" xml:space="preserve"> R196 - M196</f>
        <v>582374405.10968566</v>
      </c>
      <c r="T196" s="234"/>
      <c r="U196" s="235"/>
    </row>
    <row r="197" spans="1:25" s="236" customFormat="1" x14ac:dyDescent="0.3">
      <c r="A197" s="218"/>
      <c r="B197" s="237"/>
      <c r="C197" s="331"/>
      <c r="D197" s="238">
        <v>2</v>
      </c>
      <c r="E197" s="221">
        <v>2750000</v>
      </c>
      <c r="F197" s="222">
        <v>0</v>
      </c>
      <c r="G197" s="223">
        <v>0</v>
      </c>
      <c r="H197" s="224">
        <v>0</v>
      </c>
      <c r="I197" s="224">
        <v>0</v>
      </c>
      <c r="J197" s="239">
        <f xml:space="preserve"> J196</f>
        <v>23299999.999999993</v>
      </c>
      <c r="K197" s="240">
        <f t="shared" si="87"/>
        <v>23299999.999999993</v>
      </c>
      <c r="L197" s="241">
        <f t="shared" si="88"/>
        <v>186399999.99999994</v>
      </c>
      <c r="M197" s="229">
        <v>485643178</v>
      </c>
      <c r="N197" s="230">
        <v>0</v>
      </c>
      <c r="O197" s="242">
        <f t="shared" si="89"/>
        <v>395974405.1096856</v>
      </c>
      <c r="P197" s="237">
        <v>1.7999999999999999E-2</v>
      </c>
      <c r="Q197" s="232">
        <f t="shared" si="67"/>
        <v>403101944.40165997</v>
      </c>
      <c r="R197" s="242">
        <f t="shared" si="90"/>
        <v>1075145122.40166</v>
      </c>
      <c r="S197" s="243">
        <f t="shared" si="91"/>
        <v>589501944.40165997</v>
      </c>
      <c r="T197" s="244"/>
      <c r="U197" s="235"/>
    </row>
    <row r="198" spans="1:25" s="236" customFormat="1" x14ac:dyDescent="0.3">
      <c r="A198" s="218"/>
      <c r="B198" s="237"/>
      <c r="C198" s="331"/>
      <c r="D198" s="238">
        <v>3</v>
      </c>
      <c r="E198" s="221">
        <v>2750000</v>
      </c>
      <c r="F198" s="222">
        <v>0</v>
      </c>
      <c r="G198" s="223">
        <v>0</v>
      </c>
      <c r="H198" s="224">
        <v>0</v>
      </c>
      <c r="I198" s="224">
        <v>0</v>
      </c>
      <c r="J198" s="239">
        <f t="shared" ref="J198:J204" si="92" xml:space="preserve"> J197</f>
        <v>23299999.999999993</v>
      </c>
      <c r="K198" s="240">
        <f t="shared" si="87"/>
        <v>23299999.999999993</v>
      </c>
      <c r="L198" s="241">
        <f t="shared" si="88"/>
        <v>163099999.99999994</v>
      </c>
      <c r="M198" s="229">
        <v>485643178</v>
      </c>
      <c r="N198" s="230">
        <v>0</v>
      </c>
      <c r="O198" s="242">
        <f t="shared" si="89"/>
        <v>426401944.40165997</v>
      </c>
      <c r="P198" s="237">
        <v>1.7999999999999999E-2</v>
      </c>
      <c r="Q198" s="232">
        <f t="shared" si="67"/>
        <v>434077179.40088987</v>
      </c>
      <c r="R198" s="242">
        <f t="shared" si="90"/>
        <v>1082820357.4008899</v>
      </c>
      <c r="S198" s="243">
        <f t="shared" si="91"/>
        <v>597177179.40088987</v>
      </c>
      <c r="T198" s="244"/>
      <c r="U198" s="235"/>
    </row>
    <row r="199" spans="1:25" s="236" customFormat="1" x14ac:dyDescent="0.3">
      <c r="A199" s="218"/>
      <c r="B199" s="237"/>
      <c r="C199" s="331"/>
      <c r="D199" s="238">
        <v>4</v>
      </c>
      <c r="E199" s="221">
        <v>2750000</v>
      </c>
      <c r="F199" s="222">
        <v>0</v>
      </c>
      <c r="G199" s="223">
        <v>0</v>
      </c>
      <c r="H199" s="224">
        <v>0</v>
      </c>
      <c r="I199" s="224">
        <v>0</v>
      </c>
      <c r="J199" s="239">
        <f t="shared" si="92"/>
        <v>23299999.999999993</v>
      </c>
      <c r="K199" s="240">
        <f t="shared" si="87"/>
        <v>23299999.999999993</v>
      </c>
      <c r="L199" s="241">
        <f t="shared" si="88"/>
        <v>139799999.99999994</v>
      </c>
      <c r="M199" s="229">
        <v>485643178</v>
      </c>
      <c r="N199" s="230">
        <v>0</v>
      </c>
      <c r="O199" s="242">
        <f t="shared" si="89"/>
        <v>457377179.40088987</v>
      </c>
      <c r="P199" s="237">
        <v>1.7999999999999999E-2</v>
      </c>
      <c r="Q199" s="232">
        <f t="shared" ref="Q199:Q255" si="93" xml:space="preserve"> ((O199 +N199) * P199) + (O199+N199)</f>
        <v>465609968.63010591</v>
      </c>
      <c r="R199" s="242">
        <f t="shared" si="90"/>
        <v>1091053146.630106</v>
      </c>
      <c r="S199" s="243">
        <f t="shared" si="91"/>
        <v>605409968.63010597</v>
      </c>
      <c r="T199" s="244"/>
      <c r="U199" s="235"/>
    </row>
    <row r="200" spans="1:25" s="236" customFormat="1" x14ac:dyDescent="0.3">
      <c r="A200" s="218"/>
      <c r="B200" s="237"/>
      <c r="C200" s="331"/>
      <c r="D200" s="238">
        <v>5</v>
      </c>
      <c r="E200" s="221">
        <v>2750000</v>
      </c>
      <c r="F200" s="222">
        <v>0</v>
      </c>
      <c r="G200" s="223">
        <v>0</v>
      </c>
      <c r="H200" s="224">
        <v>0</v>
      </c>
      <c r="I200" s="224">
        <v>0</v>
      </c>
      <c r="J200" s="239">
        <f t="shared" si="92"/>
        <v>23299999.999999993</v>
      </c>
      <c r="K200" s="240">
        <f t="shared" si="87"/>
        <v>23299999.999999993</v>
      </c>
      <c r="L200" s="241">
        <f t="shared" si="88"/>
        <v>116499999.99999994</v>
      </c>
      <c r="M200" s="229">
        <v>485643178</v>
      </c>
      <c r="N200" s="230">
        <v>0</v>
      </c>
      <c r="O200" s="242">
        <f t="shared" si="89"/>
        <v>488909968.63010591</v>
      </c>
      <c r="P200" s="237">
        <v>1.7999999999999999E-2</v>
      </c>
      <c r="Q200" s="232">
        <f t="shared" si="93"/>
        <v>497710348.06544781</v>
      </c>
      <c r="R200" s="242">
        <f t="shared" si="90"/>
        <v>1099853526.0654478</v>
      </c>
      <c r="S200" s="243">
        <f t="shared" si="91"/>
        <v>614210348.06544781</v>
      </c>
      <c r="T200" s="244"/>
      <c r="U200" s="235"/>
    </row>
    <row r="201" spans="1:25" s="236" customFormat="1" x14ac:dyDescent="0.3">
      <c r="A201" s="218"/>
      <c r="B201" s="237"/>
      <c r="C201" s="331"/>
      <c r="D201" s="238">
        <v>6</v>
      </c>
      <c r="E201" s="221">
        <v>2750000</v>
      </c>
      <c r="F201" s="222">
        <v>0</v>
      </c>
      <c r="G201" s="223">
        <v>0</v>
      </c>
      <c r="H201" s="224">
        <v>0</v>
      </c>
      <c r="I201" s="224">
        <v>0</v>
      </c>
      <c r="J201" s="239">
        <f t="shared" si="92"/>
        <v>23299999.999999993</v>
      </c>
      <c r="K201" s="240">
        <f t="shared" si="87"/>
        <v>23299999.999999993</v>
      </c>
      <c r="L201" s="241">
        <f t="shared" si="88"/>
        <v>93199999.99999994</v>
      </c>
      <c r="M201" s="229">
        <v>485643178</v>
      </c>
      <c r="N201" s="230">
        <v>0</v>
      </c>
      <c r="O201" s="242">
        <f t="shared" si="89"/>
        <v>521010348.06544781</v>
      </c>
      <c r="P201" s="237">
        <v>1.7999999999999999E-2</v>
      </c>
      <c r="Q201" s="232">
        <f t="shared" si="93"/>
        <v>530388534.33062589</v>
      </c>
      <c r="R201" s="242">
        <f t="shared" si="90"/>
        <v>1109231712.3306258</v>
      </c>
      <c r="S201" s="243">
        <f t="shared" si="91"/>
        <v>623588534.33062577</v>
      </c>
      <c r="T201" s="244"/>
      <c r="U201" s="235"/>
    </row>
    <row r="202" spans="1:25" s="236" customFormat="1" x14ac:dyDescent="0.3">
      <c r="A202" s="218"/>
      <c r="B202" s="237"/>
      <c r="C202" s="331"/>
      <c r="D202" s="238">
        <v>7</v>
      </c>
      <c r="E202" s="221">
        <v>2750000</v>
      </c>
      <c r="F202" s="222">
        <v>0</v>
      </c>
      <c r="G202" s="223">
        <v>0</v>
      </c>
      <c r="H202" s="224">
        <v>0</v>
      </c>
      <c r="I202" s="224">
        <v>0</v>
      </c>
      <c r="J202" s="239">
        <f t="shared" si="92"/>
        <v>23299999.999999993</v>
      </c>
      <c r="K202" s="240">
        <f t="shared" si="87"/>
        <v>23299999.999999993</v>
      </c>
      <c r="L202" s="241">
        <f t="shared" si="88"/>
        <v>69899999.99999994</v>
      </c>
      <c r="M202" s="229">
        <v>485643178</v>
      </c>
      <c r="N202" s="230">
        <v>0</v>
      </c>
      <c r="O202" s="242">
        <f t="shared" si="89"/>
        <v>553688534.33062589</v>
      </c>
      <c r="P202" s="237">
        <v>1.7999999999999999E-2</v>
      </c>
      <c r="Q202" s="232">
        <f t="shared" si="93"/>
        <v>563654927.94857717</v>
      </c>
      <c r="R202" s="242">
        <f t="shared" si="90"/>
        <v>1119198105.9485772</v>
      </c>
      <c r="S202" s="243">
        <f t="shared" si="91"/>
        <v>633554927.94857717</v>
      </c>
      <c r="T202" s="244"/>
      <c r="U202" s="235"/>
    </row>
    <row r="203" spans="1:25" s="236" customFormat="1" x14ac:dyDescent="0.3">
      <c r="A203" s="218"/>
      <c r="B203" s="237"/>
      <c r="C203" s="331"/>
      <c r="D203" s="238">
        <v>8</v>
      </c>
      <c r="E203" s="221">
        <v>2750000</v>
      </c>
      <c r="F203" s="222">
        <v>0</v>
      </c>
      <c r="G203" s="223">
        <v>0</v>
      </c>
      <c r="H203" s="224">
        <v>0</v>
      </c>
      <c r="I203" s="224">
        <v>0</v>
      </c>
      <c r="J203" s="239">
        <f t="shared" si="92"/>
        <v>23299999.999999993</v>
      </c>
      <c r="K203" s="240">
        <f t="shared" si="87"/>
        <v>23299999.999999993</v>
      </c>
      <c r="L203" s="241">
        <f t="shared" si="88"/>
        <v>46599999.999999948</v>
      </c>
      <c r="M203" s="229">
        <v>485643178</v>
      </c>
      <c r="N203" s="230">
        <v>0</v>
      </c>
      <c r="O203" s="242">
        <f t="shared" si="89"/>
        <v>586954927.94857717</v>
      </c>
      <c r="P203" s="237">
        <v>1.7999999999999999E-2</v>
      </c>
      <c r="Q203" s="232">
        <f t="shared" si="93"/>
        <v>597520116.6516515</v>
      </c>
      <c r="R203" s="242">
        <f t="shared" si="90"/>
        <v>1129763294.6516514</v>
      </c>
      <c r="S203" s="243">
        <f t="shared" si="91"/>
        <v>644120116.65165138</v>
      </c>
      <c r="T203" s="244"/>
      <c r="U203" s="235"/>
    </row>
    <row r="204" spans="1:25" s="236" customFormat="1" x14ac:dyDescent="0.3">
      <c r="A204" s="218"/>
      <c r="B204" s="237"/>
      <c r="C204" s="331"/>
      <c r="D204" s="238">
        <v>9</v>
      </c>
      <c r="E204" s="221">
        <v>2750000</v>
      </c>
      <c r="F204" s="222">
        <v>0</v>
      </c>
      <c r="G204" s="223">
        <v>0</v>
      </c>
      <c r="H204" s="224">
        <v>0</v>
      </c>
      <c r="I204" s="224">
        <v>0</v>
      </c>
      <c r="J204" s="239">
        <f t="shared" si="92"/>
        <v>23299999.999999993</v>
      </c>
      <c r="K204" s="240">
        <f t="shared" si="87"/>
        <v>23299999.999999993</v>
      </c>
      <c r="L204" s="241">
        <f t="shared" si="88"/>
        <v>23299999.999999955</v>
      </c>
      <c r="M204" s="229">
        <v>485643178</v>
      </c>
      <c r="N204" s="230">
        <v>0</v>
      </c>
      <c r="O204" s="242">
        <f t="shared" si="89"/>
        <v>620820116.6516515</v>
      </c>
      <c r="P204" s="237">
        <v>1.7999999999999999E-2</v>
      </c>
      <c r="Q204" s="232">
        <f t="shared" si="93"/>
        <v>631994878.75138128</v>
      </c>
      <c r="R204" s="242">
        <f t="shared" si="90"/>
        <v>1140938056.7513814</v>
      </c>
      <c r="S204" s="243">
        <f t="shared" si="91"/>
        <v>655294878.7513814</v>
      </c>
      <c r="T204" s="244"/>
      <c r="U204" s="235"/>
    </row>
    <row r="205" spans="1:25" s="236" customFormat="1" x14ac:dyDescent="0.3">
      <c r="A205" s="218"/>
      <c r="B205" s="237"/>
      <c r="C205" s="331"/>
      <c r="D205" s="238">
        <v>10</v>
      </c>
      <c r="E205" s="221">
        <v>2750000</v>
      </c>
      <c r="F205" s="222">
        <v>0</v>
      </c>
      <c r="G205" s="223">
        <v>0</v>
      </c>
      <c r="H205" s="224">
        <v>0</v>
      </c>
      <c r="I205" s="224">
        <v>0</v>
      </c>
      <c r="J205" s="239">
        <f xml:space="preserve"> J204</f>
        <v>23299999.999999993</v>
      </c>
      <c r="K205" s="240">
        <f t="shared" si="87"/>
        <v>23299999.999999993</v>
      </c>
      <c r="L205" s="241">
        <f t="shared" si="88"/>
        <v>-3.7252902984619141E-8</v>
      </c>
      <c r="M205" s="229">
        <v>485643178</v>
      </c>
      <c r="N205" s="230">
        <v>0</v>
      </c>
      <c r="O205" s="242">
        <f t="shared" si="89"/>
        <v>655294878.75138128</v>
      </c>
      <c r="P205" s="237">
        <v>1.7999999999999999E-2</v>
      </c>
      <c r="Q205" s="232">
        <f t="shared" si="93"/>
        <v>667090186.56890619</v>
      </c>
      <c r="R205" s="242">
        <f t="shared" si="90"/>
        <v>1152733364.5689063</v>
      </c>
      <c r="S205" s="243">
        <f t="shared" si="91"/>
        <v>667090186.56890631</v>
      </c>
      <c r="T205" s="244"/>
      <c r="U205" s="235"/>
    </row>
    <row r="206" spans="1:25" s="236" customFormat="1" ht="17.25" thickBot="1" x14ac:dyDescent="0.35">
      <c r="A206" s="218"/>
      <c r="B206" s="245"/>
      <c r="C206" s="331"/>
      <c r="D206" s="246">
        <v>11</v>
      </c>
      <c r="E206" s="221">
        <v>2750000</v>
      </c>
      <c r="F206" s="222">
        <v>0</v>
      </c>
      <c r="G206" s="247">
        <v>0</v>
      </c>
      <c r="H206" s="224">
        <v>0</v>
      </c>
      <c r="I206" s="248">
        <v>0</v>
      </c>
      <c r="J206" s="249">
        <v>0</v>
      </c>
      <c r="K206" s="250">
        <f t="shared" si="87"/>
        <v>0</v>
      </c>
      <c r="L206" s="251">
        <f t="shared" si="88"/>
        <v>-3.7252902984619141E-8</v>
      </c>
      <c r="M206" s="252">
        <v>485643178</v>
      </c>
      <c r="N206" s="253">
        <v>0</v>
      </c>
      <c r="O206" s="254">
        <f t="shared" si="89"/>
        <v>667090186.56890619</v>
      </c>
      <c r="P206" s="245">
        <v>1.7999999999999999E-2</v>
      </c>
      <c r="Q206" s="232">
        <f t="shared" si="93"/>
        <v>679097809.92714655</v>
      </c>
      <c r="R206" s="254">
        <f t="shared" si="90"/>
        <v>1164740987.9271464</v>
      </c>
      <c r="S206" s="255">
        <f t="shared" si="91"/>
        <v>679097809.92714643</v>
      </c>
      <c r="T206" s="256"/>
      <c r="U206" s="235"/>
    </row>
    <row r="207" spans="1:25" s="272" customFormat="1" ht="17.25" thickBot="1" x14ac:dyDescent="0.35">
      <c r="A207" s="218"/>
      <c r="B207" s="257"/>
      <c r="C207" s="331"/>
      <c r="D207" s="258">
        <v>12</v>
      </c>
      <c r="E207" s="221">
        <v>2750000</v>
      </c>
      <c r="F207" s="222">
        <v>0</v>
      </c>
      <c r="G207" s="259">
        <v>0</v>
      </c>
      <c r="H207" s="224">
        <v>0</v>
      </c>
      <c r="I207" s="260">
        <v>0</v>
      </c>
      <c r="J207" s="261">
        <v>0</v>
      </c>
      <c r="K207" s="262">
        <f t="shared" si="87"/>
        <v>0</v>
      </c>
      <c r="L207" s="263">
        <f t="shared" si="88"/>
        <v>-3.7252902984619141E-8</v>
      </c>
      <c r="M207" s="264">
        <v>485643178</v>
      </c>
      <c r="N207" s="265">
        <v>0</v>
      </c>
      <c r="O207" s="266">
        <f t="shared" si="89"/>
        <v>679097809.92714655</v>
      </c>
      <c r="P207" s="267">
        <v>1.7999999999999999E-2</v>
      </c>
      <c r="Q207" s="232">
        <f t="shared" si="93"/>
        <v>691321570.50583518</v>
      </c>
      <c r="R207" s="266">
        <f t="shared" si="90"/>
        <v>1176964748.5058351</v>
      </c>
      <c r="S207" s="268">
        <f t="shared" si="91"/>
        <v>691321570.50583506</v>
      </c>
      <c r="T207" s="269">
        <f xml:space="preserve"> S207 / 4</f>
        <v>172830392.62645876</v>
      </c>
      <c r="U207" s="269">
        <f>SUM(E4:E207)</f>
        <v>365300000</v>
      </c>
      <c r="V207" s="269">
        <f>SUM(F4:F207)</f>
        <v>307886544</v>
      </c>
      <c r="W207" s="270">
        <f xml:space="preserve"> U207 - V207</f>
        <v>57413456</v>
      </c>
      <c r="X207" s="270">
        <f>R207-W207</f>
        <v>1119551292.5058351</v>
      </c>
      <c r="Y207" s="271">
        <f xml:space="preserve"> X207 / W207 * 100</f>
        <v>1949.9806674341901</v>
      </c>
    </row>
    <row r="208" spans="1:25" s="236" customFormat="1" x14ac:dyDescent="0.3">
      <c r="A208" s="218"/>
      <c r="B208" s="219">
        <v>18</v>
      </c>
      <c r="C208" s="331">
        <v>2039</v>
      </c>
      <c r="D208" s="220">
        <v>1</v>
      </c>
      <c r="E208" s="221">
        <v>2750000</v>
      </c>
      <c r="F208" s="222">
        <v>15000000</v>
      </c>
      <c r="G208" s="223">
        <v>0</v>
      </c>
      <c r="H208" s="224">
        <v>0</v>
      </c>
      <c r="I208" s="225">
        <v>0</v>
      </c>
      <c r="J208" s="226">
        <f xml:space="preserve"> L207 / 10</f>
        <v>-3.7252902984619141E-9</v>
      </c>
      <c r="K208" s="227">
        <f t="shared" ref="K208:K255" si="94" xml:space="preserve"> H208 + J208 - I208</f>
        <v>-3.7252902984619141E-9</v>
      </c>
      <c r="L208" s="228">
        <f t="shared" ref="L208:L255" si="95" xml:space="preserve"> L207 +I208 - J208 - N208</f>
        <v>-3.3527612686157227E-8</v>
      </c>
      <c r="M208" s="229">
        <v>485643178</v>
      </c>
      <c r="N208" s="230">
        <v>0</v>
      </c>
      <c r="O208" s="231">
        <f t="shared" ref="O208:O255" si="96" xml:space="preserve"> Q207 + K208</f>
        <v>691321570.50583518</v>
      </c>
      <c r="P208" s="219">
        <v>4.0000000000000001E-3</v>
      </c>
      <c r="Q208" s="232">
        <f t="shared" si="93"/>
        <v>694086856.78785849</v>
      </c>
      <c r="R208" s="231">
        <f t="shared" ref="R208:R255" si="97" xml:space="preserve"> M208 + Q208 + L208</f>
        <v>1179730034.7878585</v>
      </c>
      <c r="S208" s="233">
        <f t="shared" ref="S208:S255" si="98" xml:space="preserve"> R208 - M208</f>
        <v>694086856.78785849</v>
      </c>
      <c r="T208" s="234"/>
      <c r="U208" s="235"/>
    </row>
    <row r="209" spans="1:25" s="236" customFormat="1" x14ac:dyDescent="0.3">
      <c r="A209" s="218"/>
      <c r="B209" s="237"/>
      <c r="C209" s="331"/>
      <c r="D209" s="238">
        <v>2</v>
      </c>
      <c r="E209" s="221">
        <v>2750000</v>
      </c>
      <c r="F209" s="222">
        <v>0</v>
      </c>
      <c r="G209" s="223">
        <v>0</v>
      </c>
      <c r="H209" s="224">
        <v>0</v>
      </c>
      <c r="I209" s="224">
        <v>0</v>
      </c>
      <c r="J209" s="239">
        <f xml:space="preserve"> J208</f>
        <v>-3.7252902984619141E-9</v>
      </c>
      <c r="K209" s="240">
        <f t="shared" si="94"/>
        <v>-3.7252902984619141E-9</v>
      </c>
      <c r="L209" s="241">
        <f t="shared" si="95"/>
        <v>-2.9802322387695313E-8</v>
      </c>
      <c r="M209" s="229">
        <v>485643178</v>
      </c>
      <c r="N209" s="230">
        <v>0</v>
      </c>
      <c r="O209" s="242">
        <f t="shared" si="96"/>
        <v>694086856.78785849</v>
      </c>
      <c r="P209" s="237">
        <v>1.7999999999999999E-2</v>
      </c>
      <c r="Q209" s="232">
        <f t="shared" si="93"/>
        <v>706580420.21003997</v>
      </c>
      <c r="R209" s="242">
        <f t="shared" si="97"/>
        <v>1192223598.2100401</v>
      </c>
      <c r="S209" s="243">
        <f t="shared" si="98"/>
        <v>706580420.21004009</v>
      </c>
      <c r="T209" s="244"/>
      <c r="U209" s="235"/>
    </row>
    <row r="210" spans="1:25" s="236" customFormat="1" x14ac:dyDescent="0.3">
      <c r="A210" s="218"/>
      <c r="B210" s="237"/>
      <c r="C210" s="331"/>
      <c r="D210" s="238">
        <v>3</v>
      </c>
      <c r="E210" s="221">
        <v>2750000</v>
      </c>
      <c r="F210" s="222">
        <v>0</v>
      </c>
      <c r="G210" s="223">
        <v>0</v>
      </c>
      <c r="H210" s="224">
        <v>0</v>
      </c>
      <c r="I210" s="224">
        <v>0</v>
      </c>
      <c r="J210" s="239">
        <f t="shared" ref="J210:J216" si="99" xml:space="preserve"> J209</f>
        <v>-3.7252902984619141E-9</v>
      </c>
      <c r="K210" s="240">
        <f t="shared" si="94"/>
        <v>-3.7252902984619141E-9</v>
      </c>
      <c r="L210" s="241">
        <f t="shared" si="95"/>
        <v>-2.6077032089233398E-8</v>
      </c>
      <c r="M210" s="229">
        <v>485643178</v>
      </c>
      <c r="N210" s="230">
        <v>0</v>
      </c>
      <c r="O210" s="242">
        <f t="shared" si="96"/>
        <v>706580420.21003997</v>
      </c>
      <c r="P210" s="237">
        <v>1.7999999999999999E-2</v>
      </c>
      <c r="Q210" s="232">
        <f t="shared" si="93"/>
        <v>719298867.77382064</v>
      </c>
      <c r="R210" s="242">
        <f t="shared" si="97"/>
        <v>1204942045.7738206</v>
      </c>
      <c r="S210" s="243">
        <f t="shared" si="98"/>
        <v>719298867.77382064</v>
      </c>
      <c r="T210" s="244"/>
      <c r="U210" s="235"/>
    </row>
    <row r="211" spans="1:25" s="236" customFormat="1" x14ac:dyDescent="0.3">
      <c r="A211" s="218"/>
      <c r="B211" s="237"/>
      <c r="C211" s="331"/>
      <c r="D211" s="238">
        <v>4</v>
      </c>
      <c r="E211" s="221">
        <v>2750000</v>
      </c>
      <c r="F211" s="222">
        <v>0</v>
      </c>
      <c r="G211" s="223">
        <v>0</v>
      </c>
      <c r="H211" s="224">
        <v>0</v>
      </c>
      <c r="I211" s="224">
        <v>0</v>
      </c>
      <c r="J211" s="239">
        <f t="shared" si="99"/>
        <v>-3.7252902984619141E-9</v>
      </c>
      <c r="K211" s="240">
        <f t="shared" si="94"/>
        <v>-3.7252902984619141E-9</v>
      </c>
      <c r="L211" s="241">
        <f t="shared" si="95"/>
        <v>-2.2351741790771484E-8</v>
      </c>
      <c r="M211" s="229">
        <v>485643178</v>
      </c>
      <c r="N211" s="230">
        <v>0</v>
      </c>
      <c r="O211" s="242">
        <f t="shared" si="96"/>
        <v>719298867.77382064</v>
      </c>
      <c r="P211" s="237">
        <v>1.7999999999999999E-2</v>
      </c>
      <c r="Q211" s="232">
        <f t="shared" si="93"/>
        <v>732246247.39374936</v>
      </c>
      <c r="R211" s="242">
        <f t="shared" si="97"/>
        <v>1217889425.3937492</v>
      </c>
      <c r="S211" s="243">
        <f t="shared" si="98"/>
        <v>732246247.39374924</v>
      </c>
      <c r="T211" s="244"/>
      <c r="U211" s="235"/>
    </row>
    <row r="212" spans="1:25" s="236" customFormat="1" x14ac:dyDescent="0.3">
      <c r="A212" s="218"/>
      <c r="B212" s="237"/>
      <c r="C212" s="331"/>
      <c r="D212" s="238">
        <v>5</v>
      </c>
      <c r="E212" s="221">
        <v>2750000</v>
      </c>
      <c r="F212" s="222">
        <v>0</v>
      </c>
      <c r="G212" s="223">
        <v>0</v>
      </c>
      <c r="H212" s="224">
        <v>0</v>
      </c>
      <c r="I212" s="224">
        <v>0</v>
      </c>
      <c r="J212" s="239">
        <f t="shared" si="99"/>
        <v>-3.7252902984619141E-9</v>
      </c>
      <c r="K212" s="240">
        <f t="shared" si="94"/>
        <v>-3.7252902984619141E-9</v>
      </c>
      <c r="L212" s="241">
        <f t="shared" si="95"/>
        <v>-1.862645149230957E-8</v>
      </c>
      <c r="M212" s="229">
        <v>485643178</v>
      </c>
      <c r="N212" s="230">
        <v>0</v>
      </c>
      <c r="O212" s="242">
        <f t="shared" si="96"/>
        <v>732246247.39374936</v>
      </c>
      <c r="P212" s="237">
        <v>1.7999999999999999E-2</v>
      </c>
      <c r="Q212" s="232">
        <f t="shared" si="93"/>
        <v>745426679.84683681</v>
      </c>
      <c r="R212" s="242">
        <f t="shared" si="97"/>
        <v>1231069857.8468368</v>
      </c>
      <c r="S212" s="243">
        <f t="shared" si="98"/>
        <v>745426679.84683681</v>
      </c>
      <c r="T212" s="244"/>
      <c r="U212" s="235"/>
    </row>
    <row r="213" spans="1:25" s="236" customFormat="1" x14ac:dyDescent="0.3">
      <c r="A213" s="218"/>
      <c r="B213" s="237"/>
      <c r="C213" s="331"/>
      <c r="D213" s="238">
        <v>6</v>
      </c>
      <c r="E213" s="221">
        <v>2750000</v>
      </c>
      <c r="F213" s="222">
        <v>0</v>
      </c>
      <c r="G213" s="223">
        <v>0</v>
      </c>
      <c r="H213" s="224">
        <v>0</v>
      </c>
      <c r="I213" s="224">
        <v>0</v>
      </c>
      <c r="J213" s="239">
        <f t="shared" si="99"/>
        <v>-3.7252902984619141E-9</v>
      </c>
      <c r="K213" s="240">
        <f t="shared" si="94"/>
        <v>-3.7252902984619141E-9</v>
      </c>
      <c r="L213" s="241">
        <f t="shared" si="95"/>
        <v>-1.4901161193847656E-8</v>
      </c>
      <c r="M213" s="229">
        <v>485643178</v>
      </c>
      <c r="N213" s="230">
        <v>0</v>
      </c>
      <c r="O213" s="242">
        <f t="shared" si="96"/>
        <v>745426679.84683681</v>
      </c>
      <c r="P213" s="237">
        <v>1.7999999999999999E-2</v>
      </c>
      <c r="Q213" s="232">
        <f t="shared" si="93"/>
        <v>758844360.08407986</v>
      </c>
      <c r="R213" s="242">
        <f t="shared" si="97"/>
        <v>1244487538.0840797</v>
      </c>
      <c r="S213" s="243">
        <f t="shared" si="98"/>
        <v>758844360.08407974</v>
      </c>
      <c r="T213" s="244"/>
      <c r="U213" s="235"/>
    </row>
    <row r="214" spans="1:25" s="236" customFormat="1" x14ac:dyDescent="0.3">
      <c r="A214" s="218"/>
      <c r="B214" s="237"/>
      <c r="C214" s="331"/>
      <c r="D214" s="238">
        <v>7</v>
      </c>
      <c r="E214" s="221">
        <v>2750000</v>
      </c>
      <c r="F214" s="222">
        <v>0</v>
      </c>
      <c r="G214" s="223">
        <v>0</v>
      </c>
      <c r="H214" s="224">
        <v>0</v>
      </c>
      <c r="I214" s="224">
        <v>0</v>
      </c>
      <c r="J214" s="239">
        <f t="shared" si="99"/>
        <v>-3.7252902984619141E-9</v>
      </c>
      <c r="K214" s="240">
        <f t="shared" si="94"/>
        <v>-3.7252902984619141E-9</v>
      </c>
      <c r="L214" s="241">
        <f t="shared" si="95"/>
        <v>-1.1175870895385742E-8</v>
      </c>
      <c r="M214" s="229">
        <v>485643178</v>
      </c>
      <c r="N214" s="230">
        <v>0</v>
      </c>
      <c r="O214" s="242">
        <f t="shared" si="96"/>
        <v>758844360.08407986</v>
      </c>
      <c r="P214" s="237">
        <v>1.7999999999999999E-2</v>
      </c>
      <c r="Q214" s="232">
        <f t="shared" si="93"/>
        <v>772503558.56559324</v>
      </c>
      <c r="R214" s="242">
        <f t="shared" si="97"/>
        <v>1258146736.5655932</v>
      </c>
      <c r="S214" s="243">
        <f t="shared" si="98"/>
        <v>772503558.56559324</v>
      </c>
      <c r="T214" s="244"/>
      <c r="U214" s="235"/>
    </row>
    <row r="215" spans="1:25" s="236" customFormat="1" x14ac:dyDescent="0.3">
      <c r="A215" s="218"/>
      <c r="B215" s="237"/>
      <c r="C215" s="331"/>
      <c r="D215" s="238">
        <v>8</v>
      </c>
      <c r="E215" s="221">
        <v>2750000</v>
      </c>
      <c r="F215" s="222">
        <v>0</v>
      </c>
      <c r="G215" s="223">
        <v>0</v>
      </c>
      <c r="H215" s="224">
        <v>0</v>
      </c>
      <c r="I215" s="224">
        <v>0</v>
      </c>
      <c r="J215" s="239">
        <f t="shared" si="99"/>
        <v>-3.7252902984619141E-9</v>
      </c>
      <c r="K215" s="240">
        <f t="shared" si="94"/>
        <v>-3.7252902984619141E-9</v>
      </c>
      <c r="L215" s="241">
        <f t="shared" si="95"/>
        <v>-7.4505805969238281E-9</v>
      </c>
      <c r="M215" s="229">
        <v>485643178</v>
      </c>
      <c r="N215" s="230">
        <v>0</v>
      </c>
      <c r="O215" s="242">
        <f t="shared" si="96"/>
        <v>772503558.56559324</v>
      </c>
      <c r="P215" s="237">
        <v>1.7999999999999999E-2</v>
      </c>
      <c r="Q215" s="232">
        <f t="shared" si="93"/>
        <v>786408622.61977386</v>
      </c>
      <c r="R215" s="242">
        <f t="shared" si="97"/>
        <v>1272051800.6197739</v>
      </c>
      <c r="S215" s="243">
        <f t="shared" si="98"/>
        <v>786408622.61977386</v>
      </c>
      <c r="T215" s="244"/>
      <c r="U215" s="235"/>
    </row>
    <row r="216" spans="1:25" s="236" customFormat="1" x14ac:dyDescent="0.3">
      <c r="A216" s="218"/>
      <c r="B216" s="237"/>
      <c r="C216" s="331"/>
      <c r="D216" s="238">
        <v>9</v>
      </c>
      <c r="E216" s="221">
        <v>2750000</v>
      </c>
      <c r="F216" s="222">
        <v>0</v>
      </c>
      <c r="G216" s="223">
        <v>0</v>
      </c>
      <c r="H216" s="224">
        <v>0</v>
      </c>
      <c r="I216" s="224">
        <v>0</v>
      </c>
      <c r="J216" s="239">
        <f t="shared" si="99"/>
        <v>-3.7252902984619141E-9</v>
      </c>
      <c r="K216" s="240">
        <f t="shared" si="94"/>
        <v>-3.7252902984619141E-9</v>
      </c>
      <c r="L216" s="241">
        <f t="shared" si="95"/>
        <v>-3.7252902984619141E-9</v>
      </c>
      <c r="M216" s="229">
        <v>485643178</v>
      </c>
      <c r="N216" s="230">
        <v>0</v>
      </c>
      <c r="O216" s="242">
        <f t="shared" si="96"/>
        <v>786408622.61977386</v>
      </c>
      <c r="P216" s="237">
        <v>1.7999999999999999E-2</v>
      </c>
      <c r="Q216" s="232">
        <f t="shared" si="93"/>
        <v>800563977.82692981</v>
      </c>
      <c r="R216" s="242">
        <f t="shared" si="97"/>
        <v>1286207155.8269298</v>
      </c>
      <c r="S216" s="243">
        <f t="shared" si="98"/>
        <v>800563977.82692981</v>
      </c>
      <c r="T216" s="244"/>
      <c r="U216" s="235"/>
    </row>
    <row r="217" spans="1:25" s="236" customFormat="1" x14ac:dyDescent="0.3">
      <c r="A217" s="218"/>
      <c r="B217" s="237"/>
      <c r="C217" s="331"/>
      <c r="D217" s="238">
        <v>10</v>
      </c>
      <c r="E217" s="221">
        <v>2750000</v>
      </c>
      <c r="F217" s="222">
        <v>0</v>
      </c>
      <c r="G217" s="223">
        <v>0</v>
      </c>
      <c r="H217" s="224">
        <v>0</v>
      </c>
      <c r="I217" s="224">
        <v>0</v>
      </c>
      <c r="J217" s="239">
        <f xml:space="preserve"> J216</f>
        <v>-3.7252902984619141E-9</v>
      </c>
      <c r="K217" s="240">
        <f t="shared" si="94"/>
        <v>-3.7252902984619141E-9</v>
      </c>
      <c r="L217" s="241">
        <f t="shared" si="95"/>
        <v>0</v>
      </c>
      <c r="M217" s="229">
        <v>485643178</v>
      </c>
      <c r="N217" s="230">
        <v>0</v>
      </c>
      <c r="O217" s="242">
        <f t="shared" si="96"/>
        <v>800563977.82692981</v>
      </c>
      <c r="P217" s="237">
        <v>1.7999999999999999E-2</v>
      </c>
      <c r="Q217" s="232">
        <f t="shared" si="93"/>
        <v>814974129.42781448</v>
      </c>
      <c r="R217" s="242">
        <f t="shared" si="97"/>
        <v>1300617307.4278145</v>
      </c>
      <c r="S217" s="243">
        <f t="shared" si="98"/>
        <v>814974129.42781448</v>
      </c>
      <c r="T217" s="244"/>
      <c r="U217" s="235"/>
    </row>
    <row r="218" spans="1:25" s="236" customFormat="1" ht="17.25" thickBot="1" x14ac:dyDescent="0.35">
      <c r="A218" s="218"/>
      <c r="B218" s="245"/>
      <c r="C218" s="331"/>
      <c r="D218" s="246">
        <v>11</v>
      </c>
      <c r="E218" s="221">
        <v>2750000</v>
      </c>
      <c r="F218" s="222">
        <v>0</v>
      </c>
      <c r="G218" s="247">
        <v>0</v>
      </c>
      <c r="H218" s="224">
        <v>0</v>
      </c>
      <c r="I218" s="248">
        <v>0</v>
      </c>
      <c r="J218" s="249">
        <v>0</v>
      </c>
      <c r="K218" s="250">
        <f t="shared" si="94"/>
        <v>0</v>
      </c>
      <c r="L218" s="251">
        <f t="shared" si="95"/>
        <v>0</v>
      </c>
      <c r="M218" s="252">
        <v>485643178</v>
      </c>
      <c r="N218" s="253">
        <v>0</v>
      </c>
      <c r="O218" s="254">
        <f t="shared" si="96"/>
        <v>814974129.42781448</v>
      </c>
      <c r="P218" s="245">
        <v>1.7999999999999999E-2</v>
      </c>
      <c r="Q218" s="232">
        <f t="shared" si="93"/>
        <v>829643663.75751519</v>
      </c>
      <c r="R218" s="254">
        <f t="shared" si="97"/>
        <v>1315286841.7575152</v>
      </c>
      <c r="S218" s="255">
        <f t="shared" si="98"/>
        <v>829643663.75751519</v>
      </c>
      <c r="T218" s="256"/>
      <c r="U218" s="235"/>
    </row>
    <row r="219" spans="1:25" s="236" customFormat="1" ht="17.25" thickBot="1" x14ac:dyDescent="0.35">
      <c r="A219" s="218"/>
      <c r="B219" s="257"/>
      <c r="C219" s="331"/>
      <c r="D219" s="258">
        <v>12</v>
      </c>
      <c r="E219" s="221">
        <v>2750000</v>
      </c>
      <c r="F219" s="222">
        <v>0</v>
      </c>
      <c r="G219" s="259">
        <v>0</v>
      </c>
      <c r="H219" s="224">
        <v>0</v>
      </c>
      <c r="I219" s="260">
        <v>0</v>
      </c>
      <c r="J219" s="261">
        <v>0</v>
      </c>
      <c r="K219" s="262">
        <f t="shared" si="94"/>
        <v>0</v>
      </c>
      <c r="L219" s="263">
        <f t="shared" si="95"/>
        <v>0</v>
      </c>
      <c r="M219" s="264">
        <v>485643178</v>
      </c>
      <c r="N219" s="265">
        <v>0</v>
      </c>
      <c r="O219" s="266">
        <f t="shared" si="96"/>
        <v>829643663.75751519</v>
      </c>
      <c r="P219" s="267">
        <v>1.7999999999999999E-2</v>
      </c>
      <c r="Q219" s="232">
        <f t="shared" si="93"/>
        <v>844577249.70515049</v>
      </c>
      <c r="R219" s="266">
        <f t="shared" si="97"/>
        <v>1330220427.7051506</v>
      </c>
      <c r="S219" s="268">
        <f t="shared" si="98"/>
        <v>844577249.7051506</v>
      </c>
      <c r="T219" s="269">
        <f xml:space="preserve"> S219 / 4</f>
        <v>211144312.42628765</v>
      </c>
      <c r="U219" s="269">
        <f>SUM(E16:E219)</f>
        <v>366000000</v>
      </c>
      <c r="V219" s="269">
        <f>SUM(F16:F219)</f>
        <v>309930000</v>
      </c>
      <c r="W219" s="270">
        <f xml:space="preserve"> U219 - V219</f>
        <v>56070000</v>
      </c>
      <c r="X219" s="270">
        <f>R219-W219</f>
        <v>1274150427.7051506</v>
      </c>
      <c r="Y219" s="271">
        <f xml:space="preserve"> X219 / W219 * 100</f>
        <v>2272.4280857948111</v>
      </c>
    </row>
    <row r="220" spans="1:25" s="236" customFormat="1" x14ac:dyDescent="0.3">
      <c r="A220" s="218"/>
      <c r="B220" s="219">
        <v>19</v>
      </c>
      <c r="C220" s="331">
        <v>2040</v>
      </c>
      <c r="D220" s="220">
        <v>1</v>
      </c>
      <c r="E220" s="221">
        <v>2750000</v>
      </c>
      <c r="F220" s="222">
        <v>15000000</v>
      </c>
      <c r="G220" s="223">
        <v>0</v>
      </c>
      <c r="H220" s="224">
        <v>0</v>
      </c>
      <c r="I220" s="225">
        <v>0</v>
      </c>
      <c r="J220" s="226">
        <f xml:space="preserve"> L219 / 10</f>
        <v>0</v>
      </c>
      <c r="K220" s="227">
        <f t="shared" si="94"/>
        <v>0</v>
      </c>
      <c r="L220" s="228">
        <f t="shared" si="95"/>
        <v>0</v>
      </c>
      <c r="M220" s="229">
        <v>485643178</v>
      </c>
      <c r="N220" s="230">
        <v>0</v>
      </c>
      <c r="O220" s="231">
        <f t="shared" si="96"/>
        <v>844577249.70515049</v>
      </c>
      <c r="P220" s="219">
        <v>4.0000000000000001E-3</v>
      </c>
      <c r="Q220" s="232">
        <f t="shared" si="93"/>
        <v>847955558.70397103</v>
      </c>
      <c r="R220" s="231">
        <f t="shared" si="97"/>
        <v>1333598736.7039709</v>
      </c>
      <c r="S220" s="233">
        <f t="shared" si="98"/>
        <v>847955558.70397091</v>
      </c>
      <c r="T220" s="234"/>
      <c r="U220" s="235"/>
    </row>
    <row r="221" spans="1:25" s="236" customFormat="1" x14ac:dyDescent="0.3">
      <c r="A221" s="218"/>
      <c r="B221" s="237"/>
      <c r="C221" s="331"/>
      <c r="D221" s="238">
        <v>2</v>
      </c>
      <c r="E221" s="221">
        <v>2750000</v>
      </c>
      <c r="F221" s="222">
        <v>0</v>
      </c>
      <c r="G221" s="223">
        <v>0</v>
      </c>
      <c r="H221" s="224">
        <v>0</v>
      </c>
      <c r="I221" s="224">
        <v>0</v>
      </c>
      <c r="J221" s="239">
        <f xml:space="preserve"> J220</f>
        <v>0</v>
      </c>
      <c r="K221" s="240">
        <f t="shared" si="94"/>
        <v>0</v>
      </c>
      <c r="L221" s="241">
        <f t="shared" si="95"/>
        <v>0</v>
      </c>
      <c r="M221" s="229">
        <v>485643178</v>
      </c>
      <c r="N221" s="230">
        <v>0</v>
      </c>
      <c r="O221" s="242">
        <f t="shared" si="96"/>
        <v>847955558.70397103</v>
      </c>
      <c r="P221" s="237">
        <v>1.7999999999999999E-2</v>
      </c>
      <c r="Q221" s="232">
        <f t="shared" si="93"/>
        <v>863218758.76064253</v>
      </c>
      <c r="R221" s="242">
        <f t="shared" si="97"/>
        <v>1348861936.7606425</v>
      </c>
      <c r="S221" s="243">
        <f t="shared" si="98"/>
        <v>863218758.76064253</v>
      </c>
      <c r="T221" s="244"/>
      <c r="U221" s="235"/>
    </row>
    <row r="222" spans="1:25" s="236" customFormat="1" x14ac:dyDescent="0.3">
      <c r="A222" s="218"/>
      <c r="B222" s="237"/>
      <c r="C222" s="331"/>
      <c r="D222" s="238">
        <v>3</v>
      </c>
      <c r="E222" s="221">
        <v>2750000</v>
      </c>
      <c r="F222" s="222">
        <v>0</v>
      </c>
      <c r="G222" s="223">
        <v>0</v>
      </c>
      <c r="H222" s="224">
        <v>0</v>
      </c>
      <c r="I222" s="224">
        <v>0</v>
      </c>
      <c r="J222" s="239">
        <f t="shared" ref="J222:J228" si="100" xml:space="preserve"> J221</f>
        <v>0</v>
      </c>
      <c r="K222" s="240">
        <f t="shared" si="94"/>
        <v>0</v>
      </c>
      <c r="L222" s="241">
        <f t="shared" si="95"/>
        <v>0</v>
      </c>
      <c r="M222" s="229">
        <v>485643178</v>
      </c>
      <c r="N222" s="230">
        <v>0</v>
      </c>
      <c r="O222" s="242">
        <f t="shared" si="96"/>
        <v>863218758.76064253</v>
      </c>
      <c r="P222" s="237">
        <v>1.7999999999999999E-2</v>
      </c>
      <c r="Q222" s="232">
        <f t="shared" si="93"/>
        <v>878756696.41833413</v>
      </c>
      <c r="R222" s="242">
        <f t="shared" si="97"/>
        <v>1364399874.418334</v>
      </c>
      <c r="S222" s="243">
        <f t="shared" si="98"/>
        <v>878756696.41833401</v>
      </c>
      <c r="T222" s="244"/>
      <c r="U222" s="235"/>
    </row>
    <row r="223" spans="1:25" s="236" customFormat="1" x14ac:dyDescent="0.3">
      <c r="A223" s="218"/>
      <c r="B223" s="237"/>
      <c r="C223" s="331"/>
      <c r="D223" s="238">
        <v>4</v>
      </c>
      <c r="E223" s="221">
        <v>2750000</v>
      </c>
      <c r="F223" s="222">
        <v>0</v>
      </c>
      <c r="G223" s="223">
        <v>0</v>
      </c>
      <c r="H223" s="224">
        <v>0</v>
      </c>
      <c r="I223" s="224">
        <v>0</v>
      </c>
      <c r="J223" s="239">
        <f t="shared" si="100"/>
        <v>0</v>
      </c>
      <c r="K223" s="240">
        <f t="shared" si="94"/>
        <v>0</v>
      </c>
      <c r="L223" s="241">
        <f t="shared" si="95"/>
        <v>0</v>
      </c>
      <c r="M223" s="229">
        <v>485643178</v>
      </c>
      <c r="N223" s="230">
        <v>0</v>
      </c>
      <c r="O223" s="242">
        <f t="shared" si="96"/>
        <v>878756696.41833413</v>
      </c>
      <c r="P223" s="237">
        <v>1.7999999999999999E-2</v>
      </c>
      <c r="Q223" s="232">
        <f t="shared" si="93"/>
        <v>894574316.9538641</v>
      </c>
      <c r="R223" s="242">
        <f t="shared" si="97"/>
        <v>1380217494.9538641</v>
      </c>
      <c r="S223" s="243">
        <f t="shared" si="98"/>
        <v>894574316.9538641</v>
      </c>
      <c r="T223" s="244"/>
      <c r="U223" s="235"/>
    </row>
    <row r="224" spans="1:25" s="236" customFormat="1" x14ac:dyDescent="0.3">
      <c r="A224" s="218"/>
      <c r="B224" s="237"/>
      <c r="C224" s="331"/>
      <c r="D224" s="238">
        <v>5</v>
      </c>
      <c r="E224" s="221">
        <v>2750000</v>
      </c>
      <c r="F224" s="222">
        <v>0</v>
      </c>
      <c r="G224" s="223">
        <v>0</v>
      </c>
      <c r="H224" s="224">
        <v>0</v>
      </c>
      <c r="I224" s="224">
        <v>0</v>
      </c>
      <c r="J224" s="239">
        <f t="shared" si="100"/>
        <v>0</v>
      </c>
      <c r="K224" s="240">
        <f t="shared" si="94"/>
        <v>0</v>
      </c>
      <c r="L224" s="241">
        <f t="shared" si="95"/>
        <v>0</v>
      </c>
      <c r="M224" s="229">
        <v>485643178</v>
      </c>
      <c r="N224" s="230">
        <v>0</v>
      </c>
      <c r="O224" s="242">
        <f t="shared" si="96"/>
        <v>894574316.9538641</v>
      </c>
      <c r="P224" s="237">
        <v>1.7999999999999999E-2</v>
      </c>
      <c r="Q224" s="232">
        <f t="shared" si="93"/>
        <v>910676654.65903366</v>
      </c>
      <c r="R224" s="242">
        <f t="shared" si="97"/>
        <v>1396319832.6590338</v>
      </c>
      <c r="S224" s="243">
        <f t="shared" si="98"/>
        <v>910676654.65903378</v>
      </c>
      <c r="T224" s="244"/>
      <c r="U224" s="235"/>
    </row>
    <row r="225" spans="1:25" s="236" customFormat="1" x14ac:dyDescent="0.3">
      <c r="A225" s="218"/>
      <c r="B225" s="237"/>
      <c r="C225" s="331"/>
      <c r="D225" s="238">
        <v>6</v>
      </c>
      <c r="E225" s="221">
        <v>2750000</v>
      </c>
      <c r="F225" s="222">
        <v>0</v>
      </c>
      <c r="G225" s="223">
        <v>0</v>
      </c>
      <c r="H225" s="224">
        <v>0</v>
      </c>
      <c r="I225" s="224">
        <v>0</v>
      </c>
      <c r="J225" s="239">
        <f t="shared" si="100"/>
        <v>0</v>
      </c>
      <c r="K225" s="240">
        <f t="shared" si="94"/>
        <v>0</v>
      </c>
      <c r="L225" s="241">
        <f t="shared" si="95"/>
        <v>0</v>
      </c>
      <c r="M225" s="229">
        <v>485643178</v>
      </c>
      <c r="N225" s="230">
        <v>0</v>
      </c>
      <c r="O225" s="242">
        <f t="shared" si="96"/>
        <v>910676654.65903366</v>
      </c>
      <c r="P225" s="237">
        <v>1.7999999999999999E-2</v>
      </c>
      <c r="Q225" s="232">
        <f t="shared" si="93"/>
        <v>927068834.44289625</v>
      </c>
      <c r="R225" s="242">
        <f t="shared" si="97"/>
        <v>1412712012.4428964</v>
      </c>
      <c r="S225" s="243">
        <f t="shared" si="98"/>
        <v>927068834.44289637</v>
      </c>
      <c r="T225" s="244"/>
      <c r="U225" s="235"/>
    </row>
    <row r="226" spans="1:25" s="236" customFormat="1" x14ac:dyDescent="0.3">
      <c r="A226" s="218"/>
      <c r="B226" s="237"/>
      <c r="C226" s="331"/>
      <c r="D226" s="238">
        <v>7</v>
      </c>
      <c r="E226" s="221">
        <v>2750000</v>
      </c>
      <c r="F226" s="222">
        <v>0</v>
      </c>
      <c r="G226" s="223">
        <v>0</v>
      </c>
      <c r="H226" s="224">
        <v>0</v>
      </c>
      <c r="I226" s="224">
        <v>0</v>
      </c>
      <c r="J226" s="239">
        <f t="shared" si="100"/>
        <v>0</v>
      </c>
      <c r="K226" s="240">
        <f t="shared" si="94"/>
        <v>0</v>
      </c>
      <c r="L226" s="241">
        <f t="shared" si="95"/>
        <v>0</v>
      </c>
      <c r="M226" s="229">
        <v>485643178</v>
      </c>
      <c r="N226" s="230">
        <v>0</v>
      </c>
      <c r="O226" s="242">
        <f t="shared" si="96"/>
        <v>927068834.44289625</v>
      </c>
      <c r="P226" s="237">
        <v>1.7999999999999999E-2</v>
      </c>
      <c r="Q226" s="232">
        <f t="shared" si="93"/>
        <v>943756073.46286833</v>
      </c>
      <c r="R226" s="242">
        <f t="shared" si="97"/>
        <v>1429399251.4628682</v>
      </c>
      <c r="S226" s="243">
        <f t="shared" si="98"/>
        <v>943756073.46286821</v>
      </c>
      <c r="T226" s="244"/>
      <c r="U226" s="235"/>
    </row>
    <row r="227" spans="1:25" s="236" customFormat="1" x14ac:dyDescent="0.3">
      <c r="A227" s="218"/>
      <c r="B227" s="237"/>
      <c r="C227" s="331"/>
      <c r="D227" s="238">
        <v>8</v>
      </c>
      <c r="E227" s="221">
        <v>2750000</v>
      </c>
      <c r="F227" s="222">
        <v>0</v>
      </c>
      <c r="G227" s="223">
        <v>0</v>
      </c>
      <c r="H227" s="224">
        <v>0</v>
      </c>
      <c r="I227" s="224">
        <v>0</v>
      </c>
      <c r="J227" s="239">
        <f t="shared" si="100"/>
        <v>0</v>
      </c>
      <c r="K227" s="240">
        <f t="shared" si="94"/>
        <v>0</v>
      </c>
      <c r="L227" s="241">
        <f t="shared" si="95"/>
        <v>0</v>
      </c>
      <c r="M227" s="229">
        <v>485643178</v>
      </c>
      <c r="N227" s="230">
        <v>0</v>
      </c>
      <c r="O227" s="242">
        <f t="shared" si="96"/>
        <v>943756073.46286833</v>
      </c>
      <c r="P227" s="237">
        <v>1.7999999999999999E-2</v>
      </c>
      <c r="Q227" s="232">
        <f t="shared" si="93"/>
        <v>960743682.7852</v>
      </c>
      <c r="R227" s="242">
        <f t="shared" si="97"/>
        <v>1446386860.7852001</v>
      </c>
      <c r="S227" s="243">
        <f t="shared" si="98"/>
        <v>960743682.78520012</v>
      </c>
      <c r="T227" s="244"/>
      <c r="U227" s="235"/>
    </row>
    <row r="228" spans="1:25" s="236" customFormat="1" x14ac:dyDescent="0.3">
      <c r="A228" s="218"/>
      <c r="B228" s="237"/>
      <c r="C228" s="331"/>
      <c r="D228" s="238">
        <v>9</v>
      </c>
      <c r="E228" s="221">
        <v>2750000</v>
      </c>
      <c r="F228" s="222">
        <v>0</v>
      </c>
      <c r="G228" s="223">
        <v>0</v>
      </c>
      <c r="H228" s="224">
        <v>0</v>
      </c>
      <c r="I228" s="224">
        <v>0</v>
      </c>
      <c r="J228" s="239">
        <f t="shared" si="100"/>
        <v>0</v>
      </c>
      <c r="K228" s="240">
        <f t="shared" si="94"/>
        <v>0</v>
      </c>
      <c r="L228" s="241">
        <f t="shared" si="95"/>
        <v>0</v>
      </c>
      <c r="M228" s="229">
        <v>485643178</v>
      </c>
      <c r="N228" s="230">
        <v>0</v>
      </c>
      <c r="O228" s="242">
        <f t="shared" si="96"/>
        <v>960743682.7852</v>
      </c>
      <c r="P228" s="237">
        <v>1.7999999999999999E-2</v>
      </c>
      <c r="Q228" s="232">
        <f t="shared" si="93"/>
        <v>978037069.0753336</v>
      </c>
      <c r="R228" s="242">
        <f t="shared" si="97"/>
        <v>1463680247.0753336</v>
      </c>
      <c r="S228" s="243">
        <f t="shared" si="98"/>
        <v>978037069.0753336</v>
      </c>
      <c r="T228" s="244"/>
      <c r="U228" s="235"/>
    </row>
    <row r="229" spans="1:25" s="236" customFormat="1" x14ac:dyDescent="0.3">
      <c r="A229" s="218"/>
      <c r="B229" s="237"/>
      <c r="C229" s="331"/>
      <c r="D229" s="238">
        <v>10</v>
      </c>
      <c r="E229" s="221">
        <v>2750000</v>
      </c>
      <c r="F229" s="222">
        <v>0</v>
      </c>
      <c r="G229" s="223">
        <v>0</v>
      </c>
      <c r="H229" s="224">
        <v>0</v>
      </c>
      <c r="I229" s="224">
        <v>0</v>
      </c>
      <c r="J229" s="239">
        <f xml:space="preserve"> J228</f>
        <v>0</v>
      </c>
      <c r="K229" s="240">
        <f t="shared" si="94"/>
        <v>0</v>
      </c>
      <c r="L229" s="241">
        <f t="shared" si="95"/>
        <v>0</v>
      </c>
      <c r="M229" s="229">
        <v>485643178</v>
      </c>
      <c r="N229" s="230">
        <v>0</v>
      </c>
      <c r="O229" s="242">
        <f t="shared" si="96"/>
        <v>978037069.0753336</v>
      </c>
      <c r="P229" s="237">
        <v>1.7999999999999999E-2</v>
      </c>
      <c r="Q229" s="232">
        <f t="shared" si="93"/>
        <v>995641736.31868958</v>
      </c>
      <c r="R229" s="242">
        <f t="shared" si="97"/>
        <v>1481284914.3186896</v>
      </c>
      <c r="S229" s="243">
        <f t="shared" si="98"/>
        <v>995641736.31868958</v>
      </c>
      <c r="T229" s="244"/>
      <c r="U229" s="235"/>
    </row>
    <row r="230" spans="1:25" s="236" customFormat="1" ht="17.25" thickBot="1" x14ac:dyDescent="0.35">
      <c r="A230" s="218"/>
      <c r="B230" s="245"/>
      <c r="C230" s="331"/>
      <c r="D230" s="246">
        <v>11</v>
      </c>
      <c r="E230" s="221">
        <v>2750000</v>
      </c>
      <c r="F230" s="222">
        <v>0</v>
      </c>
      <c r="G230" s="247">
        <v>0</v>
      </c>
      <c r="H230" s="224">
        <v>0</v>
      </c>
      <c r="I230" s="248">
        <v>0</v>
      </c>
      <c r="J230" s="249">
        <v>0</v>
      </c>
      <c r="K230" s="250">
        <f t="shared" si="94"/>
        <v>0</v>
      </c>
      <c r="L230" s="251">
        <f t="shared" si="95"/>
        <v>0</v>
      </c>
      <c r="M230" s="252">
        <v>485643178</v>
      </c>
      <c r="N230" s="253">
        <v>0</v>
      </c>
      <c r="O230" s="254">
        <f t="shared" si="96"/>
        <v>995641736.31868958</v>
      </c>
      <c r="P230" s="245">
        <v>1.7999999999999999E-2</v>
      </c>
      <c r="Q230" s="232">
        <f t="shared" si="93"/>
        <v>1013563287.572426</v>
      </c>
      <c r="R230" s="254">
        <f t="shared" si="97"/>
        <v>1499206465.5724258</v>
      </c>
      <c r="S230" s="255">
        <f t="shared" si="98"/>
        <v>1013563287.5724258</v>
      </c>
      <c r="T230" s="256"/>
      <c r="U230" s="235"/>
    </row>
    <row r="231" spans="1:25" s="236" customFormat="1" ht="17.25" thickBot="1" x14ac:dyDescent="0.35">
      <c r="A231" s="218"/>
      <c r="B231" s="257"/>
      <c r="C231" s="331"/>
      <c r="D231" s="258">
        <v>12</v>
      </c>
      <c r="E231" s="221">
        <v>2750000</v>
      </c>
      <c r="F231" s="222">
        <v>0</v>
      </c>
      <c r="G231" s="259">
        <v>0</v>
      </c>
      <c r="H231" s="224">
        <v>0</v>
      </c>
      <c r="I231" s="260">
        <v>0</v>
      </c>
      <c r="J231" s="261">
        <v>0</v>
      </c>
      <c r="K231" s="262">
        <f t="shared" si="94"/>
        <v>0</v>
      </c>
      <c r="L231" s="263">
        <f t="shared" si="95"/>
        <v>0</v>
      </c>
      <c r="M231" s="264">
        <v>485643178</v>
      </c>
      <c r="N231" s="265">
        <v>0</v>
      </c>
      <c r="O231" s="266">
        <f t="shared" si="96"/>
        <v>1013563287.572426</v>
      </c>
      <c r="P231" s="267">
        <v>1.7999999999999999E-2</v>
      </c>
      <c r="Q231" s="232">
        <f t="shared" si="93"/>
        <v>1031807426.7487296</v>
      </c>
      <c r="R231" s="266">
        <f t="shared" si="97"/>
        <v>1517450604.7487297</v>
      </c>
      <c r="S231" s="268">
        <f t="shared" si="98"/>
        <v>1031807426.7487297</v>
      </c>
      <c r="T231" s="269">
        <f xml:space="preserve"> S231 / 4</f>
        <v>257951856.68718243</v>
      </c>
      <c r="U231" s="269">
        <f>SUM(E28:E231)</f>
        <v>369000000</v>
      </c>
      <c r="V231" s="269">
        <f>SUM(F28:F231)</f>
        <v>324930000</v>
      </c>
      <c r="W231" s="270">
        <f xml:space="preserve"> U231 - V231</f>
        <v>44070000</v>
      </c>
      <c r="X231" s="270">
        <f>R231-W231</f>
        <v>1473380604.7487297</v>
      </c>
      <c r="Y231" s="271">
        <f xml:space="preserve"> X231 / W231 * 100</f>
        <v>3343.2734394116851</v>
      </c>
    </row>
    <row r="232" spans="1:25" s="236" customFormat="1" x14ac:dyDescent="0.3">
      <c r="A232" s="218"/>
      <c r="B232" s="219">
        <v>20</v>
      </c>
      <c r="C232" s="331">
        <v>2041</v>
      </c>
      <c r="D232" s="220">
        <v>1</v>
      </c>
      <c r="E232" s="221">
        <v>2750000</v>
      </c>
      <c r="F232" s="222">
        <v>15000000</v>
      </c>
      <c r="G232" s="223">
        <v>0</v>
      </c>
      <c r="H232" s="224">
        <v>0</v>
      </c>
      <c r="I232" s="225">
        <v>0</v>
      </c>
      <c r="J232" s="226">
        <f xml:space="preserve"> L231 / 10</f>
        <v>0</v>
      </c>
      <c r="K232" s="227">
        <f t="shared" si="94"/>
        <v>0</v>
      </c>
      <c r="L232" s="228">
        <f t="shared" si="95"/>
        <v>0</v>
      </c>
      <c r="M232" s="229">
        <v>485643178</v>
      </c>
      <c r="N232" s="230">
        <v>0</v>
      </c>
      <c r="O232" s="231">
        <f t="shared" si="96"/>
        <v>1031807426.7487296</v>
      </c>
      <c r="P232" s="219">
        <v>4.0000000000000001E-3</v>
      </c>
      <c r="Q232" s="232">
        <f t="shared" si="93"/>
        <v>1035934656.4557245</v>
      </c>
      <c r="R232" s="231">
        <f t="shared" si="97"/>
        <v>1521577834.4557245</v>
      </c>
      <c r="S232" s="233">
        <f t="shared" si="98"/>
        <v>1035934656.4557245</v>
      </c>
      <c r="T232" s="234"/>
      <c r="U232" s="235"/>
    </row>
    <row r="233" spans="1:25" s="236" customFormat="1" x14ac:dyDescent="0.3">
      <c r="A233" s="218"/>
      <c r="B233" s="237"/>
      <c r="C233" s="331"/>
      <c r="D233" s="238">
        <v>2</v>
      </c>
      <c r="E233" s="221">
        <v>2750000</v>
      </c>
      <c r="F233" s="222">
        <v>0</v>
      </c>
      <c r="G233" s="223">
        <v>0</v>
      </c>
      <c r="H233" s="224">
        <v>0</v>
      </c>
      <c r="I233" s="224">
        <v>0</v>
      </c>
      <c r="J233" s="239">
        <f xml:space="preserve"> J232</f>
        <v>0</v>
      </c>
      <c r="K233" s="240">
        <f t="shared" si="94"/>
        <v>0</v>
      </c>
      <c r="L233" s="241">
        <f t="shared" si="95"/>
        <v>0</v>
      </c>
      <c r="M233" s="229">
        <v>485643178</v>
      </c>
      <c r="N233" s="230">
        <v>0</v>
      </c>
      <c r="O233" s="242">
        <f t="shared" si="96"/>
        <v>1035934656.4557245</v>
      </c>
      <c r="P233" s="237">
        <v>1.7999999999999999E-2</v>
      </c>
      <c r="Q233" s="232">
        <f t="shared" si="93"/>
        <v>1054581480.2719275</v>
      </c>
      <c r="R233" s="242">
        <f t="shared" si="97"/>
        <v>1540224658.2719274</v>
      </c>
      <c r="S233" s="243">
        <f t="shared" si="98"/>
        <v>1054581480.2719274</v>
      </c>
      <c r="T233" s="244"/>
      <c r="U233" s="235"/>
    </row>
    <row r="234" spans="1:25" s="236" customFormat="1" x14ac:dyDescent="0.3">
      <c r="A234" s="218"/>
      <c r="B234" s="237"/>
      <c r="C234" s="331"/>
      <c r="D234" s="238">
        <v>3</v>
      </c>
      <c r="E234" s="221">
        <v>2750000</v>
      </c>
      <c r="F234" s="222">
        <v>0</v>
      </c>
      <c r="G234" s="223">
        <v>0</v>
      </c>
      <c r="H234" s="224">
        <v>0</v>
      </c>
      <c r="I234" s="224">
        <v>0</v>
      </c>
      <c r="J234" s="239">
        <f t="shared" ref="J234:J240" si="101" xml:space="preserve"> J233</f>
        <v>0</v>
      </c>
      <c r="K234" s="240">
        <f t="shared" si="94"/>
        <v>0</v>
      </c>
      <c r="L234" s="241">
        <f t="shared" si="95"/>
        <v>0</v>
      </c>
      <c r="M234" s="229">
        <v>485643178</v>
      </c>
      <c r="N234" s="230">
        <v>0</v>
      </c>
      <c r="O234" s="242">
        <f t="shared" si="96"/>
        <v>1054581480.2719275</v>
      </c>
      <c r="P234" s="237">
        <v>1.7999999999999999E-2</v>
      </c>
      <c r="Q234" s="232">
        <f t="shared" si="93"/>
        <v>1073563946.9168222</v>
      </c>
      <c r="R234" s="242">
        <f t="shared" si="97"/>
        <v>1559207124.9168222</v>
      </c>
      <c r="S234" s="243">
        <f t="shared" si="98"/>
        <v>1073563946.9168222</v>
      </c>
      <c r="T234" s="244"/>
      <c r="U234" s="235"/>
    </row>
    <row r="235" spans="1:25" s="236" customFormat="1" x14ac:dyDescent="0.3">
      <c r="A235" s="218"/>
      <c r="B235" s="237"/>
      <c r="C235" s="331"/>
      <c r="D235" s="238">
        <v>4</v>
      </c>
      <c r="E235" s="221">
        <v>2750000</v>
      </c>
      <c r="F235" s="222">
        <v>0</v>
      </c>
      <c r="G235" s="223">
        <v>0</v>
      </c>
      <c r="H235" s="224">
        <v>0</v>
      </c>
      <c r="I235" s="224">
        <v>0</v>
      </c>
      <c r="J235" s="239">
        <f t="shared" si="101"/>
        <v>0</v>
      </c>
      <c r="K235" s="240">
        <f t="shared" si="94"/>
        <v>0</v>
      </c>
      <c r="L235" s="241">
        <f t="shared" si="95"/>
        <v>0</v>
      </c>
      <c r="M235" s="229">
        <v>485643178</v>
      </c>
      <c r="N235" s="230">
        <v>0</v>
      </c>
      <c r="O235" s="242">
        <f t="shared" si="96"/>
        <v>1073563946.9168222</v>
      </c>
      <c r="P235" s="237">
        <v>1.7999999999999999E-2</v>
      </c>
      <c r="Q235" s="232">
        <f t="shared" si="93"/>
        <v>1092888097.9613249</v>
      </c>
      <c r="R235" s="242">
        <f t="shared" si="97"/>
        <v>1578531275.9613249</v>
      </c>
      <c r="S235" s="243">
        <f t="shared" si="98"/>
        <v>1092888097.9613249</v>
      </c>
      <c r="T235" s="244"/>
      <c r="U235" s="235"/>
    </row>
    <row r="236" spans="1:25" s="236" customFormat="1" x14ac:dyDescent="0.3">
      <c r="A236" s="218"/>
      <c r="B236" s="237"/>
      <c r="C236" s="331"/>
      <c r="D236" s="238">
        <v>5</v>
      </c>
      <c r="E236" s="221">
        <v>2750000</v>
      </c>
      <c r="F236" s="222">
        <v>0</v>
      </c>
      <c r="G236" s="223">
        <v>0</v>
      </c>
      <c r="H236" s="224">
        <v>0</v>
      </c>
      <c r="I236" s="224">
        <v>0</v>
      </c>
      <c r="J236" s="239">
        <f t="shared" si="101"/>
        <v>0</v>
      </c>
      <c r="K236" s="240">
        <f t="shared" si="94"/>
        <v>0</v>
      </c>
      <c r="L236" s="241">
        <f t="shared" si="95"/>
        <v>0</v>
      </c>
      <c r="M236" s="229">
        <v>485643178</v>
      </c>
      <c r="N236" s="230">
        <v>0</v>
      </c>
      <c r="O236" s="242">
        <f t="shared" si="96"/>
        <v>1092888097.9613249</v>
      </c>
      <c r="P236" s="237">
        <v>1.7999999999999999E-2</v>
      </c>
      <c r="Q236" s="232">
        <f t="shared" si="93"/>
        <v>1112560083.7246287</v>
      </c>
      <c r="R236" s="242">
        <f t="shared" si="97"/>
        <v>1598203261.7246287</v>
      </c>
      <c r="S236" s="243">
        <f t="shared" si="98"/>
        <v>1112560083.7246287</v>
      </c>
      <c r="T236" s="244"/>
      <c r="U236" s="235"/>
    </row>
    <row r="237" spans="1:25" s="236" customFormat="1" x14ac:dyDescent="0.3">
      <c r="A237" s="218"/>
      <c r="B237" s="237"/>
      <c r="C237" s="331"/>
      <c r="D237" s="238">
        <v>6</v>
      </c>
      <c r="E237" s="221">
        <v>2750000</v>
      </c>
      <c r="F237" s="222">
        <v>0</v>
      </c>
      <c r="G237" s="223">
        <v>0</v>
      </c>
      <c r="H237" s="224">
        <v>0</v>
      </c>
      <c r="I237" s="224">
        <v>0</v>
      </c>
      <c r="J237" s="239">
        <f t="shared" si="101"/>
        <v>0</v>
      </c>
      <c r="K237" s="240">
        <f t="shared" si="94"/>
        <v>0</v>
      </c>
      <c r="L237" s="241">
        <f t="shared" si="95"/>
        <v>0</v>
      </c>
      <c r="M237" s="229">
        <v>485643178</v>
      </c>
      <c r="N237" s="230">
        <v>0</v>
      </c>
      <c r="O237" s="242">
        <f t="shared" si="96"/>
        <v>1112560083.7246287</v>
      </c>
      <c r="P237" s="237">
        <v>1.7999999999999999E-2</v>
      </c>
      <c r="Q237" s="232">
        <f t="shared" si="93"/>
        <v>1132586165.231672</v>
      </c>
      <c r="R237" s="242">
        <f t="shared" si="97"/>
        <v>1618229343.231672</v>
      </c>
      <c r="S237" s="243">
        <f t="shared" si="98"/>
        <v>1132586165.231672</v>
      </c>
      <c r="T237" s="244"/>
      <c r="U237" s="235"/>
    </row>
    <row r="238" spans="1:25" s="236" customFormat="1" x14ac:dyDescent="0.3">
      <c r="A238" s="218"/>
      <c r="B238" s="237"/>
      <c r="C238" s="331"/>
      <c r="D238" s="238">
        <v>7</v>
      </c>
      <c r="E238" s="221">
        <v>2750000</v>
      </c>
      <c r="F238" s="222">
        <v>0</v>
      </c>
      <c r="G238" s="223">
        <v>0</v>
      </c>
      <c r="H238" s="224">
        <v>0</v>
      </c>
      <c r="I238" s="224">
        <v>0</v>
      </c>
      <c r="J238" s="239">
        <f t="shared" si="101"/>
        <v>0</v>
      </c>
      <c r="K238" s="240">
        <f t="shared" si="94"/>
        <v>0</v>
      </c>
      <c r="L238" s="241">
        <f t="shared" si="95"/>
        <v>0</v>
      </c>
      <c r="M238" s="229">
        <v>485643178</v>
      </c>
      <c r="N238" s="230">
        <v>0</v>
      </c>
      <c r="O238" s="242">
        <f t="shared" si="96"/>
        <v>1132586165.231672</v>
      </c>
      <c r="P238" s="237">
        <v>1.7999999999999999E-2</v>
      </c>
      <c r="Q238" s="232">
        <f t="shared" si="93"/>
        <v>1152972716.2058423</v>
      </c>
      <c r="R238" s="242">
        <f t="shared" si="97"/>
        <v>1638615894.2058423</v>
      </c>
      <c r="S238" s="243">
        <f t="shared" si="98"/>
        <v>1152972716.2058423</v>
      </c>
      <c r="T238" s="244"/>
      <c r="U238" s="235"/>
    </row>
    <row r="239" spans="1:25" s="236" customFormat="1" x14ac:dyDescent="0.3">
      <c r="A239" s="218"/>
      <c r="B239" s="237"/>
      <c r="C239" s="331"/>
      <c r="D239" s="238">
        <v>8</v>
      </c>
      <c r="E239" s="221">
        <v>2750000</v>
      </c>
      <c r="F239" s="222">
        <v>0</v>
      </c>
      <c r="G239" s="223">
        <v>0</v>
      </c>
      <c r="H239" s="224">
        <v>0</v>
      </c>
      <c r="I239" s="224">
        <v>0</v>
      </c>
      <c r="J239" s="239">
        <f t="shared" si="101"/>
        <v>0</v>
      </c>
      <c r="K239" s="240">
        <f t="shared" si="94"/>
        <v>0</v>
      </c>
      <c r="L239" s="241">
        <f t="shared" si="95"/>
        <v>0</v>
      </c>
      <c r="M239" s="229">
        <v>485643178</v>
      </c>
      <c r="N239" s="230">
        <v>0</v>
      </c>
      <c r="O239" s="242">
        <f t="shared" si="96"/>
        <v>1152972716.2058423</v>
      </c>
      <c r="P239" s="237">
        <v>1.7999999999999999E-2</v>
      </c>
      <c r="Q239" s="232">
        <f t="shared" si="93"/>
        <v>1173726225.0975475</v>
      </c>
      <c r="R239" s="242">
        <f t="shared" si="97"/>
        <v>1659369403.0975475</v>
      </c>
      <c r="S239" s="243">
        <f t="shared" si="98"/>
        <v>1173726225.0975475</v>
      </c>
      <c r="T239" s="244"/>
      <c r="U239" s="235"/>
    </row>
    <row r="240" spans="1:25" s="236" customFormat="1" x14ac:dyDescent="0.3">
      <c r="A240" s="218"/>
      <c r="B240" s="237"/>
      <c r="C240" s="331"/>
      <c r="D240" s="238">
        <v>9</v>
      </c>
      <c r="E240" s="221">
        <v>2750000</v>
      </c>
      <c r="F240" s="222">
        <v>0</v>
      </c>
      <c r="G240" s="223">
        <v>0</v>
      </c>
      <c r="H240" s="224">
        <v>0</v>
      </c>
      <c r="I240" s="224">
        <v>0</v>
      </c>
      <c r="J240" s="239">
        <f t="shared" si="101"/>
        <v>0</v>
      </c>
      <c r="K240" s="240">
        <f t="shared" si="94"/>
        <v>0</v>
      </c>
      <c r="L240" s="241">
        <f t="shared" si="95"/>
        <v>0</v>
      </c>
      <c r="M240" s="229">
        <v>485643178</v>
      </c>
      <c r="N240" s="230">
        <v>0</v>
      </c>
      <c r="O240" s="242">
        <f t="shared" si="96"/>
        <v>1173726225.0975475</v>
      </c>
      <c r="P240" s="237">
        <v>1.7999999999999999E-2</v>
      </c>
      <c r="Q240" s="232">
        <f t="shared" si="93"/>
        <v>1194853297.1493034</v>
      </c>
      <c r="R240" s="242">
        <f t="shared" si="97"/>
        <v>1680496475.1493034</v>
      </c>
      <c r="S240" s="243">
        <f t="shared" si="98"/>
        <v>1194853297.1493034</v>
      </c>
      <c r="T240" s="244"/>
      <c r="U240" s="235"/>
    </row>
    <row r="241" spans="1:25" s="236" customFormat="1" x14ac:dyDescent="0.3">
      <c r="A241" s="218"/>
      <c r="B241" s="237"/>
      <c r="C241" s="331"/>
      <c r="D241" s="238">
        <v>10</v>
      </c>
      <c r="E241" s="221">
        <v>2750000</v>
      </c>
      <c r="F241" s="222">
        <v>0</v>
      </c>
      <c r="G241" s="223">
        <v>0</v>
      </c>
      <c r="H241" s="224">
        <v>0</v>
      </c>
      <c r="I241" s="224">
        <v>0</v>
      </c>
      <c r="J241" s="239">
        <f xml:space="preserve"> J240</f>
        <v>0</v>
      </c>
      <c r="K241" s="240">
        <f t="shared" si="94"/>
        <v>0</v>
      </c>
      <c r="L241" s="241">
        <f t="shared" si="95"/>
        <v>0</v>
      </c>
      <c r="M241" s="229">
        <v>485643178</v>
      </c>
      <c r="N241" s="230">
        <v>0</v>
      </c>
      <c r="O241" s="242">
        <f t="shared" si="96"/>
        <v>1194853297.1493034</v>
      </c>
      <c r="P241" s="237">
        <v>1.7999999999999999E-2</v>
      </c>
      <c r="Q241" s="232">
        <f t="shared" si="93"/>
        <v>1216360656.4979908</v>
      </c>
      <c r="R241" s="242">
        <f t="shared" si="97"/>
        <v>1702003834.4979908</v>
      </c>
      <c r="S241" s="243">
        <f t="shared" si="98"/>
        <v>1216360656.4979908</v>
      </c>
      <c r="T241" s="244"/>
      <c r="U241" s="235"/>
    </row>
    <row r="242" spans="1:25" s="236" customFormat="1" ht="17.25" thickBot="1" x14ac:dyDescent="0.35">
      <c r="A242" s="218"/>
      <c r="B242" s="245"/>
      <c r="C242" s="331"/>
      <c r="D242" s="246">
        <v>11</v>
      </c>
      <c r="E242" s="221">
        <v>2750000</v>
      </c>
      <c r="F242" s="222">
        <v>0</v>
      </c>
      <c r="G242" s="247">
        <v>0</v>
      </c>
      <c r="H242" s="224">
        <v>0</v>
      </c>
      <c r="I242" s="248">
        <v>0</v>
      </c>
      <c r="J242" s="249">
        <v>0</v>
      </c>
      <c r="K242" s="250">
        <f t="shared" si="94"/>
        <v>0</v>
      </c>
      <c r="L242" s="251">
        <f t="shared" si="95"/>
        <v>0</v>
      </c>
      <c r="M242" s="252">
        <v>485643178</v>
      </c>
      <c r="N242" s="253">
        <v>0</v>
      </c>
      <c r="O242" s="254">
        <f t="shared" si="96"/>
        <v>1216360656.4979908</v>
      </c>
      <c r="P242" s="245">
        <v>1.7999999999999999E-2</v>
      </c>
      <c r="Q242" s="232">
        <f t="shared" si="93"/>
        <v>1238255148.3149548</v>
      </c>
      <c r="R242" s="254">
        <f t="shared" si="97"/>
        <v>1723898326.3149548</v>
      </c>
      <c r="S242" s="255">
        <f t="shared" si="98"/>
        <v>1238255148.3149548</v>
      </c>
      <c r="T242" s="256"/>
      <c r="U242" s="235"/>
    </row>
    <row r="243" spans="1:25" s="236" customFormat="1" ht="17.25" thickBot="1" x14ac:dyDescent="0.35">
      <c r="A243" s="218"/>
      <c r="B243" s="257"/>
      <c r="C243" s="331"/>
      <c r="D243" s="258">
        <v>12</v>
      </c>
      <c r="E243" s="221">
        <v>2750000</v>
      </c>
      <c r="F243" s="222">
        <v>0</v>
      </c>
      <c r="G243" s="259">
        <v>0</v>
      </c>
      <c r="H243" s="224">
        <v>0</v>
      </c>
      <c r="I243" s="260">
        <v>0</v>
      </c>
      <c r="J243" s="261">
        <v>0</v>
      </c>
      <c r="K243" s="262">
        <f t="shared" si="94"/>
        <v>0</v>
      </c>
      <c r="L243" s="263">
        <f t="shared" si="95"/>
        <v>0</v>
      </c>
      <c r="M243" s="264">
        <v>485643178</v>
      </c>
      <c r="N243" s="265">
        <v>0</v>
      </c>
      <c r="O243" s="266">
        <f t="shared" si="96"/>
        <v>1238255148.3149548</v>
      </c>
      <c r="P243" s="267">
        <v>1.7999999999999999E-2</v>
      </c>
      <c r="Q243" s="232">
        <f t="shared" si="93"/>
        <v>1260543740.9846239</v>
      </c>
      <c r="R243" s="266">
        <f t="shared" si="97"/>
        <v>1746186918.9846239</v>
      </c>
      <c r="S243" s="268">
        <f t="shared" si="98"/>
        <v>1260543740.9846239</v>
      </c>
      <c r="T243" s="269">
        <f xml:space="preserve"> S243 / 4</f>
        <v>315135935.24615598</v>
      </c>
      <c r="U243" s="269">
        <f>SUM(E40:E243)</f>
        <v>372000000</v>
      </c>
      <c r="V243" s="269">
        <f>SUM(F40:F243)</f>
        <v>339170000</v>
      </c>
      <c r="W243" s="270">
        <f xml:space="preserve"> U243 - V243</f>
        <v>32830000</v>
      </c>
      <c r="X243" s="270">
        <f>R243-W243</f>
        <v>1713356918.9846239</v>
      </c>
      <c r="Y243" s="271">
        <f xml:space="preserve"> X243 / W243 * 100</f>
        <v>5218.8757812507583</v>
      </c>
    </row>
    <row r="244" spans="1:25" s="236" customFormat="1" x14ac:dyDescent="0.3">
      <c r="A244" s="218"/>
      <c r="B244" s="219">
        <v>21</v>
      </c>
      <c r="C244" s="331">
        <v>2042</v>
      </c>
      <c r="D244" s="220">
        <v>1</v>
      </c>
      <c r="E244" s="221">
        <v>2750000</v>
      </c>
      <c r="F244" s="222">
        <v>15000000</v>
      </c>
      <c r="G244" s="223">
        <v>0</v>
      </c>
      <c r="H244" s="224">
        <v>0</v>
      </c>
      <c r="I244" s="225">
        <v>0</v>
      </c>
      <c r="J244" s="226">
        <f xml:space="preserve"> L243 / 10</f>
        <v>0</v>
      </c>
      <c r="K244" s="227">
        <f t="shared" si="94"/>
        <v>0</v>
      </c>
      <c r="L244" s="228">
        <f t="shared" si="95"/>
        <v>0</v>
      </c>
      <c r="M244" s="229">
        <v>485643178</v>
      </c>
      <c r="N244" s="230">
        <v>0</v>
      </c>
      <c r="O244" s="231">
        <f t="shared" si="96"/>
        <v>1260543740.9846239</v>
      </c>
      <c r="P244" s="219">
        <v>4.0000000000000001E-3</v>
      </c>
      <c r="Q244" s="232">
        <f t="shared" si="93"/>
        <v>1265585915.9485624</v>
      </c>
      <c r="R244" s="231">
        <f t="shared" si="97"/>
        <v>1751229093.9485624</v>
      </c>
      <c r="S244" s="233">
        <f t="shared" si="98"/>
        <v>1265585915.9485624</v>
      </c>
      <c r="T244" s="234"/>
      <c r="U244" s="235"/>
    </row>
    <row r="245" spans="1:25" s="236" customFormat="1" x14ac:dyDescent="0.3">
      <c r="A245" s="218"/>
      <c r="B245" s="237"/>
      <c r="C245" s="331"/>
      <c r="D245" s="238">
        <v>2</v>
      </c>
      <c r="E245" s="221">
        <v>2750000</v>
      </c>
      <c r="F245" s="222">
        <v>0</v>
      </c>
      <c r="G245" s="223">
        <v>0</v>
      </c>
      <c r="H245" s="224">
        <v>0</v>
      </c>
      <c r="I245" s="224">
        <v>0</v>
      </c>
      <c r="J245" s="239">
        <f xml:space="preserve"> J244</f>
        <v>0</v>
      </c>
      <c r="K245" s="240">
        <f t="shared" si="94"/>
        <v>0</v>
      </c>
      <c r="L245" s="241">
        <f t="shared" si="95"/>
        <v>0</v>
      </c>
      <c r="M245" s="229">
        <v>485643178</v>
      </c>
      <c r="N245" s="230">
        <v>0</v>
      </c>
      <c r="O245" s="242">
        <f t="shared" si="96"/>
        <v>1265585915.9485624</v>
      </c>
      <c r="P245" s="237">
        <v>1.7999999999999999E-2</v>
      </c>
      <c r="Q245" s="232">
        <f t="shared" si="93"/>
        <v>1288366462.4356365</v>
      </c>
      <c r="R245" s="242">
        <f t="shared" si="97"/>
        <v>1774009640.4356365</v>
      </c>
      <c r="S245" s="243">
        <f t="shared" si="98"/>
        <v>1288366462.4356365</v>
      </c>
      <c r="T245" s="244"/>
      <c r="U245" s="235"/>
    </row>
    <row r="246" spans="1:25" s="236" customFormat="1" x14ac:dyDescent="0.3">
      <c r="A246" s="218"/>
      <c r="B246" s="237"/>
      <c r="C246" s="331"/>
      <c r="D246" s="238">
        <v>3</v>
      </c>
      <c r="E246" s="221">
        <v>2750000</v>
      </c>
      <c r="F246" s="222">
        <v>0</v>
      </c>
      <c r="G246" s="223">
        <v>0</v>
      </c>
      <c r="H246" s="224">
        <v>0</v>
      </c>
      <c r="I246" s="224">
        <v>0</v>
      </c>
      <c r="J246" s="239">
        <f t="shared" ref="J246:J252" si="102" xml:space="preserve"> J245</f>
        <v>0</v>
      </c>
      <c r="K246" s="240">
        <f t="shared" si="94"/>
        <v>0</v>
      </c>
      <c r="L246" s="241">
        <f t="shared" si="95"/>
        <v>0</v>
      </c>
      <c r="M246" s="229">
        <v>485643178</v>
      </c>
      <c r="N246" s="230">
        <v>0</v>
      </c>
      <c r="O246" s="242">
        <f t="shared" si="96"/>
        <v>1288366462.4356365</v>
      </c>
      <c r="P246" s="237">
        <v>1.7999999999999999E-2</v>
      </c>
      <c r="Q246" s="232">
        <f t="shared" si="93"/>
        <v>1311557058.7594781</v>
      </c>
      <c r="R246" s="242">
        <f t="shared" si="97"/>
        <v>1797200236.7594781</v>
      </c>
      <c r="S246" s="243">
        <f t="shared" si="98"/>
        <v>1311557058.7594781</v>
      </c>
      <c r="T246" s="244"/>
      <c r="U246" s="235"/>
    </row>
    <row r="247" spans="1:25" s="236" customFormat="1" x14ac:dyDescent="0.3">
      <c r="A247" s="218"/>
      <c r="B247" s="237"/>
      <c r="C247" s="331"/>
      <c r="D247" s="238">
        <v>4</v>
      </c>
      <c r="E247" s="221">
        <v>2750000</v>
      </c>
      <c r="F247" s="222">
        <v>0</v>
      </c>
      <c r="G247" s="223">
        <v>0</v>
      </c>
      <c r="H247" s="224">
        <v>0</v>
      </c>
      <c r="I247" s="224">
        <v>0</v>
      </c>
      <c r="J247" s="239">
        <f t="shared" si="102"/>
        <v>0</v>
      </c>
      <c r="K247" s="240">
        <f t="shared" si="94"/>
        <v>0</v>
      </c>
      <c r="L247" s="241">
        <f t="shared" si="95"/>
        <v>0</v>
      </c>
      <c r="M247" s="229">
        <v>485643178</v>
      </c>
      <c r="N247" s="230">
        <v>0</v>
      </c>
      <c r="O247" s="242">
        <f t="shared" si="96"/>
        <v>1311557058.7594781</v>
      </c>
      <c r="P247" s="237">
        <v>1.7999999999999999E-2</v>
      </c>
      <c r="Q247" s="232">
        <f t="shared" si="93"/>
        <v>1335165085.8171487</v>
      </c>
      <c r="R247" s="242">
        <f t="shared" si="97"/>
        <v>1820808263.8171487</v>
      </c>
      <c r="S247" s="243">
        <f t="shared" si="98"/>
        <v>1335165085.8171487</v>
      </c>
      <c r="T247" s="244"/>
      <c r="U247" s="235"/>
    </row>
    <row r="248" spans="1:25" s="236" customFormat="1" x14ac:dyDescent="0.3">
      <c r="A248" s="218"/>
      <c r="B248" s="237"/>
      <c r="C248" s="331"/>
      <c r="D248" s="238">
        <v>5</v>
      </c>
      <c r="E248" s="221">
        <v>2750000</v>
      </c>
      <c r="F248" s="222">
        <v>0</v>
      </c>
      <c r="G248" s="223">
        <v>0</v>
      </c>
      <c r="H248" s="224">
        <v>0</v>
      </c>
      <c r="I248" s="224">
        <v>0</v>
      </c>
      <c r="J248" s="239">
        <f t="shared" si="102"/>
        <v>0</v>
      </c>
      <c r="K248" s="240">
        <f t="shared" si="94"/>
        <v>0</v>
      </c>
      <c r="L248" s="241">
        <f t="shared" si="95"/>
        <v>0</v>
      </c>
      <c r="M248" s="229">
        <v>485643178</v>
      </c>
      <c r="N248" s="230">
        <v>0</v>
      </c>
      <c r="O248" s="242">
        <f t="shared" si="96"/>
        <v>1335165085.8171487</v>
      </c>
      <c r="P248" s="237">
        <v>1.7999999999999999E-2</v>
      </c>
      <c r="Q248" s="232">
        <f t="shared" si="93"/>
        <v>1359198057.3618574</v>
      </c>
      <c r="R248" s="242">
        <f t="shared" si="97"/>
        <v>1844841235.3618574</v>
      </c>
      <c r="S248" s="243">
        <f t="shared" si="98"/>
        <v>1359198057.3618574</v>
      </c>
      <c r="T248" s="244"/>
      <c r="U248" s="235"/>
    </row>
    <row r="249" spans="1:25" s="236" customFormat="1" x14ac:dyDescent="0.3">
      <c r="A249" s="218"/>
      <c r="B249" s="237"/>
      <c r="C249" s="331"/>
      <c r="D249" s="238">
        <v>6</v>
      </c>
      <c r="E249" s="221">
        <v>2750000</v>
      </c>
      <c r="F249" s="222">
        <v>0</v>
      </c>
      <c r="G249" s="223">
        <v>0</v>
      </c>
      <c r="H249" s="224">
        <v>0</v>
      </c>
      <c r="I249" s="224">
        <v>0</v>
      </c>
      <c r="J249" s="239">
        <f t="shared" si="102"/>
        <v>0</v>
      </c>
      <c r="K249" s="240">
        <f t="shared" si="94"/>
        <v>0</v>
      </c>
      <c r="L249" s="241">
        <f t="shared" si="95"/>
        <v>0</v>
      </c>
      <c r="M249" s="229">
        <v>485643178</v>
      </c>
      <c r="N249" s="230">
        <v>0</v>
      </c>
      <c r="O249" s="242">
        <f t="shared" si="96"/>
        <v>1359198057.3618574</v>
      </c>
      <c r="P249" s="237">
        <v>1.7999999999999999E-2</v>
      </c>
      <c r="Q249" s="232">
        <f t="shared" si="93"/>
        <v>1383663622.3943708</v>
      </c>
      <c r="R249" s="242">
        <f t="shared" si="97"/>
        <v>1869306800.3943708</v>
      </c>
      <c r="S249" s="243">
        <f t="shared" si="98"/>
        <v>1383663622.3943708</v>
      </c>
      <c r="T249" s="244"/>
      <c r="U249" s="235"/>
    </row>
    <row r="250" spans="1:25" s="236" customFormat="1" x14ac:dyDescent="0.3">
      <c r="A250" s="218"/>
      <c r="B250" s="237"/>
      <c r="C250" s="331"/>
      <c r="D250" s="238">
        <v>7</v>
      </c>
      <c r="E250" s="221">
        <v>2750000</v>
      </c>
      <c r="F250" s="222">
        <v>0</v>
      </c>
      <c r="G250" s="223">
        <v>0</v>
      </c>
      <c r="H250" s="224">
        <v>0</v>
      </c>
      <c r="I250" s="224">
        <v>0</v>
      </c>
      <c r="J250" s="239">
        <f t="shared" si="102"/>
        <v>0</v>
      </c>
      <c r="K250" s="240">
        <f t="shared" si="94"/>
        <v>0</v>
      </c>
      <c r="L250" s="241">
        <f t="shared" si="95"/>
        <v>0</v>
      </c>
      <c r="M250" s="229">
        <v>485643178</v>
      </c>
      <c r="N250" s="230">
        <v>0</v>
      </c>
      <c r="O250" s="242">
        <f t="shared" si="96"/>
        <v>1383663622.3943708</v>
      </c>
      <c r="P250" s="237">
        <v>1.7999999999999999E-2</v>
      </c>
      <c r="Q250" s="232">
        <f t="shared" si="93"/>
        <v>1408569567.5974696</v>
      </c>
      <c r="R250" s="242">
        <f t="shared" si="97"/>
        <v>1894212745.5974696</v>
      </c>
      <c r="S250" s="243">
        <f t="shared" si="98"/>
        <v>1408569567.5974696</v>
      </c>
      <c r="T250" s="244"/>
      <c r="U250" s="235"/>
    </row>
    <row r="251" spans="1:25" s="236" customFormat="1" x14ac:dyDescent="0.3">
      <c r="A251" s="218"/>
      <c r="B251" s="237"/>
      <c r="C251" s="331"/>
      <c r="D251" s="238">
        <v>8</v>
      </c>
      <c r="E251" s="221">
        <v>2750000</v>
      </c>
      <c r="F251" s="222">
        <v>0</v>
      </c>
      <c r="G251" s="223">
        <v>0</v>
      </c>
      <c r="H251" s="224">
        <v>0</v>
      </c>
      <c r="I251" s="224">
        <v>0</v>
      </c>
      <c r="J251" s="239">
        <f t="shared" si="102"/>
        <v>0</v>
      </c>
      <c r="K251" s="240">
        <f t="shared" si="94"/>
        <v>0</v>
      </c>
      <c r="L251" s="241">
        <f t="shared" si="95"/>
        <v>0</v>
      </c>
      <c r="M251" s="229">
        <v>485643178</v>
      </c>
      <c r="N251" s="230">
        <v>0</v>
      </c>
      <c r="O251" s="242">
        <f t="shared" si="96"/>
        <v>1408569567.5974696</v>
      </c>
      <c r="P251" s="237">
        <v>1.7999999999999999E-2</v>
      </c>
      <c r="Q251" s="232">
        <f t="shared" si="93"/>
        <v>1433923819.814224</v>
      </c>
      <c r="R251" s="242">
        <f t="shared" si="97"/>
        <v>1919566997.814224</v>
      </c>
      <c r="S251" s="243">
        <f t="shared" si="98"/>
        <v>1433923819.814224</v>
      </c>
      <c r="T251" s="244"/>
      <c r="U251" s="235"/>
    </row>
    <row r="252" spans="1:25" s="236" customFormat="1" x14ac:dyDescent="0.3">
      <c r="A252" s="218"/>
      <c r="B252" s="237"/>
      <c r="C252" s="331"/>
      <c r="D252" s="238">
        <v>9</v>
      </c>
      <c r="E252" s="221">
        <v>2750000</v>
      </c>
      <c r="F252" s="222">
        <v>0</v>
      </c>
      <c r="G252" s="223">
        <v>0</v>
      </c>
      <c r="H252" s="224">
        <v>0</v>
      </c>
      <c r="I252" s="224">
        <v>0</v>
      </c>
      <c r="J252" s="239">
        <f t="shared" si="102"/>
        <v>0</v>
      </c>
      <c r="K252" s="240">
        <f t="shared" si="94"/>
        <v>0</v>
      </c>
      <c r="L252" s="241">
        <f t="shared" si="95"/>
        <v>0</v>
      </c>
      <c r="M252" s="229">
        <v>485643178</v>
      </c>
      <c r="N252" s="230">
        <v>0</v>
      </c>
      <c r="O252" s="242">
        <f t="shared" si="96"/>
        <v>1433923819.814224</v>
      </c>
      <c r="P252" s="237">
        <v>1.7999999999999999E-2</v>
      </c>
      <c r="Q252" s="232">
        <f t="shared" si="93"/>
        <v>1459734448.5708799</v>
      </c>
      <c r="R252" s="242">
        <f t="shared" si="97"/>
        <v>1945377626.5708799</v>
      </c>
      <c r="S252" s="243">
        <f t="shared" si="98"/>
        <v>1459734448.5708799</v>
      </c>
      <c r="T252" s="244"/>
      <c r="U252" s="235"/>
    </row>
    <row r="253" spans="1:25" s="236" customFormat="1" x14ac:dyDescent="0.3">
      <c r="A253" s="218"/>
      <c r="B253" s="237"/>
      <c r="C253" s="331"/>
      <c r="D253" s="238">
        <v>10</v>
      </c>
      <c r="E253" s="221">
        <v>2750000</v>
      </c>
      <c r="F253" s="222">
        <v>0</v>
      </c>
      <c r="G253" s="223">
        <v>0</v>
      </c>
      <c r="H253" s="224">
        <v>0</v>
      </c>
      <c r="I253" s="224">
        <v>0</v>
      </c>
      <c r="J253" s="239">
        <f xml:space="preserve"> J252</f>
        <v>0</v>
      </c>
      <c r="K253" s="240">
        <f t="shared" si="94"/>
        <v>0</v>
      </c>
      <c r="L253" s="241">
        <f t="shared" si="95"/>
        <v>0</v>
      </c>
      <c r="M253" s="229">
        <v>485643178</v>
      </c>
      <c r="N253" s="230">
        <v>0</v>
      </c>
      <c r="O253" s="242">
        <f t="shared" si="96"/>
        <v>1459734448.5708799</v>
      </c>
      <c r="P253" s="237">
        <v>1.7999999999999999E-2</v>
      </c>
      <c r="Q253" s="232">
        <f t="shared" si="93"/>
        <v>1486009668.6451557</v>
      </c>
      <c r="R253" s="242">
        <f t="shared" si="97"/>
        <v>1971652846.6451557</v>
      </c>
      <c r="S253" s="243">
        <f t="shared" si="98"/>
        <v>1486009668.6451557</v>
      </c>
      <c r="T253" s="244"/>
      <c r="U253" s="235"/>
    </row>
    <row r="254" spans="1:25" s="236" customFormat="1" ht="17.25" thickBot="1" x14ac:dyDescent="0.35">
      <c r="A254" s="218"/>
      <c r="B254" s="245"/>
      <c r="C254" s="331"/>
      <c r="D254" s="246">
        <v>11</v>
      </c>
      <c r="E254" s="221">
        <v>2750000</v>
      </c>
      <c r="F254" s="222">
        <v>0</v>
      </c>
      <c r="G254" s="247">
        <v>0</v>
      </c>
      <c r="H254" s="224">
        <v>0</v>
      </c>
      <c r="I254" s="248">
        <v>0</v>
      </c>
      <c r="J254" s="249">
        <v>0</v>
      </c>
      <c r="K254" s="250">
        <f t="shared" si="94"/>
        <v>0</v>
      </c>
      <c r="L254" s="251">
        <f t="shared" si="95"/>
        <v>0</v>
      </c>
      <c r="M254" s="252">
        <v>485643178</v>
      </c>
      <c r="N254" s="253">
        <v>0</v>
      </c>
      <c r="O254" s="254">
        <f t="shared" si="96"/>
        <v>1486009668.6451557</v>
      </c>
      <c r="P254" s="245">
        <v>1.7999999999999999E-2</v>
      </c>
      <c r="Q254" s="232">
        <f t="shared" si="93"/>
        <v>1512757842.6807685</v>
      </c>
      <c r="R254" s="254">
        <f t="shared" si="97"/>
        <v>1998401020.6807685</v>
      </c>
      <c r="S254" s="255">
        <f t="shared" si="98"/>
        <v>1512757842.6807685</v>
      </c>
      <c r="T254" s="256"/>
      <c r="U254" s="235"/>
    </row>
    <row r="255" spans="1:25" s="236" customFormat="1" ht="17.25" thickBot="1" x14ac:dyDescent="0.35">
      <c r="A255" s="218"/>
      <c r="B255" s="257"/>
      <c r="C255" s="331"/>
      <c r="D255" s="258">
        <v>12</v>
      </c>
      <c r="E255" s="221">
        <v>2750000</v>
      </c>
      <c r="F255" s="222">
        <v>0</v>
      </c>
      <c r="G255" s="259">
        <v>0</v>
      </c>
      <c r="H255" s="224">
        <v>0</v>
      </c>
      <c r="I255" s="260">
        <v>0</v>
      </c>
      <c r="J255" s="261">
        <v>0</v>
      </c>
      <c r="K255" s="262">
        <f t="shared" si="94"/>
        <v>0</v>
      </c>
      <c r="L255" s="263">
        <f t="shared" si="95"/>
        <v>0</v>
      </c>
      <c r="M255" s="264">
        <v>485643178</v>
      </c>
      <c r="N255" s="265">
        <v>0</v>
      </c>
      <c r="O255" s="266">
        <f t="shared" si="96"/>
        <v>1512757842.6807685</v>
      </c>
      <c r="P255" s="267">
        <v>1.7999999999999999E-2</v>
      </c>
      <c r="Q255" s="232">
        <f t="shared" si="93"/>
        <v>1539987483.8490224</v>
      </c>
      <c r="R255" s="266">
        <f t="shared" si="97"/>
        <v>2025630661.8490224</v>
      </c>
      <c r="S255" s="268">
        <f t="shared" si="98"/>
        <v>1539987483.8490224</v>
      </c>
      <c r="T255" s="269">
        <f xml:space="preserve"> S255 / 4</f>
        <v>384996870.9622556</v>
      </c>
      <c r="U255" s="269">
        <f>SUM(E52:E255)</f>
        <v>375000000</v>
      </c>
      <c r="V255" s="269">
        <f>SUM(F52:F255)</f>
        <v>292560000</v>
      </c>
      <c r="W255" s="270">
        <f xml:space="preserve"> U255 - V255</f>
        <v>82440000</v>
      </c>
      <c r="X255" s="270">
        <f>R255-W255</f>
        <v>1943190661.8490224</v>
      </c>
      <c r="Y255" s="271">
        <f xml:space="preserve"> X255 / W255 * 100</f>
        <v>2357.0968726941078</v>
      </c>
    </row>
  </sheetData>
  <mergeCells count="31">
    <mergeCell ref="C232:C243"/>
    <mergeCell ref="C244:C255"/>
    <mergeCell ref="R1:R2"/>
    <mergeCell ref="C136:C147"/>
    <mergeCell ref="C208:C219"/>
    <mergeCell ref="C148:C159"/>
    <mergeCell ref="C160:C171"/>
    <mergeCell ref="C172:C183"/>
    <mergeCell ref="C184:C195"/>
    <mergeCell ref="C196:C207"/>
    <mergeCell ref="C76:C87"/>
    <mergeCell ref="C88:C99"/>
    <mergeCell ref="C100:C111"/>
    <mergeCell ref="C112:C123"/>
    <mergeCell ref="C124:C135"/>
    <mergeCell ref="C4:C15"/>
    <mergeCell ref="S1:S2"/>
    <mergeCell ref="E1:K1"/>
    <mergeCell ref="N1:Q1"/>
    <mergeCell ref="C220:C231"/>
    <mergeCell ref="C16:C27"/>
    <mergeCell ref="C28:C39"/>
    <mergeCell ref="C40:C51"/>
    <mergeCell ref="C52:C63"/>
    <mergeCell ref="C64:C75"/>
    <mergeCell ref="A1:D2"/>
    <mergeCell ref="U1:U3"/>
    <mergeCell ref="V1:V3"/>
    <mergeCell ref="W1:W3"/>
    <mergeCell ref="X1:X3"/>
    <mergeCell ref="Y1:Y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workbookViewId="0">
      <selection activeCell="F37" sqref="F37"/>
    </sheetView>
  </sheetViews>
  <sheetFormatPr defaultRowHeight="16.5" x14ac:dyDescent="0.3"/>
  <cols>
    <col min="1" max="1" width="5.5" bestFit="1" customWidth="1"/>
    <col min="2" max="2" width="11.125" bestFit="1" customWidth="1"/>
    <col min="3" max="3" width="12.875" bestFit="1" customWidth="1"/>
    <col min="4" max="4" width="10.75" bestFit="1" customWidth="1"/>
    <col min="5" max="6" width="11.75" bestFit="1" customWidth="1"/>
    <col min="7" max="7" width="11.375" bestFit="1" customWidth="1"/>
    <col min="8" max="8" width="9.25" bestFit="1" customWidth="1"/>
    <col min="9" max="9" width="11.75" bestFit="1" customWidth="1"/>
    <col min="10" max="10" width="9.5" bestFit="1" customWidth="1"/>
    <col min="11" max="11" width="7" customWidth="1"/>
    <col min="12" max="13" width="9.25" bestFit="1" customWidth="1"/>
    <col min="14" max="14" width="12.5" bestFit="1" customWidth="1"/>
    <col min="15" max="16" width="11.75" bestFit="1" customWidth="1"/>
    <col min="17" max="18" width="12.875" bestFit="1" customWidth="1"/>
  </cols>
  <sheetData>
    <row r="1" spans="1:18" ht="17.25" thickBot="1" x14ac:dyDescent="0.35"/>
    <row r="2" spans="1:18" ht="17.25" thickBot="1" x14ac:dyDescent="0.35">
      <c r="D2" t="s">
        <v>0</v>
      </c>
      <c r="E2" t="s">
        <v>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12</v>
      </c>
      <c r="M2" t="s">
        <v>9</v>
      </c>
      <c r="N2" t="s">
        <v>2</v>
      </c>
      <c r="O2" t="s">
        <v>10</v>
      </c>
      <c r="P2" t="s">
        <v>13</v>
      </c>
      <c r="Q2" s="19" t="s">
        <v>11</v>
      </c>
    </row>
    <row r="3" spans="1:18" s="299" customFormat="1" x14ac:dyDescent="0.3">
      <c r="A3" s="338">
        <v>2023</v>
      </c>
      <c r="B3" s="299" t="s">
        <v>77</v>
      </c>
      <c r="C3" s="300">
        <v>8340000</v>
      </c>
      <c r="D3" s="300">
        <v>0</v>
      </c>
      <c r="E3" s="300">
        <v>2500000</v>
      </c>
      <c r="F3" s="300">
        <v>300000</v>
      </c>
      <c r="G3" s="300">
        <v>100000</v>
      </c>
      <c r="H3" s="300">
        <v>450000</v>
      </c>
      <c r="I3" s="300">
        <v>100000</v>
      </c>
      <c r="J3" s="300">
        <v>170000</v>
      </c>
      <c r="K3" s="300">
        <v>0</v>
      </c>
      <c r="L3" s="300">
        <v>100000</v>
      </c>
      <c r="M3" s="300">
        <v>0</v>
      </c>
      <c r="N3" s="300">
        <v>3300000</v>
      </c>
      <c r="O3" s="300">
        <v>1300000</v>
      </c>
      <c r="P3" s="300">
        <f t="shared" ref="P3:P14" si="0">SUM(D3:O3)</f>
        <v>8320000</v>
      </c>
      <c r="Q3" s="301">
        <f t="shared" ref="Q3:Q14" si="1" xml:space="preserve"> C3 - P3</f>
        <v>20000</v>
      </c>
      <c r="R3" s="300">
        <f xml:space="preserve"> 7150000 + Q3</f>
        <v>7170000</v>
      </c>
    </row>
    <row r="4" spans="1:18" x14ac:dyDescent="0.3">
      <c r="A4" s="339"/>
      <c r="B4" s="22" t="s">
        <v>78</v>
      </c>
      <c r="C4" s="1">
        <f xml:space="preserve"> R3</f>
        <v>7170000</v>
      </c>
      <c r="D4" s="1">
        <v>0</v>
      </c>
      <c r="E4" s="1">
        <v>2500000</v>
      </c>
      <c r="F4" s="1">
        <v>300000</v>
      </c>
      <c r="G4" s="1">
        <v>100000</v>
      </c>
      <c r="H4" s="1">
        <v>450000</v>
      </c>
      <c r="I4" s="1">
        <v>100000</v>
      </c>
      <c r="J4" s="1">
        <v>170000</v>
      </c>
      <c r="K4" s="1">
        <v>0</v>
      </c>
      <c r="L4" s="1">
        <v>100000</v>
      </c>
      <c r="M4" s="1">
        <v>0</v>
      </c>
      <c r="N4" s="1">
        <v>3500000</v>
      </c>
      <c r="O4" s="1">
        <v>0</v>
      </c>
      <c r="P4" s="1">
        <f t="shared" si="0"/>
        <v>7220000</v>
      </c>
      <c r="Q4" s="20">
        <f t="shared" si="1"/>
        <v>-50000</v>
      </c>
      <c r="R4" s="1">
        <f t="shared" ref="R4:R14" si="2" xml:space="preserve"> 7150000 + Q4</f>
        <v>7100000</v>
      </c>
    </row>
    <row r="5" spans="1:18" x14ac:dyDescent="0.3">
      <c r="A5" s="339"/>
      <c r="B5" s="22" t="s">
        <v>79</v>
      </c>
      <c r="C5" s="1">
        <f t="shared" ref="C5:C14" si="3" xml:space="preserve"> R4</f>
        <v>7100000</v>
      </c>
      <c r="D5" s="1">
        <v>650000</v>
      </c>
      <c r="E5" s="1">
        <v>2500000</v>
      </c>
      <c r="F5" s="1">
        <v>300000</v>
      </c>
      <c r="G5" s="1">
        <v>100000</v>
      </c>
      <c r="H5" s="1">
        <v>450000</v>
      </c>
      <c r="I5" s="1">
        <v>100000</v>
      </c>
      <c r="J5" s="1">
        <v>170000</v>
      </c>
      <c r="K5" s="1">
        <v>0</v>
      </c>
      <c r="L5" s="1">
        <v>100000</v>
      </c>
      <c r="M5" s="1">
        <v>0</v>
      </c>
      <c r="N5" s="1">
        <v>2500000</v>
      </c>
      <c r="O5" s="1">
        <v>0</v>
      </c>
      <c r="P5" s="1">
        <f t="shared" si="0"/>
        <v>6870000</v>
      </c>
      <c r="Q5" s="20">
        <f t="shared" si="1"/>
        <v>230000</v>
      </c>
      <c r="R5" s="1">
        <f t="shared" si="2"/>
        <v>7380000</v>
      </c>
    </row>
    <row r="6" spans="1:18" x14ac:dyDescent="0.3">
      <c r="A6" s="339"/>
      <c r="B6" s="22" t="s">
        <v>80</v>
      </c>
      <c r="C6" s="1">
        <f t="shared" si="3"/>
        <v>7380000</v>
      </c>
      <c r="D6" s="1">
        <v>650000</v>
      </c>
      <c r="E6" s="1">
        <v>2500000</v>
      </c>
      <c r="F6" s="1">
        <v>300000</v>
      </c>
      <c r="G6" s="1">
        <v>100000</v>
      </c>
      <c r="H6" s="1">
        <v>450000</v>
      </c>
      <c r="I6" s="1">
        <v>100000</v>
      </c>
      <c r="J6" s="1">
        <v>170000</v>
      </c>
      <c r="K6" s="1">
        <v>0</v>
      </c>
      <c r="L6" s="1">
        <v>100000</v>
      </c>
      <c r="M6" s="1">
        <v>0</v>
      </c>
      <c r="N6" s="1">
        <v>2500000</v>
      </c>
      <c r="O6" s="1">
        <v>0</v>
      </c>
      <c r="P6" s="1">
        <f t="shared" si="0"/>
        <v>6870000</v>
      </c>
      <c r="Q6" s="20">
        <f t="shared" si="1"/>
        <v>510000</v>
      </c>
      <c r="R6" s="1">
        <f t="shared" si="2"/>
        <v>7660000</v>
      </c>
    </row>
    <row r="7" spans="1:18" x14ac:dyDescent="0.3">
      <c r="A7" s="339"/>
      <c r="B7" s="22" t="s">
        <v>81</v>
      </c>
      <c r="C7" s="1">
        <f t="shared" si="3"/>
        <v>7660000</v>
      </c>
      <c r="D7" s="1">
        <v>650000</v>
      </c>
      <c r="E7" s="1">
        <v>2500000</v>
      </c>
      <c r="F7" s="1">
        <v>300000</v>
      </c>
      <c r="G7" s="1">
        <v>100000</v>
      </c>
      <c r="H7" s="1">
        <v>450000</v>
      </c>
      <c r="I7" s="1">
        <v>100000</v>
      </c>
      <c r="J7" s="1">
        <v>170000</v>
      </c>
      <c r="K7" s="1">
        <v>0</v>
      </c>
      <c r="L7" s="1">
        <v>100000</v>
      </c>
      <c r="M7" s="1">
        <v>0</v>
      </c>
      <c r="N7" s="1">
        <v>2500000</v>
      </c>
      <c r="O7" s="1">
        <v>400000</v>
      </c>
      <c r="P7" s="1">
        <f t="shared" si="0"/>
        <v>7270000</v>
      </c>
      <c r="Q7" s="20">
        <f t="shared" si="1"/>
        <v>390000</v>
      </c>
      <c r="R7" s="1">
        <f t="shared" si="2"/>
        <v>7540000</v>
      </c>
    </row>
    <row r="8" spans="1:18" x14ac:dyDescent="0.3">
      <c r="A8" s="339"/>
      <c r="B8" s="22" t="s">
        <v>82</v>
      </c>
      <c r="C8" s="1">
        <f t="shared" si="3"/>
        <v>7540000</v>
      </c>
      <c r="D8" s="1">
        <v>650000</v>
      </c>
      <c r="E8" s="1">
        <v>2500000</v>
      </c>
      <c r="F8" s="1">
        <v>300000</v>
      </c>
      <c r="G8" s="1">
        <v>100000</v>
      </c>
      <c r="H8" s="1">
        <v>450000</v>
      </c>
      <c r="I8" s="1">
        <v>100000</v>
      </c>
      <c r="J8" s="1">
        <v>170000</v>
      </c>
      <c r="K8" s="1">
        <v>0</v>
      </c>
      <c r="L8" s="1">
        <v>100000</v>
      </c>
      <c r="M8" s="1">
        <v>0</v>
      </c>
      <c r="N8" s="1">
        <v>2500000</v>
      </c>
      <c r="O8" s="1">
        <v>0</v>
      </c>
      <c r="P8" s="1">
        <f t="shared" si="0"/>
        <v>6870000</v>
      </c>
      <c r="Q8" s="20">
        <f t="shared" si="1"/>
        <v>670000</v>
      </c>
      <c r="R8" s="1">
        <f t="shared" si="2"/>
        <v>7820000</v>
      </c>
    </row>
    <row r="9" spans="1:18" x14ac:dyDescent="0.3">
      <c r="A9" s="339"/>
      <c r="B9" s="22" t="s">
        <v>83</v>
      </c>
      <c r="C9" s="1">
        <f t="shared" si="3"/>
        <v>7820000</v>
      </c>
      <c r="D9" s="1">
        <v>650000</v>
      </c>
      <c r="E9" s="1">
        <v>2500000</v>
      </c>
      <c r="F9" s="1">
        <v>300000</v>
      </c>
      <c r="G9" s="1">
        <v>100000</v>
      </c>
      <c r="H9" s="1">
        <v>450000</v>
      </c>
      <c r="I9" s="1">
        <v>100000</v>
      </c>
      <c r="J9" s="1">
        <v>170000</v>
      </c>
      <c r="K9" s="1">
        <v>0</v>
      </c>
      <c r="L9" s="1">
        <v>100000</v>
      </c>
      <c r="M9" s="1">
        <v>0</v>
      </c>
      <c r="N9" s="1">
        <v>2500000</v>
      </c>
      <c r="O9" s="1">
        <v>0</v>
      </c>
      <c r="P9" s="1">
        <f t="shared" si="0"/>
        <v>6870000</v>
      </c>
      <c r="Q9" s="20">
        <f t="shared" si="1"/>
        <v>950000</v>
      </c>
      <c r="R9" s="1">
        <f t="shared" si="2"/>
        <v>8100000</v>
      </c>
    </row>
    <row r="10" spans="1:18" x14ac:dyDescent="0.3">
      <c r="A10" s="339"/>
      <c r="B10" s="22" t="s">
        <v>84</v>
      </c>
      <c r="C10" s="1">
        <f t="shared" si="3"/>
        <v>8100000</v>
      </c>
      <c r="D10" s="1">
        <v>650000</v>
      </c>
      <c r="E10" s="1">
        <v>2500000</v>
      </c>
      <c r="F10" s="1">
        <v>300000</v>
      </c>
      <c r="G10" s="1">
        <v>100000</v>
      </c>
      <c r="H10" s="1">
        <v>450000</v>
      </c>
      <c r="I10" s="1">
        <v>100000</v>
      </c>
      <c r="J10" s="1">
        <v>170000</v>
      </c>
      <c r="K10" s="1">
        <v>0</v>
      </c>
      <c r="L10" s="1">
        <v>100000</v>
      </c>
      <c r="M10" s="1">
        <v>0</v>
      </c>
      <c r="N10" s="1">
        <v>2500000</v>
      </c>
      <c r="O10" s="1">
        <v>0</v>
      </c>
      <c r="P10" s="1">
        <f t="shared" si="0"/>
        <v>6870000</v>
      </c>
      <c r="Q10" s="20">
        <f t="shared" si="1"/>
        <v>1230000</v>
      </c>
      <c r="R10" s="1">
        <f t="shared" si="2"/>
        <v>8380000</v>
      </c>
    </row>
    <row r="11" spans="1:18" s="22" customFormat="1" x14ac:dyDescent="0.3">
      <c r="A11" s="339"/>
      <c r="B11" s="22" t="s">
        <v>85</v>
      </c>
      <c r="C11" s="23">
        <f t="shared" si="3"/>
        <v>8380000</v>
      </c>
      <c r="D11" s="23">
        <v>650000</v>
      </c>
      <c r="E11" s="23">
        <v>2500000</v>
      </c>
      <c r="F11" s="23">
        <v>300000</v>
      </c>
      <c r="G11" s="23">
        <v>100000</v>
      </c>
      <c r="H11" s="23">
        <v>450000</v>
      </c>
      <c r="I11" s="23">
        <v>100000</v>
      </c>
      <c r="J11" s="23">
        <v>170000</v>
      </c>
      <c r="K11" s="23">
        <v>0</v>
      </c>
      <c r="L11" s="23">
        <v>100000</v>
      </c>
      <c r="M11" s="23">
        <v>0</v>
      </c>
      <c r="N11" s="1">
        <v>2500000</v>
      </c>
      <c r="O11" s="23">
        <v>400000</v>
      </c>
      <c r="P11" s="23">
        <f t="shared" si="0"/>
        <v>7270000</v>
      </c>
      <c r="Q11" s="24">
        <f t="shared" si="1"/>
        <v>1110000</v>
      </c>
      <c r="R11" s="23">
        <f t="shared" si="2"/>
        <v>8260000</v>
      </c>
    </row>
    <row r="12" spans="1:18" x14ac:dyDescent="0.3">
      <c r="A12" s="339"/>
      <c r="B12" t="s">
        <v>86</v>
      </c>
      <c r="C12" s="1">
        <f t="shared" si="3"/>
        <v>8260000</v>
      </c>
      <c r="D12" s="1">
        <v>650000</v>
      </c>
      <c r="E12" s="1">
        <v>2500000</v>
      </c>
      <c r="F12" s="1">
        <v>300000</v>
      </c>
      <c r="G12" s="1">
        <v>100000</v>
      </c>
      <c r="H12" s="1">
        <v>450000</v>
      </c>
      <c r="I12" s="1">
        <v>100000</v>
      </c>
      <c r="J12" s="1">
        <v>170000</v>
      </c>
      <c r="K12" s="1">
        <v>0</v>
      </c>
      <c r="L12" s="1">
        <v>100000</v>
      </c>
      <c r="M12" s="1">
        <v>0</v>
      </c>
      <c r="N12" s="1">
        <v>1800000</v>
      </c>
      <c r="O12" s="1">
        <v>0</v>
      </c>
      <c r="P12" s="1">
        <f t="shared" si="0"/>
        <v>6170000</v>
      </c>
      <c r="Q12" s="20">
        <f t="shared" si="1"/>
        <v>2090000</v>
      </c>
      <c r="R12" s="1">
        <f t="shared" si="2"/>
        <v>9240000</v>
      </c>
    </row>
    <row r="13" spans="1:18" x14ac:dyDescent="0.3">
      <c r="A13" s="339"/>
      <c r="B13" t="s">
        <v>87</v>
      </c>
      <c r="C13" s="1">
        <f t="shared" si="3"/>
        <v>9240000</v>
      </c>
      <c r="D13" s="1">
        <v>650000</v>
      </c>
      <c r="E13" s="1">
        <v>2500000</v>
      </c>
      <c r="F13" s="1">
        <v>300000</v>
      </c>
      <c r="G13" s="1">
        <v>100000</v>
      </c>
      <c r="H13" s="1">
        <v>450000</v>
      </c>
      <c r="I13" s="1">
        <v>100000</v>
      </c>
      <c r="J13" s="1">
        <v>170000</v>
      </c>
      <c r="K13" s="1">
        <v>0</v>
      </c>
      <c r="L13" s="1">
        <v>100000</v>
      </c>
      <c r="M13" s="1">
        <v>0</v>
      </c>
      <c r="N13" s="1">
        <v>1800000</v>
      </c>
      <c r="O13" s="1">
        <v>400000</v>
      </c>
      <c r="P13" s="1">
        <f t="shared" si="0"/>
        <v>6570000</v>
      </c>
      <c r="Q13" s="20">
        <f t="shared" si="1"/>
        <v>2670000</v>
      </c>
      <c r="R13" s="1">
        <f t="shared" si="2"/>
        <v>9820000</v>
      </c>
    </row>
    <row r="14" spans="1:18" ht="17.25" thickBot="1" x14ac:dyDescent="0.35">
      <c r="A14" s="340"/>
      <c r="B14" s="26" t="s">
        <v>88</v>
      </c>
      <c r="C14" s="27">
        <f t="shared" si="3"/>
        <v>9820000</v>
      </c>
      <c r="D14" s="27">
        <v>650000</v>
      </c>
      <c r="E14" s="27">
        <v>2500000</v>
      </c>
      <c r="F14" s="27">
        <v>300000</v>
      </c>
      <c r="G14" s="27">
        <v>100000</v>
      </c>
      <c r="H14" s="27">
        <v>450000</v>
      </c>
      <c r="I14" s="27">
        <v>100000</v>
      </c>
      <c r="J14" s="27">
        <v>170000</v>
      </c>
      <c r="K14" s="27">
        <v>0</v>
      </c>
      <c r="L14" s="27">
        <v>100000</v>
      </c>
      <c r="M14" s="27">
        <v>0</v>
      </c>
      <c r="N14" s="1">
        <v>1800000</v>
      </c>
      <c r="O14" s="27">
        <v>0</v>
      </c>
      <c r="P14" s="27">
        <f t="shared" si="0"/>
        <v>6170000</v>
      </c>
      <c r="Q14" s="21">
        <f t="shared" si="1"/>
        <v>3650000</v>
      </c>
      <c r="R14" s="27">
        <f t="shared" si="2"/>
        <v>10800000</v>
      </c>
    </row>
    <row r="15" spans="1:18" x14ac:dyDescent="0.3">
      <c r="A15" s="338">
        <v>2024</v>
      </c>
      <c r="B15" t="s">
        <v>77</v>
      </c>
      <c r="C15" s="1">
        <f xml:space="preserve"> R14</f>
        <v>10800000</v>
      </c>
      <c r="D15" s="1">
        <v>0</v>
      </c>
      <c r="E15" s="1">
        <v>2500000</v>
      </c>
      <c r="F15" s="1">
        <v>300000</v>
      </c>
      <c r="G15" s="1">
        <v>100000</v>
      </c>
      <c r="H15" s="1">
        <v>450000</v>
      </c>
      <c r="I15" s="1">
        <v>100000</v>
      </c>
      <c r="J15" s="1">
        <v>170000</v>
      </c>
      <c r="K15" s="1">
        <v>0</v>
      </c>
      <c r="L15" s="1">
        <v>100000</v>
      </c>
      <c r="M15" s="1">
        <v>0</v>
      </c>
      <c r="N15" s="1">
        <v>1800000</v>
      </c>
      <c r="O15" s="1">
        <v>400000</v>
      </c>
      <c r="P15" s="1">
        <f t="shared" ref="P15:P38" si="4">SUM(D15:O15)</f>
        <v>5920000</v>
      </c>
      <c r="Q15" s="25">
        <f t="shared" ref="Q15:Q38" si="5" xml:space="preserve"> C15 - P15</f>
        <v>4880000</v>
      </c>
      <c r="R15" s="1">
        <f xml:space="preserve"> 7150000 + Q15</f>
        <v>12030000</v>
      </c>
    </row>
    <row r="16" spans="1:18" s="22" customFormat="1" x14ac:dyDescent="0.3">
      <c r="A16" s="339"/>
      <c r="B16" s="22" t="s">
        <v>78</v>
      </c>
      <c r="C16" s="23">
        <f xml:space="preserve"> R15</f>
        <v>12030000</v>
      </c>
      <c r="D16" s="23">
        <v>650000</v>
      </c>
      <c r="E16" s="23">
        <v>2500000</v>
      </c>
      <c r="F16" s="23">
        <v>300000</v>
      </c>
      <c r="G16" s="23">
        <v>100000</v>
      </c>
      <c r="H16" s="23">
        <v>450000</v>
      </c>
      <c r="I16" s="23">
        <v>100000</v>
      </c>
      <c r="J16" s="23">
        <v>170000</v>
      </c>
      <c r="K16" s="23">
        <v>0</v>
      </c>
      <c r="L16" s="23">
        <v>100000</v>
      </c>
      <c r="M16" s="23">
        <v>0</v>
      </c>
      <c r="N16" s="1">
        <v>1800000</v>
      </c>
      <c r="O16" s="23">
        <v>0</v>
      </c>
      <c r="P16" s="23">
        <f t="shared" si="4"/>
        <v>6170000</v>
      </c>
      <c r="Q16" s="24">
        <f t="shared" si="5"/>
        <v>5860000</v>
      </c>
      <c r="R16" s="23">
        <f t="shared" ref="R16:R26" si="6" xml:space="preserve"> 7150000 + Q16</f>
        <v>13010000</v>
      </c>
    </row>
    <row r="17" spans="1:18" x14ac:dyDescent="0.3">
      <c r="A17" s="339"/>
      <c r="B17" t="s">
        <v>79</v>
      </c>
      <c r="C17" s="1">
        <f t="shared" ref="C17:C26" si="7" xml:space="preserve"> R16</f>
        <v>13010000</v>
      </c>
      <c r="D17" s="1">
        <v>650000</v>
      </c>
      <c r="E17" s="1">
        <v>2500000</v>
      </c>
      <c r="F17" s="1">
        <v>300000</v>
      </c>
      <c r="G17" s="1">
        <v>100000</v>
      </c>
      <c r="H17" s="1">
        <v>450000</v>
      </c>
      <c r="I17" s="1">
        <v>100000</v>
      </c>
      <c r="J17" s="1">
        <v>170000</v>
      </c>
      <c r="K17" s="1">
        <v>0</v>
      </c>
      <c r="L17" s="1">
        <v>100000</v>
      </c>
      <c r="M17" s="1">
        <v>0</v>
      </c>
      <c r="N17" s="1">
        <v>1800000</v>
      </c>
      <c r="O17" s="1">
        <v>0</v>
      </c>
      <c r="P17" s="1">
        <f t="shared" si="4"/>
        <v>6170000</v>
      </c>
      <c r="Q17" s="20">
        <f t="shared" si="5"/>
        <v>6840000</v>
      </c>
      <c r="R17" s="1">
        <f t="shared" si="6"/>
        <v>13990000</v>
      </c>
    </row>
    <row r="18" spans="1:18" x14ac:dyDescent="0.3">
      <c r="A18" s="339"/>
      <c r="B18" t="s">
        <v>80</v>
      </c>
      <c r="C18" s="1">
        <f t="shared" si="7"/>
        <v>13990000</v>
      </c>
      <c r="D18" s="1">
        <v>650000</v>
      </c>
      <c r="E18" s="1">
        <v>2500000</v>
      </c>
      <c r="F18" s="1">
        <v>300000</v>
      </c>
      <c r="G18" s="1">
        <v>100000</v>
      </c>
      <c r="H18" s="1">
        <v>450000</v>
      </c>
      <c r="I18" s="1">
        <v>100000</v>
      </c>
      <c r="J18" s="1">
        <v>170000</v>
      </c>
      <c r="K18" s="1">
        <v>0</v>
      </c>
      <c r="L18" s="1">
        <v>100000</v>
      </c>
      <c r="M18" s="1">
        <v>0</v>
      </c>
      <c r="N18" s="1">
        <v>1800000</v>
      </c>
      <c r="O18" s="1">
        <v>0</v>
      </c>
      <c r="P18" s="1">
        <f t="shared" si="4"/>
        <v>6170000</v>
      </c>
      <c r="Q18" s="20">
        <f t="shared" si="5"/>
        <v>7820000</v>
      </c>
      <c r="R18" s="1">
        <f t="shared" si="6"/>
        <v>14970000</v>
      </c>
    </row>
    <row r="19" spans="1:18" x14ac:dyDescent="0.3">
      <c r="A19" s="339"/>
      <c r="B19" t="s">
        <v>81</v>
      </c>
      <c r="C19" s="1">
        <f t="shared" si="7"/>
        <v>14970000</v>
      </c>
      <c r="D19" s="1">
        <v>650000</v>
      </c>
      <c r="E19" s="1">
        <v>2500000</v>
      </c>
      <c r="F19" s="1">
        <v>300000</v>
      </c>
      <c r="G19" s="1">
        <v>100000</v>
      </c>
      <c r="H19" s="1">
        <v>450000</v>
      </c>
      <c r="I19" s="1">
        <v>100000</v>
      </c>
      <c r="J19" s="1">
        <v>170000</v>
      </c>
      <c r="K19" s="1">
        <v>0</v>
      </c>
      <c r="L19" s="1">
        <v>100000</v>
      </c>
      <c r="M19" s="1">
        <v>0</v>
      </c>
      <c r="N19" s="1">
        <v>1800000</v>
      </c>
      <c r="O19" s="1">
        <v>400000</v>
      </c>
      <c r="P19" s="1">
        <f t="shared" si="4"/>
        <v>6570000</v>
      </c>
      <c r="Q19" s="20">
        <f t="shared" si="5"/>
        <v>8400000</v>
      </c>
      <c r="R19" s="1">
        <f t="shared" si="6"/>
        <v>15550000</v>
      </c>
    </row>
    <row r="20" spans="1:18" x14ac:dyDescent="0.3">
      <c r="A20" s="339"/>
      <c r="B20" t="s">
        <v>82</v>
      </c>
      <c r="C20" s="1">
        <f t="shared" si="7"/>
        <v>15550000</v>
      </c>
      <c r="D20" s="1">
        <v>650000</v>
      </c>
      <c r="E20" s="1">
        <v>2500000</v>
      </c>
      <c r="F20" s="1">
        <v>300000</v>
      </c>
      <c r="G20" s="1">
        <v>100000</v>
      </c>
      <c r="H20" s="1">
        <v>450000</v>
      </c>
      <c r="I20" s="1">
        <v>100000</v>
      </c>
      <c r="J20" s="1">
        <v>170000</v>
      </c>
      <c r="K20" s="1">
        <v>0</v>
      </c>
      <c r="L20" s="1">
        <v>100000</v>
      </c>
      <c r="M20" s="1">
        <v>0</v>
      </c>
      <c r="N20" s="1">
        <v>1800000</v>
      </c>
      <c r="O20" s="1">
        <v>0</v>
      </c>
      <c r="P20" s="1">
        <f t="shared" si="4"/>
        <v>6170000</v>
      </c>
      <c r="Q20" s="20">
        <f t="shared" si="5"/>
        <v>9380000</v>
      </c>
      <c r="R20" s="1">
        <f t="shared" si="6"/>
        <v>16530000</v>
      </c>
    </row>
    <row r="21" spans="1:18" x14ac:dyDescent="0.3">
      <c r="A21" s="339"/>
      <c r="B21" t="s">
        <v>83</v>
      </c>
      <c r="C21" s="1">
        <f t="shared" si="7"/>
        <v>16530000</v>
      </c>
      <c r="D21" s="1">
        <v>650000</v>
      </c>
      <c r="E21" s="1">
        <v>2500000</v>
      </c>
      <c r="F21" s="1">
        <v>300000</v>
      </c>
      <c r="G21" s="1">
        <v>100000</v>
      </c>
      <c r="H21" s="1">
        <v>450000</v>
      </c>
      <c r="I21" s="1">
        <v>100000</v>
      </c>
      <c r="J21" s="1">
        <v>170000</v>
      </c>
      <c r="K21" s="1">
        <v>0</v>
      </c>
      <c r="L21" s="1">
        <v>100000</v>
      </c>
      <c r="M21" s="1">
        <v>0</v>
      </c>
      <c r="N21" s="1">
        <v>1800000</v>
      </c>
      <c r="O21" s="1">
        <v>0</v>
      </c>
      <c r="P21" s="1">
        <f t="shared" si="4"/>
        <v>6170000</v>
      </c>
      <c r="Q21" s="20">
        <f t="shared" si="5"/>
        <v>10360000</v>
      </c>
      <c r="R21" s="1">
        <f t="shared" si="6"/>
        <v>17510000</v>
      </c>
    </row>
    <row r="22" spans="1:18" x14ac:dyDescent="0.3">
      <c r="A22" s="339"/>
      <c r="B22" t="s">
        <v>84</v>
      </c>
      <c r="C22" s="1">
        <f t="shared" si="7"/>
        <v>17510000</v>
      </c>
      <c r="D22" s="1">
        <v>650000</v>
      </c>
      <c r="E22" s="1">
        <v>2500000</v>
      </c>
      <c r="F22" s="1">
        <v>300000</v>
      </c>
      <c r="G22" s="1">
        <v>100000</v>
      </c>
      <c r="H22" s="1">
        <v>450000</v>
      </c>
      <c r="I22" s="1">
        <v>100000</v>
      </c>
      <c r="J22" s="1">
        <v>170000</v>
      </c>
      <c r="K22" s="1">
        <v>0</v>
      </c>
      <c r="L22" s="1">
        <v>100000</v>
      </c>
      <c r="M22" s="1">
        <v>0</v>
      </c>
      <c r="N22" s="1">
        <v>1800000</v>
      </c>
      <c r="O22" s="1">
        <v>0</v>
      </c>
      <c r="P22" s="1">
        <f t="shared" si="4"/>
        <v>6170000</v>
      </c>
      <c r="Q22" s="20">
        <f t="shared" si="5"/>
        <v>11340000</v>
      </c>
      <c r="R22" s="1">
        <f t="shared" si="6"/>
        <v>18490000</v>
      </c>
    </row>
    <row r="23" spans="1:18" x14ac:dyDescent="0.3">
      <c r="A23" s="339"/>
      <c r="B23" t="s">
        <v>85</v>
      </c>
      <c r="C23" s="1">
        <f t="shared" si="7"/>
        <v>18490000</v>
      </c>
      <c r="D23" s="1">
        <v>650000</v>
      </c>
      <c r="E23" s="1">
        <v>2500000</v>
      </c>
      <c r="F23" s="1">
        <v>300000</v>
      </c>
      <c r="G23" s="1">
        <v>100000</v>
      </c>
      <c r="H23" s="1">
        <v>450000</v>
      </c>
      <c r="I23" s="1">
        <v>100000</v>
      </c>
      <c r="J23" s="1">
        <v>170000</v>
      </c>
      <c r="K23" s="1">
        <v>0</v>
      </c>
      <c r="L23" s="1">
        <v>100000</v>
      </c>
      <c r="M23" s="1">
        <v>0</v>
      </c>
      <c r="N23" s="1">
        <v>1800000</v>
      </c>
      <c r="O23" s="1">
        <v>400000</v>
      </c>
      <c r="P23" s="1">
        <f t="shared" si="4"/>
        <v>6570000</v>
      </c>
      <c r="Q23" s="20">
        <f t="shared" si="5"/>
        <v>11920000</v>
      </c>
      <c r="R23" s="1">
        <f t="shared" si="6"/>
        <v>19070000</v>
      </c>
    </row>
    <row r="24" spans="1:18" x14ac:dyDescent="0.3">
      <c r="A24" s="339"/>
      <c r="B24" t="s">
        <v>86</v>
      </c>
      <c r="C24" s="1">
        <f t="shared" si="7"/>
        <v>19070000</v>
      </c>
      <c r="D24" s="1">
        <v>650000</v>
      </c>
      <c r="E24" s="1">
        <v>2500000</v>
      </c>
      <c r="F24" s="1">
        <v>300000</v>
      </c>
      <c r="G24" s="1">
        <v>100000</v>
      </c>
      <c r="H24" s="1">
        <v>450000</v>
      </c>
      <c r="I24" s="1">
        <v>100000</v>
      </c>
      <c r="J24" s="1">
        <v>170000</v>
      </c>
      <c r="K24" s="1">
        <v>0</v>
      </c>
      <c r="L24" s="1">
        <v>100000</v>
      </c>
      <c r="M24" s="1">
        <v>0</v>
      </c>
      <c r="N24" s="1">
        <v>1800000</v>
      </c>
      <c r="O24" s="1">
        <v>0</v>
      </c>
      <c r="P24" s="1">
        <f t="shared" si="4"/>
        <v>6170000</v>
      </c>
      <c r="Q24" s="20">
        <f t="shared" si="5"/>
        <v>12900000</v>
      </c>
      <c r="R24" s="1">
        <f t="shared" si="6"/>
        <v>20050000</v>
      </c>
    </row>
    <row r="25" spans="1:18" x14ac:dyDescent="0.3">
      <c r="A25" s="339"/>
      <c r="B25" t="s">
        <v>87</v>
      </c>
      <c r="C25" s="1">
        <f t="shared" si="7"/>
        <v>20050000</v>
      </c>
      <c r="D25" s="1">
        <v>650000</v>
      </c>
      <c r="E25" s="1">
        <v>2500000</v>
      </c>
      <c r="F25" s="1">
        <v>300000</v>
      </c>
      <c r="G25" s="1">
        <v>100000</v>
      </c>
      <c r="H25" s="1">
        <v>450000</v>
      </c>
      <c r="I25" s="1">
        <v>100000</v>
      </c>
      <c r="J25" s="1">
        <v>170000</v>
      </c>
      <c r="K25" s="1">
        <v>0</v>
      </c>
      <c r="L25" s="1">
        <v>100000</v>
      </c>
      <c r="M25" s="1">
        <v>0</v>
      </c>
      <c r="N25" s="1">
        <v>1800000</v>
      </c>
      <c r="O25" s="1">
        <v>400000</v>
      </c>
      <c r="P25" s="1">
        <f t="shared" si="4"/>
        <v>6570000</v>
      </c>
      <c r="Q25" s="20">
        <f t="shared" si="5"/>
        <v>13480000</v>
      </c>
      <c r="R25" s="1">
        <f t="shared" si="6"/>
        <v>20630000</v>
      </c>
    </row>
    <row r="26" spans="1:18" ht="17.25" thickBot="1" x14ac:dyDescent="0.35">
      <c r="A26" s="340"/>
      <c r="B26" s="26" t="s">
        <v>88</v>
      </c>
      <c r="C26" s="27">
        <f t="shared" si="7"/>
        <v>20630000</v>
      </c>
      <c r="D26" s="27">
        <v>650000</v>
      </c>
      <c r="E26" s="27">
        <v>2500000</v>
      </c>
      <c r="F26" s="27">
        <v>300000</v>
      </c>
      <c r="G26" s="27">
        <v>100000</v>
      </c>
      <c r="H26" s="27">
        <v>450000</v>
      </c>
      <c r="I26" s="27">
        <v>100000</v>
      </c>
      <c r="J26" s="27">
        <v>170000</v>
      </c>
      <c r="K26" s="27">
        <v>0</v>
      </c>
      <c r="L26" s="27">
        <v>100000</v>
      </c>
      <c r="M26" s="27">
        <v>0</v>
      </c>
      <c r="N26" s="1">
        <v>1800000</v>
      </c>
      <c r="O26" s="27">
        <v>0</v>
      </c>
      <c r="P26" s="27">
        <f t="shared" si="4"/>
        <v>6170000</v>
      </c>
      <c r="Q26" s="21">
        <f t="shared" si="5"/>
        <v>14460000</v>
      </c>
      <c r="R26" s="27">
        <f t="shared" si="6"/>
        <v>21610000</v>
      </c>
    </row>
    <row r="27" spans="1:18" x14ac:dyDescent="0.3">
      <c r="A27" s="338">
        <v>2025</v>
      </c>
      <c r="B27" t="s">
        <v>77</v>
      </c>
      <c r="C27" s="1">
        <f xml:space="preserve"> R26</f>
        <v>21610000</v>
      </c>
      <c r="D27" s="1">
        <v>0</v>
      </c>
      <c r="E27" s="1">
        <v>2500000</v>
      </c>
      <c r="F27" s="1">
        <v>300000</v>
      </c>
      <c r="G27" s="1">
        <v>100000</v>
      </c>
      <c r="H27" s="1">
        <v>450000</v>
      </c>
      <c r="I27" s="1">
        <v>100000</v>
      </c>
      <c r="J27" s="1">
        <v>170000</v>
      </c>
      <c r="K27" s="1">
        <v>0</v>
      </c>
      <c r="L27" s="1">
        <v>100000</v>
      </c>
      <c r="M27" s="1">
        <v>0</v>
      </c>
      <c r="N27" s="1">
        <v>1800000</v>
      </c>
      <c r="O27" s="1">
        <v>400000</v>
      </c>
      <c r="P27" s="1">
        <f t="shared" si="4"/>
        <v>5920000</v>
      </c>
      <c r="Q27" s="25">
        <f t="shared" si="5"/>
        <v>15690000</v>
      </c>
      <c r="R27" s="1">
        <f xml:space="preserve"> 7150000 + Q27</f>
        <v>22840000</v>
      </c>
    </row>
    <row r="28" spans="1:18" x14ac:dyDescent="0.3">
      <c r="A28" s="339"/>
      <c r="B28" t="s">
        <v>78</v>
      </c>
      <c r="C28" s="1">
        <f xml:space="preserve"> R27</f>
        <v>22840000</v>
      </c>
      <c r="D28" s="1">
        <v>650000</v>
      </c>
      <c r="E28" s="1">
        <v>2500000</v>
      </c>
      <c r="F28" s="1">
        <v>300000</v>
      </c>
      <c r="G28" s="1">
        <v>100000</v>
      </c>
      <c r="H28" s="1">
        <v>450000</v>
      </c>
      <c r="I28" s="1">
        <v>100000</v>
      </c>
      <c r="J28" s="1">
        <v>170000</v>
      </c>
      <c r="K28" s="1">
        <v>0</v>
      </c>
      <c r="L28" s="1">
        <v>100000</v>
      </c>
      <c r="M28" s="1">
        <v>0</v>
      </c>
      <c r="N28" s="1">
        <v>1800000</v>
      </c>
      <c r="O28" s="23">
        <v>0</v>
      </c>
      <c r="P28" s="1">
        <f t="shared" si="4"/>
        <v>6170000</v>
      </c>
      <c r="Q28" s="20">
        <f t="shared" si="5"/>
        <v>16670000</v>
      </c>
      <c r="R28" s="1">
        <f t="shared" ref="R28:R38" si="8" xml:space="preserve"> 7150000 + Q28</f>
        <v>23820000</v>
      </c>
    </row>
    <row r="29" spans="1:18" x14ac:dyDescent="0.3">
      <c r="A29" s="339"/>
      <c r="B29" t="s">
        <v>79</v>
      </c>
      <c r="C29" s="1">
        <f t="shared" ref="C29:C38" si="9" xml:space="preserve"> R28</f>
        <v>23820000</v>
      </c>
      <c r="D29" s="1">
        <v>650000</v>
      </c>
      <c r="E29" s="1">
        <v>2500000</v>
      </c>
      <c r="F29" s="1">
        <v>300000</v>
      </c>
      <c r="G29" s="1">
        <v>100000</v>
      </c>
      <c r="H29" s="1">
        <v>450000</v>
      </c>
      <c r="I29" s="1">
        <v>100000</v>
      </c>
      <c r="J29" s="1">
        <v>170000</v>
      </c>
      <c r="K29" s="1">
        <v>0</v>
      </c>
      <c r="L29" s="1">
        <v>100000</v>
      </c>
      <c r="M29" s="1">
        <v>0</v>
      </c>
      <c r="N29" s="1">
        <v>1800000</v>
      </c>
      <c r="O29" s="1">
        <v>0</v>
      </c>
      <c r="P29" s="1">
        <f t="shared" si="4"/>
        <v>6170000</v>
      </c>
      <c r="Q29" s="20">
        <f t="shared" si="5"/>
        <v>17650000</v>
      </c>
      <c r="R29" s="1">
        <f t="shared" si="8"/>
        <v>24800000</v>
      </c>
    </row>
    <row r="30" spans="1:18" x14ac:dyDescent="0.3">
      <c r="A30" s="339"/>
      <c r="B30" t="s">
        <v>80</v>
      </c>
      <c r="C30" s="1">
        <f t="shared" si="9"/>
        <v>24800000</v>
      </c>
      <c r="D30" s="1">
        <v>650000</v>
      </c>
      <c r="E30" s="1">
        <v>2500000</v>
      </c>
      <c r="F30" s="1">
        <v>300000</v>
      </c>
      <c r="G30" s="1">
        <v>100000</v>
      </c>
      <c r="H30" s="1">
        <v>450000</v>
      </c>
      <c r="I30" s="1">
        <v>100000</v>
      </c>
      <c r="J30" s="1">
        <v>170000</v>
      </c>
      <c r="K30" s="1">
        <v>0</v>
      </c>
      <c r="L30" s="1">
        <v>100000</v>
      </c>
      <c r="M30" s="1">
        <v>0</v>
      </c>
      <c r="N30" s="1">
        <v>1800000</v>
      </c>
      <c r="O30" s="1">
        <v>0</v>
      </c>
      <c r="P30" s="1">
        <f t="shared" si="4"/>
        <v>6170000</v>
      </c>
      <c r="Q30" s="20">
        <f t="shared" si="5"/>
        <v>18630000</v>
      </c>
      <c r="R30" s="1">
        <f t="shared" si="8"/>
        <v>25780000</v>
      </c>
    </row>
    <row r="31" spans="1:18" x14ac:dyDescent="0.3">
      <c r="A31" s="339"/>
      <c r="B31" t="s">
        <v>81</v>
      </c>
      <c r="C31" s="1">
        <f t="shared" si="9"/>
        <v>25780000</v>
      </c>
      <c r="D31" s="1">
        <v>650000</v>
      </c>
      <c r="E31" s="1">
        <v>2500000</v>
      </c>
      <c r="F31" s="1">
        <v>300000</v>
      </c>
      <c r="G31" s="1">
        <v>100000</v>
      </c>
      <c r="H31" s="1">
        <v>450000</v>
      </c>
      <c r="I31" s="1">
        <v>100000</v>
      </c>
      <c r="J31" s="1">
        <v>170000</v>
      </c>
      <c r="K31" s="1">
        <v>0</v>
      </c>
      <c r="L31" s="1">
        <v>100000</v>
      </c>
      <c r="M31" s="1">
        <v>0</v>
      </c>
      <c r="N31" s="1">
        <v>1800000</v>
      </c>
      <c r="O31" s="1">
        <v>400000</v>
      </c>
      <c r="P31" s="1">
        <f t="shared" si="4"/>
        <v>6570000</v>
      </c>
      <c r="Q31" s="20">
        <f t="shared" si="5"/>
        <v>19210000</v>
      </c>
      <c r="R31" s="1">
        <f t="shared" si="8"/>
        <v>26360000</v>
      </c>
    </row>
    <row r="32" spans="1:18" x14ac:dyDescent="0.3">
      <c r="A32" s="339"/>
      <c r="B32" t="s">
        <v>82</v>
      </c>
      <c r="C32" s="1">
        <f t="shared" si="9"/>
        <v>26360000</v>
      </c>
      <c r="D32" s="1">
        <v>650000</v>
      </c>
      <c r="E32" s="1">
        <v>2500000</v>
      </c>
      <c r="F32" s="1">
        <v>300000</v>
      </c>
      <c r="G32" s="1">
        <v>100000</v>
      </c>
      <c r="H32" s="1">
        <v>450000</v>
      </c>
      <c r="I32" s="1">
        <v>100000</v>
      </c>
      <c r="J32" s="1">
        <v>170000</v>
      </c>
      <c r="K32" s="1">
        <v>0</v>
      </c>
      <c r="L32" s="1">
        <v>100000</v>
      </c>
      <c r="M32" s="1">
        <v>0</v>
      </c>
      <c r="N32" s="1">
        <v>1800000</v>
      </c>
      <c r="O32" s="1">
        <v>0</v>
      </c>
      <c r="P32" s="1">
        <f t="shared" si="4"/>
        <v>6170000</v>
      </c>
      <c r="Q32" s="20">
        <f t="shared" si="5"/>
        <v>20190000</v>
      </c>
      <c r="R32" s="1">
        <f t="shared" si="8"/>
        <v>27340000</v>
      </c>
    </row>
    <row r="33" spans="1:18" x14ac:dyDescent="0.3">
      <c r="A33" s="339"/>
      <c r="B33" t="s">
        <v>83</v>
      </c>
      <c r="C33" s="1">
        <f t="shared" si="9"/>
        <v>27340000</v>
      </c>
      <c r="D33" s="1">
        <v>650000</v>
      </c>
      <c r="E33" s="1">
        <v>2500000</v>
      </c>
      <c r="F33" s="1">
        <v>300000</v>
      </c>
      <c r="G33" s="1">
        <v>100000</v>
      </c>
      <c r="H33" s="1">
        <v>450000</v>
      </c>
      <c r="I33" s="1">
        <v>100000</v>
      </c>
      <c r="J33" s="1">
        <v>170000</v>
      </c>
      <c r="K33" s="1">
        <v>0</v>
      </c>
      <c r="L33" s="1">
        <v>100000</v>
      </c>
      <c r="M33" s="1">
        <v>0</v>
      </c>
      <c r="N33" s="1">
        <v>1800000</v>
      </c>
      <c r="O33" s="1">
        <v>0</v>
      </c>
      <c r="P33" s="1">
        <f t="shared" si="4"/>
        <v>6170000</v>
      </c>
      <c r="Q33" s="20">
        <f t="shared" si="5"/>
        <v>21170000</v>
      </c>
      <c r="R33" s="1">
        <f t="shared" si="8"/>
        <v>28320000</v>
      </c>
    </row>
    <row r="34" spans="1:18" x14ac:dyDescent="0.3">
      <c r="A34" s="339"/>
      <c r="B34" t="s">
        <v>84</v>
      </c>
      <c r="C34" s="1">
        <f t="shared" si="9"/>
        <v>28320000</v>
      </c>
      <c r="D34" s="1">
        <v>650000</v>
      </c>
      <c r="E34" s="1">
        <v>2500000</v>
      </c>
      <c r="F34" s="1">
        <v>300000</v>
      </c>
      <c r="G34" s="1">
        <v>100000</v>
      </c>
      <c r="H34" s="1">
        <v>450000</v>
      </c>
      <c r="I34" s="1">
        <v>100000</v>
      </c>
      <c r="J34" s="1">
        <v>170000</v>
      </c>
      <c r="K34" s="1">
        <v>0</v>
      </c>
      <c r="L34" s="1">
        <v>100000</v>
      </c>
      <c r="M34" s="1">
        <v>0</v>
      </c>
      <c r="N34" s="1">
        <v>1800000</v>
      </c>
      <c r="O34" s="1">
        <v>0</v>
      </c>
      <c r="P34" s="1">
        <f t="shared" si="4"/>
        <v>6170000</v>
      </c>
      <c r="Q34" s="20">
        <f t="shared" si="5"/>
        <v>22150000</v>
      </c>
      <c r="R34" s="1">
        <f t="shared" si="8"/>
        <v>29300000</v>
      </c>
    </row>
    <row r="35" spans="1:18" s="208" customFormat="1" x14ac:dyDescent="0.3">
      <c r="A35" s="339"/>
      <c r="B35" s="208" t="s">
        <v>85</v>
      </c>
      <c r="C35" s="209">
        <f t="shared" si="9"/>
        <v>29300000</v>
      </c>
      <c r="D35" s="209">
        <v>650000</v>
      </c>
      <c r="E35" s="209">
        <v>2500000</v>
      </c>
      <c r="F35" s="209">
        <v>300000</v>
      </c>
      <c r="G35" s="209">
        <v>100000</v>
      </c>
      <c r="H35" s="209">
        <v>450000</v>
      </c>
      <c r="I35" s="209">
        <v>100000</v>
      </c>
      <c r="J35" s="209">
        <v>170000</v>
      </c>
      <c r="K35" s="209">
        <v>0</v>
      </c>
      <c r="L35" s="209">
        <v>100000</v>
      </c>
      <c r="M35" s="209">
        <v>0</v>
      </c>
      <c r="N35" s="1">
        <v>1800000</v>
      </c>
      <c r="O35" s="209">
        <v>400000</v>
      </c>
      <c r="P35" s="209">
        <f t="shared" si="4"/>
        <v>6570000</v>
      </c>
      <c r="Q35" s="210">
        <f t="shared" si="5"/>
        <v>22730000</v>
      </c>
      <c r="R35" s="209">
        <f t="shared" si="8"/>
        <v>29880000</v>
      </c>
    </row>
    <row r="36" spans="1:18" x14ac:dyDescent="0.3">
      <c r="A36" s="339"/>
      <c r="B36" t="s">
        <v>86</v>
      </c>
      <c r="C36" s="1">
        <f t="shared" si="9"/>
        <v>29880000</v>
      </c>
      <c r="D36" s="1">
        <v>650000</v>
      </c>
      <c r="E36" s="1">
        <v>2500000</v>
      </c>
      <c r="F36" s="1">
        <v>300000</v>
      </c>
      <c r="G36" s="1">
        <v>100000</v>
      </c>
      <c r="H36" s="1">
        <v>450000</v>
      </c>
      <c r="I36" s="1">
        <v>100000</v>
      </c>
      <c r="J36" s="1">
        <v>170000</v>
      </c>
      <c r="K36" s="1">
        <v>0</v>
      </c>
      <c r="L36" s="1">
        <v>100000</v>
      </c>
      <c r="M36" s="1">
        <v>0</v>
      </c>
      <c r="N36" s="1">
        <v>1800000</v>
      </c>
      <c r="O36" s="1">
        <v>0</v>
      </c>
      <c r="P36" s="1">
        <f t="shared" si="4"/>
        <v>6170000</v>
      </c>
      <c r="Q36" s="20">
        <f t="shared" si="5"/>
        <v>23710000</v>
      </c>
      <c r="R36" s="1">
        <f t="shared" si="8"/>
        <v>30860000</v>
      </c>
    </row>
    <row r="37" spans="1:18" x14ac:dyDescent="0.3">
      <c r="A37" s="339"/>
      <c r="B37" t="s">
        <v>87</v>
      </c>
      <c r="C37" s="1">
        <f t="shared" si="9"/>
        <v>30860000</v>
      </c>
      <c r="D37" s="1">
        <v>650000</v>
      </c>
      <c r="E37" s="1">
        <v>2500000</v>
      </c>
      <c r="F37" s="1">
        <v>300000</v>
      </c>
      <c r="G37" s="1">
        <v>100000</v>
      </c>
      <c r="H37" s="1">
        <v>450000</v>
      </c>
      <c r="I37" s="1">
        <v>100000</v>
      </c>
      <c r="J37" s="1">
        <v>170000</v>
      </c>
      <c r="K37" s="1">
        <v>0</v>
      </c>
      <c r="L37" s="1">
        <v>100000</v>
      </c>
      <c r="M37" s="1">
        <v>0</v>
      </c>
      <c r="N37" s="1">
        <v>1800000</v>
      </c>
      <c r="O37" s="1">
        <v>400000</v>
      </c>
      <c r="P37" s="1">
        <f t="shared" si="4"/>
        <v>6570000</v>
      </c>
      <c r="Q37" s="20">
        <f t="shared" si="5"/>
        <v>24290000</v>
      </c>
      <c r="R37" s="1">
        <f t="shared" si="8"/>
        <v>31440000</v>
      </c>
    </row>
    <row r="38" spans="1:18" ht="17.25" thickBot="1" x14ac:dyDescent="0.35">
      <c r="A38" s="340"/>
      <c r="B38" s="26" t="s">
        <v>88</v>
      </c>
      <c r="C38" s="27">
        <f t="shared" si="9"/>
        <v>31440000</v>
      </c>
      <c r="D38" s="27">
        <v>650000</v>
      </c>
      <c r="E38" s="27">
        <v>2500000</v>
      </c>
      <c r="F38" s="27">
        <v>300000</v>
      </c>
      <c r="G38" s="27">
        <v>100000</v>
      </c>
      <c r="H38" s="27">
        <v>450000</v>
      </c>
      <c r="I38" s="27">
        <v>100000</v>
      </c>
      <c r="J38" s="27">
        <v>170000</v>
      </c>
      <c r="K38" s="27">
        <v>0</v>
      </c>
      <c r="L38" s="27">
        <v>100000</v>
      </c>
      <c r="M38" s="27">
        <v>0</v>
      </c>
      <c r="N38" s="1">
        <v>1800000</v>
      </c>
      <c r="O38" s="27">
        <v>0</v>
      </c>
      <c r="P38" s="27">
        <f t="shared" si="4"/>
        <v>6170000</v>
      </c>
      <c r="Q38" s="21">
        <f t="shared" si="5"/>
        <v>25270000</v>
      </c>
      <c r="R38" s="27">
        <f t="shared" si="8"/>
        <v>32420000</v>
      </c>
    </row>
    <row r="39" spans="1:18" x14ac:dyDescent="0.3">
      <c r="A39" s="338">
        <v>2026</v>
      </c>
      <c r="B39" t="s">
        <v>77</v>
      </c>
      <c r="C39" s="1">
        <f xml:space="preserve"> R38</f>
        <v>32420000</v>
      </c>
      <c r="D39" s="1">
        <v>0</v>
      </c>
      <c r="E39" s="1">
        <v>2500000</v>
      </c>
      <c r="F39" s="1">
        <v>300000</v>
      </c>
      <c r="G39" s="1">
        <v>100000</v>
      </c>
      <c r="H39" s="1">
        <v>450000</v>
      </c>
      <c r="I39" s="1">
        <v>100000</v>
      </c>
      <c r="J39" s="1">
        <v>170000</v>
      </c>
      <c r="K39" s="1">
        <v>0</v>
      </c>
      <c r="L39" s="1">
        <v>100000</v>
      </c>
      <c r="M39" s="1">
        <v>0</v>
      </c>
      <c r="N39" s="1">
        <v>1800000</v>
      </c>
      <c r="O39" s="1">
        <v>400000</v>
      </c>
      <c r="P39" s="1">
        <f t="shared" ref="P39:P50" si="10">SUM(D39:O39)</f>
        <v>5920000</v>
      </c>
      <c r="Q39" s="25">
        <f t="shared" ref="Q39:Q50" si="11" xml:space="preserve"> C39 - P39</f>
        <v>26500000</v>
      </c>
      <c r="R39" s="1">
        <f xml:space="preserve"> 7150000 + Q39</f>
        <v>33650000</v>
      </c>
    </row>
    <row r="40" spans="1:18" s="22" customFormat="1" x14ac:dyDescent="0.3">
      <c r="A40" s="339"/>
      <c r="B40" s="22" t="s">
        <v>78</v>
      </c>
      <c r="C40" s="23">
        <f xml:space="preserve"> R39</f>
        <v>33650000</v>
      </c>
      <c r="D40" s="23">
        <v>650000</v>
      </c>
      <c r="E40" s="23">
        <v>2500000</v>
      </c>
      <c r="F40" s="23">
        <v>1000000</v>
      </c>
      <c r="G40" s="23">
        <v>100000</v>
      </c>
      <c r="H40" s="23">
        <v>450000</v>
      </c>
      <c r="I40" s="23">
        <v>100000</v>
      </c>
      <c r="J40" s="23">
        <v>170000</v>
      </c>
      <c r="K40" s="23">
        <v>0</v>
      </c>
      <c r="L40" s="23">
        <v>100000</v>
      </c>
      <c r="M40" s="23">
        <v>0</v>
      </c>
      <c r="N40" s="1">
        <v>1800000</v>
      </c>
      <c r="O40" s="23">
        <v>39000000</v>
      </c>
      <c r="P40" s="23">
        <f t="shared" si="10"/>
        <v>45870000</v>
      </c>
      <c r="Q40" s="24">
        <f t="shared" si="11"/>
        <v>-12220000</v>
      </c>
      <c r="R40" s="23">
        <f t="shared" ref="R40:R50" si="12" xml:space="preserve"> 7150000 + Q40</f>
        <v>-5070000</v>
      </c>
    </row>
    <row r="41" spans="1:18" s="302" customFormat="1" x14ac:dyDescent="0.3">
      <c r="A41" s="339"/>
      <c r="B41" s="302" t="s">
        <v>79</v>
      </c>
      <c r="C41" s="303">
        <f t="shared" ref="C41:C50" si="13" xml:space="preserve"> R40</f>
        <v>-5070000</v>
      </c>
      <c r="D41" s="303">
        <v>650000</v>
      </c>
      <c r="E41" s="303">
        <v>2500000</v>
      </c>
      <c r="F41" s="303">
        <v>995000</v>
      </c>
      <c r="G41" s="303">
        <v>100000</v>
      </c>
      <c r="H41" s="303">
        <v>450000</v>
      </c>
      <c r="I41" s="303">
        <v>100000</v>
      </c>
      <c r="J41" s="303">
        <v>170000</v>
      </c>
      <c r="K41" s="303">
        <v>0</v>
      </c>
      <c r="L41" s="303">
        <v>100000</v>
      </c>
      <c r="M41" s="303">
        <v>0</v>
      </c>
      <c r="N41" s="303">
        <v>1800000</v>
      </c>
      <c r="O41" s="303">
        <v>0</v>
      </c>
      <c r="P41" s="303">
        <f t="shared" si="10"/>
        <v>6865000</v>
      </c>
      <c r="Q41" s="304">
        <f t="shared" si="11"/>
        <v>-11935000</v>
      </c>
      <c r="R41" s="303">
        <f t="shared" si="12"/>
        <v>-4785000</v>
      </c>
    </row>
    <row r="42" spans="1:18" s="302" customFormat="1" x14ac:dyDescent="0.3">
      <c r="A42" s="339"/>
      <c r="B42" s="302" t="s">
        <v>80</v>
      </c>
      <c r="C42" s="303">
        <f t="shared" si="13"/>
        <v>-4785000</v>
      </c>
      <c r="D42" s="303">
        <v>650000</v>
      </c>
      <c r="E42" s="303">
        <v>2500000</v>
      </c>
      <c r="F42" s="303">
        <v>990000</v>
      </c>
      <c r="G42" s="303">
        <v>100000</v>
      </c>
      <c r="H42" s="303">
        <v>450000</v>
      </c>
      <c r="I42" s="303">
        <v>100000</v>
      </c>
      <c r="J42" s="303">
        <v>170000</v>
      </c>
      <c r="K42" s="303">
        <v>0</v>
      </c>
      <c r="L42" s="303">
        <v>100000</v>
      </c>
      <c r="M42" s="303">
        <v>0</v>
      </c>
      <c r="N42" s="303">
        <v>1800000</v>
      </c>
      <c r="O42" s="303">
        <v>0</v>
      </c>
      <c r="P42" s="303">
        <f t="shared" si="10"/>
        <v>6860000</v>
      </c>
      <c r="Q42" s="304">
        <f t="shared" si="11"/>
        <v>-11645000</v>
      </c>
      <c r="R42" s="303">
        <f t="shared" si="12"/>
        <v>-4495000</v>
      </c>
    </row>
    <row r="43" spans="1:18" s="302" customFormat="1" x14ac:dyDescent="0.3">
      <c r="A43" s="339"/>
      <c r="B43" s="302" t="s">
        <v>81</v>
      </c>
      <c r="C43" s="303">
        <f t="shared" si="13"/>
        <v>-4495000</v>
      </c>
      <c r="D43" s="303">
        <v>650000</v>
      </c>
      <c r="E43" s="303">
        <v>2500000</v>
      </c>
      <c r="F43" s="303">
        <v>985000</v>
      </c>
      <c r="G43" s="303">
        <v>100000</v>
      </c>
      <c r="H43" s="303">
        <v>450000</v>
      </c>
      <c r="I43" s="303">
        <v>100000</v>
      </c>
      <c r="J43" s="303">
        <v>170000</v>
      </c>
      <c r="K43" s="303">
        <v>0</v>
      </c>
      <c r="L43" s="303">
        <v>100000</v>
      </c>
      <c r="M43" s="303">
        <v>0</v>
      </c>
      <c r="N43" s="303">
        <v>1800000</v>
      </c>
      <c r="O43" s="303">
        <v>400000</v>
      </c>
      <c r="P43" s="303">
        <f t="shared" si="10"/>
        <v>7255000</v>
      </c>
      <c r="Q43" s="304">
        <f t="shared" si="11"/>
        <v>-11750000</v>
      </c>
      <c r="R43" s="303">
        <f t="shared" si="12"/>
        <v>-4600000</v>
      </c>
    </row>
    <row r="44" spans="1:18" s="302" customFormat="1" x14ac:dyDescent="0.3">
      <c r="A44" s="339"/>
      <c r="B44" s="302" t="s">
        <v>82</v>
      </c>
      <c r="C44" s="303">
        <f t="shared" si="13"/>
        <v>-4600000</v>
      </c>
      <c r="D44" s="303">
        <v>650000</v>
      </c>
      <c r="E44" s="303">
        <v>2500000</v>
      </c>
      <c r="F44" s="303">
        <v>980000</v>
      </c>
      <c r="G44" s="303">
        <v>100000</v>
      </c>
      <c r="H44" s="303">
        <v>450000</v>
      </c>
      <c r="I44" s="303">
        <v>100000</v>
      </c>
      <c r="J44" s="303">
        <v>170000</v>
      </c>
      <c r="K44" s="303">
        <v>0</v>
      </c>
      <c r="L44" s="303">
        <v>100000</v>
      </c>
      <c r="M44" s="303">
        <v>0</v>
      </c>
      <c r="N44" s="303">
        <v>1800000</v>
      </c>
      <c r="O44" s="303">
        <v>0</v>
      </c>
      <c r="P44" s="303">
        <f t="shared" si="10"/>
        <v>6850000</v>
      </c>
      <c r="Q44" s="304">
        <f t="shared" si="11"/>
        <v>-11450000</v>
      </c>
      <c r="R44" s="303">
        <f t="shared" si="12"/>
        <v>-4300000</v>
      </c>
    </row>
    <row r="45" spans="1:18" s="302" customFormat="1" x14ac:dyDescent="0.3">
      <c r="A45" s="339"/>
      <c r="B45" s="302" t="s">
        <v>83</v>
      </c>
      <c r="C45" s="303">
        <f t="shared" si="13"/>
        <v>-4300000</v>
      </c>
      <c r="D45" s="303">
        <v>650000</v>
      </c>
      <c r="E45" s="303">
        <v>2500000</v>
      </c>
      <c r="F45" s="303">
        <v>975000</v>
      </c>
      <c r="G45" s="303">
        <v>100000</v>
      </c>
      <c r="H45" s="303">
        <v>450000</v>
      </c>
      <c r="I45" s="303">
        <v>100000</v>
      </c>
      <c r="J45" s="303">
        <v>170000</v>
      </c>
      <c r="K45" s="303">
        <v>0</v>
      </c>
      <c r="L45" s="303">
        <v>100000</v>
      </c>
      <c r="M45" s="303">
        <v>0</v>
      </c>
      <c r="N45" s="303">
        <v>1800000</v>
      </c>
      <c r="O45" s="303">
        <v>0</v>
      </c>
      <c r="P45" s="303">
        <f t="shared" si="10"/>
        <v>6845000</v>
      </c>
      <c r="Q45" s="304">
        <f t="shared" si="11"/>
        <v>-11145000</v>
      </c>
      <c r="R45" s="303">
        <f t="shared" si="12"/>
        <v>-3995000</v>
      </c>
    </row>
    <row r="46" spans="1:18" s="302" customFormat="1" x14ac:dyDescent="0.3">
      <c r="A46" s="339"/>
      <c r="B46" s="302" t="s">
        <v>84</v>
      </c>
      <c r="C46" s="303">
        <f t="shared" si="13"/>
        <v>-3995000</v>
      </c>
      <c r="D46" s="303">
        <v>650000</v>
      </c>
      <c r="E46" s="303">
        <v>2500000</v>
      </c>
      <c r="F46" s="303">
        <v>970000</v>
      </c>
      <c r="G46" s="303">
        <v>100000</v>
      </c>
      <c r="H46" s="303">
        <v>450000</v>
      </c>
      <c r="I46" s="303">
        <v>100000</v>
      </c>
      <c r="J46" s="303">
        <v>170000</v>
      </c>
      <c r="K46" s="303">
        <v>0</v>
      </c>
      <c r="L46" s="303">
        <v>100000</v>
      </c>
      <c r="M46" s="303">
        <v>0</v>
      </c>
      <c r="N46" s="303">
        <v>1800000</v>
      </c>
      <c r="O46" s="303">
        <v>0</v>
      </c>
      <c r="P46" s="303">
        <f t="shared" si="10"/>
        <v>6840000</v>
      </c>
      <c r="Q46" s="304">
        <f t="shared" si="11"/>
        <v>-10835000</v>
      </c>
      <c r="R46" s="303">
        <f t="shared" si="12"/>
        <v>-3685000</v>
      </c>
    </row>
    <row r="47" spans="1:18" s="302" customFormat="1" x14ac:dyDescent="0.3">
      <c r="A47" s="339"/>
      <c r="B47" s="302" t="s">
        <v>85</v>
      </c>
      <c r="C47" s="303">
        <f t="shared" si="13"/>
        <v>-3685000</v>
      </c>
      <c r="D47" s="303">
        <v>650000</v>
      </c>
      <c r="E47" s="303">
        <v>2500000</v>
      </c>
      <c r="F47" s="303">
        <v>965000</v>
      </c>
      <c r="G47" s="303">
        <v>100000</v>
      </c>
      <c r="H47" s="303">
        <v>450000</v>
      </c>
      <c r="I47" s="303">
        <v>100000</v>
      </c>
      <c r="J47" s="303">
        <v>170000</v>
      </c>
      <c r="K47" s="303">
        <v>0</v>
      </c>
      <c r="L47" s="303">
        <v>100000</v>
      </c>
      <c r="M47" s="303">
        <v>0</v>
      </c>
      <c r="N47" s="303">
        <v>1800000</v>
      </c>
      <c r="O47" s="303">
        <v>400000</v>
      </c>
      <c r="P47" s="303">
        <f t="shared" si="10"/>
        <v>7235000</v>
      </c>
      <c r="Q47" s="304">
        <f t="shared" si="11"/>
        <v>-10920000</v>
      </c>
      <c r="R47" s="303">
        <f t="shared" si="12"/>
        <v>-3770000</v>
      </c>
    </row>
    <row r="48" spans="1:18" s="302" customFormat="1" x14ac:dyDescent="0.3">
      <c r="A48" s="339"/>
      <c r="B48" s="302" t="s">
        <v>86</v>
      </c>
      <c r="C48" s="303">
        <f t="shared" si="13"/>
        <v>-3770000</v>
      </c>
      <c r="D48" s="303">
        <v>650000</v>
      </c>
      <c r="E48" s="303">
        <v>2500000</v>
      </c>
      <c r="F48" s="303">
        <v>960000</v>
      </c>
      <c r="G48" s="303">
        <v>100000</v>
      </c>
      <c r="H48" s="303">
        <v>450000</v>
      </c>
      <c r="I48" s="303">
        <v>100000</v>
      </c>
      <c r="J48" s="303">
        <v>170000</v>
      </c>
      <c r="K48" s="303">
        <v>0</v>
      </c>
      <c r="L48" s="303">
        <v>100000</v>
      </c>
      <c r="M48" s="303">
        <v>0</v>
      </c>
      <c r="N48" s="303">
        <v>1800000</v>
      </c>
      <c r="O48" s="303">
        <v>0</v>
      </c>
      <c r="P48" s="303">
        <f t="shared" si="10"/>
        <v>6830000</v>
      </c>
      <c r="Q48" s="304">
        <f t="shared" si="11"/>
        <v>-10600000</v>
      </c>
      <c r="R48" s="303">
        <f t="shared" si="12"/>
        <v>-3450000</v>
      </c>
    </row>
    <row r="49" spans="1:18" s="302" customFormat="1" x14ac:dyDescent="0.3">
      <c r="A49" s="339"/>
      <c r="B49" s="302" t="s">
        <v>87</v>
      </c>
      <c r="C49" s="303">
        <f t="shared" si="13"/>
        <v>-3450000</v>
      </c>
      <c r="D49" s="303">
        <v>650000</v>
      </c>
      <c r="E49" s="303">
        <v>2500000</v>
      </c>
      <c r="F49" s="303">
        <v>955000</v>
      </c>
      <c r="G49" s="303">
        <v>100000</v>
      </c>
      <c r="H49" s="303">
        <v>450000</v>
      </c>
      <c r="I49" s="303">
        <v>100000</v>
      </c>
      <c r="J49" s="303">
        <v>170000</v>
      </c>
      <c r="K49" s="303">
        <v>0</v>
      </c>
      <c r="L49" s="303">
        <v>100000</v>
      </c>
      <c r="M49" s="303">
        <v>0</v>
      </c>
      <c r="N49" s="303">
        <v>1800000</v>
      </c>
      <c r="O49" s="303">
        <v>400000</v>
      </c>
      <c r="P49" s="303">
        <f t="shared" si="10"/>
        <v>7225000</v>
      </c>
      <c r="Q49" s="304">
        <f t="shared" si="11"/>
        <v>-10675000</v>
      </c>
      <c r="R49" s="303">
        <f t="shared" si="12"/>
        <v>-3525000</v>
      </c>
    </row>
    <row r="50" spans="1:18" s="308" customFormat="1" ht="17.25" thickBot="1" x14ac:dyDescent="0.35">
      <c r="A50" s="340"/>
      <c r="B50" s="305" t="s">
        <v>88</v>
      </c>
      <c r="C50" s="306">
        <f t="shared" si="13"/>
        <v>-3525000</v>
      </c>
      <c r="D50" s="306">
        <v>650000</v>
      </c>
      <c r="E50" s="306">
        <v>2500000</v>
      </c>
      <c r="F50" s="306">
        <v>950000</v>
      </c>
      <c r="G50" s="306">
        <v>100000</v>
      </c>
      <c r="H50" s="306">
        <v>450000</v>
      </c>
      <c r="I50" s="306">
        <v>100000</v>
      </c>
      <c r="J50" s="306">
        <v>170000</v>
      </c>
      <c r="K50" s="306">
        <v>0</v>
      </c>
      <c r="L50" s="306">
        <v>100000</v>
      </c>
      <c r="M50" s="306">
        <v>0</v>
      </c>
      <c r="N50" s="303">
        <v>1800000</v>
      </c>
      <c r="O50" s="306">
        <v>0</v>
      </c>
      <c r="P50" s="306">
        <f t="shared" si="10"/>
        <v>6820000</v>
      </c>
      <c r="Q50" s="307">
        <f t="shared" si="11"/>
        <v>-10345000</v>
      </c>
      <c r="R50" s="306">
        <f t="shared" si="12"/>
        <v>-3195000</v>
      </c>
    </row>
    <row r="51" spans="1:18" s="302" customFormat="1" x14ac:dyDescent="0.3">
      <c r="A51" s="341">
        <v>2027</v>
      </c>
      <c r="B51" s="302" t="s">
        <v>77</v>
      </c>
      <c r="C51" s="303">
        <f xml:space="preserve"> R50</f>
        <v>-3195000</v>
      </c>
      <c r="D51" s="303">
        <v>0</v>
      </c>
      <c r="E51" s="303">
        <v>2500000</v>
      </c>
      <c r="F51" s="303">
        <v>945000</v>
      </c>
      <c r="G51" s="303">
        <v>100000</v>
      </c>
      <c r="H51" s="303">
        <v>450000</v>
      </c>
      <c r="I51" s="303">
        <v>100000</v>
      </c>
      <c r="J51" s="303">
        <v>170000</v>
      </c>
      <c r="K51" s="303">
        <v>0</v>
      </c>
      <c r="L51" s="303">
        <v>100000</v>
      </c>
      <c r="M51" s="303">
        <v>0</v>
      </c>
      <c r="N51" s="303">
        <v>1800000</v>
      </c>
      <c r="O51" s="303">
        <v>400000</v>
      </c>
      <c r="P51" s="303">
        <f t="shared" ref="P51:P62" si="14">SUM(D51:O51)</f>
        <v>6565000</v>
      </c>
      <c r="Q51" s="309">
        <f t="shared" ref="Q51:Q62" si="15" xml:space="preserve"> C51 - P51</f>
        <v>-9760000</v>
      </c>
      <c r="R51" s="303">
        <f xml:space="preserve"> 7150000 + Q51</f>
        <v>-2610000</v>
      </c>
    </row>
    <row r="52" spans="1:18" s="302" customFormat="1" x14ac:dyDescent="0.3">
      <c r="A52" s="342"/>
      <c r="B52" s="302" t="s">
        <v>78</v>
      </c>
      <c r="C52" s="303">
        <f xml:space="preserve"> R51</f>
        <v>-2610000</v>
      </c>
      <c r="D52" s="303">
        <v>650000</v>
      </c>
      <c r="E52" s="303">
        <v>2500000</v>
      </c>
      <c r="F52" s="303">
        <v>940000</v>
      </c>
      <c r="G52" s="303">
        <v>100000</v>
      </c>
      <c r="H52" s="303">
        <v>450000</v>
      </c>
      <c r="I52" s="303">
        <v>100000</v>
      </c>
      <c r="J52" s="303">
        <v>170000</v>
      </c>
      <c r="K52" s="303">
        <v>0</v>
      </c>
      <c r="L52" s="303">
        <v>100000</v>
      </c>
      <c r="M52" s="303">
        <v>0</v>
      </c>
      <c r="N52" s="303">
        <v>1800000</v>
      </c>
      <c r="O52" s="303">
        <v>0</v>
      </c>
      <c r="P52" s="303">
        <f t="shared" si="14"/>
        <v>6810000</v>
      </c>
      <c r="Q52" s="304">
        <f t="shared" si="15"/>
        <v>-9420000</v>
      </c>
      <c r="R52" s="303">
        <f t="shared" ref="R52:R62" si="16" xml:space="preserve"> 7150000 + Q52</f>
        <v>-2270000</v>
      </c>
    </row>
    <row r="53" spans="1:18" s="302" customFormat="1" x14ac:dyDescent="0.3">
      <c r="A53" s="342"/>
      <c r="B53" s="302" t="s">
        <v>79</v>
      </c>
      <c r="C53" s="303">
        <f t="shared" ref="C53:C62" si="17" xml:space="preserve"> R52</f>
        <v>-2270000</v>
      </c>
      <c r="D53" s="303">
        <v>650000</v>
      </c>
      <c r="E53" s="303">
        <v>2500000</v>
      </c>
      <c r="F53" s="303">
        <v>935000</v>
      </c>
      <c r="G53" s="303">
        <v>100000</v>
      </c>
      <c r="H53" s="303">
        <v>450000</v>
      </c>
      <c r="I53" s="303">
        <v>100000</v>
      </c>
      <c r="J53" s="303">
        <v>170000</v>
      </c>
      <c r="K53" s="303">
        <v>0</v>
      </c>
      <c r="L53" s="303">
        <v>100000</v>
      </c>
      <c r="M53" s="303">
        <v>0</v>
      </c>
      <c r="N53" s="303">
        <v>1800000</v>
      </c>
      <c r="O53" s="303">
        <v>0</v>
      </c>
      <c r="P53" s="303">
        <f t="shared" si="14"/>
        <v>6805000</v>
      </c>
      <c r="Q53" s="304">
        <f t="shared" si="15"/>
        <v>-9075000</v>
      </c>
      <c r="R53" s="303">
        <f t="shared" si="16"/>
        <v>-1925000</v>
      </c>
    </row>
    <row r="54" spans="1:18" s="302" customFormat="1" x14ac:dyDescent="0.3">
      <c r="A54" s="342"/>
      <c r="B54" s="302" t="s">
        <v>80</v>
      </c>
      <c r="C54" s="303">
        <f t="shared" si="17"/>
        <v>-1925000</v>
      </c>
      <c r="D54" s="303">
        <v>650000</v>
      </c>
      <c r="E54" s="303">
        <v>2500000</v>
      </c>
      <c r="F54" s="303">
        <v>930000</v>
      </c>
      <c r="G54" s="303">
        <v>100000</v>
      </c>
      <c r="H54" s="303">
        <v>450000</v>
      </c>
      <c r="I54" s="303">
        <v>100000</v>
      </c>
      <c r="J54" s="303">
        <v>170000</v>
      </c>
      <c r="K54" s="303">
        <v>0</v>
      </c>
      <c r="L54" s="303">
        <v>100000</v>
      </c>
      <c r="M54" s="303">
        <v>0</v>
      </c>
      <c r="N54" s="303">
        <v>1800000</v>
      </c>
      <c r="O54" s="303">
        <v>0</v>
      </c>
      <c r="P54" s="303">
        <f t="shared" si="14"/>
        <v>6800000</v>
      </c>
      <c r="Q54" s="304">
        <f t="shared" si="15"/>
        <v>-8725000</v>
      </c>
      <c r="R54" s="303">
        <f t="shared" si="16"/>
        <v>-1575000</v>
      </c>
    </row>
    <row r="55" spans="1:18" s="302" customFormat="1" x14ac:dyDescent="0.3">
      <c r="A55" s="342"/>
      <c r="B55" s="302" t="s">
        <v>81</v>
      </c>
      <c r="C55" s="303">
        <f t="shared" si="17"/>
        <v>-1575000</v>
      </c>
      <c r="D55" s="303">
        <v>650000</v>
      </c>
      <c r="E55" s="303">
        <v>2500000</v>
      </c>
      <c r="F55" s="303">
        <v>925000</v>
      </c>
      <c r="G55" s="303">
        <v>100000</v>
      </c>
      <c r="H55" s="303">
        <v>450000</v>
      </c>
      <c r="I55" s="303">
        <v>100000</v>
      </c>
      <c r="J55" s="303">
        <v>170000</v>
      </c>
      <c r="K55" s="303">
        <v>0</v>
      </c>
      <c r="L55" s="303">
        <v>100000</v>
      </c>
      <c r="M55" s="303">
        <v>0</v>
      </c>
      <c r="N55" s="303">
        <v>1800000</v>
      </c>
      <c r="O55" s="303">
        <v>400000</v>
      </c>
      <c r="P55" s="303">
        <f t="shared" si="14"/>
        <v>7195000</v>
      </c>
      <c r="Q55" s="304">
        <f t="shared" si="15"/>
        <v>-8770000</v>
      </c>
      <c r="R55" s="303">
        <f t="shared" si="16"/>
        <v>-1620000</v>
      </c>
    </row>
    <row r="56" spans="1:18" s="302" customFormat="1" x14ac:dyDescent="0.3">
      <c r="A56" s="342"/>
      <c r="B56" s="302" t="s">
        <v>82</v>
      </c>
      <c r="C56" s="303">
        <f t="shared" si="17"/>
        <v>-1620000</v>
      </c>
      <c r="D56" s="303">
        <v>650000</v>
      </c>
      <c r="E56" s="303">
        <v>2500000</v>
      </c>
      <c r="F56" s="303">
        <v>920000</v>
      </c>
      <c r="G56" s="303">
        <v>100000</v>
      </c>
      <c r="H56" s="303">
        <v>450000</v>
      </c>
      <c r="I56" s="303">
        <v>100000</v>
      </c>
      <c r="J56" s="303">
        <v>170000</v>
      </c>
      <c r="K56" s="303">
        <v>0</v>
      </c>
      <c r="L56" s="303">
        <v>100000</v>
      </c>
      <c r="M56" s="303">
        <v>0</v>
      </c>
      <c r="N56" s="303">
        <v>1800000</v>
      </c>
      <c r="O56" s="303">
        <v>0</v>
      </c>
      <c r="P56" s="303">
        <f t="shared" si="14"/>
        <v>6790000</v>
      </c>
      <c r="Q56" s="304">
        <f t="shared" si="15"/>
        <v>-8410000</v>
      </c>
      <c r="R56" s="303">
        <f t="shared" si="16"/>
        <v>-1260000</v>
      </c>
    </row>
    <row r="57" spans="1:18" s="302" customFormat="1" x14ac:dyDescent="0.3">
      <c r="A57" s="342"/>
      <c r="B57" s="302" t="s">
        <v>83</v>
      </c>
      <c r="C57" s="303">
        <f t="shared" si="17"/>
        <v>-1260000</v>
      </c>
      <c r="D57" s="303">
        <v>650000</v>
      </c>
      <c r="E57" s="303">
        <v>2500000</v>
      </c>
      <c r="F57" s="303">
        <v>915000</v>
      </c>
      <c r="G57" s="303">
        <v>100000</v>
      </c>
      <c r="H57" s="303">
        <v>450000</v>
      </c>
      <c r="I57" s="303">
        <v>100000</v>
      </c>
      <c r="J57" s="303">
        <v>170000</v>
      </c>
      <c r="K57" s="303">
        <v>0</v>
      </c>
      <c r="L57" s="303">
        <v>100000</v>
      </c>
      <c r="M57" s="303">
        <v>0</v>
      </c>
      <c r="N57" s="303">
        <v>1800000</v>
      </c>
      <c r="O57" s="303">
        <v>0</v>
      </c>
      <c r="P57" s="303">
        <f t="shared" si="14"/>
        <v>6785000</v>
      </c>
      <c r="Q57" s="304">
        <f t="shared" si="15"/>
        <v>-8045000</v>
      </c>
      <c r="R57" s="303">
        <f t="shared" si="16"/>
        <v>-895000</v>
      </c>
    </row>
    <row r="58" spans="1:18" s="302" customFormat="1" x14ac:dyDescent="0.3">
      <c r="A58" s="342"/>
      <c r="B58" s="302" t="s">
        <v>84</v>
      </c>
      <c r="C58" s="303">
        <f t="shared" si="17"/>
        <v>-895000</v>
      </c>
      <c r="D58" s="303">
        <v>650000</v>
      </c>
      <c r="E58" s="303">
        <v>2500000</v>
      </c>
      <c r="F58" s="303">
        <v>910000</v>
      </c>
      <c r="G58" s="303">
        <v>100000</v>
      </c>
      <c r="H58" s="303">
        <v>450000</v>
      </c>
      <c r="I58" s="303">
        <v>100000</v>
      </c>
      <c r="J58" s="303">
        <v>170000</v>
      </c>
      <c r="K58" s="303">
        <v>0</v>
      </c>
      <c r="L58" s="303">
        <v>100000</v>
      </c>
      <c r="M58" s="303">
        <v>0</v>
      </c>
      <c r="N58" s="303">
        <v>1800000</v>
      </c>
      <c r="O58" s="303">
        <v>0</v>
      </c>
      <c r="P58" s="303">
        <f t="shared" si="14"/>
        <v>6780000</v>
      </c>
      <c r="Q58" s="304">
        <f t="shared" si="15"/>
        <v>-7675000</v>
      </c>
      <c r="R58" s="303">
        <f t="shared" si="16"/>
        <v>-525000</v>
      </c>
    </row>
    <row r="59" spans="1:18" s="302" customFormat="1" x14ac:dyDescent="0.3">
      <c r="A59" s="342"/>
      <c r="B59" s="302" t="s">
        <v>85</v>
      </c>
      <c r="C59" s="303">
        <f t="shared" si="17"/>
        <v>-525000</v>
      </c>
      <c r="D59" s="303">
        <v>650000</v>
      </c>
      <c r="E59" s="303">
        <v>2500000</v>
      </c>
      <c r="F59" s="303">
        <v>905000</v>
      </c>
      <c r="G59" s="303">
        <v>100000</v>
      </c>
      <c r="H59" s="303">
        <v>450000</v>
      </c>
      <c r="I59" s="303">
        <v>100000</v>
      </c>
      <c r="J59" s="303">
        <v>170000</v>
      </c>
      <c r="K59" s="303">
        <v>0</v>
      </c>
      <c r="L59" s="303">
        <v>100000</v>
      </c>
      <c r="M59" s="303">
        <v>0</v>
      </c>
      <c r="N59" s="303">
        <v>1800000</v>
      </c>
      <c r="O59" s="303">
        <v>400000</v>
      </c>
      <c r="P59" s="303">
        <f t="shared" si="14"/>
        <v>7175000</v>
      </c>
      <c r="Q59" s="304">
        <f t="shared" si="15"/>
        <v>-7700000</v>
      </c>
      <c r="R59" s="303">
        <f t="shared" si="16"/>
        <v>-550000</v>
      </c>
    </row>
    <row r="60" spans="1:18" s="302" customFormat="1" x14ac:dyDescent="0.3">
      <c r="A60" s="342"/>
      <c r="B60" s="302" t="s">
        <v>86</v>
      </c>
      <c r="C60" s="303">
        <f t="shared" si="17"/>
        <v>-550000</v>
      </c>
      <c r="D60" s="303">
        <v>650000</v>
      </c>
      <c r="E60" s="303">
        <v>2500000</v>
      </c>
      <c r="F60" s="303">
        <v>900000</v>
      </c>
      <c r="G60" s="303">
        <v>100000</v>
      </c>
      <c r="H60" s="303">
        <v>450000</v>
      </c>
      <c r="I60" s="303">
        <v>100000</v>
      </c>
      <c r="J60" s="303">
        <v>170000</v>
      </c>
      <c r="K60" s="303">
        <v>0</v>
      </c>
      <c r="L60" s="303">
        <v>100000</v>
      </c>
      <c r="M60" s="303">
        <v>0</v>
      </c>
      <c r="N60" s="303">
        <v>1800000</v>
      </c>
      <c r="O60" s="303">
        <v>0</v>
      </c>
      <c r="P60" s="303">
        <f t="shared" si="14"/>
        <v>6770000</v>
      </c>
      <c r="Q60" s="304">
        <f t="shared" si="15"/>
        <v>-7320000</v>
      </c>
      <c r="R60" s="303">
        <f t="shared" si="16"/>
        <v>-170000</v>
      </c>
    </row>
    <row r="61" spans="1:18" s="302" customFormat="1" x14ac:dyDescent="0.3">
      <c r="A61" s="342"/>
      <c r="B61" s="302" t="s">
        <v>87</v>
      </c>
      <c r="C61" s="303">
        <f t="shared" si="17"/>
        <v>-170000</v>
      </c>
      <c r="D61" s="303">
        <v>650000</v>
      </c>
      <c r="E61" s="303">
        <v>2500000</v>
      </c>
      <c r="F61" s="303">
        <v>895000</v>
      </c>
      <c r="G61" s="303">
        <v>100000</v>
      </c>
      <c r="H61" s="303">
        <v>450000</v>
      </c>
      <c r="I61" s="303">
        <v>100000</v>
      </c>
      <c r="J61" s="303">
        <v>170000</v>
      </c>
      <c r="K61" s="303">
        <v>0</v>
      </c>
      <c r="L61" s="303">
        <v>100000</v>
      </c>
      <c r="M61" s="303">
        <v>0</v>
      </c>
      <c r="N61" s="303">
        <v>1800000</v>
      </c>
      <c r="O61" s="303">
        <v>400000</v>
      </c>
      <c r="P61" s="303">
        <f t="shared" si="14"/>
        <v>7165000</v>
      </c>
      <c r="Q61" s="304">
        <f t="shared" si="15"/>
        <v>-7335000</v>
      </c>
      <c r="R61" s="303">
        <f t="shared" si="16"/>
        <v>-185000</v>
      </c>
    </row>
    <row r="62" spans="1:18" s="308" customFormat="1" ht="17.25" thickBot="1" x14ac:dyDescent="0.35">
      <c r="A62" s="343"/>
      <c r="B62" s="305" t="s">
        <v>88</v>
      </c>
      <c r="C62" s="306">
        <f t="shared" si="17"/>
        <v>-185000</v>
      </c>
      <c r="D62" s="306">
        <v>650000</v>
      </c>
      <c r="E62" s="306">
        <v>2500000</v>
      </c>
      <c r="F62" s="306">
        <v>890000</v>
      </c>
      <c r="G62" s="306">
        <v>100000</v>
      </c>
      <c r="H62" s="306">
        <v>450000</v>
      </c>
      <c r="I62" s="306">
        <v>100000</v>
      </c>
      <c r="J62" s="306">
        <v>170000</v>
      </c>
      <c r="K62" s="306">
        <v>0</v>
      </c>
      <c r="L62" s="306">
        <v>100000</v>
      </c>
      <c r="M62" s="306">
        <v>0</v>
      </c>
      <c r="N62" s="303">
        <v>1800000</v>
      </c>
      <c r="O62" s="306">
        <v>0</v>
      </c>
      <c r="P62" s="306">
        <f t="shared" si="14"/>
        <v>6760000</v>
      </c>
      <c r="Q62" s="307">
        <f t="shared" si="15"/>
        <v>-6945000</v>
      </c>
      <c r="R62" s="306">
        <f t="shared" si="16"/>
        <v>205000</v>
      </c>
    </row>
    <row r="63" spans="1:18" s="302" customFormat="1" x14ac:dyDescent="0.3">
      <c r="A63" s="341">
        <v>2028</v>
      </c>
      <c r="B63" s="302" t="s">
        <v>77</v>
      </c>
      <c r="C63" s="303">
        <f xml:space="preserve"> R62</f>
        <v>205000</v>
      </c>
      <c r="D63" s="303">
        <v>0</v>
      </c>
      <c r="E63" s="303">
        <v>2500000</v>
      </c>
      <c r="F63" s="303">
        <v>885000</v>
      </c>
      <c r="G63" s="303">
        <v>100000</v>
      </c>
      <c r="H63" s="303">
        <v>450000</v>
      </c>
      <c r="I63" s="303">
        <v>100000</v>
      </c>
      <c r="J63" s="303">
        <v>170000</v>
      </c>
      <c r="K63" s="303">
        <v>0</v>
      </c>
      <c r="L63" s="303">
        <v>100000</v>
      </c>
      <c r="M63" s="303">
        <v>0</v>
      </c>
      <c r="N63" s="303">
        <v>1800000</v>
      </c>
      <c r="O63" s="303">
        <v>400000</v>
      </c>
      <c r="P63" s="303">
        <f t="shared" ref="P63:P74" si="18">SUM(D63:O63)</f>
        <v>6505000</v>
      </c>
      <c r="Q63" s="309">
        <f t="shared" ref="Q63:Q74" si="19" xml:space="preserve"> C63 - P63</f>
        <v>-6300000</v>
      </c>
      <c r="R63" s="303">
        <f xml:space="preserve"> 7150000 + Q63</f>
        <v>850000</v>
      </c>
    </row>
    <row r="64" spans="1:18" s="302" customFormat="1" x14ac:dyDescent="0.3">
      <c r="A64" s="342"/>
      <c r="B64" s="302" t="s">
        <v>78</v>
      </c>
      <c r="C64" s="303">
        <f xml:space="preserve"> R63</f>
        <v>850000</v>
      </c>
      <c r="D64" s="303">
        <v>650000</v>
      </c>
      <c r="E64" s="303">
        <v>2500000</v>
      </c>
      <c r="F64" s="303">
        <v>880000</v>
      </c>
      <c r="G64" s="303">
        <v>100000</v>
      </c>
      <c r="H64" s="303">
        <v>450000</v>
      </c>
      <c r="I64" s="303">
        <v>100000</v>
      </c>
      <c r="J64" s="303">
        <v>170000</v>
      </c>
      <c r="K64" s="303">
        <v>0</v>
      </c>
      <c r="L64" s="303">
        <v>100000</v>
      </c>
      <c r="M64" s="303">
        <v>0</v>
      </c>
      <c r="N64" s="303">
        <v>1800000</v>
      </c>
      <c r="O64" s="303">
        <v>0</v>
      </c>
      <c r="P64" s="303">
        <f t="shared" si="18"/>
        <v>6750000</v>
      </c>
      <c r="Q64" s="304">
        <f t="shared" si="19"/>
        <v>-5900000</v>
      </c>
      <c r="R64" s="303">
        <f t="shared" ref="R64:R74" si="20" xml:space="preserve"> 7150000 + Q64</f>
        <v>1250000</v>
      </c>
    </row>
    <row r="65" spans="1:18" s="302" customFormat="1" x14ac:dyDescent="0.3">
      <c r="A65" s="342"/>
      <c r="B65" s="302" t="s">
        <v>79</v>
      </c>
      <c r="C65" s="303">
        <f t="shared" ref="C65:C74" si="21" xml:space="preserve"> R64</f>
        <v>1250000</v>
      </c>
      <c r="D65" s="303">
        <v>650000</v>
      </c>
      <c r="E65" s="303">
        <v>2500000</v>
      </c>
      <c r="F65" s="303">
        <v>875000</v>
      </c>
      <c r="G65" s="303">
        <v>100000</v>
      </c>
      <c r="H65" s="303">
        <v>450000</v>
      </c>
      <c r="I65" s="303">
        <v>100000</v>
      </c>
      <c r="J65" s="303">
        <v>170000</v>
      </c>
      <c r="K65" s="303">
        <v>0</v>
      </c>
      <c r="L65" s="303">
        <v>100000</v>
      </c>
      <c r="M65" s="303">
        <v>0</v>
      </c>
      <c r="N65" s="303">
        <v>1800000</v>
      </c>
      <c r="O65" s="303">
        <v>0</v>
      </c>
      <c r="P65" s="303">
        <f t="shared" si="18"/>
        <v>6745000</v>
      </c>
      <c r="Q65" s="304">
        <f t="shared" si="19"/>
        <v>-5495000</v>
      </c>
      <c r="R65" s="303">
        <f t="shared" si="20"/>
        <v>1655000</v>
      </c>
    </row>
    <row r="66" spans="1:18" s="302" customFormat="1" x14ac:dyDescent="0.3">
      <c r="A66" s="342"/>
      <c r="B66" s="302" t="s">
        <v>80</v>
      </c>
      <c r="C66" s="303">
        <f t="shared" si="21"/>
        <v>1655000</v>
      </c>
      <c r="D66" s="303">
        <v>650000</v>
      </c>
      <c r="E66" s="303">
        <v>2500000</v>
      </c>
      <c r="F66" s="303">
        <v>870000</v>
      </c>
      <c r="G66" s="303">
        <v>100000</v>
      </c>
      <c r="H66" s="303">
        <v>450000</v>
      </c>
      <c r="I66" s="303">
        <v>100000</v>
      </c>
      <c r="J66" s="303">
        <v>170000</v>
      </c>
      <c r="K66" s="303">
        <v>0</v>
      </c>
      <c r="L66" s="303">
        <v>100000</v>
      </c>
      <c r="M66" s="303">
        <v>0</v>
      </c>
      <c r="N66" s="303">
        <v>1800000</v>
      </c>
      <c r="O66" s="303">
        <v>0</v>
      </c>
      <c r="P66" s="303">
        <f t="shared" si="18"/>
        <v>6740000</v>
      </c>
      <c r="Q66" s="304">
        <f t="shared" si="19"/>
        <v>-5085000</v>
      </c>
      <c r="R66" s="303">
        <f t="shared" si="20"/>
        <v>2065000</v>
      </c>
    </row>
    <row r="67" spans="1:18" s="302" customFormat="1" x14ac:dyDescent="0.3">
      <c r="A67" s="342"/>
      <c r="B67" s="302" t="s">
        <v>81</v>
      </c>
      <c r="C67" s="303">
        <f t="shared" si="21"/>
        <v>2065000</v>
      </c>
      <c r="D67" s="303">
        <v>650000</v>
      </c>
      <c r="E67" s="303">
        <v>2500000</v>
      </c>
      <c r="F67" s="303">
        <v>865000</v>
      </c>
      <c r="G67" s="303">
        <v>100000</v>
      </c>
      <c r="H67" s="303">
        <v>450000</v>
      </c>
      <c r="I67" s="303">
        <v>100000</v>
      </c>
      <c r="J67" s="303">
        <v>170000</v>
      </c>
      <c r="K67" s="303">
        <v>0</v>
      </c>
      <c r="L67" s="303">
        <v>100000</v>
      </c>
      <c r="M67" s="303">
        <v>0</v>
      </c>
      <c r="N67" s="303">
        <v>1800000</v>
      </c>
      <c r="O67" s="303">
        <v>400000</v>
      </c>
      <c r="P67" s="303">
        <f t="shared" si="18"/>
        <v>7135000</v>
      </c>
      <c r="Q67" s="304">
        <f t="shared" si="19"/>
        <v>-5070000</v>
      </c>
      <c r="R67" s="303">
        <f t="shared" si="20"/>
        <v>2080000</v>
      </c>
    </row>
    <row r="68" spans="1:18" s="302" customFormat="1" x14ac:dyDescent="0.3">
      <c r="A68" s="342"/>
      <c r="B68" s="302" t="s">
        <v>82</v>
      </c>
      <c r="C68" s="303">
        <f t="shared" si="21"/>
        <v>2080000</v>
      </c>
      <c r="D68" s="303">
        <v>650000</v>
      </c>
      <c r="E68" s="303">
        <v>2500000</v>
      </c>
      <c r="F68" s="303">
        <v>860000</v>
      </c>
      <c r="G68" s="303">
        <v>100000</v>
      </c>
      <c r="H68" s="303">
        <v>450000</v>
      </c>
      <c r="I68" s="303">
        <v>100000</v>
      </c>
      <c r="J68" s="303">
        <v>170000</v>
      </c>
      <c r="K68" s="303">
        <v>0</v>
      </c>
      <c r="L68" s="303">
        <v>100000</v>
      </c>
      <c r="M68" s="303">
        <v>0</v>
      </c>
      <c r="N68" s="303">
        <v>1800000</v>
      </c>
      <c r="O68" s="303">
        <v>0</v>
      </c>
      <c r="P68" s="303">
        <f t="shared" si="18"/>
        <v>6730000</v>
      </c>
      <c r="Q68" s="304">
        <f t="shared" si="19"/>
        <v>-4650000</v>
      </c>
      <c r="R68" s="303">
        <f t="shared" si="20"/>
        <v>2500000</v>
      </c>
    </row>
    <row r="69" spans="1:18" s="302" customFormat="1" x14ac:dyDescent="0.3">
      <c r="A69" s="342"/>
      <c r="B69" s="302" t="s">
        <v>83</v>
      </c>
      <c r="C69" s="303">
        <f t="shared" si="21"/>
        <v>2500000</v>
      </c>
      <c r="D69" s="303">
        <v>650000</v>
      </c>
      <c r="E69" s="303">
        <v>2500000</v>
      </c>
      <c r="F69" s="303">
        <v>855000</v>
      </c>
      <c r="G69" s="303">
        <v>100000</v>
      </c>
      <c r="H69" s="303">
        <v>450000</v>
      </c>
      <c r="I69" s="303">
        <v>100000</v>
      </c>
      <c r="J69" s="303">
        <v>170000</v>
      </c>
      <c r="K69" s="303">
        <v>0</v>
      </c>
      <c r="L69" s="303">
        <v>100000</v>
      </c>
      <c r="M69" s="303">
        <v>0</v>
      </c>
      <c r="N69" s="303">
        <v>1800000</v>
      </c>
      <c r="O69" s="303">
        <v>0</v>
      </c>
      <c r="P69" s="303">
        <f t="shared" si="18"/>
        <v>6725000</v>
      </c>
      <c r="Q69" s="304">
        <f t="shared" si="19"/>
        <v>-4225000</v>
      </c>
      <c r="R69" s="303">
        <f t="shared" si="20"/>
        <v>2925000</v>
      </c>
    </row>
    <row r="70" spans="1:18" s="302" customFormat="1" x14ac:dyDescent="0.3">
      <c r="A70" s="342"/>
      <c r="B70" s="302" t="s">
        <v>84</v>
      </c>
      <c r="C70" s="303">
        <f t="shared" si="21"/>
        <v>2925000</v>
      </c>
      <c r="D70" s="303">
        <v>650000</v>
      </c>
      <c r="E70" s="303">
        <v>2500000</v>
      </c>
      <c r="F70" s="303">
        <v>850000</v>
      </c>
      <c r="G70" s="303">
        <v>100000</v>
      </c>
      <c r="H70" s="303">
        <v>450000</v>
      </c>
      <c r="I70" s="303">
        <v>100000</v>
      </c>
      <c r="J70" s="303">
        <v>170000</v>
      </c>
      <c r="K70" s="303">
        <v>0</v>
      </c>
      <c r="L70" s="303">
        <v>100000</v>
      </c>
      <c r="M70" s="303">
        <v>0</v>
      </c>
      <c r="N70" s="303">
        <v>1800000</v>
      </c>
      <c r="O70" s="303">
        <v>0</v>
      </c>
      <c r="P70" s="303">
        <f t="shared" si="18"/>
        <v>6720000</v>
      </c>
      <c r="Q70" s="304">
        <f t="shared" si="19"/>
        <v>-3795000</v>
      </c>
      <c r="R70" s="303">
        <f t="shared" si="20"/>
        <v>3355000</v>
      </c>
    </row>
    <row r="71" spans="1:18" s="302" customFormat="1" x14ac:dyDescent="0.3">
      <c r="A71" s="342"/>
      <c r="B71" s="302" t="s">
        <v>85</v>
      </c>
      <c r="C71" s="303">
        <f t="shared" si="21"/>
        <v>3355000</v>
      </c>
      <c r="D71" s="303">
        <v>650000</v>
      </c>
      <c r="E71" s="303">
        <v>2500000</v>
      </c>
      <c r="F71" s="303">
        <v>845000</v>
      </c>
      <c r="G71" s="303">
        <v>100000</v>
      </c>
      <c r="H71" s="303">
        <v>450000</v>
      </c>
      <c r="I71" s="303">
        <v>100000</v>
      </c>
      <c r="J71" s="303">
        <v>170000</v>
      </c>
      <c r="K71" s="303">
        <v>0</v>
      </c>
      <c r="L71" s="303">
        <v>100000</v>
      </c>
      <c r="M71" s="303">
        <v>0</v>
      </c>
      <c r="N71" s="303">
        <v>1800000</v>
      </c>
      <c r="O71" s="303">
        <v>400000</v>
      </c>
      <c r="P71" s="303">
        <f t="shared" si="18"/>
        <v>7115000</v>
      </c>
      <c r="Q71" s="304">
        <f t="shared" si="19"/>
        <v>-3760000</v>
      </c>
      <c r="R71" s="303">
        <f t="shared" si="20"/>
        <v>3390000</v>
      </c>
    </row>
    <row r="72" spans="1:18" s="302" customFormat="1" x14ac:dyDescent="0.3">
      <c r="A72" s="342"/>
      <c r="B72" s="302" t="s">
        <v>86</v>
      </c>
      <c r="C72" s="303">
        <f t="shared" si="21"/>
        <v>3390000</v>
      </c>
      <c r="D72" s="303">
        <v>650000</v>
      </c>
      <c r="E72" s="303">
        <v>2500000</v>
      </c>
      <c r="F72" s="303">
        <v>840000</v>
      </c>
      <c r="G72" s="303">
        <v>100000</v>
      </c>
      <c r="H72" s="303">
        <v>450000</v>
      </c>
      <c r="I72" s="303">
        <v>100000</v>
      </c>
      <c r="J72" s="303">
        <v>170000</v>
      </c>
      <c r="K72" s="303">
        <v>0</v>
      </c>
      <c r="L72" s="303">
        <v>100000</v>
      </c>
      <c r="M72" s="303">
        <v>0</v>
      </c>
      <c r="N72" s="303">
        <v>1800000</v>
      </c>
      <c r="O72" s="303">
        <v>0</v>
      </c>
      <c r="P72" s="303">
        <f t="shared" si="18"/>
        <v>6710000</v>
      </c>
      <c r="Q72" s="304">
        <f t="shared" si="19"/>
        <v>-3320000</v>
      </c>
      <c r="R72" s="303">
        <f t="shared" si="20"/>
        <v>3830000</v>
      </c>
    </row>
    <row r="73" spans="1:18" s="302" customFormat="1" x14ac:dyDescent="0.3">
      <c r="A73" s="342"/>
      <c r="B73" s="302" t="s">
        <v>87</v>
      </c>
      <c r="C73" s="303">
        <f t="shared" si="21"/>
        <v>3830000</v>
      </c>
      <c r="D73" s="303">
        <v>650000</v>
      </c>
      <c r="E73" s="303">
        <v>2500000</v>
      </c>
      <c r="F73" s="303">
        <v>835000</v>
      </c>
      <c r="G73" s="303">
        <v>100000</v>
      </c>
      <c r="H73" s="303">
        <v>450000</v>
      </c>
      <c r="I73" s="303">
        <v>100000</v>
      </c>
      <c r="J73" s="303">
        <v>170000</v>
      </c>
      <c r="K73" s="303">
        <v>0</v>
      </c>
      <c r="L73" s="303">
        <v>100000</v>
      </c>
      <c r="M73" s="303">
        <v>0</v>
      </c>
      <c r="N73" s="303">
        <v>1800000</v>
      </c>
      <c r="O73" s="303">
        <v>400000</v>
      </c>
      <c r="P73" s="303">
        <f t="shared" si="18"/>
        <v>7105000</v>
      </c>
      <c r="Q73" s="304">
        <f t="shared" si="19"/>
        <v>-3275000</v>
      </c>
      <c r="R73" s="303">
        <f t="shared" si="20"/>
        <v>3875000</v>
      </c>
    </row>
    <row r="74" spans="1:18" s="308" customFormat="1" ht="17.25" thickBot="1" x14ac:dyDescent="0.35">
      <c r="A74" s="343"/>
      <c r="B74" s="305" t="s">
        <v>88</v>
      </c>
      <c r="C74" s="306">
        <f t="shared" si="21"/>
        <v>3875000</v>
      </c>
      <c r="D74" s="306">
        <v>650000</v>
      </c>
      <c r="E74" s="306">
        <v>2500000</v>
      </c>
      <c r="F74" s="306">
        <v>830000</v>
      </c>
      <c r="G74" s="306">
        <v>100000</v>
      </c>
      <c r="H74" s="306">
        <v>450000</v>
      </c>
      <c r="I74" s="306">
        <v>100000</v>
      </c>
      <c r="J74" s="306">
        <v>170000</v>
      </c>
      <c r="K74" s="306">
        <v>0</v>
      </c>
      <c r="L74" s="306">
        <v>100000</v>
      </c>
      <c r="M74" s="306">
        <v>0</v>
      </c>
      <c r="N74" s="303">
        <v>1800000</v>
      </c>
      <c r="O74" s="306">
        <v>0</v>
      </c>
      <c r="P74" s="306">
        <f t="shared" si="18"/>
        <v>6700000</v>
      </c>
      <c r="Q74" s="307">
        <f t="shared" si="19"/>
        <v>-2825000</v>
      </c>
      <c r="R74" s="306">
        <f t="shared" si="20"/>
        <v>4325000</v>
      </c>
    </row>
    <row r="75" spans="1:18" s="302" customFormat="1" x14ac:dyDescent="0.3">
      <c r="A75" s="341">
        <v>2029</v>
      </c>
      <c r="B75" s="302" t="s">
        <v>77</v>
      </c>
      <c r="C75" s="303">
        <f xml:space="preserve"> R74</f>
        <v>4325000</v>
      </c>
      <c r="D75" s="303">
        <v>0</v>
      </c>
      <c r="E75" s="303">
        <v>2500000</v>
      </c>
      <c r="F75" s="303">
        <v>825000</v>
      </c>
      <c r="G75" s="303">
        <v>100000</v>
      </c>
      <c r="H75" s="303">
        <v>450000</v>
      </c>
      <c r="I75" s="303">
        <v>100000</v>
      </c>
      <c r="J75" s="303">
        <v>170000</v>
      </c>
      <c r="K75" s="303">
        <v>0</v>
      </c>
      <c r="L75" s="303">
        <v>100000</v>
      </c>
      <c r="M75" s="303">
        <v>0</v>
      </c>
      <c r="N75" s="303">
        <v>1800000</v>
      </c>
      <c r="O75" s="303">
        <v>400000</v>
      </c>
      <c r="P75" s="303">
        <f t="shared" ref="P75:P86" si="22">SUM(D75:O75)</f>
        <v>6445000</v>
      </c>
      <c r="Q75" s="309">
        <f t="shared" ref="Q75:Q86" si="23" xml:space="preserve"> C75 - P75</f>
        <v>-2120000</v>
      </c>
      <c r="R75" s="303">
        <f xml:space="preserve"> 7150000 + Q75</f>
        <v>5030000</v>
      </c>
    </row>
    <row r="76" spans="1:18" s="302" customFormat="1" x14ac:dyDescent="0.3">
      <c r="A76" s="342"/>
      <c r="B76" s="302" t="s">
        <v>78</v>
      </c>
      <c r="C76" s="303">
        <f xml:space="preserve"> R75</f>
        <v>5030000</v>
      </c>
      <c r="D76" s="303">
        <v>650000</v>
      </c>
      <c r="E76" s="303">
        <v>2500000</v>
      </c>
      <c r="F76" s="303">
        <v>820000</v>
      </c>
      <c r="G76" s="303">
        <v>100000</v>
      </c>
      <c r="H76" s="303">
        <v>450000</v>
      </c>
      <c r="I76" s="303">
        <v>100000</v>
      </c>
      <c r="J76" s="303">
        <v>170000</v>
      </c>
      <c r="K76" s="303">
        <v>0</v>
      </c>
      <c r="L76" s="303">
        <v>100000</v>
      </c>
      <c r="M76" s="303">
        <v>0</v>
      </c>
      <c r="N76" s="303">
        <v>1800000</v>
      </c>
      <c r="O76" s="303">
        <v>0</v>
      </c>
      <c r="P76" s="303">
        <f t="shared" si="22"/>
        <v>6690000</v>
      </c>
      <c r="Q76" s="304">
        <f t="shared" si="23"/>
        <v>-1660000</v>
      </c>
      <c r="R76" s="303">
        <f t="shared" ref="R76:R86" si="24" xml:space="preserve"> 7150000 + Q76</f>
        <v>5490000</v>
      </c>
    </row>
    <row r="77" spans="1:18" s="302" customFormat="1" x14ac:dyDescent="0.3">
      <c r="A77" s="342"/>
      <c r="B77" s="302" t="s">
        <v>79</v>
      </c>
      <c r="C77" s="303">
        <f t="shared" ref="C77:C86" si="25" xml:space="preserve"> R76</f>
        <v>5490000</v>
      </c>
      <c r="D77" s="303">
        <v>650000</v>
      </c>
      <c r="E77" s="303">
        <v>2500000</v>
      </c>
      <c r="F77" s="303">
        <v>815000</v>
      </c>
      <c r="G77" s="303">
        <v>100000</v>
      </c>
      <c r="H77" s="303">
        <v>450000</v>
      </c>
      <c r="I77" s="303">
        <v>100000</v>
      </c>
      <c r="J77" s="303">
        <v>170000</v>
      </c>
      <c r="K77" s="303">
        <v>0</v>
      </c>
      <c r="L77" s="303">
        <v>100000</v>
      </c>
      <c r="M77" s="303">
        <v>0</v>
      </c>
      <c r="N77" s="303">
        <v>1800000</v>
      </c>
      <c r="O77" s="303">
        <v>0</v>
      </c>
      <c r="P77" s="303">
        <f t="shared" si="22"/>
        <v>6685000</v>
      </c>
      <c r="Q77" s="304">
        <f t="shared" si="23"/>
        <v>-1195000</v>
      </c>
      <c r="R77" s="303">
        <f t="shared" si="24"/>
        <v>5955000</v>
      </c>
    </row>
    <row r="78" spans="1:18" s="302" customFormat="1" x14ac:dyDescent="0.3">
      <c r="A78" s="342"/>
      <c r="B78" s="302" t="s">
        <v>80</v>
      </c>
      <c r="C78" s="303">
        <f t="shared" si="25"/>
        <v>5955000</v>
      </c>
      <c r="D78" s="303">
        <v>650000</v>
      </c>
      <c r="E78" s="303">
        <v>2500000</v>
      </c>
      <c r="F78" s="303">
        <v>810000</v>
      </c>
      <c r="G78" s="303">
        <v>100000</v>
      </c>
      <c r="H78" s="303">
        <v>450000</v>
      </c>
      <c r="I78" s="303">
        <v>100000</v>
      </c>
      <c r="J78" s="303">
        <v>170000</v>
      </c>
      <c r="K78" s="303">
        <v>0</v>
      </c>
      <c r="L78" s="303">
        <v>100000</v>
      </c>
      <c r="M78" s="303">
        <v>0</v>
      </c>
      <c r="N78" s="303">
        <v>1800000</v>
      </c>
      <c r="O78" s="303">
        <v>0</v>
      </c>
      <c r="P78" s="303">
        <f t="shared" si="22"/>
        <v>6680000</v>
      </c>
      <c r="Q78" s="304">
        <f t="shared" si="23"/>
        <v>-725000</v>
      </c>
      <c r="R78" s="303">
        <f t="shared" si="24"/>
        <v>6425000</v>
      </c>
    </row>
    <row r="79" spans="1:18" s="302" customFormat="1" x14ac:dyDescent="0.3">
      <c r="A79" s="342"/>
      <c r="B79" s="302" t="s">
        <v>81</v>
      </c>
      <c r="C79" s="303">
        <f t="shared" si="25"/>
        <v>6425000</v>
      </c>
      <c r="D79" s="303">
        <v>650000</v>
      </c>
      <c r="E79" s="303">
        <v>2500000</v>
      </c>
      <c r="F79" s="303">
        <v>805000</v>
      </c>
      <c r="G79" s="303">
        <v>100000</v>
      </c>
      <c r="H79" s="303">
        <v>450000</v>
      </c>
      <c r="I79" s="303">
        <v>100000</v>
      </c>
      <c r="J79" s="303">
        <v>170000</v>
      </c>
      <c r="K79" s="303">
        <v>0</v>
      </c>
      <c r="L79" s="303">
        <v>100000</v>
      </c>
      <c r="M79" s="303">
        <v>0</v>
      </c>
      <c r="N79" s="303">
        <v>1800000</v>
      </c>
      <c r="O79" s="303">
        <v>400000</v>
      </c>
      <c r="P79" s="303">
        <f t="shared" si="22"/>
        <v>7075000</v>
      </c>
      <c r="Q79" s="304">
        <f t="shared" si="23"/>
        <v>-650000</v>
      </c>
      <c r="R79" s="303">
        <f t="shared" si="24"/>
        <v>6500000</v>
      </c>
    </row>
    <row r="80" spans="1:18" s="302" customFormat="1" x14ac:dyDescent="0.3">
      <c r="A80" s="342"/>
      <c r="B80" s="302" t="s">
        <v>82</v>
      </c>
      <c r="C80" s="303">
        <f t="shared" si="25"/>
        <v>6500000</v>
      </c>
      <c r="D80" s="303">
        <v>650000</v>
      </c>
      <c r="E80" s="303">
        <v>2500000</v>
      </c>
      <c r="F80" s="303">
        <v>800000</v>
      </c>
      <c r="G80" s="303">
        <v>100000</v>
      </c>
      <c r="H80" s="303">
        <v>450000</v>
      </c>
      <c r="I80" s="303">
        <v>100000</v>
      </c>
      <c r="J80" s="303">
        <v>170000</v>
      </c>
      <c r="K80" s="303">
        <v>0</v>
      </c>
      <c r="L80" s="303">
        <v>100000</v>
      </c>
      <c r="M80" s="303">
        <v>0</v>
      </c>
      <c r="N80" s="303">
        <v>1800000</v>
      </c>
      <c r="O80" s="303">
        <v>0</v>
      </c>
      <c r="P80" s="303">
        <f t="shared" si="22"/>
        <v>6670000</v>
      </c>
      <c r="Q80" s="304">
        <f t="shared" si="23"/>
        <v>-170000</v>
      </c>
      <c r="R80" s="303">
        <f t="shared" si="24"/>
        <v>6980000</v>
      </c>
    </row>
    <row r="81" spans="1:18" s="302" customFormat="1" x14ac:dyDescent="0.3">
      <c r="A81" s="342"/>
      <c r="B81" s="302" t="s">
        <v>83</v>
      </c>
      <c r="C81" s="303">
        <f t="shared" si="25"/>
        <v>6980000</v>
      </c>
      <c r="D81" s="303">
        <v>650000</v>
      </c>
      <c r="E81" s="303">
        <v>2500000</v>
      </c>
      <c r="F81" s="303">
        <v>795000</v>
      </c>
      <c r="G81" s="303">
        <v>100000</v>
      </c>
      <c r="H81" s="303">
        <v>450000</v>
      </c>
      <c r="I81" s="303">
        <v>100000</v>
      </c>
      <c r="J81" s="303">
        <v>170000</v>
      </c>
      <c r="K81" s="303">
        <v>0</v>
      </c>
      <c r="L81" s="303">
        <v>100000</v>
      </c>
      <c r="M81" s="303">
        <v>0</v>
      </c>
      <c r="N81" s="303">
        <v>1800000</v>
      </c>
      <c r="O81" s="303">
        <v>0</v>
      </c>
      <c r="P81" s="303">
        <f t="shared" si="22"/>
        <v>6665000</v>
      </c>
      <c r="Q81" s="304">
        <f t="shared" si="23"/>
        <v>315000</v>
      </c>
      <c r="R81" s="303">
        <f t="shared" si="24"/>
        <v>7465000</v>
      </c>
    </row>
    <row r="82" spans="1:18" s="302" customFormat="1" x14ac:dyDescent="0.3">
      <c r="A82" s="342"/>
      <c r="B82" s="302" t="s">
        <v>84</v>
      </c>
      <c r="C82" s="303">
        <f t="shared" si="25"/>
        <v>7465000</v>
      </c>
      <c r="D82" s="303">
        <v>650000</v>
      </c>
      <c r="E82" s="303">
        <v>2500000</v>
      </c>
      <c r="F82" s="303">
        <v>790000</v>
      </c>
      <c r="G82" s="303">
        <v>100000</v>
      </c>
      <c r="H82" s="303">
        <v>450000</v>
      </c>
      <c r="I82" s="303">
        <v>100000</v>
      </c>
      <c r="J82" s="303">
        <v>170000</v>
      </c>
      <c r="K82" s="303">
        <v>0</v>
      </c>
      <c r="L82" s="303">
        <v>100000</v>
      </c>
      <c r="M82" s="303">
        <v>0</v>
      </c>
      <c r="N82" s="303">
        <v>1800000</v>
      </c>
      <c r="O82" s="303">
        <v>0</v>
      </c>
      <c r="P82" s="303">
        <f t="shared" si="22"/>
        <v>6660000</v>
      </c>
      <c r="Q82" s="304">
        <f t="shared" si="23"/>
        <v>805000</v>
      </c>
      <c r="R82" s="303">
        <f t="shared" si="24"/>
        <v>7955000</v>
      </c>
    </row>
    <row r="83" spans="1:18" s="302" customFormat="1" x14ac:dyDescent="0.3">
      <c r="A83" s="342"/>
      <c r="B83" s="302" t="s">
        <v>85</v>
      </c>
      <c r="C83" s="303">
        <f t="shared" si="25"/>
        <v>7955000</v>
      </c>
      <c r="D83" s="303">
        <v>650000</v>
      </c>
      <c r="E83" s="303">
        <v>2500000</v>
      </c>
      <c r="F83" s="303">
        <v>785000</v>
      </c>
      <c r="G83" s="303">
        <v>100000</v>
      </c>
      <c r="H83" s="303">
        <v>450000</v>
      </c>
      <c r="I83" s="303">
        <v>100000</v>
      </c>
      <c r="J83" s="303">
        <v>170000</v>
      </c>
      <c r="K83" s="303">
        <v>0</v>
      </c>
      <c r="L83" s="303">
        <v>100000</v>
      </c>
      <c r="M83" s="303">
        <v>0</v>
      </c>
      <c r="N83" s="303">
        <v>1800000</v>
      </c>
      <c r="O83" s="303">
        <v>400000</v>
      </c>
      <c r="P83" s="303">
        <f t="shared" si="22"/>
        <v>7055000</v>
      </c>
      <c r="Q83" s="304">
        <f t="shared" si="23"/>
        <v>900000</v>
      </c>
      <c r="R83" s="303">
        <f t="shared" si="24"/>
        <v>8050000</v>
      </c>
    </row>
    <row r="84" spans="1:18" s="302" customFormat="1" x14ac:dyDescent="0.3">
      <c r="A84" s="342"/>
      <c r="B84" s="302" t="s">
        <v>86</v>
      </c>
      <c r="C84" s="303">
        <f t="shared" si="25"/>
        <v>8050000</v>
      </c>
      <c r="D84" s="303">
        <v>650000</v>
      </c>
      <c r="E84" s="303">
        <v>2500000</v>
      </c>
      <c r="F84" s="303">
        <v>780000</v>
      </c>
      <c r="G84" s="303">
        <v>100000</v>
      </c>
      <c r="H84" s="303">
        <v>450000</v>
      </c>
      <c r="I84" s="303">
        <v>100000</v>
      </c>
      <c r="J84" s="303">
        <v>170000</v>
      </c>
      <c r="K84" s="303">
        <v>0</v>
      </c>
      <c r="L84" s="303">
        <v>100000</v>
      </c>
      <c r="M84" s="303">
        <v>0</v>
      </c>
      <c r="N84" s="303">
        <v>1800000</v>
      </c>
      <c r="O84" s="303">
        <v>0</v>
      </c>
      <c r="P84" s="303">
        <f t="shared" si="22"/>
        <v>6650000</v>
      </c>
      <c r="Q84" s="304">
        <f t="shared" si="23"/>
        <v>1400000</v>
      </c>
      <c r="R84" s="303">
        <f t="shared" si="24"/>
        <v>8550000</v>
      </c>
    </row>
    <row r="85" spans="1:18" s="302" customFormat="1" x14ac:dyDescent="0.3">
      <c r="A85" s="342"/>
      <c r="B85" s="302" t="s">
        <v>87</v>
      </c>
      <c r="C85" s="303">
        <f t="shared" si="25"/>
        <v>8550000</v>
      </c>
      <c r="D85" s="303">
        <v>650000</v>
      </c>
      <c r="E85" s="303">
        <v>2500000</v>
      </c>
      <c r="F85" s="303">
        <v>775000</v>
      </c>
      <c r="G85" s="303">
        <v>100000</v>
      </c>
      <c r="H85" s="303">
        <v>450000</v>
      </c>
      <c r="I85" s="303">
        <v>100000</v>
      </c>
      <c r="J85" s="303">
        <v>170000</v>
      </c>
      <c r="K85" s="303">
        <v>0</v>
      </c>
      <c r="L85" s="303">
        <v>100000</v>
      </c>
      <c r="M85" s="303">
        <v>0</v>
      </c>
      <c r="N85" s="303">
        <v>1800000</v>
      </c>
      <c r="O85" s="303">
        <v>400000</v>
      </c>
      <c r="P85" s="303">
        <f t="shared" si="22"/>
        <v>7045000</v>
      </c>
      <c r="Q85" s="304">
        <f t="shared" si="23"/>
        <v>1505000</v>
      </c>
      <c r="R85" s="303">
        <f t="shared" si="24"/>
        <v>8655000</v>
      </c>
    </row>
    <row r="86" spans="1:18" s="308" customFormat="1" ht="17.25" thickBot="1" x14ac:dyDescent="0.35">
      <c r="A86" s="343"/>
      <c r="B86" s="305" t="s">
        <v>88</v>
      </c>
      <c r="C86" s="306">
        <f t="shared" si="25"/>
        <v>8655000</v>
      </c>
      <c r="D86" s="306">
        <v>650000</v>
      </c>
      <c r="E86" s="306">
        <v>2500000</v>
      </c>
      <c r="F86" s="306">
        <v>770000</v>
      </c>
      <c r="G86" s="306">
        <v>100000</v>
      </c>
      <c r="H86" s="306">
        <v>450000</v>
      </c>
      <c r="I86" s="306">
        <v>100000</v>
      </c>
      <c r="J86" s="306">
        <v>170000</v>
      </c>
      <c r="K86" s="306">
        <v>0</v>
      </c>
      <c r="L86" s="306">
        <v>100000</v>
      </c>
      <c r="M86" s="306">
        <v>0</v>
      </c>
      <c r="N86" s="303">
        <v>1800000</v>
      </c>
      <c r="O86" s="306">
        <v>0</v>
      </c>
      <c r="P86" s="306">
        <f t="shared" si="22"/>
        <v>6640000</v>
      </c>
      <c r="Q86" s="307">
        <f t="shared" si="23"/>
        <v>2015000</v>
      </c>
      <c r="R86" s="306">
        <f t="shared" si="24"/>
        <v>9165000</v>
      </c>
    </row>
    <row r="87" spans="1:18" s="302" customFormat="1" x14ac:dyDescent="0.3">
      <c r="A87" s="341">
        <v>2030</v>
      </c>
      <c r="B87" s="302" t="s">
        <v>77</v>
      </c>
      <c r="C87" s="303">
        <f xml:space="preserve"> R86</f>
        <v>9165000</v>
      </c>
      <c r="D87" s="303">
        <v>0</v>
      </c>
      <c r="E87" s="303">
        <v>2500000</v>
      </c>
      <c r="F87" s="303">
        <v>765000</v>
      </c>
      <c r="G87" s="303">
        <v>100000</v>
      </c>
      <c r="H87" s="303">
        <v>450000</v>
      </c>
      <c r="I87" s="303">
        <v>100000</v>
      </c>
      <c r="J87" s="303">
        <v>170000</v>
      </c>
      <c r="K87" s="303">
        <v>0</v>
      </c>
      <c r="L87" s="303">
        <v>100000</v>
      </c>
      <c r="M87" s="303">
        <v>0</v>
      </c>
      <c r="N87" s="303">
        <v>1800000</v>
      </c>
      <c r="O87" s="303">
        <v>400000</v>
      </c>
      <c r="P87" s="303">
        <f t="shared" ref="P87:P98" si="26">SUM(D87:O87)</f>
        <v>6385000</v>
      </c>
      <c r="Q87" s="309">
        <f t="shared" ref="Q87:Q98" si="27" xml:space="preserve"> C87 - P87</f>
        <v>2780000</v>
      </c>
      <c r="R87" s="303">
        <f xml:space="preserve"> 7150000 + Q87</f>
        <v>9930000</v>
      </c>
    </row>
    <row r="88" spans="1:18" s="302" customFormat="1" x14ac:dyDescent="0.3">
      <c r="A88" s="342"/>
      <c r="B88" s="302" t="s">
        <v>78</v>
      </c>
      <c r="C88" s="303">
        <f xml:space="preserve"> R87</f>
        <v>9930000</v>
      </c>
      <c r="D88" s="303">
        <v>650000</v>
      </c>
      <c r="E88" s="303">
        <v>2500000</v>
      </c>
      <c r="F88" s="303">
        <v>760000</v>
      </c>
      <c r="G88" s="303">
        <v>100000</v>
      </c>
      <c r="H88" s="303">
        <v>450000</v>
      </c>
      <c r="I88" s="303">
        <v>100000</v>
      </c>
      <c r="J88" s="303">
        <v>170000</v>
      </c>
      <c r="K88" s="303">
        <v>0</v>
      </c>
      <c r="L88" s="303">
        <v>100000</v>
      </c>
      <c r="M88" s="303">
        <v>0</v>
      </c>
      <c r="N88" s="303">
        <v>1800000</v>
      </c>
      <c r="O88" s="303">
        <v>0</v>
      </c>
      <c r="P88" s="303">
        <f t="shared" si="26"/>
        <v>6630000</v>
      </c>
      <c r="Q88" s="304">
        <f t="shared" si="27"/>
        <v>3300000</v>
      </c>
      <c r="R88" s="303">
        <f t="shared" ref="R88:R98" si="28" xml:space="preserve"> 7150000 + Q88</f>
        <v>10450000</v>
      </c>
    </row>
    <row r="89" spans="1:18" s="302" customFormat="1" x14ac:dyDescent="0.3">
      <c r="A89" s="342"/>
      <c r="B89" s="302" t="s">
        <v>79</v>
      </c>
      <c r="C89" s="303">
        <f t="shared" ref="C89:C98" si="29" xml:space="preserve"> R88</f>
        <v>10450000</v>
      </c>
      <c r="D89" s="303">
        <v>650000</v>
      </c>
      <c r="E89" s="303">
        <v>2500000</v>
      </c>
      <c r="F89" s="303">
        <v>755000</v>
      </c>
      <c r="G89" s="303">
        <v>100000</v>
      </c>
      <c r="H89" s="303">
        <v>450000</v>
      </c>
      <c r="I89" s="303">
        <v>100000</v>
      </c>
      <c r="J89" s="303">
        <v>170000</v>
      </c>
      <c r="K89" s="303">
        <v>0</v>
      </c>
      <c r="L89" s="303">
        <v>100000</v>
      </c>
      <c r="M89" s="303">
        <v>0</v>
      </c>
      <c r="N89" s="303">
        <v>1800000</v>
      </c>
      <c r="O89" s="303">
        <v>0</v>
      </c>
      <c r="P89" s="303">
        <f t="shared" si="26"/>
        <v>6625000</v>
      </c>
      <c r="Q89" s="304">
        <f t="shared" si="27"/>
        <v>3825000</v>
      </c>
      <c r="R89" s="303">
        <f t="shared" si="28"/>
        <v>10975000</v>
      </c>
    </row>
    <row r="90" spans="1:18" s="302" customFormat="1" x14ac:dyDescent="0.3">
      <c r="A90" s="342"/>
      <c r="B90" s="302" t="s">
        <v>80</v>
      </c>
      <c r="C90" s="303">
        <f t="shared" si="29"/>
        <v>10975000</v>
      </c>
      <c r="D90" s="303">
        <v>650000</v>
      </c>
      <c r="E90" s="303">
        <v>2500000</v>
      </c>
      <c r="F90" s="303">
        <v>750000</v>
      </c>
      <c r="G90" s="303">
        <v>100000</v>
      </c>
      <c r="H90" s="303">
        <v>450000</v>
      </c>
      <c r="I90" s="303">
        <v>100000</v>
      </c>
      <c r="J90" s="303">
        <v>170000</v>
      </c>
      <c r="K90" s="303">
        <v>0</v>
      </c>
      <c r="L90" s="303">
        <v>100000</v>
      </c>
      <c r="M90" s="303">
        <v>0</v>
      </c>
      <c r="N90" s="303">
        <v>1800000</v>
      </c>
      <c r="O90" s="303">
        <v>0</v>
      </c>
      <c r="P90" s="303">
        <f t="shared" si="26"/>
        <v>6620000</v>
      </c>
      <c r="Q90" s="304">
        <f t="shared" si="27"/>
        <v>4355000</v>
      </c>
      <c r="R90" s="303">
        <f t="shared" si="28"/>
        <v>11505000</v>
      </c>
    </row>
    <row r="91" spans="1:18" s="302" customFormat="1" x14ac:dyDescent="0.3">
      <c r="A91" s="342"/>
      <c r="B91" s="302" t="s">
        <v>81</v>
      </c>
      <c r="C91" s="303">
        <f t="shared" si="29"/>
        <v>11505000</v>
      </c>
      <c r="D91" s="303">
        <v>650000</v>
      </c>
      <c r="E91" s="303">
        <v>2500000</v>
      </c>
      <c r="F91" s="303">
        <v>745000</v>
      </c>
      <c r="G91" s="303">
        <v>100000</v>
      </c>
      <c r="H91" s="303">
        <v>450000</v>
      </c>
      <c r="I91" s="303">
        <v>100000</v>
      </c>
      <c r="J91" s="303">
        <v>170000</v>
      </c>
      <c r="K91" s="303">
        <v>0</v>
      </c>
      <c r="L91" s="303">
        <v>100000</v>
      </c>
      <c r="M91" s="303">
        <v>0</v>
      </c>
      <c r="N91" s="303">
        <v>1800000</v>
      </c>
      <c r="O91" s="303">
        <v>400000</v>
      </c>
      <c r="P91" s="303">
        <f t="shared" si="26"/>
        <v>7015000</v>
      </c>
      <c r="Q91" s="304">
        <f t="shared" si="27"/>
        <v>4490000</v>
      </c>
      <c r="R91" s="303">
        <f t="shared" si="28"/>
        <v>11640000</v>
      </c>
    </row>
    <row r="92" spans="1:18" s="302" customFormat="1" x14ac:dyDescent="0.3">
      <c r="A92" s="342"/>
      <c r="B92" s="302" t="s">
        <v>82</v>
      </c>
      <c r="C92" s="303">
        <f t="shared" si="29"/>
        <v>11640000</v>
      </c>
      <c r="D92" s="303">
        <v>650000</v>
      </c>
      <c r="E92" s="303">
        <v>2500000</v>
      </c>
      <c r="F92" s="303">
        <v>740000</v>
      </c>
      <c r="G92" s="303">
        <v>100000</v>
      </c>
      <c r="H92" s="303">
        <v>450000</v>
      </c>
      <c r="I92" s="303">
        <v>100000</v>
      </c>
      <c r="J92" s="303">
        <v>170000</v>
      </c>
      <c r="K92" s="303">
        <v>0</v>
      </c>
      <c r="L92" s="303">
        <v>100000</v>
      </c>
      <c r="M92" s="303">
        <v>0</v>
      </c>
      <c r="N92" s="303">
        <v>1800000</v>
      </c>
      <c r="O92" s="303">
        <v>0</v>
      </c>
      <c r="P92" s="303">
        <f t="shared" si="26"/>
        <v>6610000</v>
      </c>
      <c r="Q92" s="304">
        <f t="shared" si="27"/>
        <v>5030000</v>
      </c>
      <c r="R92" s="303">
        <f t="shared" si="28"/>
        <v>12180000</v>
      </c>
    </row>
    <row r="93" spans="1:18" s="302" customFormat="1" x14ac:dyDescent="0.3">
      <c r="A93" s="342"/>
      <c r="B93" s="302" t="s">
        <v>83</v>
      </c>
      <c r="C93" s="303">
        <f t="shared" si="29"/>
        <v>12180000</v>
      </c>
      <c r="D93" s="303">
        <v>650000</v>
      </c>
      <c r="E93" s="303">
        <v>2500000</v>
      </c>
      <c r="F93" s="303">
        <v>735000</v>
      </c>
      <c r="G93" s="303">
        <v>100000</v>
      </c>
      <c r="H93" s="303">
        <v>450000</v>
      </c>
      <c r="I93" s="303">
        <v>100000</v>
      </c>
      <c r="J93" s="303">
        <v>170000</v>
      </c>
      <c r="K93" s="303">
        <v>0</v>
      </c>
      <c r="L93" s="303">
        <v>100000</v>
      </c>
      <c r="M93" s="303">
        <v>0</v>
      </c>
      <c r="N93" s="303">
        <v>1800000</v>
      </c>
      <c r="O93" s="303">
        <v>0</v>
      </c>
      <c r="P93" s="303">
        <f t="shared" si="26"/>
        <v>6605000</v>
      </c>
      <c r="Q93" s="304">
        <f t="shared" si="27"/>
        <v>5575000</v>
      </c>
      <c r="R93" s="303">
        <f t="shared" si="28"/>
        <v>12725000</v>
      </c>
    </row>
    <row r="94" spans="1:18" s="302" customFormat="1" x14ac:dyDescent="0.3">
      <c r="A94" s="342"/>
      <c r="B94" s="302" t="s">
        <v>84</v>
      </c>
      <c r="C94" s="303">
        <f t="shared" si="29"/>
        <v>12725000</v>
      </c>
      <c r="D94" s="303">
        <v>650000</v>
      </c>
      <c r="E94" s="303">
        <v>2500000</v>
      </c>
      <c r="F94" s="303">
        <v>730000</v>
      </c>
      <c r="G94" s="303">
        <v>100000</v>
      </c>
      <c r="H94" s="303">
        <v>450000</v>
      </c>
      <c r="I94" s="303">
        <v>100000</v>
      </c>
      <c r="J94" s="303">
        <v>170000</v>
      </c>
      <c r="K94" s="303">
        <v>0</v>
      </c>
      <c r="L94" s="303">
        <v>100000</v>
      </c>
      <c r="M94" s="303">
        <v>0</v>
      </c>
      <c r="N94" s="303">
        <v>1800000</v>
      </c>
      <c r="O94" s="303">
        <v>0</v>
      </c>
      <c r="P94" s="303">
        <f t="shared" si="26"/>
        <v>6600000</v>
      </c>
      <c r="Q94" s="304">
        <f t="shared" si="27"/>
        <v>6125000</v>
      </c>
      <c r="R94" s="303">
        <f t="shared" si="28"/>
        <v>13275000</v>
      </c>
    </row>
    <row r="95" spans="1:18" s="302" customFormat="1" x14ac:dyDescent="0.3">
      <c r="A95" s="342"/>
      <c r="B95" s="302" t="s">
        <v>85</v>
      </c>
      <c r="C95" s="303">
        <f t="shared" si="29"/>
        <v>13275000</v>
      </c>
      <c r="D95" s="303">
        <v>650000</v>
      </c>
      <c r="E95" s="303">
        <v>2500000</v>
      </c>
      <c r="F95" s="303">
        <v>725000</v>
      </c>
      <c r="G95" s="303">
        <v>100000</v>
      </c>
      <c r="H95" s="303">
        <v>450000</v>
      </c>
      <c r="I95" s="303">
        <v>100000</v>
      </c>
      <c r="J95" s="303">
        <v>170000</v>
      </c>
      <c r="K95" s="303">
        <v>0</v>
      </c>
      <c r="L95" s="303">
        <v>100000</v>
      </c>
      <c r="M95" s="303">
        <v>0</v>
      </c>
      <c r="N95" s="303">
        <v>1800000</v>
      </c>
      <c r="O95" s="303">
        <v>400000</v>
      </c>
      <c r="P95" s="303">
        <f t="shared" si="26"/>
        <v>6995000</v>
      </c>
      <c r="Q95" s="304">
        <f t="shared" si="27"/>
        <v>6280000</v>
      </c>
      <c r="R95" s="303">
        <f t="shared" si="28"/>
        <v>13430000</v>
      </c>
    </row>
    <row r="96" spans="1:18" s="302" customFormat="1" x14ac:dyDescent="0.3">
      <c r="A96" s="342"/>
      <c r="B96" s="302" t="s">
        <v>86</v>
      </c>
      <c r="C96" s="303">
        <f t="shared" si="29"/>
        <v>13430000</v>
      </c>
      <c r="D96" s="303">
        <v>650000</v>
      </c>
      <c r="E96" s="303">
        <v>2500000</v>
      </c>
      <c r="F96" s="303">
        <v>720000</v>
      </c>
      <c r="G96" s="303">
        <v>100000</v>
      </c>
      <c r="H96" s="303">
        <v>450000</v>
      </c>
      <c r="I96" s="303">
        <v>100000</v>
      </c>
      <c r="J96" s="303">
        <v>170000</v>
      </c>
      <c r="K96" s="303">
        <v>0</v>
      </c>
      <c r="L96" s="303">
        <v>100000</v>
      </c>
      <c r="M96" s="303">
        <v>0</v>
      </c>
      <c r="N96" s="303">
        <v>1800000</v>
      </c>
      <c r="O96" s="303">
        <v>0</v>
      </c>
      <c r="P96" s="303">
        <f t="shared" si="26"/>
        <v>6590000</v>
      </c>
      <c r="Q96" s="304">
        <f t="shared" si="27"/>
        <v>6840000</v>
      </c>
      <c r="R96" s="303">
        <f t="shared" si="28"/>
        <v>13990000</v>
      </c>
    </row>
    <row r="97" spans="1:18" s="302" customFormat="1" x14ac:dyDescent="0.3">
      <c r="A97" s="342"/>
      <c r="B97" s="302" t="s">
        <v>87</v>
      </c>
      <c r="C97" s="303">
        <f t="shared" si="29"/>
        <v>13990000</v>
      </c>
      <c r="D97" s="303">
        <v>650000</v>
      </c>
      <c r="E97" s="303">
        <v>2500000</v>
      </c>
      <c r="F97" s="303">
        <v>715000</v>
      </c>
      <c r="G97" s="303">
        <v>100000</v>
      </c>
      <c r="H97" s="303">
        <v>450000</v>
      </c>
      <c r="I97" s="303">
        <v>100000</v>
      </c>
      <c r="J97" s="303">
        <v>170000</v>
      </c>
      <c r="K97" s="303">
        <v>0</v>
      </c>
      <c r="L97" s="303">
        <v>100000</v>
      </c>
      <c r="M97" s="303">
        <v>0</v>
      </c>
      <c r="N97" s="303">
        <v>1800000</v>
      </c>
      <c r="O97" s="303">
        <v>400000</v>
      </c>
      <c r="P97" s="303">
        <f t="shared" si="26"/>
        <v>6985000</v>
      </c>
      <c r="Q97" s="304">
        <f t="shared" si="27"/>
        <v>7005000</v>
      </c>
      <c r="R97" s="303">
        <f t="shared" si="28"/>
        <v>14155000</v>
      </c>
    </row>
    <row r="98" spans="1:18" s="308" customFormat="1" ht="17.25" thickBot="1" x14ac:dyDescent="0.35">
      <c r="A98" s="343"/>
      <c r="B98" s="305" t="s">
        <v>88</v>
      </c>
      <c r="C98" s="306">
        <f t="shared" si="29"/>
        <v>14155000</v>
      </c>
      <c r="D98" s="306">
        <v>650000</v>
      </c>
      <c r="E98" s="306">
        <v>2500000</v>
      </c>
      <c r="F98" s="306">
        <v>710000</v>
      </c>
      <c r="G98" s="306">
        <v>100000</v>
      </c>
      <c r="H98" s="306">
        <v>450000</v>
      </c>
      <c r="I98" s="306">
        <v>100000</v>
      </c>
      <c r="J98" s="306">
        <v>170000</v>
      </c>
      <c r="K98" s="306">
        <v>0</v>
      </c>
      <c r="L98" s="306">
        <v>100000</v>
      </c>
      <c r="M98" s="306">
        <v>0</v>
      </c>
      <c r="N98" s="303">
        <v>1800000</v>
      </c>
      <c r="O98" s="306">
        <v>0</v>
      </c>
      <c r="P98" s="306">
        <f t="shared" si="26"/>
        <v>6580000</v>
      </c>
      <c r="Q98" s="307">
        <f t="shared" si="27"/>
        <v>7575000</v>
      </c>
      <c r="R98" s="306">
        <f t="shared" si="28"/>
        <v>14725000</v>
      </c>
    </row>
    <row r="99" spans="1:18" s="302" customFormat="1" x14ac:dyDescent="0.3">
      <c r="A99" s="341">
        <v>2031</v>
      </c>
      <c r="B99" s="302" t="s">
        <v>77</v>
      </c>
      <c r="C99" s="303">
        <f xml:space="preserve"> R98</f>
        <v>14725000</v>
      </c>
      <c r="D99" s="303">
        <v>0</v>
      </c>
      <c r="E99" s="303">
        <v>2500000</v>
      </c>
      <c r="F99" s="303">
        <v>705000</v>
      </c>
      <c r="G99" s="303">
        <v>100000</v>
      </c>
      <c r="H99" s="303">
        <v>450000</v>
      </c>
      <c r="I99" s="303">
        <v>100000</v>
      </c>
      <c r="J99" s="303">
        <v>170000</v>
      </c>
      <c r="K99" s="303">
        <v>0</v>
      </c>
      <c r="L99" s="303">
        <v>100000</v>
      </c>
      <c r="M99" s="303">
        <v>0</v>
      </c>
      <c r="N99" s="303">
        <v>1800000</v>
      </c>
      <c r="O99" s="303">
        <v>400000</v>
      </c>
      <c r="P99" s="303">
        <f t="shared" ref="P99:P110" si="30">SUM(D99:O99)</f>
        <v>6325000</v>
      </c>
      <c r="Q99" s="309">
        <f t="shared" ref="Q99:Q110" si="31" xml:space="preserve"> C99 - P99</f>
        <v>8400000</v>
      </c>
      <c r="R99" s="303">
        <f xml:space="preserve"> 7150000 + Q99</f>
        <v>15550000</v>
      </c>
    </row>
    <row r="100" spans="1:18" s="302" customFormat="1" x14ac:dyDescent="0.3">
      <c r="A100" s="342"/>
      <c r="B100" s="302" t="s">
        <v>78</v>
      </c>
      <c r="C100" s="303">
        <f xml:space="preserve"> R99</f>
        <v>15550000</v>
      </c>
      <c r="D100" s="303">
        <v>650000</v>
      </c>
      <c r="E100" s="303">
        <v>2500000</v>
      </c>
      <c r="F100" s="303">
        <v>700000</v>
      </c>
      <c r="G100" s="303">
        <v>100000</v>
      </c>
      <c r="H100" s="303">
        <v>450000</v>
      </c>
      <c r="I100" s="303">
        <v>100000</v>
      </c>
      <c r="J100" s="303">
        <v>170000</v>
      </c>
      <c r="K100" s="303">
        <v>0</v>
      </c>
      <c r="L100" s="303">
        <v>100000</v>
      </c>
      <c r="M100" s="303">
        <v>0</v>
      </c>
      <c r="N100" s="303">
        <v>1800000</v>
      </c>
      <c r="O100" s="303">
        <v>0</v>
      </c>
      <c r="P100" s="303">
        <f t="shared" si="30"/>
        <v>6570000</v>
      </c>
      <c r="Q100" s="304">
        <f t="shared" si="31"/>
        <v>8980000</v>
      </c>
      <c r="R100" s="303">
        <f t="shared" ref="R100:R110" si="32" xml:space="preserve"> 7150000 + Q100</f>
        <v>16130000</v>
      </c>
    </row>
    <row r="101" spans="1:18" s="302" customFormat="1" x14ac:dyDescent="0.3">
      <c r="A101" s="342"/>
      <c r="B101" s="302" t="s">
        <v>79</v>
      </c>
      <c r="C101" s="303">
        <f t="shared" ref="C101:C110" si="33" xml:space="preserve"> R100</f>
        <v>16130000</v>
      </c>
      <c r="D101" s="303">
        <v>650000</v>
      </c>
      <c r="E101" s="303">
        <v>2500000</v>
      </c>
      <c r="F101" s="303">
        <v>695000</v>
      </c>
      <c r="G101" s="303">
        <v>100000</v>
      </c>
      <c r="H101" s="303">
        <v>450000</v>
      </c>
      <c r="I101" s="303">
        <v>100000</v>
      </c>
      <c r="J101" s="303">
        <v>170000</v>
      </c>
      <c r="K101" s="303">
        <v>0</v>
      </c>
      <c r="L101" s="303">
        <v>100000</v>
      </c>
      <c r="M101" s="303">
        <v>0</v>
      </c>
      <c r="N101" s="303">
        <v>1800000</v>
      </c>
      <c r="O101" s="303">
        <v>0</v>
      </c>
      <c r="P101" s="303">
        <f t="shared" si="30"/>
        <v>6565000</v>
      </c>
      <c r="Q101" s="304">
        <f t="shared" si="31"/>
        <v>9565000</v>
      </c>
      <c r="R101" s="303">
        <f t="shared" si="32"/>
        <v>16715000</v>
      </c>
    </row>
    <row r="102" spans="1:18" s="302" customFormat="1" x14ac:dyDescent="0.3">
      <c r="A102" s="342"/>
      <c r="B102" s="302" t="s">
        <v>80</v>
      </c>
      <c r="C102" s="303">
        <f t="shared" si="33"/>
        <v>16715000</v>
      </c>
      <c r="D102" s="303">
        <v>650000</v>
      </c>
      <c r="E102" s="303">
        <v>2500000</v>
      </c>
      <c r="F102" s="303">
        <v>690000</v>
      </c>
      <c r="G102" s="303">
        <v>100000</v>
      </c>
      <c r="H102" s="303">
        <v>450000</v>
      </c>
      <c r="I102" s="303">
        <v>100000</v>
      </c>
      <c r="J102" s="303">
        <v>170000</v>
      </c>
      <c r="K102" s="303">
        <v>0</v>
      </c>
      <c r="L102" s="303">
        <v>100000</v>
      </c>
      <c r="M102" s="303">
        <v>0</v>
      </c>
      <c r="N102" s="303">
        <v>1800000</v>
      </c>
      <c r="O102" s="303">
        <v>0</v>
      </c>
      <c r="P102" s="303">
        <f t="shared" si="30"/>
        <v>6560000</v>
      </c>
      <c r="Q102" s="304">
        <f t="shared" si="31"/>
        <v>10155000</v>
      </c>
      <c r="R102" s="303">
        <f t="shared" si="32"/>
        <v>17305000</v>
      </c>
    </row>
    <row r="103" spans="1:18" s="302" customFormat="1" x14ac:dyDescent="0.3">
      <c r="A103" s="342"/>
      <c r="B103" s="302" t="s">
        <v>81</v>
      </c>
      <c r="C103" s="303">
        <f t="shared" si="33"/>
        <v>17305000</v>
      </c>
      <c r="D103" s="303">
        <v>650000</v>
      </c>
      <c r="E103" s="303">
        <v>2500000</v>
      </c>
      <c r="F103" s="303">
        <v>685000</v>
      </c>
      <c r="G103" s="303">
        <v>100000</v>
      </c>
      <c r="H103" s="303">
        <v>450000</v>
      </c>
      <c r="I103" s="303">
        <v>100000</v>
      </c>
      <c r="J103" s="303">
        <v>170000</v>
      </c>
      <c r="K103" s="303">
        <v>0</v>
      </c>
      <c r="L103" s="303">
        <v>100000</v>
      </c>
      <c r="M103" s="303">
        <v>0</v>
      </c>
      <c r="N103" s="303">
        <v>1800000</v>
      </c>
      <c r="O103" s="303">
        <v>400000</v>
      </c>
      <c r="P103" s="303">
        <f t="shared" si="30"/>
        <v>6955000</v>
      </c>
      <c r="Q103" s="304">
        <f t="shared" si="31"/>
        <v>10350000</v>
      </c>
      <c r="R103" s="303">
        <f t="shared" si="32"/>
        <v>17500000</v>
      </c>
    </row>
    <row r="104" spans="1:18" s="302" customFormat="1" x14ac:dyDescent="0.3">
      <c r="A104" s="342"/>
      <c r="B104" s="302" t="s">
        <v>82</v>
      </c>
      <c r="C104" s="303">
        <f t="shared" si="33"/>
        <v>17500000</v>
      </c>
      <c r="D104" s="303">
        <v>650000</v>
      </c>
      <c r="E104" s="303">
        <v>2500000</v>
      </c>
      <c r="F104" s="303">
        <v>680000</v>
      </c>
      <c r="G104" s="303">
        <v>100000</v>
      </c>
      <c r="H104" s="303">
        <v>450000</v>
      </c>
      <c r="I104" s="303">
        <v>100000</v>
      </c>
      <c r="J104" s="303">
        <v>170000</v>
      </c>
      <c r="K104" s="303">
        <v>0</v>
      </c>
      <c r="L104" s="303">
        <v>100000</v>
      </c>
      <c r="M104" s="303">
        <v>0</v>
      </c>
      <c r="N104" s="303">
        <v>1800000</v>
      </c>
      <c r="O104" s="303">
        <v>0</v>
      </c>
      <c r="P104" s="303">
        <f t="shared" si="30"/>
        <v>6550000</v>
      </c>
      <c r="Q104" s="304">
        <f t="shared" si="31"/>
        <v>10950000</v>
      </c>
      <c r="R104" s="303">
        <f t="shared" si="32"/>
        <v>18100000</v>
      </c>
    </row>
    <row r="105" spans="1:18" s="302" customFormat="1" x14ac:dyDescent="0.3">
      <c r="A105" s="342"/>
      <c r="B105" s="302" t="s">
        <v>83</v>
      </c>
      <c r="C105" s="303">
        <f t="shared" si="33"/>
        <v>18100000</v>
      </c>
      <c r="D105" s="303">
        <v>650000</v>
      </c>
      <c r="E105" s="303">
        <v>2500000</v>
      </c>
      <c r="F105" s="303">
        <v>675000</v>
      </c>
      <c r="G105" s="303">
        <v>100000</v>
      </c>
      <c r="H105" s="303">
        <v>450000</v>
      </c>
      <c r="I105" s="303">
        <v>100000</v>
      </c>
      <c r="J105" s="303">
        <v>170000</v>
      </c>
      <c r="K105" s="303">
        <v>0</v>
      </c>
      <c r="L105" s="303">
        <v>100000</v>
      </c>
      <c r="M105" s="303">
        <v>0</v>
      </c>
      <c r="N105" s="303">
        <v>1800000</v>
      </c>
      <c r="O105" s="303">
        <v>0</v>
      </c>
      <c r="P105" s="303">
        <f t="shared" si="30"/>
        <v>6545000</v>
      </c>
      <c r="Q105" s="304">
        <f t="shared" si="31"/>
        <v>11555000</v>
      </c>
      <c r="R105" s="303">
        <f t="shared" si="32"/>
        <v>18705000</v>
      </c>
    </row>
    <row r="106" spans="1:18" s="302" customFormat="1" x14ac:dyDescent="0.3">
      <c r="A106" s="342"/>
      <c r="B106" s="302" t="s">
        <v>84</v>
      </c>
      <c r="C106" s="303">
        <f t="shared" si="33"/>
        <v>18705000</v>
      </c>
      <c r="D106" s="303">
        <v>650000</v>
      </c>
      <c r="E106" s="303">
        <v>2500000</v>
      </c>
      <c r="F106" s="303">
        <v>670000</v>
      </c>
      <c r="G106" s="303">
        <v>100000</v>
      </c>
      <c r="H106" s="303">
        <v>450000</v>
      </c>
      <c r="I106" s="303">
        <v>100000</v>
      </c>
      <c r="J106" s="303">
        <v>170000</v>
      </c>
      <c r="K106" s="303">
        <v>0</v>
      </c>
      <c r="L106" s="303">
        <v>100000</v>
      </c>
      <c r="M106" s="303">
        <v>0</v>
      </c>
      <c r="N106" s="303">
        <v>1800000</v>
      </c>
      <c r="O106" s="303">
        <v>0</v>
      </c>
      <c r="P106" s="303">
        <f t="shared" si="30"/>
        <v>6540000</v>
      </c>
      <c r="Q106" s="304">
        <f t="shared" si="31"/>
        <v>12165000</v>
      </c>
      <c r="R106" s="303">
        <f t="shared" si="32"/>
        <v>19315000</v>
      </c>
    </row>
    <row r="107" spans="1:18" s="302" customFormat="1" x14ac:dyDescent="0.3">
      <c r="A107" s="342"/>
      <c r="B107" s="302" t="s">
        <v>85</v>
      </c>
      <c r="C107" s="303">
        <f t="shared" si="33"/>
        <v>19315000</v>
      </c>
      <c r="D107" s="303">
        <v>650000</v>
      </c>
      <c r="E107" s="303">
        <v>2500000</v>
      </c>
      <c r="F107" s="303">
        <v>665000</v>
      </c>
      <c r="G107" s="303">
        <v>100000</v>
      </c>
      <c r="H107" s="303">
        <v>450000</v>
      </c>
      <c r="I107" s="303">
        <v>100000</v>
      </c>
      <c r="J107" s="303">
        <v>170000</v>
      </c>
      <c r="K107" s="303">
        <v>0</v>
      </c>
      <c r="L107" s="303">
        <v>100000</v>
      </c>
      <c r="M107" s="303">
        <v>0</v>
      </c>
      <c r="N107" s="303">
        <v>1800000</v>
      </c>
      <c r="O107" s="303">
        <v>400000</v>
      </c>
      <c r="P107" s="303">
        <f t="shared" si="30"/>
        <v>6935000</v>
      </c>
      <c r="Q107" s="304">
        <f t="shared" si="31"/>
        <v>12380000</v>
      </c>
      <c r="R107" s="303">
        <f t="shared" si="32"/>
        <v>19530000</v>
      </c>
    </row>
    <row r="108" spans="1:18" s="302" customFormat="1" x14ac:dyDescent="0.3">
      <c r="A108" s="342"/>
      <c r="B108" s="302" t="s">
        <v>86</v>
      </c>
      <c r="C108" s="303">
        <f t="shared" si="33"/>
        <v>19530000</v>
      </c>
      <c r="D108" s="303">
        <v>650000</v>
      </c>
      <c r="E108" s="303">
        <v>2500000</v>
      </c>
      <c r="F108" s="303">
        <v>660000</v>
      </c>
      <c r="G108" s="303">
        <v>100000</v>
      </c>
      <c r="H108" s="303">
        <v>450000</v>
      </c>
      <c r="I108" s="303">
        <v>100000</v>
      </c>
      <c r="J108" s="303">
        <v>170000</v>
      </c>
      <c r="K108" s="303">
        <v>0</v>
      </c>
      <c r="L108" s="303">
        <v>100000</v>
      </c>
      <c r="M108" s="303">
        <v>0</v>
      </c>
      <c r="N108" s="303">
        <v>1800000</v>
      </c>
      <c r="O108" s="303">
        <v>0</v>
      </c>
      <c r="P108" s="303">
        <f t="shared" si="30"/>
        <v>6530000</v>
      </c>
      <c r="Q108" s="304">
        <f t="shared" si="31"/>
        <v>13000000</v>
      </c>
      <c r="R108" s="303">
        <f t="shared" si="32"/>
        <v>20150000</v>
      </c>
    </row>
    <row r="109" spans="1:18" s="302" customFormat="1" x14ac:dyDescent="0.3">
      <c r="A109" s="342"/>
      <c r="B109" s="302" t="s">
        <v>87</v>
      </c>
      <c r="C109" s="303">
        <f t="shared" si="33"/>
        <v>20150000</v>
      </c>
      <c r="D109" s="303">
        <v>650000</v>
      </c>
      <c r="E109" s="303">
        <v>2500000</v>
      </c>
      <c r="F109" s="303">
        <v>655000</v>
      </c>
      <c r="G109" s="303">
        <v>100000</v>
      </c>
      <c r="H109" s="303">
        <v>450000</v>
      </c>
      <c r="I109" s="303">
        <v>100000</v>
      </c>
      <c r="J109" s="303">
        <v>170000</v>
      </c>
      <c r="K109" s="303">
        <v>0</v>
      </c>
      <c r="L109" s="303">
        <v>100000</v>
      </c>
      <c r="M109" s="303">
        <v>0</v>
      </c>
      <c r="N109" s="303">
        <v>1800000</v>
      </c>
      <c r="O109" s="303">
        <v>400000</v>
      </c>
      <c r="P109" s="303">
        <f t="shared" si="30"/>
        <v>6925000</v>
      </c>
      <c r="Q109" s="304">
        <f t="shared" si="31"/>
        <v>13225000</v>
      </c>
      <c r="R109" s="303">
        <f t="shared" si="32"/>
        <v>20375000</v>
      </c>
    </row>
    <row r="110" spans="1:18" s="308" customFormat="1" ht="17.25" thickBot="1" x14ac:dyDescent="0.35">
      <c r="A110" s="343"/>
      <c r="B110" s="305" t="s">
        <v>88</v>
      </c>
      <c r="C110" s="306">
        <f t="shared" si="33"/>
        <v>20375000</v>
      </c>
      <c r="D110" s="306">
        <v>650000</v>
      </c>
      <c r="E110" s="306">
        <v>2500000</v>
      </c>
      <c r="F110" s="306">
        <v>650000</v>
      </c>
      <c r="G110" s="306">
        <v>100000</v>
      </c>
      <c r="H110" s="306">
        <v>450000</v>
      </c>
      <c r="I110" s="306">
        <v>100000</v>
      </c>
      <c r="J110" s="306">
        <v>170000</v>
      </c>
      <c r="K110" s="306">
        <v>0</v>
      </c>
      <c r="L110" s="306">
        <v>100000</v>
      </c>
      <c r="M110" s="306">
        <v>0</v>
      </c>
      <c r="N110" s="303">
        <v>1800000</v>
      </c>
      <c r="O110" s="306">
        <v>0</v>
      </c>
      <c r="P110" s="306">
        <f t="shared" si="30"/>
        <v>6520000</v>
      </c>
      <c r="Q110" s="307">
        <f t="shared" si="31"/>
        <v>13855000</v>
      </c>
      <c r="R110" s="306">
        <f t="shared" si="32"/>
        <v>21005000</v>
      </c>
    </row>
    <row r="111" spans="1:18" s="302" customFormat="1" x14ac:dyDescent="0.3">
      <c r="A111" s="341">
        <v>2032</v>
      </c>
      <c r="B111" s="302" t="s">
        <v>77</v>
      </c>
      <c r="C111" s="303">
        <f xml:space="preserve"> R110</f>
        <v>21005000</v>
      </c>
      <c r="D111" s="303">
        <v>0</v>
      </c>
      <c r="E111" s="303">
        <v>2500000</v>
      </c>
      <c r="F111" s="303">
        <v>645000</v>
      </c>
      <c r="G111" s="303">
        <v>100000</v>
      </c>
      <c r="H111" s="303">
        <v>450000</v>
      </c>
      <c r="I111" s="303">
        <v>100000</v>
      </c>
      <c r="J111" s="303">
        <v>170000</v>
      </c>
      <c r="K111" s="303">
        <v>0</v>
      </c>
      <c r="L111" s="303">
        <v>100000</v>
      </c>
      <c r="M111" s="303">
        <v>0</v>
      </c>
      <c r="N111" s="303">
        <v>1800000</v>
      </c>
      <c r="O111" s="303">
        <v>400000</v>
      </c>
      <c r="P111" s="303">
        <f t="shared" ref="P111:P122" si="34">SUM(D111:O111)</f>
        <v>6265000</v>
      </c>
      <c r="Q111" s="309">
        <f t="shared" ref="Q111:Q122" si="35" xml:space="preserve"> C111 - P111</f>
        <v>14740000</v>
      </c>
      <c r="R111" s="303">
        <f xml:space="preserve"> 7150000 + Q111</f>
        <v>21890000</v>
      </c>
    </row>
    <row r="112" spans="1:18" s="302" customFormat="1" x14ac:dyDescent="0.3">
      <c r="A112" s="342"/>
      <c r="B112" s="302" t="s">
        <v>78</v>
      </c>
      <c r="C112" s="303">
        <f xml:space="preserve"> R111</f>
        <v>21890000</v>
      </c>
      <c r="D112" s="303">
        <v>650000</v>
      </c>
      <c r="E112" s="303">
        <v>2500000</v>
      </c>
      <c r="F112" s="303">
        <v>640000</v>
      </c>
      <c r="G112" s="303">
        <v>100000</v>
      </c>
      <c r="H112" s="303">
        <v>450000</v>
      </c>
      <c r="I112" s="303">
        <v>100000</v>
      </c>
      <c r="J112" s="303">
        <v>170000</v>
      </c>
      <c r="K112" s="303">
        <v>0</v>
      </c>
      <c r="L112" s="303">
        <v>100000</v>
      </c>
      <c r="M112" s="303">
        <v>0</v>
      </c>
      <c r="N112" s="303">
        <v>1800000</v>
      </c>
      <c r="O112" s="303">
        <v>0</v>
      </c>
      <c r="P112" s="303">
        <f t="shared" si="34"/>
        <v>6510000</v>
      </c>
      <c r="Q112" s="304">
        <f t="shared" si="35"/>
        <v>15380000</v>
      </c>
      <c r="R112" s="303">
        <f t="shared" ref="R112:R122" si="36" xml:space="preserve"> 7150000 + Q112</f>
        <v>22530000</v>
      </c>
    </row>
    <row r="113" spans="1:18" s="302" customFormat="1" x14ac:dyDescent="0.3">
      <c r="A113" s="342"/>
      <c r="B113" s="302" t="s">
        <v>79</v>
      </c>
      <c r="C113" s="303">
        <f t="shared" ref="C113:C122" si="37" xml:space="preserve"> R112</f>
        <v>22530000</v>
      </c>
      <c r="D113" s="303">
        <v>650000</v>
      </c>
      <c r="E113" s="303">
        <v>2500000</v>
      </c>
      <c r="F113" s="303">
        <v>635000</v>
      </c>
      <c r="G113" s="303">
        <v>100000</v>
      </c>
      <c r="H113" s="303">
        <v>450000</v>
      </c>
      <c r="I113" s="303">
        <v>100000</v>
      </c>
      <c r="J113" s="303">
        <v>170000</v>
      </c>
      <c r="K113" s="303">
        <v>0</v>
      </c>
      <c r="L113" s="303">
        <v>100000</v>
      </c>
      <c r="M113" s="303">
        <v>0</v>
      </c>
      <c r="N113" s="303">
        <v>1800000</v>
      </c>
      <c r="O113" s="303">
        <v>0</v>
      </c>
      <c r="P113" s="303">
        <f t="shared" si="34"/>
        <v>6505000</v>
      </c>
      <c r="Q113" s="304">
        <f t="shared" si="35"/>
        <v>16025000</v>
      </c>
      <c r="R113" s="303">
        <f t="shared" si="36"/>
        <v>23175000</v>
      </c>
    </row>
    <row r="114" spans="1:18" s="302" customFormat="1" x14ac:dyDescent="0.3">
      <c r="A114" s="342"/>
      <c r="B114" s="302" t="s">
        <v>80</v>
      </c>
      <c r="C114" s="303">
        <f t="shared" si="37"/>
        <v>23175000</v>
      </c>
      <c r="D114" s="303">
        <v>650000</v>
      </c>
      <c r="E114" s="303">
        <v>2500000</v>
      </c>
      <c r="F114" s="303">
        <v>630000</v>
      </c>
      <c r="G114" s="303">
        <v>100000</v>
      </c>
      <c r="H114" s="303">
        <v>450000</v>
      </c>
      <c r="I114" s="303">
        <v>100000</v>
      </c>
      <c r="J114" s="303">
        <v>170000</v>
      </c>
      <c r="K114" s="303">
        <v>0</v>
      </c>
      <c r="L114" s="303">
        <v>100000</v>
      </c>
      <c r="M114" s="303">
        <v>0</v>
      </c>
      <c r="N114" s="303">
        <v>1800000</v>
      </c>
      <c r="O114" s="303">
        <v>0</v>
      </c>
      <c r="P114" s="303">
        <f t="shared" si="34"/>
        <v>6500000</v>
      </c>
      <c r="Q114" s="304">
        <f t="shared" si="35"/>
        <v>16675000</v>
      </c>
      <c r="R114" s="303">
        <f t="shared" si="36"/>
        <v>23825000</v>
      </c>
    </row>
    <row r="115" spans="1:18" s="302" customFormat="1" x14ac:dyDescent="0.3">
      <c r="A115" s="342"/>
      <c r="B115" s="302" t="s">
        <v>81</v>
      </c>
      <c r="C115" s="303">
        <f t="shared" si="37"/>
        <v>23825000</v>
      </c>
      <c r="D115" s="303">
        <v>650000</v>
      </c>
      <c r="E115" s="303">
        <v>2500000</v>
      </c>
      <c r="F115" s="303">
        <v>625000</v>
      </c>
      <c r="G115" s="303">
        <v>100000</v>
      </c>
      <c r="H115" s="303">
        <v>450000</v>
      </c>
      <c r="I115" s="303">
        <v>100000</v>
      </c>
      <c r="J115" s="303">
        <v>170000</v>
      </c>
      <c r="K115" s="303">
        <v>0</v>
      </c>
      <c r="L115" s="303">
        <v>100000</v>
      </c>
      <c r="M115" s="303">
        <v>0</v>
      </c>
      <c r="N115" s="303">
        <v>1800000</v>
      </c>
      <c r="O115" s="303">
        <v>400000</v>
      </c>
      <c r="P115" s="303">
        <f t="shared" si="34"/>
        <v>6895000</v>
      </c>
      <c r="Q115" s="304">
        <f t="shared" si="35"/>
        <v>16930000</v>
      </c>
      <c r="R115" s="303">
        <f t="shared" si="36"/>
        <v>24080000</v>
      </c>
    </row>
    <row r="116" spans="1:18" s="302" customFormat="1" x14ac:dyDescent="0.3">
      <c r="A116" s="342"/>
      <c r="B116" s="302" t="s">
        <v>82</v>
      </c>
      <c r="C116" s="303">
        <f t="shared" si="37"/>
        <v>24080000</v>
      </c>
      <c r="D116" s="303">
        <v>650000</v>
      </c>
      <c r="E116" s="303">
        <v>2500000</v>
      </c>
      <c r="F116" s="303">
        <v>620000</v>
      </c>
      <c r="G116" s="303">
        <v>100000</v>
      </c>
      <c r="H116" s="303">
        <v>450000</v>
      </c>
      <c r="I116" s="303">
        <v>100000</v>
      </c>
      <c r="J116" s="303">
        <v>170000</v>
      </c>
      <c r="K116" s="303">
        <v>0</v>
      </c>
      <c r="L116" s="303">
        <v>100000</v>
      </c>
      <c r="M116" s="303">
        <v>0</v>
      </c>
      <c r="N116" s="303">
        <v>1800000</v>
      </c>
      <c r="O116" s="303">
        <v>0</v>
      </c>
      <c r="P116" s="303">
        <f t="shared" si="34"/>
        <v>6490000</v>
      </c>
      <c r="Q116" s="304">
        <f t="shared" si="35"/>
        <v>17590000</v>
      </c>
      <c r="R116" s="303">
        <f t="shared" si="36"/>
        <v>24740000</v>
      </c>
    </row>
    <row r="117" spans="1:18" s="302" customFormat="1" x14ac:dyDescent="0.3">
      <c r="A117" s="342"/>
      <c r="B117" s="302" t="s">
        <v>83</v>
      </c>
      <c r="C117" s="303">
        <f t="shared" si="37"/>
        <v>24740000</v>
      </c>
      <c r="D117" s="303">
        <v>650000</v>
      </c>
      <c r="E117" s="303">
        <v>2500000</v>
      </c>
      <c r="F117" s="303">
        <v>615000</v>
      </c>
      <c r="G117" s="303">
        <v>100000</v>
      </c>
      <c r="H117" s="303">
        <v>450000</v>
      </c>
      <c r="I117" s="303">
        <v>100000</v>
      </c>
      <c r="J117" s="303">
        <v>170000</v>
      </c>
      <c r="K117" s="303">
        <v>0</v>
      </c>
      <c r="L117" s="303">
        <v>100000</v>
      </c>
      <c r="M117" s="303">
        <v>0</v>
      </c>
      <c r="N117" s="303">
        <v>1800000</v>
      </c>
      <c r="O117" s="303">
        <v>0</v>
      </c>
      <c r="P117" s="303">
        <f t="shared" si="34"/>
        <v>6485000</v>
      </c>
      <c r="Q117" s="304">
        <f t="shared" si="35"/>
        <v>18255000</v>
      </c>
      <c r="R117" s="303">
        <f t="shared" si="36"/>
        <v>25405000</v>
      </c>
    </row>
    <row r="118" spans="1:18" s="302" customFormat="1" x14ac:dyDescent="0.3">
      <c r="A118" s="342"/>
      <c r="B118" s="302" t="s">
        <v>84</v>
      </c>
      <c r="C118" s="303">
        <f t="shared" si="37"/>
        <v>25405000</v>
      </c>
      <c r="D118" s="303">
        <v>650000</v>
      </c>
      <c r="E118" s="303">
        <v>2500000</v>
      </c>
      <c r="F118" s="303">
        <v>610000</v>
      </c>
      <c r="G118" s="303">
        <v>100000</v>
      </c>
      <c r="H118" s="303">
        <v>450000</v>
      </c>
      <c r="I118" s="303">
        <v>100000</v>
      </c>
      <c r="J118" s="303">
        <v>170000</v>
      </c>
      <c r="K118" s="303">
        <v>0</v>
      </c>
      <c r="L118" s="303">
        <v>100000</v>
      </c>
      <c r="M118" s="303">
        <v>0</v>
      </c>
      <c r="N118" s="303">
        <v>1800000</v>
      </c>
      <c r="O118" s="303">
        <v>0</v>
      </c>
      <c r="P118" s="303">
        <f t="shared" si="34"/>
        <v>6480000</v>
      </c>
      <c r="Q118" s="304">
        <f t="shared" si="35"/>
        <v>18925000</v>
      </c>
      <c r="R118" s="303">
        <f t="shared" si="36"/>
        <v>26075000</v>
      </c>
    </row>
    <row r="119" spans="1:18" s="302" customFormat="1" x14ac:dyDescent="0.3">
      <c r="A119" s="342"/>
      <c r="B119" s="302" t="s">
        <v>85</v>
      </c>
      <c r="C119" s="303">
        <f t="shared" si="37"/>
        <v>26075000</v>
      </c>
      <c r="D119" s="303">
        <v>650000</v>
      </c>
      <c r="E119" s="303">
        <v>2500000</v>
      </c>
      <c r="F119" s="303">
        <v>605000</v>
      </c>
      <c r="G119" s="303">
        <v>100000</v>
      </c>
      <c r="H119" s="303">
        <v>450000</v>
      </c>
      <c r="I119" s="303">
        <v>100000</v>
      </c>
      <c r="J119" s="303">
        <v>170000</v>
      </c>
      <c r="K119" s="303">
        <v>0</v>
      </c>
      <c r="L119" s="303">
        <v>100000</v>
      </c>
      <c r="M119" s="303">
        <v>0</v>
      </c>
      <c r="N119" s="303">
        <v>1800000</v>
      </c>
      <c r="O119" s="303">
        <v>400000</v>
      </c>
      <c r="P119" s="303">
        <f t="shared" si="34"/>
        <v>6875000</v>
      </c>
      <c r="Q119" s="304">
        <f t="shared" si="35"/>
        <v>19200000</v>
      </c>
      <c r="R119" s="303">
        <f t="shared" si="36"/>
        <v>26350000</v>
      </c>
    </row>
    <row r="120" spans="1:18" s="302" customFormat="1" x14ac:dyDescent="0.3">
      <c r="A120" s="342"/>
      <c r="B120" s="302" t="s">
        <v>86</v>
      </c>
      <c r="C120" s="303">
        <f t="shared" si="37"/>
        <v>26350000</v>
      </c>
      <c r="D120" s="303">
        <v>650000</v>
      </c>
      <c r="E120" s="303">
        <v>2500000</v>
      </c>
      <c r="F120" s="303">
        <v>600000</v>
      </c>
      <c r="G120" s="303">
        <v>100000</v>
      </c>
      <c r="H120" s="303">
        <v>450000</v>
      </c>
      <c r="I120" s="303">
        <v>100000</v>
      </c>
      <c r="J120" s="303">
        <v>170000</v>
      </c>
      <c r="K120" s="303">
        <v>0</v>
      </c>
      <c r="L120" s="303">
        <v>100000</v>
      </c>
      <c r="M120" s="303">
        <v>0</v>
      </c>
      <c r="N120" s="303">
        <v>1800000</v>
      </c>
      <c r="O120" s="303">
        <v>0</v>
      </c>
      <c r="P120" s="303">
        <f t="shared" si="34"/>
        <v>6470000</v>
      </c>
      <c r="Q120" s="304">
        <f t="shared" si="35"/>
        <v>19880000</v>
      </c>
      <c r="R120" s="303">
        <f t="shared" si="36"/>
        <v>27030000</v>
      </c>
    </row>
    <row r="121" spans="1:18" s="302" customFormat="1" x14ac:dyDescent="0.3">
      <c r="A121" s="342"/>
      <c r="B121" s="302" t="s">
        <v>87</v>
      </c>
      <c r="C121" s="303">
        <f t="shared" si="37"/>
        <v>27030000</v>
      </c>
      <c r="D121" s="303">
        <v>650000</v>
      </c>
      <c r="E121" s="303">
        <v>2500000</v>
      </c>
      <c r="F121" s="303">
        <v>595000</v>
      </c>
      <c r="G121" s="303">
        <v>100000</v>
      </c>
      <c r="H121" s="303">
        <v>450000</v>
      </c>
      <c r="I121" s="303">
        <v>100000</v>
      </c>
      <c r="J121" s="303">
        <v>170000</v>
      </c>
      <c r="K121" s="303">
        <v>0</v>
      </c>
      <c r="L121" s="303">
        <v>100000</v>
      </c>
      <c r="M121" s="303">
        <v>0</v>
      </c>
      <c r="N121" s="303">
        <v>1800000</v>
      </c>
      <c r="O121" s="303">
        <v>400000</v>
      </c>
      <c r="P121" s="303">
        <f t="shared" si="34"/>
        <v>6865000</v>
      </c>
      <c r="Q121" s="304">
        <f t="shared" si="35"/>
        <v>20165000</v>
      </c>
      <c r="R121" s="303">
        <f t="shared" si="36"/>
        <v>27315000</v>
      </c>
    </row>
    <row r="122" spans="1:18" s="308" customFormat="1" ht="17.25" thickBot="1" x14ac:dyDescent="0.35">
      <c r="A122" s="343"/>
      <c r="B122" s="305" t="s">
        <v>88</v>
      </c>
      <c r="C122" s="306">
        <f t="shared" si="37"/>
        <v>27315000</v>
      </c>
      <c r="D122" s="306">
        <v>650000</v>
      </c>
      <c r="E122" s="306">
        <v>2500000</v>
      </c>
      <c r="F122" s="306">
        <v>590000</v>
      </c>
      <c r="G122" s="306">
        <v>100000</v>
      </c>
      <c r="H122" s="306">
        <v>450000</v>
      </c>
      <c r="I122" s="306">
        <v>100000</v>
      </c>
      <c r="J122" s="306">
        <v>170000</v>
      </c>
      <c r="K122" s="306">
        <v>0</v>
      </c>
      <c r="L122" s="306">
        <v>100000</v>
      </c>
      <c r="M122" s="306">
        <v>0</v>
      </c>
      <c r="N122" s="303">
        <v>1800000</v>
      </c>
      <c r="O122" s="306">
        <v>0</v>
      </c>
      <c r="P122" s="306">
        <f t="shared" si="34"/>
        <v>6460000</v>
      </c>
      <c r="Q122" s="307">
        <f t="shared" si="35"/>
        <v>20855000</v>
      </c>
      <c r="R122" s="306">
        <f t="shared" si="36"/>
        <v>28005000</v>
      </c>
    </row>
  </sheetData>
  <mergeCells count="10">
    <mergeCell ref="A63:A74"/>
    <mergeCell ref="A75:A86"/>
    <mergeCell ref="A87:A98"/>
    <mergeCell ref="A99:A110"/>
    <mergeCell ref="A111:A122"/>
    <mergeCell ref="A3:A14"/>
    <mergeCell ref="A15:A26"/>
    <mergeCell ref="A27:A38"/>
    <mergeCell ref="A39:A50"/>
    <mergeCell ref="A51:A6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9AB9-7A1F-4DFC-93D8-D4732EBA59F2}">
  <dimension ref="B3:N52"/>
  <sheetViews>
    <sheetView topLeftCell="A16" workbookViewId="0">
      <selection activeCell="D37" sqref="D37"/>
    </sheetView>
  </sheetViews>
  <sheetFormatPr defaultRowHeight="16.5" x14ac:dyDescent="0.3"/>
  <cols>
    <col min="2" max="2" width="16.875" customWidth="1"/>
    <col min="3" max="3" width="20.75" customWidth="1"/>
    <col min="4" max="4" width="32.375" customWidth="1"/>
    <col min="5" max="5" width="21.375" customWidth="1"/>
    <col min="6" max="6" width="22" bestFit="1" customWidth="1"/>
    <col min="7" max="7" width="20.125" bestFit="1" customWidth="1"/>
    <col min="8" max="8" width="16" customWidth="1"/>
    <col min="9" max="9" width="34.125" customWidth="1"/>
    <col min="10" max="10" width="17.875" bestFit="1" customWidth="1"/>
    <col min="11" max="11" width="16" bestFit="1" customWidth="1"/>
    <col min="12" max="12" width="14.5" customWidth="1"/>
    <col min="13" max="13" width="25.75" customWidth="1"/>
  </cols>
  <sheetData>
    <row r="3" spans="3:14" x14ac:dyDescent="0.3">
      <c r="D3" s="333" t="s">
        <v>41</v>
      </c>
      <c r="E3" s="333"/>
      <c r="F3" s="333"/>
      <c r="G3" s="333"/>
      <c r="H3" s="333"/>
      <c r="I3" s="333"/>
      <c r="J3" s="333"/>
      <c r="K3" s="333"/>
      <c r="L3" s="333"/>
      <c r="M3" s="333"/>
      <c r="N3" s="333"/>
    </row>
    <row r="4" spans="3:14" x14ac:dyDescent="0.3">
      <c r="D4" s="333"/>
      <c r="E4" s="333"/>
      <c r="F4" s="333"/>
      <c r="G4" s="333"/>
      <c r="H4" s="333"/>
      <c r="I4" s="333"/>
      <c r="J4" s="333"/>
      <c r="K4" s="333"/>
      <c r="L4" s="333"/>
      <c r="M4" s="333"/>
      <c r="N4" s="333"/>
    </row>
    <row r="5" spans="3:14" x14ac:dyDescent="0.3">
      <c r="C5" t="s">
        <v>42</v>
      </c>
      <c r="D5" s="14" t="s">
        <v>44</v>
      </c>
      <c r="G5" t="s">
        <v>43</v>
      </c>
    </row>
    <row r="7" spans="3:14" x14ac:dyDescent="0.3">
      <c r="C7" s="16" t="s">
        <v>45</v>
      </c>
    </row>
    <row r="8" spans="3:14" x14ac:dyDescent="0.3">
      <c r="C8" s="17" t="s">
        <v>46</v>
      </c>
      <c r="D8" s="17" t="s">
        <v>47</v>
      </c>
      <c r="E8" s="17" t="s">
        <v>48</v>
      </c>
      <c r="F8" s="17" t="s">
        <v>49</v>
      </c>
      <c r="G8" s="17" t="s">
        <v>50</v>
      </c>
      <c r="H8" s="17" t="s">
        <v>51</v>
      </c>
      <c r="I8" s="17" t="s">
        <v>52</v>
      </c>
      <c r="J8" s="17" t="s">
        <v>53</v>
      </c>
      <c r="K8" s="17" t="s">
        <v>54</v>
      </c>
    </row>
    <row r="9" spans="3:14" ht="17.25" thickBot="1" x14ac:dyDescent="0.35">
      <c r="C9" s="213" t="s">
        <v>55</v>
      </c>
      <c r="D9" s="213">
        <v>3.46</v>
      </c>
      <c r="E9" s="213">
        <v>3.49</v>
      </c>
      <c r="F9" s="213">
        <v>3.52</v>
      </c>
      <c r="G9" s="213">
        <v>3.51</v>
      </c>
      <c r="H9" s="213">
        <v>3.44</v>
      </c>
      <c r="I9" s="213">
        <v>3.36</v>
      </c>
      <c r="J9" s="213">
        <v>3.27</v>
      </c>
      <c r="K9" s="213">
        <v>3.23</v>
      </c>
    </row>
    <row r="10" spans="3:14" ht="17.25" thickBot="1" x14ac:dyDescent="0.35">
      <c r="C10" s="213" t="s">
        <v>56</v>
      </c>
      <c r="D10" s="213">
        <v>3.94</v>
      </c>
      <c r="E10" s="213">
        <v>4.0599999999999996</v>
      </c>
      <c r="F10" s="213">
        <v>4.08</v>
      </c>
      <c r="G10" s="213">
        <v>4.09</v>
      </c>
      <c r="H10" s="213">
        <v>4.0999999999999996</v>
      </c>
      <c r="I10" s="213">
        <v>4.1100000000000003</v>
      </c>
      <c r="J10" s="213">
        <v>4.12</v>
      </c>
      <c r="K10" s="213">
        <v>4.28</v>
      </c>
    </row>
    <row r="11" spans="3:14" ht="17.25" thickBot="1" x14ac:dyDescent="0.35">
      <c r="C11" s="213" t="s">
        <v>57</v>
      </c>
      <c r="D11" s="213">
        <v>4.03</v>
      </c>
      <c r="E11" s="213">
        <v>4.17</v>
      </c>
      <c r="F11" s="213">
        <v>4.17</v>
      </c>
      <c r="G11" s="213">
        <v>4.18</v>
      </c>
      <c r="H11" s="213">
        <v>4.1900000000000004</v>
      </c>
      <c r="I11" s="213">
        <v>4.21</v>
      </c>
      <c r="J11" s="213">
        <v>4.24</v>
      </c>
      <c r="K11" s="213">
        <v>4.4000000000000004</v>
      </c>
    </row>
    <row r="12" spans="3:14" ht="17.25" thickBot="1" x14ac:dyDescent="0.35">
      <c r="C12" s="213" t="s">
        <v>58</v>
      </c>
      <c r="D12" s="213">
        <v>4.08</v>
      </c>
      <c r="E12" s="213">
        <v>4.21</v>
      </c>
      <c r="F12" s="213">
        <v>4.22</v>
      </c>
      <c r="G12" s="213">
        <v>4.22</v>
      </c>
      <c r="H12" s="213">
        <v>4.2300000000000004</v>
      </c>
      <c r="I12" s="213">
        <v>4.24</v>
      </c>
      <c r="J12" s="213">
        <v>4.28</v>
      </c>
      <c r="K12" s="213">
        <v>4.46</v>
      </c>
    </row>
    <row r="13" spans="3:14" ht="17.25" thickBot="1" x14ac:dyDescent="0.35">
      <c r="C13" s="213" t="s">
        <v>59</v>
      </c>
      <c r="D13" s="213">
        <v>4.0999999999999996</v>
      </c>
      <c r="E13" s="213">
        <v>4.2300000000000004</v>
      </c>
      <c r="F13" s="213">
        <v>4.24</v>
      </c>
      <c r="G13" s="213">
        <v>4.25</v>
      </c>
      <c r="H13" s="213">
        <v>4.2699999999999996</v>
      </c>
      <c r="I13" s="213">
        <v>4.29</v>
      </c>
      <c r="J13" s="213">
        <v>4.33</v>
      </c>
      <c r="K13" s="213">
        <v>4.55</v>
      </c>
    </row>
    <row r="14" spans="3:14" ht="17.25" thickBot="1" x14ac:dyDescent="0.35">
      <c r="C14" s="213" t="s">
        <v>60</v>
      </c>
      <c r="D14" s="213">
        <v>4.59</v>
      </c>
      <c r="E14" s="213">
        <v>4.8</v>
      </c>
      <c r="F14" s="213">
        <v>4.8</v>
      </c>
      <c r="G14" s="213">
        <v>4.8099999999999996</v>
      </c>
      <c r="H14" s="213">
        <v>4.83</v>
      </c>
      <c r="I14" s="213">
        <v>4.84</v>
      </c>
      <c r="J14" s="213">
        <v>4.8899999999999997</v>
      </c>
      <c r="K14" s="213">
        <v>5.19</v>
      </c>
    </row>
    <row r="15" spans="3:14" ht="17.25" thickBot="1" x14ac:dyDescent="0.35">
      <c r="C15" s="213" t="s">
        <v>61</v>
      </c>
      <c r="D15" s="213">
        <v>4.7300000000000004</v>
      </c>
      <c r="E15" s="213">
        <v>4.96</v>
      </c>
      <c r="F15" s="213">
        <v>4.96</v>
      </c>
      <c r="G15" s="213">
        <v>4.97</v>
      </c>
      <c r="H15" s="213">
        <v>5</v>
      </c>
      <c r="I15" s="213">
        <v>5.01</v>
      </c>
      <c r="J15" s="213">
        <v>5.16</v>
      </c>
      <c r="K15" s="213">
        <v>5.65</v>
      </c>
    </row>
    <row r="16" spans="3:14" ht="17.25" thickBot="1" x14ac:dyDescent="0.35">
      <c r="C16" s="213" t="s">
        <v>62</v>
      </c>
      <c r="D16" s="213">
        <v>4.9400000000000004</v>
      </c>
      <c r="E16" s="213">
        <v>5.18</v>
      </c>
      <c r="F16" s="213">
        <v>5.21</v>
      </c>
      <c r="G16" s="213">
        <v>5.23</v>
      </c>
      <c r="H16" s="213">
        <v>5.3</v>
      </c>
      <c r="I16" s="213">
        <v>5.35</v>
      </c>
      <c r="J16" s="213">
        <v>5.61</v>
      </c>
      <c r="K16" s="213">
        <v>6.25</v>
      </c>
    </row>
    <row r="17" spans="2:12" ht="17.25" thickBot="1" x14ac:dyDescent="0.35">
      <c r="C17" s="213" t="s">
        <v>63</v>
      </c>
      <c r="D17" s="213">
        <v>5.6</v>
      </c>
      <c r="E17" s="213">
        <v>6.16</v>
      </c>
      <c r="F17" s="213">
        <v>6.5</v>
      </c>
      <c r="G17" s="213">
        <v>6.71</v>
      </c>
      <c r="H17" s="213">
        <v>7.07</v>
      </c>
      <c r="I17" s="213">
        <v>7.59</v>
      </c>
      <c r="J17" s="213">
        <v>8.1300000000000008</v>
      </c>
      <c r="K17" s="213">
        <v>8.34</v>
      </c>
    </row>
    <row r="18" spans="2:12" ht="17.25" thickBot="1" x14ac:dyDescent="0.35">
      <c r="C18" s="213" t="s">
        <v>64</v>
      </c>
      <c r="D18" s="213">
        <v>5.98</v>
      </c>
      <c r="E18" s="213">
        <v>6.66</v>
      </c>
      <c r="F18" s="213">
        <v>7.08</v>
      </c>
      <c r="G18" s="213">
        <v>7.38</v>
      </c>
      <c r="H18" s="213">
        <v>7.88</v>
      </c>
      <c r="I18" s="213">
        <v>8.5299999999999994</v>
      </c>
      <c r="J18" s="213">
        <v>9.18</v>
      </c>
      <c r="K18" s="213">
        <v>9.39</v>
      </c>
    </row>
    <row r="19" spans="2:12" ht="17.25" thickBot="1" x14ac:dyDescent="0.35">
      <c r="C19" s="213" t="s">
        <v>65</v>
      </c>
      <c r="D19" s="213">
        <v>6.66</v>
      </c>
      <c r="E19" s="213">
        <v>7.45</v>
      </c>
      <c r="F19" s="213">
        <v>8.02</v>
      </c>
      <c r="G19" s="213">
        <v>8.36</v>
      </c>
      <c r="H19" s="213">
        <v>8.99</v>
      </c>
      <c r="I19" s="213">
        <v>9.68</v>
      </c>
      <c r="J19" s="213">
        <v>10.55</v>
      </c>
      <c r="K19" s="213">
        <v>10.81</v>
      </c>
      <c r="L19" s="15">
        <f xml:space="preserve"> K19 / 100</f>
        <v>0.1081</v>
      </c>
    </row>
    <row r="21" spans="2:12" x14ac:dyDescent="0.3">
      <c r="C21" s="215" t="s">
        <v>110</v>
      </c>
      <c r="D21" s="215" t="s">
        <v>112</v>
      </c>
      <c r="E21" s="215" t="s">
        <v>113</v>
      </c>
      <c r="F21" s="215" t="s">
        <v>115</v>
      </c>
      <c r="G21" s="215" t="s">
        <v>114</v>
      </c>
      <c r="H21" s="215" t="s">
        <v>111</v>
      </c>
      <c r="I21" s="215" t="s">
        <v>116</v>
      </c>
    </row>
    <row r="22" spans="2:12" x14ac:dyDescent="0.3">
      <c r="C22" s="3">
        <v>3340000</v>
      </c>
      <c r="D22" s="3">
        <v>5220000</v>
      </c>
      <c r="E22" s="3">
        <v>777170</v>
      </c>
      <c r="F22" s="3">
        <v>3748135</v>
      </c>
      <c r="G22" s="3">
        <v>9176143</v>
      </c>
      <c r="H22" s="3">
        <v>0</v>
      </c>
      <c r="I22" s="3">
        <f xml:space="preserve"> SUM(C22:H22)</f>
        <v>22261448</v>
      </c>
    </row>
    <row r="23" spans="2:12" x14ac:dyDescent="0.3">
      <c r="C23" s="3">
        <v>3340000</v>
      </c>
      <c r="D23" s="344">
        <f xml:space="preserve"> D22 + E22 + F22 + G22</f>
        <v>18921448</v>
      </c>
      <c r="E23" s="345"/>
      <c r="F23" s="345"/>
      <c r="G23" s="345"/>
      <c r="H23" s="3">
        <v>0</v>
      </c>
      <c r="I23" s="3">
        <f xml:space="preserve"> SUM(C23:H23)</f>
        <v>22261448</v>
      </c>
    </row>
    <row r="24" spans="2:12" x14ac:dyDescent="0.3">
      <c r="C24" s="216">
        <f xml:space="preserve"> C23/ I23 * 100</f>
        <v>15.003516393003727</v>
      </c>
      <c r="D24" s="346">
        <f xml:space="preserve"> D23 / I23 * 100</f>
        <v>84.996483606996279</v>
      </c>
      <c r="E24" s="347"/>
      <c r="F24" s="347"/>
      <c r="G24" s="348"/>
      <c r="H24" s="216">
        <f xml:space="preserve"> H23 / I23 * 100</f>
        <v>0</v>
      </c>
      <c r="I24" s="216">
        <f xml:space="preserve"> SUM(C24:H24)</f>
        <v>100</v>
      </c>
    </row>
    <row r="25" spans="2:12" x14ac:dyDescent="0.3">
      <c r="C25" s="214"/>
      <c r="D25" s="217">
        <f xml:space="preserve"> D22 / D23 * 100</f>
        <v>27.587740642259512</v>
      </c>
      <c r="E25" s="217">
        <f xml:space="preserve"> E22 / D23 * 100</f>
        <v>4.1073495009472847</v>
      </c>
      <c r="F25" s="217">
        <f xml:space="preserve"> F22 / D23 * 100</f>
        <v>19.808922657504858</v>
      </c>
      <c r="G25" s="217">
        <f xml:space="preserve"> G22 / D23 * 100</f>
        <v>48.495987199288344</v>
      </c>
      <c r="H25" s="2"/>
      <c r="I25" s="2"/>
    </row>
    <row r="26" spans="2:12" ht="17.25" thickBot="1" x14ac:dyDescent="0.35"/>
    <row r="27" spans="2:12" ht="17.25" thickBot="1" x14ac:dyDescent="0.35">
      <c r="B27" s="354" t="s">
        <v>123</v>
      </c>
      <c r="C27" s="358" t="s">
        <v>140</v>
      </c>
      <c r="D27" s="349" t="s">
        <v>121</v>
      </c>
      <c r="E27" s="350"/>
      <c r="F27" s="351"/>
      <c r="G27" s="354" t="s">
        <v>126</v>
      </c>
      <c r="H27" s="352" t="s">
        <v>143</v>
      </c>
      <c r="I27" s="355" t="s">
        <v>119</v>
      </c>
      <c r="J27" s="354" t="s">
        <v>129</v>
      </c>
      <c r="K27" s="354" t="s">
        <v>141</v>
      </c>
    </row>
    <row r="28" spans="2:12" ht="17.25" thickBot="1" x14ac:dyDescent="0.35">
      <c r="B28" s="353"/>
      <c r="C28" s="359"/>
      <c r="D28" s="354" t="s">
        <v>120</v>
      </c>
      <c r="E28" s="352" t="s">
        <v>125</v>
      </c>
      <c r="F28" s="360" t="s">
        <v>128</v>
      </c>
      <c r="G28" s="353"/>
      <c r="H28" s="353"/>
      <c r="I28" s="356"/>
      <c r="J28" s="353"/>
      <c r="K28" s="353"/>
    </row>
    <row r="29" spans="2:12" ht="37.5" customHeight="1" thickBot="1" x14ac:dyDescent="0.35">
      <c r="B29" s="353"/>
      <c r="C29" s="359"/>
      <c r="D29" s="353"/>
      <c r="E29" s="353"/>
      <c r="F29" s="361"/>
      <c r="G29" s="353"/>
      <c r="H29" s="353"/>
      <c r="I29" s="288" t="s">
        <v>122</v>
      </c>
      <c r="J29" s="357"/>
      <c r="K29" s="357"/>
    </row>
    <row r="30" spans="2:12" x14ac:dyDescent="0.3">
      <c r="B30" s="338" t="s">
        <v>124</v>
      </c>
      <c r="C30" s="365">
        <v>521300000000</v>
      </c>
      <c r="D30" s="291">
        <v>521300000000</v>
      </c>
      <c r="E30" s="290">
        <v>0.46</v>
      </c>
      <c r="F30" s="292">
        <v>10.81</v>
      </c>
      <c r="G30" s="367">
        <f xml:space="preserve"> C30 + D31</f>
        <v>22182978723.404297</v>
      </c>
      <c r="H30" s="365">
        <v>65480000</v>
      </c>
      <c r="I30" s="368">
        <f xml:space="preserve"> G30 / H30</f>
        <v>338.77487360116521</v>
      </c>
      <c r="J30" s="371" t="s">
        <v>127</v>
      </c>
      <c r="K30" s="367">
        <f xml:space="preserve"> D30 / H30</f>
        <v>7961.2095296273674</v>
      </c>
    </row>
    <row r="31" spans="2:12" ht="17.25" thickBot="1" x14ac:dyDescent="0.35">
      <c r="B31" s="340"/>
      <c r="C31" s="366"/>
      <c r="D31" s="362">
        <f xml:space="preserve"> (D30 * (E30 - F30)) / F30</f>
        <v>-499117021276.5957</v>
      </c>
      <c r="E31" s="363"/>
      <c r="F31" s="364"/>
      <c r="G31" s="340"/>
      <c r="H31" s="366"/>
      <c r="I31" s="369"/>
      <c r="J31" s="372"/>
      <c r="K31" s="370"/>
    </row>
    <row r="32" spans="2:12" x14ac:dyDescent="0.3">
      <c r="B32" s="338" t="s">
        <v>139</v>
      </c>
      <c r="C32" s="365">
        <v>4679754000</v>
      </c>
      <c r="D32" s="291">
        <v>4679754000</v>
      </c>
      <c r="E32" s="290">
        <v>0</v>
      </c>
      <c r="F32" s="292">
        <v>10.81</v>
      </c>
      <c r="G32" s="367">
        <f xml:space="preserve"> C32 + D33</f>
        <v>0</v>
      </c>
      <c r="H32" s="365">
        <v>583000000</v>
      </c>
      <c r="I32" s="368">
        <f xml:space="preserve"> G32 / H32</f>
        <v>0</v>
      </c>
      <c r="J32" s="371" t="s">
        <v>127</v>
      </c>
      <c r="K32" s="367">
        <f xml:space="preserve"> D32 / H32</f>
        <v>8.0270222984562611</v>
      </c>
    </row>
    <row r="33" spans="2:11" ht="17.25" thickBot="1" x14ac:dyDescent="0.35">
      <c r="B33" s="340"/>
      <c r="C33" s="366"/>
      <c r="D33" s="362">
        <f xml:space="preserve"> (D32 * (E32 - F32)) / F32</f>
        <v>-4679754000</v>
      </c>
      <c r="E33" s="363"/>
      <c r="F33" s="364"/>
      <c r="G33" s="340"/>
      <c r="H33" s="366"/>
      <c r="I33" s="369"/>
      <c r="J33" s="372"/>
      <c r="K33" s="370"/>
    </row>
    <row r="34" spans="2:11" x14ac:dyDescent="0.3">
      <c r="B34" s="338" t="s">
        <v>145</v>
      </c>
      <c r="C34" s="365">
        <v>10054000000</v>
      </c>
      <c r="D34" s="291">
        <v>10054000000</v>
      </c>
      <c r="E34" s="290">
        <v>2.72</v>
      </c>
      <c r="F34" s="292">
        <v>10.81</v>
      </c>
      <c r="G34" s="367">
        <f xml:space="preserve"> C34 + D35</f>
        <v>2529776133.2099915</v>
      </c>
      <c r="H34" s="365">
        <v>1792000000</v>
      </c>
      <c r="I34" s="368">
        <f xml:space="preserve"> G34 / H34</f>
        <v>1.4117054314787898</v>
      </c>
      <c r="J34" s="371" t="s">
        <v>127</v>
      </c>
      <c r="K34" s="367">
        <f xml:space="preserve"> D34 / H34</f>
        <v>5.6104910714285712</v>
      </c>
    </row>
    <row r="35" spans="2:11" ht="17.25" thickBot="1" x14ac:dyDescent="0.35">
      <c r="B35" s="340"/>
      <c r="C35" s="366"/>
      <c r="D35" s="362">
        <f xml:space="preserve"> (D34 * (E34 - F34)) / F34</f>
        <v>-7524223866.7900085</v>
      </c>
      <c r="E35" s="363"/>
      <c r="F35" s="364"/>
      <c r="G35" s="340"/>
      <c r="H35" s="366"/>
      <c r="I35" s="369"/>
      <c r="J35" s="372"/>
      <c r="K35" s="370"/>
    </row>
    <row r="36" spans="2:11" x14ac:dyDescent="0.3">
      <c r="B36" s="2"/>
      <c r="C36" s="2"/>
      <c r="D36" s="2"/>
      <c r="E36" s="2"/>
      <c r="F36" s="2"/>
      <c r="H36" s="4"/>
      <c r="I36" s="2"/>
      <c r="J36" s="2"/>
    </row>
    <row r="37" spans="2:11" x14ac:dyDescent="0.3">
      <c r="B37" s="2"/>
      <c r="C37" s="2"/>
      <c r="D37" s="2"/>
      <c r="E37" s="2"/>
      <c r="F37" s="2"/>
      <c r="H37" s="5"/>
      <c r="I37" s="2"/>
      <c r="J37" s="2"/>
    </row>
    <row r="38" spans="2:11" x14ac:dyDescent="0.3">
      <c r="B38" s="2"/>
      <c r="C38" s="2"/>
      <c r="D38" s="2"/>
      <c r="E38" s="2"/>
      <c r="F38" s="2"/>
      <c r="H38" s="2"/>
      <c r="I38" s="2"/>
      <c r="J38" s="2"/>
    </row>
    <row r="40" spans="2:11" s="299" customFormat="1" x14ac:dyDescent="0.3"/>
    <row r="41" spans="2:11" ht="17.25" thickBot="1" x14ac:dyDescent="0.35"/>
    <row r="42" spans="2:11" ht="50.25" thickBot="1" x14ac:dyDescent="0.35">
      <c r="B42" s="294" t="s">
        <v>142</v>
      </c>
      <c r="C42" s="295" t="s">
        <v>132</v>
      </c>
      <c r="D42" s="295" t="s">
        <v>130</v>
      </c>
      <c r="E42" s="296" t="s">
        <v>131</v>
      </c>
    </row>
    <row r="43" spans="2:11" x14ac:dyDescent="0.3">
      <c r="B43" s="293" t="s">
        <v>133</v>
      </c>
      <c r="C43" s="289">
        <v>5950076000</v>
      </c>
      <c r="D43" s="289">
        <v>1344380000</v>
      </c>
      <c r="E43" s="289">
        <f xml:space="preserve"> C43 - D43</f>
        <v>4605696000</v>
      </c>
    </row>
    <row r="44" spans="2:11" x14ac:dyDescent="0.3">
      <c r="B44" s="293" t="s">
        <v>145</v>
      </c>
      <c r="C44" s="289">
        <v>144523000000</v>
      </c>
      <c r="D44" s="289">
        <v>12065000000</v>
      </c>
      <c r="E44" s="289">
        <f xml:space="preserve"> C44 - D44</f>
        <v>132458000000</v>
      </c>
    </row>
    <row r="45" spans="2:11" ht="17.25" thickBot="1" x14ac:dyDescent="0.35"/>
    <row r="46" spans="2:11" ht="33.75" thickBot="1" x14ac:dyDescent="0.35">
      <c r="B46" s="294" t="s">
        <v>142</v>
      </c>
      <c r="C46" s="297" t="s">
        <v>134</v>
      </c>
      <c r="D46" s="295" t="s">
        <v>135</v>
      </c>
      <c r="E46" s="295" t="s">
        <v>136</v>
      </c>
      <c r="F46" s="298" t="s">
        <v>120</v>
      </c>
    </row>
    <row r="47" spans="2:11" x14ac:dyDescent="0.3">
      <c r="B47" s="293" t="s">
        <v>133</v>
      </c>
      <c r="C47" s="289">
        <v>4740000</v>
      </c>
      <c r="D47" s="289">
        <v>7070710000</v>
      </c>
      <c r="E47" s="289">
        <v>2396903000</v>
      </c>
      <c r="F47" s="289">
        <f xml:space="preserve"> D47 + C47 - E47</f>
        <v>4678547000</v>
      </c>
    </row>
    <row r="48" spans="2:11" x14ac:dyDescent="0.3">
      <c r="B48" s="293" t="s">
        <v>145</v>
      </c>
      <c r="C48" s="289">
        <v>935000000</v>
      </c>
      <c r="D48" s="289">
        <v>23940000000</v>
      </c>
      <c r="E48" s="289">
        <v>14821000000</v>
      </c>
      <c r="F48" s="289">
        <f xml:space="preserve"> D48 + C48 - E48</f>
        <v>10054000000</v>
      </c>
    </row>
    <row r="49" spans="2:4" ht="17.25" thickBot="1" x14ac:dyDescent="0.35"/>
    <row r="50" spans="2:4" ht="66.75" thickBot="1" x14ac:dyDescent="0.35">
      <c r="B50" s="294" t="s">
        <v>142</v>
      </c>
      <c r="C50" s="312" t="s">
        <v>137</v>
      </c>
      <c r="D50" s="313" t="s">
        <v>138</v>
      </c>
    </row>
    <row r="51" spans="2:4" x14ac:dyDescent="0.3">
      <c r="B51" s="293" t="s">
        <v>133</v>
      </c>
      <c r="C51" s="310">
        <f xml:space="preserve"> F47 / C43 * 100</f>
        <v>78.630037666745764</v>
      </c>
      <c r="D51" s="311">
        <f>(C47-F47)/C47 *100</f>
        <v>-98603.523206751051</v>
      </c>
    </row>
    <row r="52" spans="2:4" x14ac:dyDescent="0.3">
      <c r="B52" s="293" t="s">
        <v>145</v>
      </c>
      <c r="C52" s="310">
        <f xml:space="preserve"> F48 / C44 * 100</f>
        <v>6.9566781757920886</v>
      </c>
      <c r="D52" s="311">
        <f>(C48-F48)/C48 *100</f>
        <v>-975.2941176470589</v>
      </c>
    </row>
  </sheetData>
  <mergeCells count="38">
    <mergeCell ref="J34:J35"/>
    <mergeCell ref="K34:K35"/>
    <mergeCell ref="D35:F35"/>
    <mergeCell ref="B34:B35"/>
    <mergeCell ref="C34:C35"/>
    <mergeCell ref="G34:G35"/>
    <mergeCell ref="H34:H35"/>
    <mergeCell ref="I34:I35"/>
    <mergeCell ref="K30:K31"/>
    <mergeCell ref="K32:K33"/>
    <mergeCell ref="I30:I31"/>
    <mergeCell ref="J30:J31"/>
    <mergeCell ref="J32:J33"/>
    <mergeCell ref="B32:B33"/>
    <mergeCell ref="C32:C33"/>
    <mergeCell ref="G32:G33"/>
    <mergeCell ref="H32:H33"/>
    <mergeCell ref="I32:I33"/>
    <mergeCell ref="D33:F33"/>
    <mergeCell ref="D31:F31"/>
    <mergeCell ref="C30:C31"/>
    <mergeCell ref="B30:B31"/>
    <mergeCell ref="H30:H31"/>
    <mergeCell ref="G30:G31"/>
    <mergeCell ref="B27:B29"/>
    <mergeCell ref="C27:C29"/>
    <mergeCell ref="D28:D29"/>
    <mergeCell ref="E28:E29"/>
    <mergeCell ref="F28:F29"/>
    <mergeCell ref="D3:N4"/>
    <mergeCell ref="D23:G23"/>
    <mergeCell ref="D24:G24"/>
    <mergeCell ref="D27:F27"/>
    <mergeCell ref="H27:H29"/>
    <mergeCell ref="G27:G29"/>
    <mergeCell ref="I27:I28"/>
    <mergeCell ref="J27:J29"/>
    <mergeCell ref="K27:K29"/>
  </mergeCells>
  <phoneticPr fontId="1" type="noConversion"/>
  <hyperlinks>
    <hyperlink ref="D5" r:id="rId1" xr:uid="{EE3CE8B6-470F-49A2-989A-1F8221A2B6F9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1AFE-825F-4669-B78F-E10BDCEEF433}">
  <dimension ref="A1:R23"/>
  <sheetViews>
    <sheetView tabSelected="1" workbookViewId="0">
      <selection activeCell="I14" sqref="I14"/>
    </sheetView>
  </sheetViews>
  <sheetFormatPr defaultRowHeight="16.5" x14ac:dyDescent="0.3"/>
  <cols>
    <col min="1" max="1" width="7.25" customWidth="1"/>
    <col min="2" max="2" width="9.25" bestFit="1" customWidth="1"/>
    <col min="3" max="3" width="11.375" customWidth="1"/>
    <col min="4" max="4" width="7.75" customWidth="1"/>
    <col min="6" max="6" width="10.625" bestFit="1" customWidth="1"/>
    <col min="7" max="7" width="10.75" bestFit="1" customWidth="1"/>
    <col min="9" max="9" width="10.75" bestFit="1" customWidth="1"/>
    <col min="11" max="11" width="10.75" bestFit="1" customWidth="1"/>
    <col min="12" max="12" width="10.625" bestFit="1" customWidth="1"/>
    <col min="15" max="15" width="10.625" bestFit="1" customWidth="1"/>
  </cols>
  <sheetData>
    <row r="1" spans="2:18" x14ac:dyDescent="0.3">
      <c r="B1" s="377"/>
      <c r="C1" s="377"/>
    </row>
    <row r="2" spans="2:18" x14ac:dyDescent="0.3">
      <c r="B2" s="376" t="s">
        <v>76</v>
      </c>
      <c r="C2" s="376"/>
      <c r="E2" s="373" t="s">
        <v>76</v>
      </c>
      <c r="F2" s="374"/>
      <c r="G2" s="374"/>
      <c r="H2" s="375"/>
      <c r="J2" s="373" t="s">
        <v>117</v>
      </c>
      <c r="K2" s="374"/>
      <c r="L2" s="374"/>
      <c r="M2" s="375"/>
      <c r="O2" s="373" t="s">
        <v>118</v>
      </c>
      <c r="P2" s="374"/>
      <c r="Q2" s="374"/>
      <c r="R2" s="375"/>
    </row>
    <row r="3" spans="2:18" x14ac:dyDescent="0.3">
      <c r="B3" s="6" t="s">
        <v>18</v>
      </c>
      <c r="C3" s="6" t="s">
        <v>19</v>
      </c>
      <c r="E3" s="6" t="s">
        <v>18</v>
      </c>
      <c r="F3" s="6" t="s">
        <v>14</v>
      </c>
      <c r="G3" s="6" t="s">
        <v>19</v>
      </c>
      <c r="H3" s="6" t="s">
        <v>22</v>
      </c>
      <c r="J3" s="6" t="s">
        <v>18</v>
      </c>
      <c r="K3" s="6" t="s">
        <v>14</v>
      </c>
      <c r="L3" s="6" t="s">
        <v>19</v>
      </c>
      <c r="M3" s="6" t="s">
        <v>22</v>
      </c>
      <c r="O3" s="6" t="s">
        <v>18</v>
      </c>
      <c r="P3" s="6" t="s">
        <v>14</v>
      </c>
      <c r="Q3" s="6" t="s">
        <v>19</v>
      </c>
      <c r="R3" s="6" t="s">
        <v>22</v>
      </c>
    </row>
    <row r="4" spans="2:18" x14ac:dyDescent="0.3">
      <c r="B4" s="5">
        <v>1</v>
      </c>
      <c r="C4" s="9">
        <v>85421</v>
      </c>
      <c r="E4" s="5">
        <v>1</v>
      </c>
      <c r="F4" s="287">
        <v>6895968</v>
      </c>
      <c r="G4" s="287">
        <v>20436</v>
      </c>
      <c r="H4" s="2">
        <f t="shared" ref="H4:H14" si="0">ROUND((G4/IF(F4=0,1,F4))*100,2)</f>
        <v>0.3</v>
      </c>
      <c r="J4" s="5">
        <v>1</v>
      </c>
      <c r="K4" s="287">
        <v>7800000</v>
      </c>
      <c r="L4" s="287">
        <v>-370000</v>
      </c>
      <c r="M4" s="2">
        <f t="shared" ref="M4:M14" si="1">ROUND((L4/IF(K4=0,1,K4))*100,2)</f>
        <v>-4.74</v>
      </c>
      <c r="O4" s="5">
        <v>1</v>
      </c>
      <c r="P4" s="287">
        <v>0</v>
      </c>
      <c r="Q4" s="287">
        <v>0</v>
      </c>
      <c r="R4" s="2">
        <f t="shared" ref="R4:R14" si="2">ROUND((Q4/IF(P4=0,1,P4))*100,2)</f>
        <v>0</v>
      </c>
    </row>
    <row r="5" spans="2:18" x14ac:dyDescent="0.3">
      <c r="B5" s="5">
        <v>2</v>
      </c>
      <c r="C5" s="9">
        <v>65302</v>
      </c>
      <c r="E5" s="5">
        <v>2</v>
      </c>
      <c r="F5" s="287">
        <v>2840710</v>
      </c>
      <c r="G5" s="287">
        <v>-263661</v>
      </c>
      <c r="H5" s="2">
        <f t="shared" si="0"/>
        <v>-9.2799999999999994</v>
      </c>
      <c r="J5" s="5">
        <v>2</v>
      </c>
      <c r="K5" s="287">
        <v>5700000</v>
      </c>
      <c r="L5" s="287">
        <v>56335</v>
      </c>
      <c r="M5" s="2">
        <f t="shared" si="1"/>
        <v>0.99</v>
      </c>
      <c r="O5" s="5">
        <v>2</v>
      </c>
      <c r="P5" s="287">
        <v>0</v>
      </c>
      <c r="Q5" s="287">
        <v>0</v>
      </c>
      <c r="R5" s="2">
        <f t="shared" si="2"/>
        <v>0</v>
      </c>
    </row>
    <row r="6" spans="2:18" x14ac:dyDescent="0.3">
      <c r="B6" s="5">
        <v>3</v>
      </c>
      <c r="C6" s="9">
        <v>93332</v>
      </c>
      <c r="E6" s="5">
        <v>3</v>
      </c>
      <c r="F6" s="287">
        <v>6714000</v>
      </c>
      <c r="G6" s="287">
        <v>-70497</v>
      </c>
      <c r="H6" s="2">
        <f t="shared" si="0"/>
        <v>-1.05</v>
      </c>
      <c r="J6" s="5">
        <v>3</v>
      </c>
      <c r="K6" s="287">
        <v>1271879</v>
      </c>
      <c r="L6" s="287">
        <v>-55655</v>
      </c>
      <c r="M6" s="2">
        <f t="shared" si="1"/>
        <v>-4.38</v>
      </c>
      <c r="O6" s="5">
        <v>3</v>
      </c>
      <c r="P6" s="287">
        <v>0</v>
      </c>
      <c r="Q6" s="287">
        <v>0</v>
      </c>
      <c r="R6" s="2">
        <f t="shared" si="2"/>
        <v>0</v>
      </c>
    </row>
    <row r="7" spans="2:18" x14ac:dyDescent="0.3">
      <c r="B7" s="5">
        <v>4</v>
      </c>
      <c r="C7" s="9">
        <v>0</v>
      </c>
      <c r="E7" s="5">
        <v>4</v>
      </c>
      <c r="F7" s="287">
        <v>3403333</v>
      </c>
      <c r="G7" s="3">
        <v>-11231</v>
      </c>
      <c r="H7" s="2">
        <f t="shared" si="0"/>
        <v>-0.33</v>
      </c>
      <c r="J7" s="5">
        <v>4</v>
      </c>
      <c r="K7" s="287">
        <v>0</v>
      </c>
      <c r="L7" s="3">
        <v>0</v>
      </c>
      <c r="M7" s="2">
        <f t="shared" si="1"/>
        <v>0</v>
      </c>
      <c r="O7" s="5">
        <v>4</v>
      </c>
      <c r="P7" s="287">
        <v>0</v>
      </c>
      <c r="Q7" s="3">
        <v>0</v>
      </c>
      <c r="R7" s="2">
        <f t="shared" si="2"/>
        <v>0</v>
      </c>
    </row>
    <row r="8" spans="2:18" x14ac:dyDescent="0.3">
      <c r="B8" s="5">
        <v>5</v>
      </c>
      <c r="C8" s="9">
        <v>0</v>
      </c>
      <c r="E8" s="5">
        <v>5</v>
      </c>
      <c r="F8" s="287">
        <v>6778491</v>
      </c>
      <c r="G8" s="3">
        <v>156448</v>
      </c>
      <c r="H8" s="2">
        <f t="shared" si="0"/>
        <v>2.31</v>
      </c>
      <c r="J8" s="5">
        <v>5</v>
      </c>
      <c r="K8" s="287">
        <v>0</v>
      </c>
      <c r="L8" s="3">
        <v>0</v>
      </c>
      <c r="M8" s="2">
        <f t="shared" si="1"/>
        <v>0</v>
      </c>
      <c r="O8" s="5">
        <v>5</v>
      </c>
      <c r="P8" s="287">
        <v>0</v>
      </c>
      <c r="Q8" s="3">
        <v>0</v>
      </c>
      <c r="R8" s="2">
        <f t="shared" si="2"/>
        <v>0</v>
      </c>
    </row>
    <row r="9" spans="2:18" x14ac:dyDescent="0.3">
      <c r="B9" s="5">
        <v>6</v>
      </c>
      <c r="C9" s="10">
        <v>0</v>
      </c>
      <c r="E9" s="5">
        <v>6</v>
      </c>
      <c r="F9" s="287">
        <v>0</v>
      </c>
      <c r="G9" s="287">
        <v>0</v>
      </c>
      <c r="H9" s="2">
        <f t="shared" si="0"/>
        <v>0</v>
      </c>
      <c r="J9" s="5">
        <v>6</v>
      </c>
      <c r="K9" s="287">
        <v>0</v>
      </c>
      <c r="L9" s="287">
        <v>0</v>
      </c>
      <c r="M9" s="2">
        <f t="shared" si="1"/>
        <v>0</v>
      </c>
      <c r="O9" s="5">
        <v>6</v>
      </c>
      <c r="P9" s="287">
        <v>0</v>
      </c>
      <c r="Q9" s="287">
        <v>0</v>
      </c>
      <c r="R9" s="2">
        <f t="shared" si="2"/>
        <v>0</v>
      </c>
    </row>
    <row r="10" spans="2:18" x14ac:dyDescent="0.3">
      <c r="B10" s="5">
        <v>7</v>
      </c>
      <c r="C10" s="9">
        <v>0</v>
      </c>
      <c r="E10" s="5">
        <v>7</v>
      </c>
      <c r="F10" s="287">
        <v>0</v>
      </c>
      <c r="G10" s="3">
        <v>0</v>
      </c>
      <c r="H10" s="2">
        <f t="shared" si="0"/>
        <v>0</v>
      </c>
      <c r="J10" s="5">
        <v>7</v>
      </c>
      <c r="K10" s="287">
        <v>0</v>
      </c>
      <c r="L10" s="3">
        <v>0</v>
      </c>
      <c r="M10" s="2">
        <f t="shared" si="1"/>
        <v>0</v>
      </c>
      <c r="O10" s="5">
        <v>7</v>
      </c>
      <c r="P10" s="287">
        <v>0</v>
      </c>
      <c r="Q10" s="3">
        <v>0</v>
      </c>
      <c r="R10" s="2">
        <f t="shared" si="2"/>
        <v>0</v>
      </c>
    </row>
    <row r="11" spans="2:18" x14ac:dyDescent="0.3">
      <c r="B11" s="5">
        <v>8</v>
      </c>
      <c r="C11" s="9">
        <v>0</v>
      </c>
      <c r="E11" s="5">
        <v>8</v>
      </c>
      <c r="F11" s="287">
        <v>0</v>
      </c>
      <c r="G11" s="3">
        <v>0</v>
      </c>
      <c r="H11" s="2">
        <f t="shared" si="0"/>
        <v>0</v>
      </c>
      <c r="J11" s="5">
        <v>8</v>
      </c>
      <c r="K11" s="287">
        <v>0</v>
      </c>
      <c r="L11" s="3">
        <v>0</v>
      </c>
      <c r="M11" s="2">
        <f t="shared" si="1"/>
        <v>0</v>
      </c>
      <c r="O11" s="5">
        <v>8</v>
      </c>
      <c r="P11" s="287">
        <v>0</v>
      </c>
      <c r="Q11" s="3">
        <v>0</v>
      </c>
      <c r="R11" s="2">
        <f t="shared" si="2"/>
        <v>0</v>
      </c>
    </row>
    <row r="12" spans="2:18" x14ac:dyDescent="0.3">
      <c r="B12" s="8">
        <v>9</v>
      </c>
      <c r="C12" s="10">
        <v>0</v>
      </c>
      <c r="E12" s="8">
        <v>9</v>
      </c>
      <c r="F12" s="287">
        <v>0</v>
      </c>
      <c r="G12" s="287">
        <v>0</v>
      </c>
      <c r="H12" s="2">
        <f t="shared" si="0"/>
        <v>0</v>
      </c>
      <c r="J12" s="8">
        <v>9</v>
      </c>
      <c r="K12" s="287">
        <v>0</v>
      </c>
      <c r="L12" s="287">
        <v>0</v>
      </c>
      <c r="M12" s="2">
        <f t="shared" si="1"/>
        <v>0</v>
      </c>
      <c r="O12" s="8">
        <v>9</v>
      </c>
      <c r="P12" s="287">
        <v>0</v>
      </c>
      <c r="Q12" s="287">
        <v>0</v>
      </c>
      <c r="R12" s="2">
        <f t="shared" si="2"/>
        <v>0</v>
      </c>
    </row>
    <row r="13" spans="2:18" x14ac:dyDescent="0.3">
      <c r="B13" s="5">
        <v>10</v>
      </c>
      <c r="C13" s="9">
        <v>0</v>
      </c>
      <c r="E13" s="5">
        <v>10</v>
      </c>
      <c r="F13" s="287">
        <v>0</v>
      </c>
      <c r="G13" s="3">
        <v>0</v>
      </c>
      <c r="H13" s="2">
        <f t="shared" si="0"/>
        <v>0</v>
      </c>
      <c r="J13" s="5">
        <v>10</v>
      </c>
      <c r="K13" s="287">
        <v>0</v>
      </c>
      <c r="L13" s="3">
        <v>0</v>
      </c>
      <c r="M13" s="2">
        <f t="shared" si="1"/>
        <v>0</v>
      </c>
      <c r="O13" s="5">
        <v>10</v>
      </c>
      <c r="P13" s="287">
        <v>0</v>
      </c>
      <c r="Q13" s="3">
        <v>0</v>
      </c>
      <c r="R13" s="2">
        <f t="shared" si="2"/>
        <v>0</v>
      </c>
    </row>
    <row r="14" spans="2:18" x14ac:dyDescent="0.3">
      <c r="B14" s="6" t="s">
        <v>20</v>
      </c>
      <c r="C14" s="7">
        <f>SUM(C4:C13)</f>
        <v>244055</v>
      </c>
      <c r="E14" s="273"/>
      <c r="F14" s="3">
        <f>SUM(F4:F13)/IF(COUNTIF(F4:F13,"&gt;1")=0,1,COUNTIF(F4:F13,"&gt;1"))</f>
        <v>5326500.4000000004</v>
      </c>
      <c r="G14" s="3">
        <f>SUM(G4:G13)</f>
        <v>-168505</v>
      </c>
      <c r="H14" s="2">
        <f t="shared" si="0"/>
        <v>-3.16</v>
      </c>
      <c r="J14" s="273"/>
      <c r="K14" s="3">
        <f>SUM(K4:K13)/IF(COUNTIF(K4:K13,"&gt;1")=0,1,COUNTIF(K4:K13,"&gt;1"))</f>
        <v>4923959.666666667</v>
      </c>
      <c r="L14" s="3">
        <f>SUM(L4:L13)</f>
        <v>-369320</v>
      </c>
      <c r="M14" s="2">
        <f t="shared" si="1"/>
        <v>-7.5</v>
      </c>
      <c r="O14" s="273"/>
      <c r="P14" s="3">
        <f>SUM(P4:P13)/IF(COUNTIF(P4:P13,"&gt;1")=0,1,COUNTIF(P4:P13,"&gt;1"))</f>
        <v>0</v>
      </c>
      <c r="Q14" s="3">
        <f>SUM(Q4:Q13)</f>
        <v>0</v>
      </c>
      <c r="R14" s="2">
        <f t="shared" si="2"/>
        <v>0</v>
      </c>
    </row>
    <row r="15" spans="2:18" x14ac:dyDescent="0.3">
      <c r="B15" s="6" t="s">
        <v>14</v>
      </c>
      <c r="C15" s="7">
        <v>1342771</v>
      </c>
    </row>
    <row r="16" spans="2:18" x14ac:dyDescent="0.3">
      <c r="B16" s="6" t="s">
        <v>22</v>
      </c>
      <c r="C16" s="5">
        <f xml:space="preserve">  ROUND( (C14 / C15) * 100, 2 )</f>
        <v>18.18</v>
      </c>
    </row>
    <row r="17" spans="1:3" x14ac:dyDescent="0.3">
      <c r="B17" s="6" t="s">
        <v>23</v>
      </c>
      <c r="C17" s="3">
        <f xml:space="preserve"> C15 + C14</f>
        <v>1586826</v>
      </c>
    </row>
    <row r="18" spans="1:3" x14ac:dyDescent="0.3">
      <c r="B18" s="4"/>
    </row>
    <row r="19" spans="1:3" x14ac:dyDescent="0.3">
      <c r="B19">
        <v>1.1599999999999999</v>
      </c>
      <c r="C19">
        <f xml:space="preserve"> B19 /100</f>
        <v>1.1599999999999999E-2</v>
      </c>
    </row>
    <row r="20" spans="1:3" x14ac:dyDescent="0.3">
      <c r="A20" t="s">
        <v>144</v>
      </c>
      <c r="B20">
        <v>156448</v>
      </c>
      <c r="C20">
        <f xml:space="preserve"> B20 / C19</f>
        <v>13486896.55172414</v>
      </c>
    </row>
    <row r="22" spans="1:3" x14ac:dyDescent="0.3">
      <c r="B22">
        <v>0.33</v>
      </c>
      <c r="C22">
        <f xml:space="preserve"> B22 /100</f>
        <v>3.3E-3</v>
      </c>
    </row>
    <row r="23" spans="1:3" x14ac:dyDescent="0.3">
      <c r="B23">
        <v>11231</v>
      </c>
      <c r="C23">
        <f xml:space="preserve"> B23 / C22</f>
        <v>3403333.3333333335</v>
      </c>
    </row>
  </sheetData>
  <mergeCells count="5">
    <mergeCell ref="O2:R2"/>
    <mergeCell ref="B2:C2"/>
    <mergeCell ref="B1:C1"/>
    <mergeCell ref="E2:H2"/>
    <mergeCell ref="J2:M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5E69-D134-4A4B-8C90-1AB5E24247D8}">
  <dimension ref="A3:K19"/>
  <sheetViews>
    <sheetView workbookViewId="0">
      <selection activeCell="G12" sqref="G12"/>
    </sheetView>
  </sheetViews>
  <sheetFormatPr defaultRowHeight="16.5" x14ac:dyDescent="0.3"/>
  <cols>
    <col min="1" max="1" width="24.25" customWidth="1"/>
    <col min="2" max="2" width="25.5" bestFit="1" customWidth="1"/>
  </cols>
  <sheetData>
    <row r="3" spans="1:5" x14ac:dyDescent="0.3">
      <c r="C3" t="s">
        <v>24</v>
      </c>
      <c r="D3" t="s">
        <v>25</v>
      </c>
      <c r="E3" t="s">
        <v>26</v>
      </c>
    </row>
    <row r="4" spans="1:5" x14ac:dyDescent="0.3">
      <c r="A4" s="12">
        <v>44837</v>
      </c>
      <c r="B4" t="s">
        <v>27</v>
      </c>
      <c r="C4">
        <v>52.8</v>
      </c>
      <c r="D4">
        <v>52.2</v>
      </c>
      <c r="E4">
        <v>50.9</v>
      </c>
    </row>
    <row r="5" spans="1:5" x14ac:dyDescent="0.3">
      <c r="A5" s="12">
        <v>44839</v>
      </c>
      <c r="B5" t="s">
        <v>28</v>
      </c>
      <c r="C5">
        <v>56.9</v>
      </c>
      <c r="D5">
        <v>56</v>
      </c>
      <c r="E5">
        <v>56.7</v>
      </c>
    </row>
    <row r="6" spans="1:5" x14ac:dyDescent="0.3">
      <c r="A6" s="12">
        <v>44846</v>
      </c>
      <c r="B6" t="s">
        <v>29</v>
      </c>
      <c r="C6">
        <v>8.6999999999999993</v>
      </c>
      <c r="D6">
        <v>8.4</v>
      </c>
      <c r="E6">
        <v>8.5</v>
      </c>
    </row>
    <row r="7" spans="1:5" x14ac:dyDescent="0.3">
      <c r="A7" s="12"/>
      <c r="B7" t="s">
        <v>40</v>
      </c>
      <c r="C7">
        <v>7.2</v>
      </c>
      <c r="D7">
        <v>7.3</v>
      </c>
      <c r="E7">
        <v>7.2</v>
      </c>
    </row>
    <row r="8" spans="1:5" x14ac:dyDescent="0.3">
      <c r="A8" s="12">
        <v>44847</v>
      </c>
      <c r="B8" t="s">
        <v>30</v>
      </c>
      <c r="C8">
        <v>8.3000000000000007</v>
      </c>
      <c r="D8">
        <v>8.1</v>
      </c>
    </row>
    <row r="9" spans="1:5" x14ac:dyDescent="0.3">
      <c r="B9" t="s">
        <v>31</v>
      </c>
      <c r="C9">
        <v>6.3</v>
      </c>
      <c r="D9">
        <v>6.5</v>
      </c>
    </row>
    <row r="10" spans="1:5" x14ac:dyDescent="0.3">
      <c r="B10" t="s">
        <v>32</v>
      </c>
      <c r="C10" s="13" t="s">
        <v>33</v>
      </c>
      <c r="D10" s="13" t="s">
        <v>34</v>
      </c>
    </row>
    <row r="11" spans="1:5" x14ac:dyDescent="0.3">
      <c r="A11" s="12">
        <v>44848</v>
      </c>
      <c r="B11" t="s">
        <v>35</v>
      </c>
    </row>
    <row r="12" spans="1:5" x14ac:dyDescent="0.3">
      <c r="A12" s="12">
        <v>44853</v>
      </c>
      <c r="B12" t="s">
        <v>36</v>
      </c>
    </row>
    <row r="13" spans="1:5" x14ac:dyDescent="0.3">
      <c r="A13" s="12"/>
      <c r="B13" t="s">
        <v>37</v>
      </c>
    </row>
    <row r="14" spans="1:5" x14ac:dyDescent="0.3">
      <c r="A14" s="12">
        <v>44854</v>
      </c>
      <c r="B14" t="s">
        <v>38</v>
      </c>
    </row>
    <row r="15" spans="1:5" x14ac:dyDescent="0.3">
      <c r="B15" t="s">
        <v>39</v>
      </c>
    </row>
    <row r="18" spans="1:11" ht="17.25" thickBot="1" x14ac:dyDescent="0.35">
      <c r="A18" t="s">
        <v>67</v>
      </c>
      <c r="B18" s="18">
        <v>46.2</v>
      </c>
      <c r="G18" t="s">
        <v>69</v>
      </c>
    </row>
    <row r="19" spans="1:11" x14ac:dyDescent="0.3">
      <c r="A19" t="s">
        <v>66</v>
      </c>
      <c r="B19" s="14" t="s">
        <v>70</v>
      </c>
      <c r="G19" t="s">
        <v>66</v>
      </c>
      <c r="K19" t="s">
        <v>68</v>
      </c>
    </row>
  </sheetData>
  <phoneticPr fontId="1" type="noConversion"/>
  <hyperlinks>
    <hyperlink ref="B19" r:id="rId1" xr:uid="{3A766F5B-F863-447A-B8EF-553FA28A5327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752C-641E-4C09-9624-C882FA38F7BF}">
  <dimension ref="B2:O17"/>
  <sheetViews>
    <sheetView workbookViewId="0">
      <selection activeCell="Q9" sqref="Q9"/>
    </sheetView>
  </sheetViews>
  <sheetFormatPr defaultRowHeight="16.5" x14ac:dyDescent="0.3"/>
  <cols>
    <col min="2" max="2" width="10.25" bestFit="1" customWidth="1"/>
    <col min="3" max="3" width="10.75" bestFit="1" customWidth="1"/>
    <col min="5" max="5" width="10.25" bestFit="1" customWidth="1"/>
    <col min="6" max="6" width="10.75" bestFit="1" customWidth="1"/>
    <col min="8" max="8" width="10.25" bestFit="1" customWidth="1"/>
    <col min="9" max="9" width="10.75" bestFit="1" customWidth="1"/>
    <col min="11" max="11" width="10.25" bestFit="1" customWidth="1"/>
    <col min="12" max="12" width="10.75" bestFit="1" customWidth="1"/>
    <col min="14" max="14" width="10.25" bestFit="1" customWidth="1"/>
    <col min="15" max="15" width="10.75" bestFit="1" customWidth="1"/>
  </cols>
  <sheetData>
    <row r="2" spans="2:15" x14ac:dyDescent="0.3">
      <c r="B2" s="376" t="s">
        <v>71</v>
      </c>
      <c r="C2" s="376"/>
      <c r="E2" s="376" t="s">
        <v>72</v>
      </c>
      <c r="F2" s="376"/>
      <c r="H2" s="376" t="s">
        <v>73</v>
      </c>
      <c r="I2" s="376"/>
      <c r="K2" s="376" t="s">
        <v>74</v>
      </c>
      <c r="L2" s="376"/>
      <c r="N2" s="376" t="s">
        <v>75</v>
      </c>
      <c r="O2" s="376"/>
    </row>
    <row r="3" spans="2:15" x14ac:dyDescent="0.3">
      <c r="B3" s="6" t="s">
        <v>18</v>
      </c>
      <c r="C3" s="6" t="s">
        <v>19</v>
      </c>
      <c r="E3" s="6" t="s">
        <v>18</v>
      </c>
      <c r="F3" s="6" t="s">
        <v>19</v>
      </c>
      <c r="H3" s="6" t="s">
        <v>18</v>
      </c>
      <c r="I3" s="6" t="s">
        <v>19</v>
      </c>
      <c r="K3" s="6" t="s">
        <v>18</v>
      </c>
      <c r="L3" s="6" t="s">
        <v>19</v>
      </c>
      <c r="N3" s="6" t="s">
        <v>18</v>
      </c>
      <c r="O3" s="6" t="s">
        <v>19</v>
      </c>
    </row>
    <row r="4" spans="2:15" x14ac:dyDescent="0.3">
      <c r="B4" s="5">
        <v>1</v>
      </c>
      <c r="C4" s="9">
        <v>17215</v>
      </c>
      <c r="E4" s="5">
        <v>1</v>
      </c>
      <c r="F4" s="9">
        <v>3020</v>
      </c>
      <c r="H4" s="5">
        <v>1</v>
      </c>
      <c r="I4" s="9">
        <v>0</v>
      </c>
      <c r="K4" s="5">
        <v>1</v>
      </c>
      <c r="L4" s="9">
        <v>39527</v>
      </c>
      <c r="N4" s="5">
        <v>1</v>
      </c>
      <c r="O4" s="9">
        <v>19976</v>
      </c>
    </row>
    <row r="5" spans="2:15" x14ac:dyDescent="0.3">
      <c r="B5" s="5">
        <v>2</v>
      </c>
      <c r="C5" s="9">
        <v>-77107</v>
      </c>
      <c r="E5" s="5">
        <v>2</v>
      </c>
      <c r="F5" s="9">
        <v>-3342</v>
      </c>
      <c r="H5" s="5">
        <v>2</v>
      </c>
      <c r="I5" s="9">
        <v>0</v>
      </c>
      <c r="K5" s="5">
        <v>2</v>
      </c>
      <c r="L5" s="9">
        <v>47051</v>
      </c>
      <c r="N5" s="5">
        <v>2</v>
      </c>
      <c r="O5" s="9">
        <v>35716</v>
      </c>
    </row>
    <row r="6" spans="2:15" x14ac:dyDescent="0.3">
      <c r="B6" s="5">
        <v>3</v>
      </c>
      <c r="C6" s="9">
        <v>77453</v>
      </c>
      <c r="E6" s="5">
        <v>3</v>
      </c>
      <c r="F6" s="10">
        <v>38771</v>
      </c>
      <c r="H6" s="5">
        <v>3</v>
      </c>
      <c r="I6" s="10">
        <v>0</v>
      </c>
      <c r="K6" s="5">
        <v>3</v>
      </c>
      <c r="L6" s="10">
        <v>-8281</v>
      </c>
      <c r="N6" s="5">
        <v>3</v>
      </c>
      <c r="O6" s="10">
        <v>64079</v>
      </c>
    </row>
    <row r="7" spans="2:15" x14ac:dyDescent="0.3">
      <c r="B7" s="5">
        <v>4</v>
      </c>
      <c r="C7" s="9">
        <v>16450</v>
      </c>
      <c r="E7" s="5">
        <v>4</v>
      </c>
      <c r="F7" s="9">
        <v>0</v>
      </c>
      <c r="H7" s="5">
        <v>4</v>
      </c>
      <c r="I7" s="9">
        <v>0</v>
      </c>
      <c r="K7" s="5">
        <v>4</v>
      </c>
      <c r="L7" s="9">
        <v>0</v>
      </c>
      <c r="N7" s="5">
        <v>4</v>
      </c>
      <c r="O7" s="9">
        <v>0</v>
      </c>
    </row>
    <row r="8" spans="2:15" x14ac:dyDescent="0.3">
      <c r="B8" s="5">
        <v>5</v>
      </c>
      <c r="C8" s="9">
        <v>6818</v>
      </c>
      <c r="E8" s="5">
        <v>5</v>
      </c>
      <c r="F8" s="9">
        <v>0</v>
      </c>
      <c r="H8" s="5">
        <v>5</v>
      </c>
      <c r="I8" s="9">
        <v>0</v>
      </c>
      <c r="K8" s="5">
        <v>5</v>
      </c>
      <c r="L8" s="9">
        <v>0</v>
      </c>
      <c r="N8" s="5">
        <v>5</v>
      </c>
      <c r="O8" s="9">
        <v>0</v>
      </c>
    </row>
    <row r="9" spans="2:15" x14ac:dyDescent="0.3">
      <c r="B9" s="5">
        <v>6</v>
      </c>
      <c r="C9" s="9">
        <v>24585</v>
      </c>
      <c r="E9" s="5">
        <v>6</v>
      </c>
      <c r="F9" s="10">
        <v>0</v>
      </c>
      <c r="H9" s="5">
        <v>6</v>
      </c>
      <c r="I9" s="10">
        <v>0</v>
      </c>
      <c r="K9" s="5">
        <v>6</v>
      </c>
      <c r="L9" s="10">
        <v>0</v>
      </c>
      <c r="N9" s="5">
        <v>6</v>
      </c>
      <c r="O9" s="10">
        <v>0</v>
      </c>
    </row>
    <row r="10" spans="2:15" x14ac:dyDescent="0.3">
      <c r="B10" s="5">
        <v>7</v>
      </c>
      <c r="C10" s="9">
        <v>0</v>
      </c>
      <c r="E10" s="5">
        <v>7</v>
      </c>
      <c r="F10" s="9">
        <v>0</v>
      </c>
      <c r="H10" s="5">
        <v>7</v>
      </c>
      <c r="I10" s="9">
        <v>0</v>
      </c>
      <c r="K10" s="5">
        <v>7</v>
      </c>
      <c r="L10" s="9">
        <v>0</v>
      </c>
      <c r="N10" s="5">
        <v>7</v>
      </c>
      <c r="O10" s="9">
        <v>0</v>
      </c>
    </row>
    <row r="11" spans="2:15" x14ac:dyDescent="0.3">
      <c r="B11" s="5">
        <v>8</v>
      </c>
      <c r="C11" s="9">
        <v>0</v>
      </c>
      <c r="E11" s="5">
        <v>8</v>
      </c>
      <c r="F11" s="9">
        <v>0</v>
      </c>
      <c r="H11" s="5">
        <v>8</v>
      </c>
      <c r="I11" s="9">
        <v>0</v>
      </c>
      <c r="K11" s="5">
        <v>8</v>
      </c>
      <c r="L11" s="9">
        <v>0</v>
      </c>
      <c r="N11" s="5">
        <v>8</v>
      </c>
      <c r="O11" s="9">
        <v>0</v>
      </c>
    </row>
    <row r="12" spans="2:15" x14ac:dyDescent="0.3">
      <c r="B12" s="8">
        <v>9</v>
      </c>
      <c r="C12" s="10">
        <v>0</v>
      </c>
      <c r="E12" s="8">
        <v>9</v>
      </c>
      <c r="F12" s="10">
        <v>0</v>
      </c>
      <c r="H12" s="8">
        <v>9</v>
      </c>
      <c r="I12" s="10">
        <v>0</v>
      </c>
      <c r="K12" s="8">
        <v>9</v>
      </c>
      <c r="L12" s="10">
        <v>0</v>
      </c>
      <c r="N12" s="8">
        <v>9</v>
      </c>
      <c r="O12" s="10">
        <v>0</v>
      </c>
    </row>
    <row r="13" spans="2:15" x14ac:dyDescent="0.3">
      <c r="B13" s="5">
        <v>10</v>
      </c>
      <c r="C13" s="9">
        <v>0</v>
      </c>
      <c r="E13" s="5">
        <v>10</v>
      </c>
      <c r="F13" s="9">
        <v>0</v>
      </c>
      <c r="H13" s="5">
        <v>10</v>
      </c>
      <c r="I13" s="9">
        <v>0</v>
      </c>
      <c r="K13" s="5">
        <v>10</v>
      </c>
      <c r="L13" s="9">
        <v>0</v>
      </c>
      <c r="N13" s="5">
        <v>10</v>
      </c>
      <c r="O13" s="9">
        <v>0</v>
      </c>
    </row>
    <row r="14" spans="2:15" x14ac:dyDescent="0.3">
      <c r="B14" s="6" t="s">
        <v>20</v>
      </c>
      <c r="C14" s="7">
        <f>SUM(C4:C13)</f>
        <v>65414</v>
      </c>
      <c r="E14" s="6" t="s">
        <v>20</v>
      </c>
      <c r="F14" s="7">
        <f>SUM(F4:F13)</f>
        <v>38449</v>
      </c>
      <c r="H14" s="6" t="s">
        <v>20</v>
      </c>
      <c r="I14" s="7">
        <f>SUM(I4:I13)</f>
        <v>0</v>
      </c>
      <c r="K14" s="6" t="s">
        <v>20</v>
      </c>
      <c r="L14" s="7">
        <f>SUM(L4:L13)</f>
        <v>78297</v>
      </c>
      <c r="N14" s="6" t="s">
        <v>20</v>
      </c>
      <c r="O14" s="7">
        <f>SUM(O4:O13)</f>
        <v>119771</v>
      </c>
    </row>
    <row r="15" spans="2:15" x14ac:dyDescent="0.3">
      <c r="B15" s="6" t="s">
        <v>21</v>
      </c>
      <c r="C15" s="7">
        <v>1061029</v>
      </c>
      <c r="E15" s="6" t="s">
        <v>14</v>
      </c>
      <c r="F15" s="7">
        <v>1126443</v>
      </c>
      <c r="H15" s="6" t="s">
        <v>14</v>
      </c>
      <c r="I15" s="7">
        <v>1200000</v>
      </c>
      <c r="K15" s="6" t="s">
        <v>14</v>
      </c>
      <c r="L15" s="7">
        <v>1200000</v>
      </c>
      <c r="N15" s="6" t="s">
        <v>14</v>
      </c>
      <c r="O15" s="7">
        <v>1223000</v>
      </c>
    </row>
    <row r="16" spans="2:15" x14ac:dyDescent="0.3">
      <c r="B16" s="6" t="s">
        <v>22</v>
      </c>
      <c r="C16" s="5">
        <f xml:space="preserve">  ROUND( (C14 / C15) * 100, 2 )</f>
        <v>6.17</v>
      </c>
      <c r="E16" s="6" t="s">
        <v>22</v>
      </c>
      <c r="F16" s="5">
        <f xml:space="preserve">  ROUND( (F14 / F15) * 100, 2 )</f>
        <v>3.41</v>
      </c>
      <c r="H16" s="6" t="s">
        <v>22</v>
      </c>
      <c r="I16" s="5">
        <f xml:space="preserve">  ROUND( (I14 / I15) * 100, 2 )</f>
        <v>0</v>
      </c>
      <c r="K16" s="6" t="s">
        <v>22</v>
      </c>
      <c r="L16" s="5">
        <f xml:space="preserve">  ROUND( (L14 / L15) * 100, 2 )</f>
        <v>6.52</v>
      </c>
      <c r="N16" s="6" t="s">
        <v>22</v>
      </c>
      <c r="O16" s="5">
        <f xml:space="preserve">  ROUND( (O14 / O15) * 100, 2 )</f>
        <v>9.7899999999999991</v>
      </c>
    </row>
    <row r="17" spans="2:15" x14ac:dyDescent="0.3">
      <c r="B17" s="6" t="s">
        <v>23</v>
      </c>
      <c r="C17" s="3">
        <f xml:space="preserve"> C15 + C14</f>
        <v>1126443</v>
      </c>
      <c r="E17" s="6" t="s">
        <v>23</v>
      </c>
      <c r="F17" s="3">
        <f xml:space="preserve"> F15 + F14</f>
        <v>1164892</v>
      </c>
      <c r="H17" s="6" t="s">
        <v>23</v>
      </c>
      <c r="I17" s="3">
        <f xml:space="preserve"> I15 + I14</f>
        <v>1200000</v>
      </c>
      <c r="K17" s="6" t="s">
        <v>23</v>
      </c>
      <c r="L17" s="3">
        <f xml:space="preserve"> L15 + L14</f>
        <v>1278297</v>
      </c>
      <c r="N17" s="6" t="s">
        <v>23</v>
      </c>
      <c r="O17" s="3">
        <f xml:space="preserve"> O15 + O14</f>
        <v>1342771</v>
      </c>
    </row>
  </sheetData>
  <mergeCells count="5">
    <mergeCell ref="N2:O2"/>
    <mergeCell ref="B2:C2"/>
    <mergeCell ref="E2:F2"/>
    <mergeCell ref="H2:I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시나리오</vt:lpstr>
      <vt:lpstr>생활패턴</vt:lpstr>
      <vt:lpstr>내자산</vt:lpstr>
      <vt:lpstr>단타일지</vt:lpstr>
      <vt:lpstr>일정확인</vt:lpstr>
      <vt:lpstr>2022단타일지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2022-01-13T04:25:16Z</dcterms:created>
  <dcterms:modified xsi:type="dcterms:W3CDTF">2023-02-22T02:47:22Z</dcterms:modified>
</cp:coreProperties>
</file>