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F715C902-F1C8-402B-826A-67DCB1B57E5B}" xr6:coauthVersionLast="36" xr6:coauthVersionMax="47" xr10:uidLastSave="{00000000-0000-0000-0000-000000000000}"/>
  <bookViews>
    <workbookView xWindow="735" yWindow="735" windowWidth="21600" windowHeight="11385" activeTab="3" xr2:uid="{00000000-000D-0000-FFFF-FFFF00000000}"/>
  </bookViews>
  <sheets>
    <sheet name="시나리오" sheetId="7" r:id="rId1"/>
    <sheet name="생활패턴" sheetId="5" r:id="rId2"/>
    <sheet name="단타일지" sheetId="9" r:id="rId3"/>
    <sheet name="시나리오_샘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3" i="4" l="1"/>
  <c r="N171" i="4"/>
  <c r="N159" i="4"/>
  <c r="N147" i="4"/>
  <c r="L146" i="4"/>
  <c r="N135" i="4"/>
  <c r="L134" i="4"/>
  <c r="N123" i="4"/>
  <c r="N111" i="4"/>
  <c r="N99" i="4"/>
  <c r="N87" i="4"/>
  <c r="N75" i="4"/>
  <c r="N63" i="4"/>
  <c r="N51" i="4"/>
  <c r="N39" i="4"/>
  <c r="L38" i="4"/>
  <c r="N27" i="4"/>
  <c r="L26" i="4"/>
  <c r="N15" i="4"/>
  <c r="L14" i="4"/>
  <c r="I14" i="4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3" i="4"/>
  <c r="E12" i="4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P15" i="4" l="1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D59" i="4" l="1"/>
  <c r="L50" i="4"/>
  <c r="D54" i="4"/>
  <c r="D56" i="4"/>
  <c r="D60" i="4"/>
  <c r="D55" i="4"/>
  <c r="D61" i="4"/>
  <c r="D53" i="4"/>
  <c r="D51" i="4"/>
  <c r="F51" i="4" s="1"/>
  <c r="D57" i="4"/>
  <c r="D58" i="4"/>
  <c r="D62" i="4"/>
  <c r="D52" i="4"/>
  <c r="R50" i="4"/>
  <c r="P50" i="4"/>
  <c r="Q50" i="4" s="1"/>
  <c r="K55" i="4" s="1"/>
  <c r="M159" i="7"/>
  <c r="K158" i="7"/>
  <c r="K159" i="7"/>
  <c r="M62" i="4" l="1"/>
  <c r="H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2" i="4" l="1"/>
  <c r="H52" i="4" s="1"/>
  <c r="J51" i="4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F53" i="4" l="1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D66" i="4"/>
  <c r="D68" i="4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H63" i="4" l="1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D82" i="4"/>
  <c r="D81" i="4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H75" i="4" l="1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D97" i="4" l="1"/>
  <c r="L86" i="4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D102" i="4" l="1"/>
  <c r="L98" i="4"/>
  <c r="D100" i="4"/>
  <c r="P98" i="4"/>
  <c r="Q98" i="4" s="1"/>
  <c r="K103" i="4" s="1"/>
  <c r="R98" i="4"/>
  <c r="D109" i="4" l="1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D121" i="4"/>
  <c r="D118" i="4"/>
  <c r="D120" i="4"/>
  <c r="D113" i="4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M122" i="4" l="1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D131" i="4"/>
  <c r="D127" i="4"/>
  <c r="D132" i="4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<sst xmlns="http://schemas.openxmlformats.org/spreadsheetml/2006/main" count="63" uniqueCount="45">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</sst>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topLeftCell="A10" workbookViewId="0">
      <selection activeCell="A10" sqref="A1:XFD104857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44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44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44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44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44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44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44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44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44"/>
      <c r="C11" s="8">
        <v>9</v>
      </c>
      <c r="D11" s="9">
        <v>1000000</v>
      </c>
      <c r="E11" s="9">
        <f t="shared" si="0"/>
        <v>15198650.084591899</v>
      </c>
      <c r="F11" s="8">
        <v>1.7999999999999999E-2</v>
      </c>
      <c r="G11" s="9">
        <f t="shared" si="1"/>
        <v>15472225.786114553</v>
      </c>
      <c r="H11" s="9"/>
      <c r="I11" s="10">
        <v>0</v>
      </c>
      <c r="P11" s="9"/>
    </row>
    <row r="12" spans="1:16" s="12" customFormat="1" x14ac:dyDescent="0.3">
      <c r="B12" s="44"/>
      <c r="C12" s="12">
        <v>10</v>
      </c>
      <c r="D12" s="13">
        <v>4500000</v>
      </c>
      <c r="E12" s="13">
        <f t="shared" si="0"/>
        <v>19972225.786114551</v>
      </c>
      <c r="F12" s="12">
        <v>1.7999999999999999E-2</v>
      </c>
      <c r="G12" s="13">
        <f t="shared" si="1"/>
        <v>20331725.850264613</v>
      </c>
      <c r="H12" s="13"/>
      <c r="I12" s="14">
        <v>0</v>
      </c>
      <c r="P12" s="13"/>
    </row>
    <row r="13" spans="1:16" s="8" customFormat="1" x14ac:dyDescent="0.3">
      <c r="B13" s="44"/>
      <c r="C13" s="8">
        <v>11</v>
      </c>
      <c r="D13" s="9">
        <v>2500000</v>
      </c>
      <c r="E13" s="9">
        <f t="shared" si="0"/>
        <v>22831725.850264613</v>
      </c>
      <c r="F13" s="8">
        <v>1.7999999999999999E-2</v>
      </c>
      <c r="G13" s="9">
        <f t="shared" si="1"/>
        <v>23242696.915569376</v>
      </c>
      <c r="H13" s="9"/>
      <c r="I13" s="10">
        <v>0</v>
      </c>
      <c r="P13" s="9"/>
    </row>
    <row r="14" spans="1:16" s="18" customFormat="1" x14ac:dyDescent="0.3">
      <c r="B14" s="44"/>
      <c r="C14" s="18">
        <v>12</v>
      </c>
      <c r="D14" s="19">
        <v>2500000</v>
      </c>
      <c r="E14" s="19">
        <f t="shared" si="0"/>
        <v>25742696.915569376</v>
      </c>
      <c r="F14" s="18">
        <v>1.7999999999999999E-2</v>
      </c>
      <c r="G14" s="19">
        <f t="shared" si="1"/>
        <v>26206065.460049625</v>
      </c>
      <c r="H14" s="19"/>
      <c r="I14" s="10">
        <v>0</v>
      </c>
      <c r="J14" s="19">
        <f xml:space="preserve"> (G2 + SUM(D3:D14)) - SUM(I3:I14)</f>
        <v>23863456</v>
      </c>
      <c r="K14" s="19">
        <f xml:space="preserve"> G14 - J14</f>
        <v>2342609.4600496255</v>
      </c>
      <c r="L14" s="18">
        <v>0.84</v>
      </c>
      <c r="M14" s="19">
        <f xml:space="preserve"> K14 * L14</f>
        <v>1967791.9464416853</v>
      </c>
      <c r="N14" s="19">
        <f xml:space="preserve"> K14 - M14</f>
        <v>374817.51360794017</v>
      </c>
      <c r="O14" s="18">
        <f xml:space="preserve"> K14 / J14 * 100</f>
        <v>9.8167233616523344</v>
      </c>
      <c r="P14" s="19"/>
    </row>
    <row r="15" spans="1:16" s="8" customFormat="1" x14ac:dyDescent="0.3">
      <c r="A15" s="8">
        <v>2</v>
      </c>
      <c r="B15" s="44">
        <v>2023</v>
      </c>
      <c r="C15" s="8">
        <v>1</v>
      </c>
      <c r="D15" s="9">
        <f xml:space="preserve"> K15</f>
        <v>3591919.3941687346</v>
      </c>
      <c r="E15" s="9">
        <f xml:space="preserve"> (G14 / 2) + D15 - I15</f>
        <v>16694952.124193547</v>
      </c>
      <c r="F15" s="8">
        <v>1.7999999999999999E-2</v>
      </c>
      <c r="G15" s="9">
        <f xml:space="preserve"> (E15 * F15) + E15</f>
        <v>16995461.262429032</v>
      </c>
      <c r="H15" s="9"/>
      <c r="I15" s="10">
        <v>0</v>
      </c>
      <c r="K15" s="11">
        <f xml:space="preserve"> (G14 / 2 / 12) +2500000</f>
        <v>3591919.3941687346</v>
      </c>
      <c r="M15" s="9">
        <f xml:space="preserve"> (G14 / 2 )</f>
        <v>13103032.730024813</v>
      </c>
      <c r="P15" s="9"/>
    </row>
    <row r="16" spans="1:16" s="8" customFormat="1" x14ac:dyDescent="0.3">
      <c r="B16" s="44"/>
      <c r="C16" s="8">
        <v>2</v>
      </c>
      <c r="D16" s="9">
        <f xml:space="preserve"> K15</f>
        <v>3591919.3941687346</v>
      </c>
      <c r="E16" s="9">
        <f t="shared" ref="E16:E26" si="2" xml:space="preserve"> G15 + D16 - I16</f>
        <v>20587380.656597767</v>
      </c>
      <c r="F16" s="8">
        <v>1.7999999999999999E-2</v>
      </c>
      <c r="G16" s="9">
        <f xml:space="preserve"> (E16 * F16) + E16</f>
        <v>20957953.508416526</v>
      </c>
      <c r="H16" s="9"/>
      <c r="I16" s="10">
        <v>0</v>
      </c>
      <c r="P16" s="9"/>
    </row>
    <row r="17" spans="1:16" s="8" customFormat="1" x14ac:dyDescent="0.3">
      <c r="B17" s="44"/>
      <c r="C17" s="8">
        <v>3</v>
      </c>
      <c r="D17" s="9">
        <f xml:space="preserve"> K15</f>
        <v>3591919.3941687346</v>
      </c>
      <c r="E17" s="9">
        <f t="shared" si="2"/>
        <v>24549872.902585261</v>
      </c>
      <c r="F17" s="8">
        <v>1.7999999999999999E-2</v>
      </c>
      <c r="G17" s="9">
        <f xml:space="preserve"> (E17 * F17) + E17</f>
        <v>24991770.614831794</v>
      </c>
      <c r="H17" s="9"/>
      <c r="I17" s="10">
        <v>0</v>
      </c>
      <c r="P17" s="9"/>
    </row>
    <row r="18" spans="1:16" s="8" customFormat="1" x14ac:dyDescent="0.3">
      <c r="B18" s="44"/>
      <c r="C18" s="8">
        <v>4</v>
      </c>
      <c r="D18" s="9">
        <f xml:space="preserve"> K15</f>
        <v>3591919.3941687346</v>
      </c>
      <c r="E18" s="9">
        <f t="shared" si="2"/>
        <v>28583690.009000529</v>
      </c>
      <c r="F18" s="8">
        <v>1.7999999999999999E-2</v>
      </c>
      <c r="G18" s="9">
        <f t="shared" ref="G18:G26" si="3" xml:space="preserve"> (E18 * F18) + E18</f>
        <v>29098196.42916254</v>
      </c>
      <c r="H18" s="9"/>
      <c r="I18" s="10">
        <v>0</v>
      </c>
      <c r="P18" s="9"/>
    </row>
    <row r="19" spans="1:16" s="8" customFormat="1" x14ac:dyDescent="0.3">
      <c r="B19" s="44"/>
      <c r="C19" s="8">
        <v>5</v>
      </c>
      <c r="D19" s="9">
        <f xml:space="preserve"> K15</f>
        <v>3591919.3941687346</v>
      </c>
      <c r="E19" s="9">
        <f t="shared" si="2"/>
        <v>32315298.309723333</v>
      </c>
      <c r="F19" s="8">
        <v>1.7999999999999999E-2</v>
      </c>
      <c r="G19" s="9">
        <f t="shared" si="3"/>
        <v>32896973.679298352</v>
      </c>
      <c r="H19" s="9"/>
      <c r="I19" s="10">
        <f xml:space="preserve"> N14</f>
        <v>374817.51360794017</v>
      </c>
      <c r="P19" s="9"/>
    </row>
    <row r="20" spans="1:16" s="8" customFormat="1" x14ac:dyDescent="0.3">
      <c r="B20" s="44"/>
      <c r="C20" s="8">
        <v>6</v>
      </c>
      <c r="D20" s="9">
        <f xml:space="preserve"> K15</f>
        <v>3591919.3941687346</v>
      </c>
      <c r="E20" s="9">
        <f t="shared" si="2"/>
        <v>36488893.073467091</v>
      </c>
      <c r="F20" s="8">
        <v>1.7999999999999999E-2</v>
      </c>
      <c r="G20" s="9">
        <f t="shared" si="3"/>
        <v>37145693.148789495</v>
      </c>
      <c r="H20" s="9"/>
      <c r="I20" s="10">
        <v>0</v>
      </c>
      <c r="P20" s="9"/>
    </row>
    <row r="21" spans="1:16" s="8" customFormat="1" x14ac:dyDescent="0.3">
      <c r="B21" s="44"/>
      <c r="C21" s="8">
        <v>7</v>
      </c>
      <c r="D21" s="9">
        <f xml:space="preserve"> K15</f>
        <v>3591919.3941687346</v>
      </c>
      <c r="E21" s="9">
        <f t="shared" si="2"/>
        <v>40737612.54295823</v>
      </c>
      <c r="F21" s="8">
        <v>1.7999999999999999E-2</v>
      </c>
      <c r="G21" s="9">
        <f t="shared" si="3"/>
        <v>41470889.568731479</v>
      </c>
      <c r="H21" s="9"/>
      <c r="I21" s="10">
        <v>0</v>
      </c>
      <c r="P21" s="9"/>
    </row>
    <row r="22" spans="1:16" s="8" customFormat="1" x14ac:dyDescent="0.3">
      <c r="B22" s="44"/>
      <c r="C22" s="8">
        <v>8</v>
      </c>
      <c r="D22" s="9">
        <f xml:space="preserve"> K15</f>
        <v>3591919.3941687346</v>
      </c>
      <c r="E22" s="9">
        <f t="shared" si="2"/>
        <v>45062808.962900214</v>
      </c>
      <c r="F22" s="8">
        <v>1.7999999999999999E-2</v>
      </c>
      <c r="G22" s="9">
        <f t="shared" si="3"/>
        <v>45873939.524232417</v>
      </c>
      <c r="H22" s="9"/>
      <c r="I22" s="10">
        <v>0</v>
      </c>
      <c r="P22" s="9"/>
    </row>
    <row r="23" spans="1:16" s="8" customFormat="1" x14ac:dyDescent="0.3">
      <c r="B23" s="44"/>
      <c r="C23" s="8">
        <v>9</v>
      </c>
      <c r="D23" s="9">
        <f xml:space="preserve"> K15</f>
        <v>3591919.3941687346</v>
      </c>
      <c r="E23" s="9">
        <f t="shared" si="2"/>
        <v>49465858.918401152</v>
      </c>
      <c r="F23" s="8">
        <v>1.7999999999999999E-2</v>
      </c>
      <c r="G23" s="9">
        <f t="shared" si="3"/>
        <v>50356244.378932372</v>
      </c>
      <c r="H23" s="9"/>
      <c r="I23" s="10">
        <v>0</v>
      </c>
      <c r="P23" s="9"/>
    </row>
    <row r="24" spans="1:16" s="8" customFormat="1" x14ac:dyDescent="0.3">
      <c r="B24" s="44"/>
      <c r="C24" s="8">
        <v>10</v>
      </c>
      <c r="D24" s="9">
        <f xml:space="preserve"> K15</f>
        <v>3591919.3941687346</v>
      </c>
      <c r="E24" s="9">
        <f t="shared" si="2"/>
        <v>53948163.773101106</v>
      </c>
      <c r="F24" s="8">
        <v>1.7999999999999999E-2</v>
      </c>
      <c r="G24" s="9">
        <f t="shared" si="3"/>
        <v>54919230.721016929</v>
      </c>
      <c r="H24" s="9"/>
      <c r="I24" s="10">
        <v>0</v>
      </c>
      <c r="P24" s="9"/>
    </row>
    <row r="25" spans="1:16" s="8" customFormat="1" x14ac:dyDescent="0.3">
      <c r="B25" s="44"/>
      <c r="C25" s="8">
        <v>11</v>
      </c>
      <c r="D25" s="9">
        <f xml:space="preserve"> K15</f>
        <v>3591919.3941687346</v>
      </c>
      <c r="E25" s="9">
        <f t="shared" si="2"/>
        <v>58511150.115185663</v>
      </c>
      <c r="F25" s="8">
        <v>1.7999999999999999E-2</v>
      </c>
      <c r="G25" s="9">
        <f t="shared" si="3"/>
        <v>59564350.817259006</v>
      </c>
      <c r="H25" s="9"/>
      <c r="I25" s="10">
        <v>0</v>
      </c>
      <c r="P25" s="9"/>
    </row>
    <row r="26" spans="1:16" s="18" customFormat="1" x14ac:dyDescent="0.3">
      <c r="B26" s="44"/>
      <c r="C26" s="18">
        <v>12</v>
      </c>
      <c r="D26" s="19">
        <f xml:space="preserve"> K15</f>
        <v>3591919.3941687346</v>
      </c>
      <c r="E26" s="19">
        <f t="shared" si="2"/>
        <v>18156270.211427741</v>
      </c>
      <c r="F26" s="18">
        <v>1.7999999999999999E-2</v>
      </c>
      <c r="G26" s="19">
        <f t="shared" si="3"/>
        <v>18483083.075233441</v>
      </c>
      <c r="H26" s="19"/>
      <c r="I26" s="20">
        <v>45000000</v>
      </c>
      <c r="J26" s="19">
        <f xml:space="preserve"> (E15 + SUM(D16:D26)) - SUM(I15:I26)</f>
        <v>10831247.946441688</v>
      </c>
      <c r="K26" s="19">
        <f xml:space="preserve"> G26 - J26</f>
        <v>7651835.1287917532</v>
      </c>
      <c r="L26" s="18">
        <v>0.84</v>
      </c>
      <c r="M26" s="19">
        <f xml:space="preserve"> K26 * L26</f>
        <v>6427541.5081850728</v>
      </c>
      <c r="N26" s="19">
        <f xml:space="preserve"> K26 - M26</f>
        <v>1224293.6206066804</v>
      </c>
      <c r="O26" s="18">
        <f xml:space="preserve"> K26 / J26 * 100</f>
        <v>70.645923411859073</v>
      </c>
      <c r="P26" s="19"/>
    </row>
    <row r="27" spans="1:16" s="8" customFormat="1" x14ac:dyDescent="0.3">
      <c r="A27" s="8">
        <v>3</v>
      </c>
      <c r="B27" s="44">
        <v>2024</v>
      </c>
      <c r="C27" s="8">
        <v>1</v>
      </c>
      <c r="D27" s="9">
        <f>K27</f>
        <v>3270128.46146806</v>
      </c>
      <c r="E27" s="9">
        <f xml:space="preserve"> (G26 / 2) + D27 - I27</f>
        <v>12511669.99908478</v>
      </c>
      <c r="F27" s="8">
        <v>1.7999999999999999E-2</v>
      </c>
      <c r="G27" s="9">
        <f xml:space="preserve"> (E27 * F27) + E27</f>
        <v>12736880.059068305</v>
      </c>
      <c r="H27" s="9"/>
      <c r="I27" s="10">
        <v>0</v>
      </c>
      <c r="K27" s="11">
        <f xml:space="preserve"> (G26 / 2 / 12) +2500000</f>
        <v>3270128.46146806</v>
      </c>
      <c r="M27" s="9">
        <f xml:space="preserve"> (G26 / 2 )</f>
        <v>9241541.5376167204</v>
      </c>
      <c r="P27" s="9"/>
    </row>
    <row r="28" spans="1:16" s="33" customFormat="1" x14ac:dyDescent="0.3">
      <c r="A28" s="36" t="s">
        <v>39</v>
      </c>
      <c r="B28" s="44"/>
      <c r="C28" s="33">
        <v>2</v>
      </c>
      <c r="D28" s="34">
        <f>K27</f>
        <v>3270128.46146806</v>
      </c>
      <c r="E28" s="34">
        <f t="shared" ref="E28:E38" si="4" xml:space="preserve"> G27 + D28 - I28</f>
        <v>16007008.520536365</v>
      </c>
      <c r="F28" s="33">
        <v>1.7999999999999999E-2</v>
      </c>
      <c r="G28" s="34">
        <f xml:space="preserve"> (E28 * F28) + E28</f>
        <v>16295134.673906019</v>
      </c>
      <c r="H28" s="34"/>
      <c r="I28" s="35">
        <v>0</v>
      </c>
      <c r="P28" s="34"/>
    </row>
    <row r="29" spans="1:16" s="8" customFormat="1" x14ac:dyDescent="0.3">
      <c r="B29" s="44"/>
      <c r="C29" s="8">
        <v>3</v>
      </c>
      <c r="D29" s="9">
        <f>K27</f>
        <v>3270128.46146806</v>
      </c>
      <c r="E29" s="9">
        <f t="shared" si="4"/>
        <v>19565263.13537408</v>
      </c>
      <c r="F29" s="8">
        <v>1.7999999999999999E-2</v>
      </c>
      <c r="G29" s="9">
        <f xml:space="preserve"> (E29 * F29) + E29</f>
        <v>19917437.871810813</v>
      </c>
      <c r="H29" s="9"/>
      <c r="I29" s="10">
        <v>0</v>
      </c>
      <c r="P29" s="9"/>
    </row>
    <row r="30" spans="1:16" s="8" customFormat="1" x14ac:dyDescent="0.3">
      <c r="B30" s="44"/>
      <c r="C30" s="8">
        <v>4</v>
      </c>
      <c r="D30" s="9">
        <f>K27</f>
        <v>3270128.46146806</v>
      </c>
      <c r="E30" s="9">
        <f t="shared" si="4"/>
        <v>23187566.333278872</v>
      </c>
      <c r="F30" s="8">
        <v>1.7999999999999999E-2</v>
      </c>
      <c r="G30" s="9">
        <f t="shared" ref="G30:G93" si="5" xml:space="preserve"> (E30 * F30) + E30</f>
        <v>23604942.527277891</v>
      </c>
      <c r="H30" s="9"/>
      <c r="I30" s="10">
        <v>0</v>
      </c>
      <c r="P30" s="9"/>
    </row>
    <row r="31" spans="1:16" s="8" customFormat="1" x14ac:dyDescent="0.3">
      <c r="B31" s="44"/>
      <c r="C31" s="8">
        <v>5</v>
      </c>
      <c r="D31" s="9">
        <f>K27</f>
        <v>3270128.46146806</v>
      </c>
      <c r="E31" s="9">
        <f t="shared" si="4"/>
        <v>25650777.368139271</v>
      </c>
      <c r="F31" s="8">
        <v>1.7999999999999999E-2</v>
      </c>
      <c r="G31" s="9">
        <f t="shared" si="5"/>
        <v>26112491.360765778</v>
      </c>
      <c r="H31" s="9"/>
      <c r="I31" s="10">
        <f xml:space="preserve"> N26</f>
        <v>1224293.6206066804</v>
      </c>
      <c r="P31" s="9"/>
    </row>
    <row r="32" spans="1:16" s="8" customFormat="1" x14ac:dyDescent="0.3">
      <c r="B32" s="44"/>
      <c r="C32" s="8">
        <v>6</v>
      </c>
      <c r="D32" s="9">
        <f>K27</f>
        <v>3270128.46146806</v>
      </c>
      <c r="E32" s="9">
        <f t="shared" si="4"/>
        <v>29382619.822233837</v>
      </c>
      <c r="F32" s="8">
        <v>1.7999999999999999E-2</v>
      </c>
      <c r="G32" s="9">
        <f t="shared" si="5"/>
        <v>29911506.979034048</v>
      </c>
      <c r="H32" s="9"/>
      <c r="I32" s="10">
        <v>0</v>
      </c>
      <c r="P32" s="9"/>
    </row>
    <row r="33" spans="1:16" s="8" customFormat="1" x14ac:dyDescent="0.3">
      <c r="B33" s="44"/>
      <c r="C33" s="8">
        <v>7</v>
      </c>
      <c r="D33" s="9">
        <f>K27</f>
        <v>3270128.46146806</v>
      </c>
      <c r="E33" s="9">
        <f t="shared" si="4"/>
        <v>33181635.440502107</v>
      </c>
      <c r="F33" s="8">
        <v>1.7999999999999999E-2</v>
      </c>
      <c r="G33" s="9">
        <f t="shared" si="5"/>
        <v>33778904.878431141</v>
      </c>
      <c r="H33" s="9"/>
      <c r="I33" s="10">
        <v>0</v>
      </c>
      <c r="P33" s="9"/>
    </row>
    <row r="34" spans="1:16" s="8" customFormat="1" x14ac:dyDescent="0.3">
      <c r="B34" s="44"/>
      <c r="C34" s="8">
        <v>8</v>
      </c>
      <c r="D34" s="9">
        <f>K27</f>
        <v>3270128.46146806</v>
      </c>
      <c r="E34" s="9">
        <f t="shared" si="4"/>
        <v>37049033.339899205</v>
      </c>
      <c r="F34" s="8">
        <v>1.7999999999999999E-2</v>
      </c>
      <c r="G34" s="9">
        <f t="shared" si="5"/>
        <v>37715915.940017387</v>
      </c>
      <c r="H34" s="9"/>
      <c r="I34" s="10">
        <v>0</v>
      </c>
      <c r="P34" s="9"/>
    </row>
    <row r="35" spans="1:16" s="8" customFormat="1" x14ac:dyDescent="0.3">
      <c r="B35" s="44"/>
      <c r="C35" s="8">
        <v>9</v>
      </c>
      <c r="D35" s="9">
        <f>K27</f>
        <v>3270128.46146806</v>
      </c>
      <c r="E35" s="9">
        <f t="shared" si="4"/>
        <v>40986044.401485451</v>
      </c>
      <c r="F35" s="8">
        <v>1.7999999999999999E-2</v>
      </c>
      <c r="G35" s="9">
        <f t="shared" si="5"/>
        <v>41723793.200712189</v>
      </c>
      <c r="H35" s="9"/>
      <c r="I35" s="10">
        <v>0</v>
      </c>
      <c r="P35" s="9"/>
    </row>
    <row r="36" spans="1:16" s="8" customFormat="1" x14ac:dyDescent="0.3">
      <c r="B36" s="44"/>
      <c r="C36" s="8">
        <v>10</v>
      </c>
      <c r="D36" s="9">
        <f>K27</f>
        <v>3270128.46146806</v>
      </c>
      <c r="E36" s="9">
        <f t="shared" si="4"/>
        <v>44993921.662180252</v>
      </c>
      <c r="F36" s="8">
        <v>1.7999999999999999E-2</v>
      </c>
      <c r="G36" s="9">
        <f t="shared" si="5"/>
        <v>45803812.252099499</v>
      </c>
      <c r="H36" s="9"/>
      <c r="I36" s="10">
        <v>0</v>
      </c>
      <c r="P36" s="9"/>
    </row>
    <row r="37" spans="1:16" s="8" customFormat="1" x14ac:dyDescent="0.3">
      <c r="B37" s="44"/>
      <c r="C37" s="8">
        <v>11</v>
      </c>
      <c r="D37" s="9">
        <f>K27</f>
        <v>3270128.46146806</v>
      </c>
      <c r="E37" s="9">
        <f t="shared" si="4"/>
        <v>49073940.713567562</v>
      </c>
      <c r="F37" s="8">
        <v>1.7999999999999999E-2</v>
      </c>
      <c r="G37" s="9">
        <f t="shared" si="5"/>
        <v>49957271.646411777</v>
      </c>
      <c r="H37" s="9"/>
      <c r="I37" s="10">
        <v>0</v>
      </c>
      <c r="P37" s="9"/>
    </row>
    <row r="38" spans="1:16" s="18" customFormat="1" x14ac:dyDescent="0.3">
      <c r="B38" s="44"/>
      <c r="C38" s="18">
        <v>12</v>
      </c>
      <c r="D38" s="19">
        <f>K27</f>
        <v>3270128.46146806</v>
      </c>
      <c r="E38" s="19">
        <f t="shared" si="4"/>
        <v>53227400.10787984</v>
      </c>
      <c r="F38" s="18">
        <v>1.7999999999999999E-2</v>
      </c>
      <c r="G38" s="19">
        <f t="shared" si="5"/>
        <v>54185493.30982168</v>
      </c>
      <c r="H38" s="19"/>
      <c r="I38" s="20">
        <v>0</v>
      </c>
      <c r="J38" s="19">
        <f xml:space="preserve"> (E27 + SUM(D28:D38)) - SUM(I27:I38)</f>
        <v>47258789.454626754</v>
      </c>
      <c r="K38" s="19">
        <f xml:space="preserve"> G38 - J38</f>
        <v>6926703.8551949263</v>
      </c>
      <c r="L38" s="18">
        <v>0.84</v>
      </c>
      <c r="M38" s="19">
        <f xml:space="preserve"> K38 * L38</f>
        <v>5818431.2383637382</v>
      </c>
      <c r="N38" s="19">
        <f xml:space="preserve"> K38 - M38</f>
        <v>1108272.6168311881</v>
      </c>
      <c r="O38" s="18">
        <f xml:space="preserve"> K38 / J38 * 100</f>
        <v>14.656964207357165</v>
      </c>
      <c r="P38" s="19"/>
    </row>
    <row r="39" spans="1:16" s="8" customFormat="1" x14ac:dyDescent="0.3">
      <c r="A39" s="8">
        <v>4</v>
      </c>
      <c r="B39" s="44">
        <v>2025</v>
      </c>
      <c r="C39" s="8">
        <v>1</v>
      </c>
      <c r="D39" s="9">
        <f>K39</f>
        <v>4757728.8879092373</v>
      </c>
      <c r="E39" s="9">
        <f xml:space="preserve"> (G38 / 2) + D39 - I39</f>
        <v>31850475.542820077</v>
      </c>
      <c r="F39" s="8">
        <v>1.7999999999999999E-2</v>
      </c>
      <c r="G39" s="9">
        <f t="shared" si="5"/>
        <v>32423784.10259084</v>
      </c>
      <c r="H39" s="9"/>
      <c r="I39" s="10">
        <v>0</v>
      </c>
      <c r="K39" s="11">
        <f xml:space="preserve"> ((G38 - I39) / 2 / 12) +2500000</f>
        <v>4757728.8879092373</v>
      </c>
      <c r="M39" s="9">
        <f xml:space="preserve"> (G38 / 2 )</f>
        <v>27092746.65491084</v>
      </c>
      <c r="P39" s="9"/>
    </row>
    <row r="40" spans="1:16" s="8" customFormat="1" x14ac:dyDescent="0.3">
      <c r="B40" s="44"/>
      <c r="C40" s="8">
        <v>2</v>
      </c>
      <c r="D40" s="9">
        <f>K39</f>
        <v>4757728.8879092373</v>
      </c>
      <c r="E40" s="9">
        <f t="shared" ref="E40:E50" si="6" xml:space="preserve"> G39 + D40 - I40</f>
        <v>37181512.990500078</v>
      </c>
      <c r="F40" s="8">
        <v>1.7999999999999999E-2</v>
      </c>
      <c r="G40" s="9">
        <f t="shared" si="5"/>
        <v>37850780.224329077</v>
      </c>
      <c r="H40" s="9"/>
      <c r="I40" s="10">
        <v>0</v>
      </c>
      <c r="P40" s="9"/>
    </row>
    <row r="41" spans="1:16" s="8" customFormat="1" x14ac:dyDescent="0.3">
      <c r="B41" s="44"/>
      <c r="C41" s="8">
        <v>3</v>
      </c>
      <c r="D41" s="9">
        <f>K39</f>
        <v>4757728.8879092373</v>
      </c>
      <c r="E41" s="9">
        <f t="shared" si="6"/>
        <v>42608509.112238318</v>
      </c>
      <c r="F41" s="8">
        <v>1.7999999999999999E-2</v>
      </c>
      <c r="G41" s="9">
        <f t="shared" si="5"/>
        <v>43375462.27625861</v>
      </c>
      <c r="H41" s="9"/>
      <c r="I41" s="10">
        <v>0</v>
      </c>
      <c r="P41" s="9"/>
    </row>
    <row r="42" spans="1:16" s="8" customFormat="1" x14ac:dyDescent="0.3">
      <c r="B42" s="44"/>
      <c r="C42" s="8">
        <v>4</v>
      </c>
      <c r="D42" s="9">
        <f>K39</f>
        <v>4757728.8879092373</v>
      </c>
      <c r="E42" s="9">
        <f t="shared" si="6"/>
        <v>48133191.164167851</v>
      </c>
      <c r="F42" s="8">
        <v>1.7999999999999999E-2</v>
      </c>
      <c r="G42" s="9">
        <f t="shared" si="5"/>
        <v>48999588.605122872</v>
      </c>
      <c r="H42" s="9"/>
      <c r="I42" s="10">
        <v>0</v>
      </c>
      <c r="P42" s="9"/>
    </row>
    <row r="43" spans="1:16" s="8" customFormat="1" x14ac:dyDescent="0.3">
      <c r="B43" s="44"/>
      <c r="C43" s="8">
        <v>5</v>
      </c>
      <c r="D43" s="9">
        <f>K39</f>
        <v>4757728.8879092373</v>
      </c>
      <c r="E43" s="9">
        <f t="shared" si="6"/>
        <v>52649044.876200922</v>
      </c>
      <c r="F43" s="8">
        <v>1.7999999999999999E-2</v>
      </c>
      <c r="G43" s="9">
        <f t="shared" si="5"/>
        <v>53596727.683972538</v>
      </c>
      <c r="H43" s="9"/>
      <c r="I43" s="10">
        <f xml:space="preserve"> N38</f>
        <v>1108272.6168311881</v>
      </c>
      <c r="P43" s="9"/>
    </row>
    <row r="44" spans="1:16" s="8" customFormat="1" x14ac:dyDescent="0.3">
      <c r="B44" s="44"/>
      <c r="C44" s="8">
        <v>6</v>
      </c>
      <c r="D44" s="9">
        <f>K39</f>
        <v>4757728.8879092373</v>
      </c>
      <c r="E44" s="9">
        <f t="shared" si="6"/>
        <v>58354456.571881771</v>
      </c>
      <c r="F44" s="8">
        <v>1.7999999999999999E-2</v>
      </c>
      <c r="G44" s="9">
        <f t="shared" si="5"/>
        <v>59404836.790175647</v>
      </c>
      <c r="H44" s="9"/>
      <c r="I44" s="10">
        <v>0</v>
      </c>
      <c r="P44" s="9"/>
    </row>
    <row r="45" spans="1:16" s="8" customFormat="1" x14ac:dyDescent="0.3">
      <c r="B45" s="44"/>
      <c r="C45" s="8">
        <v>7</v>
      </c>
      <c r="D45" s="9">
        <f>K39</f>
        <v>4757728.8879092373</v>
      </c>
      <c r="E45" s="9">
        <f t="shared" si="6"/>
        <v>64162565.67808488</v>
      </c>
      <c r="F45" s="8">
        <v>1.7999999999999999E-2</v>
      </c>
      <c r="G45" s="9">
        <f t="shared" si="5"/>
        <v>65317491.860290408</v>
      </c>
      <c r="H45" s="9"/>
      <c r="I45" s="10">
        <v>0</v>
      </c>
      <c r="P45" s="9"/>
    </row>
    <row r="46" spans="1:16" s="8" customFormat="1" x14ac:dyDescent="0.3">
      <c r="B46" s="44"/>
      <c r="C46" s="8">
        <v>8</v>
      </c>
      <c r="D46" s="9">
        <f>K39</f>
        <v>4757728.8879092373</v>
      </c>
      <c r="E46" s="9">
        <f t="shared" si="6"/>
        <v>70075220.748199642</v>
      </c>
      <c r="F46" s="8">
        <v>1.7999999999999999E-2</v>
      </c>
      <c r="G46" s="9">
        <f t="shared" si="5"/>
        <v>71336574.72166723</v>
      </c>
      <c r="H46" s="9"/>
      <c r="I46" s="10">
        <v>0</v>
      </c>
      <c r="P46" s="9"/>
    </row>
    <row r="47" spans="1:16" s="8" customFormat="1" x14ac:dyDescent="0.3">
      <c r="B47" s="44"/>
      <c r="C47" s="8">
        <v>9</v>
      </c>
      <c r="D47" s="9">
        <f>K39</f>
        <v>4757728.8879092373</v>
      </c>
      <c r="E47" s="9">
        <f t="shared" si="6"/>
        <v>76094303.609576464</v>
      </c>
      <c r="F47" s="8">
        <v>1.7999999999999999E-2</v>
      </c>
      <c r="G47" s="9">
        <f t="shared" si="5"/>
        <v>77464001.074548841</v>
      </c>
      <c r="H47" s="9"/>
      <c r="I47" s="10">
        <v>0</v>
      </c>
      <c r="P47" s="9"/>
    </row>
    <row r="48" spans="1:16" s="8" customFormat="1" x14ac:dyDescent="0.3">
      <c r="B48" s="44"/>
      <c r="C48" s="8">
        <v>10</v>
      </c>
      <c r="D48" s="9">
        <f>K39</f>
        <v>4757728.8879092373</v>
      </c>
      <c r="E48" s="9">
        <f t="shared" si="6"/>
        <v>82221729.962458074</v>
      </c>
      <c r="F48" s="8">
        <v>1.7999999999999999E-2</v>
      </c>
      <c r="G48" s="9">
        <f t="shared" si="5"/>
        <v>83701721.101782322</v>
      </c>
      <c r="H48" s="9"/>
      <c r="I48" s="10">
        <v>0</v>
      </c>
      <c r="P48" s="9"/>
    </row>
    <row r="49" spans="1:16" s="8" customFormat="1" x14ac:dyDescent="0.3">
      <c r="B49" s="44"/>
      <c r="C49" s="8">
        <v>11</v>
      </c>
      <c r="D49" s="9">
        <f>K39</f>
        <v>4757728.8879092373</v>
      </c>
      <c r="E49" s="9">
        <f t="shared" si="6"/>
        <v>88459449.989691556</v>
      </c>
      <c r="F49" s="8">
        <v>1.7999999999999999E-2</v>
      </c>
      <c r="G49" s="9">
        <f t="shared" si="5"/>
        <v>90051720.089506</v>
      </c>
      <c r="H49" s="9"/>
      <c r="I49" s="10">
        <v>0</v>
      </c>
      <c r="P49" s="9"/>
    </row>
    <row r="50" spans="1:16" s="18" customFormat="1" x14ac:dyDescent="0.3">
      <c r="B50" s="44"/>
      <c r="C50" s="18">
        <v>12</v>
      </c>
      <c r="D50" s="19">
        <f>K39</f>
        <v>4757728.8879092373</v>
      </c>
      <c r="E50" s="19">
        <f t="shared" si="6"/>
        <v>94809448.977415234</v>
      </c>
      <c r="F50" s="18">
        <v>1.7999999999999999E-2</v>
      </c>
      <c r="G50" s="19">
        <f t="shared" si="5"/>
        <v>96516019.059008703</v>
      </c>
      <c r="H50" s="19"/>
      <c r="I50" s="10">
        <v>0</v>
      </c>
      <c r="J50" s="19">
        <f xml:space="preserve"> (E39 + SUM(D40:D50)) - SUM(I40:I50)</f>
        <v>83077220.692990497</v>
      </c>
      <c r="K50" s="19">
        <f xml:space="preserve"> G50 - J50</f>
        <v>13438798.366018206</v>
      </c>
      <c r="L50" s="18">
        <v>0.84</v>
      </c>
      <c r="M50" s="19">
        <f xml:space="preserve"> K50 * L50</f>
        <v>11288590.627455292</v>
      </c>
      <c r="N50" s="19">
        <f xml:space="preserve"> K50 - M50</f>
        <v>2150207.7385629136</v>
      </c>
      <c r="O50" s="18">
        <f xml:space="preserve"> K50 / J50 * 100</f>
        <v>16.176273416368733</v>
      </c>
      <c r="P50" s="19"/>
    </row>
    <row r="51" spans="1:16" s="8" customFormat="1" x14ac:dyDescent="0.3">
      <c r="A51" s="8">
        <v>5</v>
      </c>
      <c r="B51" s="44">
        <v>2026</v>
      </c>
      <c r="C51" s="8">
        <v>1</v>
      </c>
      <c r="D51" s="9">
        <f xml:space="preserve"> K51</f>
        <v>6521500.7941253632</v>
      </c>
      <c r="E51" s="9">
        <f xml:space="preserve"> (G50 / 2) + D51 - I51</f>
        <v>54779510.323629715</v>
      </c>
      <c r="F51" s="8">
        <v>1.7999999999999999E-2</v>
      </c>
      <c r="G51" s="9">
        <f t="shared" si="5"/>
        <v>55765541.509455048</v>
      </c>
      <c r="H51" s="9"/>
      <c r="I51" s="10">
        <v>0</v>
      </c>
      <c r="K51" s="11">
        <f xml:space="preserve"> ((G50 - I51) / 2 / 12) +2500000</f>
        <v>6521500.7941253632</v>
      </c>
      <c r="M51" s="9">
        <f xml:space="preserve"> (G50 / 2 )</f>
        <v>48258009.529504351</v>
      </c>
      <c r="P51" s="9"/>
    </row>
    <row r="52" spans="1:16" s="8" customFormat="1" x14ac:dyDescent="0.3">
      <c r="B52" s="44"/>
      <c r="C52" s="8">
        <v>2</v>
      </c>
      <c r="D52" s="9">
        <f xml:space="preserve"> K51</f>
        <v>6521500.7941253632</v>
      </c>
      <c r="E52" s="9">
        <f t="shared" ref="E52:E62" si="7" xml:space="preserve"> G51 + D52 - I52</f>
        <v>62287042.303580411</v>
      </c>
      <c r="F52" s="8">
        <v>1.7999999999999999E-2</v>
      </c>
      <c r="G52" s="9">
        <f t="shared" si="5"/>
        <v>63408209.065044858</v>
      </c>
      <c r="H52" s="9"/>
      <c r="I52" s="10">
        <v>0</v>
      </c>
      <c r="P52" s="9"/>
    </row>
    <row r="53" spans="1:16" s="8" customFormat="1" x14ac:dyDescent="0.3">
      <c r="B53" s="44"/>
      <c r="C53" s="8">
        <v>3</v>
      </c>
      <c r="D53" s="9">
        <f xml:space="preserve"> K51</f>
        <v>6521500.7941253632</v>
      </c>
      <c r="E53" s="9">
        <f t="shared" si="7"/>
        <v>69929709.859170228</v>
      </c>
      <c r="F53" s="8">
        <v>1.7999999999999999E-2</v>
      </c>
      <c r="G53" s="9">
        <f t="shared" si="5"/>
        <v>71188444.636635289</v>
      </c>
      <c r="H53" s="9"/>
      <c r="I53" s="10">
        <v>0</v>
      </c>
      <c r="P53" s="9"/>
    </row>
    <row r="54" spans="1:16" s="8" customFormat="1" x14ac:dyDescent="0.3">
      <c r="B54" s="44"/>
      <c r="C54" s="8">
        <v>4</v>
      </c>
      <c r="D54" s="9">
        <f xml:space="preserve"> K51</f>
        <v>6521500.7941253632</v>
      </c>
      <c r="E54" s="9">
        <f t="shared" si="7"/>
        <v>77709945.430760652</v>
      </c>
      <c r="F54" s="8">
        <v>1.7999999999999999E-2</v>
      </c>
      <c r="G54" s="9">
        <f t="shared" si="5"/>
        <v>79108724.448514342</v>
      </c>
      <c r="H54" s="9"/>
      <c r="I54" s="10">
        <v>0</v>
      </c>
      <c r="P54" s="9"/>
    </row>
    <row r="55" spans="1:16" s="8" customFormat="1" x14ac:dyDescent="0.3">
      <c r="B55" s="44"/>
      <c r="C55" s="8">
        <v>5</v>
      </c>
      <c r="D55" s="9">
        <f xml:space="preserve"> K51</f>
        <v>6521500.7941253632</v>
      </c>
      <c r="E55" s="9">
        <f t="shared" si="7"/>
        <v>83480017.504076794</v>
      </c>
      <c r="F55" s="8">
        <v>1.7999999999999999E-2</v>
      </c>
      <c r="G55" s="9">
        <f t="shared" si="5"/>
        <v>84982657.81915018</v>
      </c>
      <c r="H55" s="9"/>
      <c r="I55" s="10">
        <f xml:space="preserve"> N50</f>
        <v>2150207.7385629136</v>
      </c>
      <c r="P55" s="9"/>
    </row>
    <row r="56" spans="1:16" s="8" customFormat="1" x14ac:dyDescent="0.3">
      <c r="B56" s="44"/>
      <c r="C56" s="8">
        <v>6</v>
      </c>
      <c r="D56" s="9">
        <f xml:space="preserve"> K51</f>
        <v>6521500.7941253632</v>
      </c>
      <c r="E56" s="9">
        <f t="shared" si="7"/>
        <v>91504158.613275543</v>
      </c>
      <c r="F56" s="8">
        <v>1.7999999999999999E-2</v>
      </c>
      <c r="G56" s="9">
        <f t="shared" si="5"/>
        <v>93151233.468314499</v>
      </c>
      <c r="H56" s="9"/>
      <c r="I56" s="10">
        <v>0</v>
      </c>
      <c r="P56" s="9"/>
    </row>
    <row r="57" spans="1:16" s="8" customFormat="1" x14ac:dyDescent="0.3">
      <c r="B57" s="44"/>
      <c r="C57" s="8">
        <v>7</v>
      </c>
      <c r="D57" s="9">
        <f xml:space="preserve"> K51</f>
        <v>6521500.7941253632</v>
      </c>
      <c r="E57" s="9">
        <f t="shared" si="7"/>
        <v>99672734.262439862</v>
      </c>
      <c r="F57" s="8">
        <v>1.7999999999999999E-2</v>
      </c>
      <c r="G57" s="9">
        <f t="shared" si="5"/>
        <v>101466843.47916378</v>
      </c>
      <c r="H57" s="9"/>
      <c r="I57" s="10">
        <v>0</v>
      </c>
      <c r="P57" s="9"/>
    </row>
    <row r="58" spans="1:16" s="8" customFormat="1" x14ac:dyDescent="0.3">
      <c r="B58" s="44"/>
      <c r="C58" s="8">
        <v>8</v>
      </c>
      <c r="D58" s="9">
        <f xml:space="preserve"> K51</f>
        <v>6521500.7941253632</v>
      </c>
      <c r="E58" s="9">
        <f t="shared" si="7"/>
        <v>107988344.27328914</v>
      </c>
      <c r="F58" s="8">
        <v>1.7999999999999999E-2</v>
      </c>
      <c r="G58" s="9">
        <f t="shared" si="5"/>
        <v>109932134.47020835</v>
      </c>
      <c r="H58" s="9"/>
      <c r="I58" s="10">
        <v>0</v>
      </c>
      <c r="P58" s="9"/>
    </row>
    <row r="59" spans="1:16" s="8" customFormat="1" x14ac:dyDescent="0.3">
      <c r="B59" s="44"/>
      <c r="C59" s="8">
        <v>9</v>
      </c>
      <c r="D59" s="9">
        <f xml:space="preserve"> K51</f>
        <v>6521500.7941253632</v>
      </c>
      <c r="E59" s="9">
        <f t="shared" si="7"/>
        <v>116453635.26433371</v>
      </c>
      <c r="F59" s="8">
        <v>1.7999999999999999E-2</v>
      </c>
      <c r="G59" s="9">
        <f t="shared" si="5"/>
        <v>118549800.69909172</v>
      </c>
      <c r="H59" s="9"/>
      <c r="I59" s="10">
        <v>0</v>
      </c>
      <c r="P59" s="9"/>
    </row>
    <row r="60" spans="1:16" s="8" customFormat="1" x14ac:dyDescent="0.3">
      <c r="B60" s="44"/>
      <c r="C60" s="8">
        <v>10</v>
      </c>
      <c r="D60" s="9">
        <f xml:space="preserve"> K51</f>
        <v>6521500.7941253632</v>
      </c>
      <c r="E60" s="9">
        <f t="shared" si="7"/>
        <v>125071301.49321708</v>
      </c>
      <c r="F60" s="8">
        <v>1.7999999999999999E-2</v>
      </c>
      <c r="G60" s="9">
        <f t="shared" si="5"/>
        <v>127322584.92009498</v>
      </c>
      <c r="H60" s="9"/>
      <c r="I60" s="10">
        <v>0</v>
      </c>
      <c r="P60" s="9"/>
    </row>
    <row r="61" spans="1:16" s="8" customFormat="1" x14ac:dyDescent="0.3">
      <c r="B61" s="44"/>
      <c r="C61" s="8">
        <v>11</v>
      </c>
      <c r="D61" s="9">
        <f xml:space="preserve"> K51</f>
        <v>6521500.7941253632</v>
      </c>
      <c r="E61" s="9">
        <f t="shared" si="7"/>
        <v>133844085.71422035</v>
      </c>
      <c r="F61" s="8">
        <v>1.7999999999999999E-2</v>
      </c>
      <c r="G61" s="9">
        <f t="shared" si="5"/>
        <v>136253279.25707632</v>
      </c>
      <c r="H61" s="9"/>
      <c r="I61" s="10">
        <v>0</v>
      </c>
      <c r="P61" s="9"/>
    </row>
    <row r="62" spans="1:16" s="18" customFormat="1" x14ac:dyDescent="0.3">
      <c r="B62" s="44"/>
      <c r="C62" s="18">
        <v>12</v>
      </c>
      <c r="D62" s="19">
        <f xml:space="preserve"> K51</f>
        <v>6521500.7941253632</v>
      </c>
      <c r="E62" s="19">
        <f t="shared" si="7"/>
        <v>142774780.0512017</v>
      </c>
      <c r="F62" s="18">
        <v>1.7999999999999999E-2</v>
      </c>
      <c r="G62" s="19">
        <f t="shared" si="5"/>
        <v>145344726.09212333</v>
      </c>
      <c r="H62" s="19"/>
      <c r="I62" s="20">
        <v>0</v>
      </c>
      <c r="J62" s="19">
        <f xml:space="preserve"> (E51 + SUM(D52:D62)) - SUM(I52:I62)</f>
        <v>124365811.32044581</v>
      </c>
      <c r="K62" s="19">
        <f xml:space="preserve"> G62 - J62</f>
        <v>20978914.771677524</v>
      </c>
      <c r="L62" s="18">
        <v>0.84</v>
      </c>
      <c r="M62" s="19">
        <f xml:space="preserve"> K62 * L62</f>
        <v>17622288.408209119</v>
      </c>
      <c r="N62" s="19">
        <f xml:space="preserve"> K62 - M62</f>
        <v>3356626.3634684049</v>
      </c>
      <c r="O62" s="18">
        <f xml:space="preserve"> K62 / J62 * 100</f>
        <v>16.868715404125361</v>
      </c>
      <c r="P62" s="19"/>
    </row>
    <row r="63" spans="1:16" s="8" customFormat="1" x14ac:dyDescent="0.3">
      <c r="A63" s="8">
        <v>6</v>
      </c>
      <c r="B63" s="44">
        <v>2027</v>
      </c>
      <c r="C63" s="8">
        <v>1</v>
      </c>
      <c r="D63" s="9">
        <f>K63</f>
        <v>8556030.2538384721</v>
      </c>
      <c r="E63" s="9">
        <f xml:space="preserve"> (G62 / 2) + D63 - I63</f>
        <v>81228393.299900144</v>
      </c>
      <c r="F63" s="8">
        <v>1.7999999999999999E-2</v>
      </c>
      <c r="G63" s="9">
        <f t="shared" si="5"/>
        <v>82690504.379298344</v>
      </c>
      <c r="H63" s="9"/>
      <c r="I63" s="10">
        <v>0</v>
      </c>
      <c r="K63" s="11">
        <f xml:space="preserve"> ((G62 - I63) / 2 / 12) +2500000</f>
        <v>8556030.2538384721</v>
      </c>
      <c r="M63" s="9">
        <f xml:space="preserve"> (G62 / 2 )</f>
        <v>72672363.046061665</v>
      </c>
      <c r="P63" s="9"/>
    </row>
    <row r="64" spans="1:16" s="8" customFormat="1" x14ac:dyDescent="0.3">
      <c r="B64" s="44"/>
      <c r="C64" s="8">
        <v>2</v>
      </c>
      <c r="D64" s="9">
        <f>K63</f>
        <v>8556030.2538384721</v>
      </c>
      <c r="E64" s="9">
        <f t="shared" ref="E64:E74" si="8" xml:space="preserve"> G63 + D64 - I64</f>
        <v>91246534.633136809</v>
      </c>
      <c r="F64" s="8">
        <v>1.7999999999999999E-2</v>
      </c>
      <c r="G64" s="9">
        <f t="shared" si="5"/>
        <v>92888972.256533265</v>
      </c>
      <c r="H64" s="9"/>
      <c r="I64" s="10">
        <v>0</v>
      </c>
      <c r="P64" s="9"/>
    </row>
    <row r="65" spans="1:16" s="8" customFormat="1" x14ac:dyDescent="0.3">
      <c r="B65" s="44"/>
      <c r="C65" s="8">
        <v>3</v>
      </c>
      <c r="D65" s="9">
        <f>K63</f>
        <v>8556030.2538384721</v>
      </c>
      <c r="E65" s="9">
        <f t="shared" si="8"/>
        <v>101445002.51037174</v>
      </c>
      <c r="F65" s="8">
        <v>1.7999999999999999E-2</v>
      </c>
      <c r="G65" s="9">
        <f t="shared" si="5"/>
        <v>103271012.55555844</v>
      </c>
      <c r="H65" s="9"/>
      <c r="I65" s="10">
        <v>0</v>
      </c>
      <c r="P65" s="9"/>
    </row>
    <row r="66" spans="1:16" s="8" customFormat="1" x14ac:dyDescent="0.3">
      <c r="B66" s="44"/>
      <c r="C66" s="8">
        <v>4</v>
      </c>
      <c r="D66" s="9">
        <f>K63</f>
        <v>8556030.2538384721</v>
      </c>
      <c r="E66" s="9">
        <f t="shared" si="8"/>
        <v>111827042.80939692</v>
      </c>
      <c r="F66" s="8">
        <v>1.7999999999999999E-2</v>
      </c>
      <c r="G66" s="9">
        <f t="shared" si="5"/>
        <v>113839929.57996607</v>
      </c>
      <c r="H66" s="9"/>
      <c r="I66" s="10">
        <v>0</v>
      </c>
      <c r="P66" s="9"/>
    </row>
    <row r="67" spans="1:16" s="8" customFormat="1" x14ac:dyDescent="0.3">
      <c r="B67" s="44"/>
      <c r="C67" s="8">
        <v>5</v>
      </c>
      <c r="D67" s="9">
        <f>K63</f>
        <v>8556030.2538384721</v>
      </c>
      <c r="E67" s="9">
        <f t="shared" si="8"/>
        <v>119039333.47033614</v>
      </c>
      <c r="F67" s="8">
        <v>1.7999999999999999E-2</v>
      </c>
      <c r="G67" s="9">
        <f t="shared" si="5"/>
        <v>121182041.47280219</v>
      </c>
      <c r="H67" s="9"/>
      <c r="I67" s="10">
        <f xml:space="preserve"> N62</f>
        <v>3356626.3634684049</v>
      </c>
      <c r="P67" s="9"/>
    </row>
    <row r="68" spans="1:16" s="8" customFormat="1" x14ac:dyDescent="0.3">
      <c r="B68" s="44"/>
      <c r="C68" s="8">
        <v>6</v>
      </c>
      <c r="D68" s="9">
        <f>K63</f>
        <v>8556030.2538384721</v>
      </c>
      <c r="E68" s="9">
        <f t="shared" si="8"/>
        <v>129738071.72664067</v>
      </c>
      <c r="F68" s="8">
        <v>1.7999999999999999E-2</v>
      </c>
      <c r="G68" s="9">
        <f t="shared" si="5"/>
        <v>132073357.01772021</v>
      </c>
      <c r="H68" s="9"/>
      <c r="I68" s="10">
        <f xml:space="preserve"> N63</f>
        <v>0</v>
      </c>
      <c r="P68" s="9"/>
    </row>
    <row r="69" spans="1:16" s="8" customFormat="1" x14ac:dyDescent="0.3">
      <c r="B69" s="44"/>
      <c r="C69" s="8">
        <v>7</v>
      </c>
      <c r="D69" s="9">
        <f>K63</f>
        <v>8556030.2538384721</v>
      </c>
      <c r="E69" s="9">
        <f t="shared" si="8"/>
        <v>140629387.27155867</v>
      </c>
      <c r="F69" s="8">
        <v>1.7999999999999999E-2</v>
      </c>
      <c r="G69" s="9">
        <f t="shared" si="5"/>
        <v>143160716.24244672</v>
      </c>
      <c r="H69" s="9"/>
      <c r="I69" s="10">
        <v>0</v>
      </c>
      <c r="P69" s="9"/>
    </row>
    <row r="70" spans="1:16" s="8" customFormat="1" x14ac:dyDescent="0.3">
      <c r="B70" s="44"/>
      <c r="C70" s="8">
        <v>8</v>
      </c>
      <c r="D70" s="9">
        <f>K63</f>
        <v>8556030.2538384721</v>
      </c>
      <c r="E70" s="9">
        <f t="shared" si="8"/>
        <v>151716746.4962852</v>
      </c>
      <c r="F70" s="8">
        <v>1.7999999999999999E-2</v>
      </c>
      <c r="G70" s="9">
        <f t="shared" si="5"/>
        <v>154447647.93321833</v>
      </c>
      <c r="H70" s="9"/>
      <c r="I70" s="10">
        <v>0</v>
      </c>
      <c r="P70" s="9"/>
    </row>
    <row r="71" spans="1:16" s="8" customFormat="1" x14ac:dyDescent="0.3">
      <c r="B71" s="44"/>
      <c r="C71" s="8">
        <v>9</v>
      </c>
      <c r="D71" s="9">
        <f>K63</f>
        <v>8556030.2538384721</v>
      </c>
      <c r="E71" s="9">
        <f t="shared" si="8"/>
        <v>163003678.18705681</v>
      </c>
      <c r="F71" s="8">
        <v>1.7999999999999999E-2</v>
      </c>
      <c r="G71" s="9">
        <f t="shared" si="5"/>
        <v>165937744.39442384</v>
      </c>
      <c r="H71" s="9"/>
      <c r="I71" s="10">
        <v>0</v>
      </c>
      <c r="P71" s="9"/>
    </row>
    <row r="72" spans="1:16" s="8" customFormat="1" x14ac:dyDescent="0.3">
      <c r="B72" s="44"/>
      <c r="C72" s="8">
        <v>10</v>
      </c>
      <c r="D72" s="9">
        <f>K63</f>
        <v>8556030.2538384721</v>
      </c>
      <c r="E72" s="9">
        <f t="shared" si="8"/>
        <v>174493774.64826232</v>
      </c>
      <c r="F72" s="8">
        <v>1.7999999999999999E-2</v>
      </c>
      <c r="G72" s="9">
        <f t="shared" si="5"/>
        <v>177634662.59193105</v>
      </c>
      <c r="H72" s="9"/>
      <c r="I72" s="10">
        <v>0</v>
      </c>
      <c r="P72" s="9"/>
    </row>
    <row r="73" spans="1:16" s="8" customFormat="1" x14ac:dyDescent="0.3">
      <c r="B73" s="44"/>
      <c r="C73" s="8">
        <v>11</v>
      </c>
      <c r="D73" s="9">
        <f>K63</f>
        <v>8556030.2538384721</v>
      </c>
      <c r="E73" s="9">
        <f t="shared" si="8"/>
        <v>186190692.84576952</v>
      </c>
      <c r="F73" s="8">
        <v>1.7999999999999999E-2</v>
      </c>
      <c r="G73" s="9">
        <f t="shared" si="5"/>
        <v>189542125.31699339</v>
      </c>
      <c r="H73" s="9"/>
      <c r="I73" s="10">
        <v>0</v>
      </c>
      <c r="P73" s="9"/>
    </row>
    <row r="74" spans="1:16" s="18" customFormat="1" x14ac:dyDescent="0.3">
      <c r="B74" s="44"/>
      <c r="C74" s="18">
        <v>12</v>
      </c>
      <c r="D74" s="19">
        <f>K63</f>
        <v>8556030.2538384721</v>
      </c>
      <c r="E74" s="19">
        <f t="shared" si="8"/>
        <v>198098155.57083187</v>
      </c>
      <c r="F74" s="18">
        <v>1.7999999999999999E-2</v>
      </c>
      <c r="G74" s="19">
        <f t="shared" si="5"/>
        <v>201663922.37110683</v>
      </c>
      <c r="H74" s="19"/>
      <c r="I74" s="20">
        <v>0</v>
      </c>
      <c r="J74" s="19">
        <f xml:space="preserve"> (E63 + SUM(D64:D74)) - SUM(I64:I74)</f>
        <v>171988099.72865495</v>
      </c>
      <c r="K74" s="19">
        <f xml:space="preserve"> G74 - J74</f>
        <v>29675822.642451882</v>
      </c>
      <c r="L74" s="18">
        <v>0.84</v>
      </c>
      <c r="M74" s="19">
        <f xml:space="preserve"> K74 * L74</f>
        <v>24927691.019659579</v>
      </c>
      <c r="N74" s="19">
        <f xml:space="preserve"> K74 - M74</f>
        <v>4748131.6227923036</v>
      </c>
      <c r="O74" s="18">
        <f xml:space="preserve"> K74 / J74 * 100</f>
        <v>17.254579060569498</v>
      </c>
      <c r="P74" s="19"/>
    </row>
    <row r="75" spans="1:16" s="8" customFormat="1" x14ac:dyDescent="0.3">
      <c r="A75" s="8">
        <v>7</v>
      </c>
      <c r="B75" s="44">
        <v>2028</v>
      </c>
      <c r="C75" s="8">
        <v>1</v>
      </c>
      <c r="D75" s="9">
        <f xml:space="preserve"> K75</f>
        <v>10902663.432129452</v>
      </c>
      <c r="E75" s="9">
        <f xml:space="preserve"> (G74 / 2) + D75 - I75</f>
        <v>111734624.61768287</v>
      </c>
      <c r="F75" s="8">
        <v>1.7999999999999999E-2</v>
      </c>
      <c r="G75" s="9">
        <f t="shared" si="5"/>
        <v>113745847.86080116</v>
      </c>
      <c r="H75" s="9"/>
      <c r="I75" s="10">
        <v>0</v>
      </c>
      <c r="K75" s="11">
        <f xml:space="preserve"> ((G74 - I75) / 2 / 12) +2500000</f>
        <v>10902663.432129452</v>
      </c>
      <c r="M75" s="9">
        <f xml:space="preserve"> (G74 / 2 )</f>
        <v>100831961.18555342</v>
      </c>
      <c r="P75" s="9"/>
    </row>
    <row r="76" spans="1:16" s="8" customFormat="1" x14ac:dyDescent="0.3">
      <c r="B76" s="44"/>
      <c r="C76" s="8">
        <v>2</v>
      </c>
      <c r="D76" s="9">
        <f xml:space="preserve"> K75</f>
        <v>10902663.432129452</v>
      </c>
      <c r="E76" s="9">
        <f t="shared" ref="E76:E86" si="9" xml:space="preserve"> G75 + D76 - I76</f>
        <v>124648511.29293062</v>
      </c>
      <c r="F76" s="8">
        <v>1.7999999999999999E-2</v>
      </c>
      <c r="G76" s="9">
        <f t="shared" si="5"/>
        <v>126892184.49620336</v>
      </c>
      <c r="H76" s="9"/>
      <c r="I76" s="10">
        <v>0</v>
      </c>
      <c r="P76" s="9"/>
    </row>
    <row r="77" spans="1:16" s="8" customFormat="1" x14ac:dyDescent="0.3">
      <c r="B77" s="44"/>
      <c r="C77" s="8">
        <v>3</v>
      </c>
      <c r="D77" s="9">
        <f xml:space="preserve"> K75</f>
        <v>10902663.432129452</v>
      </c>
      <c r="E77" s="9">
        <f t="shared" si="9"/>
        <v>137794847.92833281</v>
      </c>
      <c r="F77" s="8">
        <v>1.7999999999999999E-2</v>
      </c>
      <c r="G77" s="9">
        <f t="shared" si="5"/>
        <v>140275155.19104278</v>
      </c>
      <c r="H77" s="9"/>
      <c r="I77" s="10">
        <v>0</v>
      </c>
      <c r="P77" s="9"/>
    </row>
    <row r="78" spans="1:16" s="8" customFormat="1" x14ac:dyDescent="0.3">
      <c r="B78" s="44"/>
      <c r="C78" s="8">
        <v>4</v>
      </c>
      <c r="D78" s="9">
        <f xml:space="preserve"> K75</f>
        <v>10902663.432129452</v>
      </c>
      <c r="E78" s="9">
        <f t="shared" si="9"/>
        <v>151177818.62317222</v>
      </c>
      <c r="F78" s="8">
        <v>1.7999999999999999E-2</v>
      </c>
      <c r="G78" s="9">
        <f t="shared" si="5"/>
        <v>153899019.35838932</v>
      </c>
      <c r="H78" s="9"/>
      <c r="I78" s="10">
        <v>0</v>
      </c>
      <c r="P78" s="9"/>
    </row>
    <row r="79" spans="1:16" s="8" customFormat="1" x14ac:dyDescent="0.3">
      <c r="B79" s="44"/>
      <c r="C79" s="8">
        <v>5</v>
      </c>
      <c r="D79" s="9">
        <f xml:space="preserve"> K75</f>
        <v>10902663.432129452</v>
      </c>
      <c r="E79" s="9">
        <f t="shared" si="9"/>
        <v>160053551.16772646</v>
      </c>
      <c r="F79" s="8">
        <v>1.7999999999999999E-2</v>
      </c>
      <c r="G79" s="9">
        <f t="shared" si="5"/>
        <v>162934515.08874553</v>
      </c>
      <c r="H79" s="9"/>
      <c r="I79" s="10">
        <f xml:space="preserve"> N74</f>
        <v>4748131.6227923036</v>
      </c>
      <c r="P79" s="9"/>
    </row>
    <row r="80" spans="1:16" s="8" customFormat="1" x14ac:dyDescent="0.3">
      <c r="B80" s="44"/>
      <c r="C80" s="8">
        <v>6</v>
      </c>
      <c r="D80" s="9">
        <f xml:space="preserve"> K75</f>
        <v>10902663.432129452</v>
      </c>
      <c r="E80" s="9">
        <f t="shared" si="9"/>
        <v>173837178.52087498</v>
      </c>
      <c r="F80" s="8">
        <v>1.7999999999999999E-2</v>
      </c>
      <c r="G80" s="9">
        <f t="shared" si="5"/>
        <v>176966247.73425072</v>
      </c>
      <c r="H80" s="9"/>
      <c r="I80" s="10">
        <v>0</v>
      </c>
      <c r="P80" s="9"/>
    </row>
    <row r="81" spans="1:16" s="8" customFormat="1" x14ac:dyDescent="0.3">
      <c r="B81" s="44"/>
      <c r="C81" s="8">
        <v>7</v>
      </c>
      <c r="D81" s="9">
        <f xml:space="preserve"> K75</f>
        <v>10902663.432129452</v>
      </c>
      <c r="E81" s="9">
        <f t="shared" si="9"/>
        <v>187868911.16638017</v>
      </c>
      <c r="F81" s="8">
        <v>1.7999999999999999E-2</v>
      </c>
      <c r="G81" s="9">
        <f t="shared" si="5"/>
        <v>191250551.567375</v>
      </c>
      <c r="H81" s="9"/>
      <c r="I81" s="10">
        <v>0</v>
      </c>
      <c r="P81" s="9"/>
    </row>
    <row r="82" spans="1:16" s="8" customFormat="1" x14ac:dyDescent="0.3">
      <c r="B82" s="44"/>
      <c r="C82" s="8">
        <v>8</v>
      </c>
      <c r="D82" s="9">
        <f xml:space="preserve"> K75</f>
        <v>10902663.432129452</v>
      </c>
      <c r="E82" s="9">
        <f t="shared" si="9"/>
        <v>202153214.99950445</v>
      </c>
      <c r="F82" s="8">
        <v>1.7999999999999999E-2</v>
      </c>
      <c r="G82" s="9">
        <f t="shared" si="5"/>
        <v>205791972.86949554</v>
      </c>
      <c r="H82" s="9"/>
      <c r="I82" s="10">
        <v>0</v>
      </c>
      <c r="P82" s="9"/>
    </row>
    <row r="83" spans="1:16" s="8" customFormat="1" x14ac:dyDescent="0.3">
      <c r="B83" s="44"/>
      <c r="C83" s="8">
        <v>9</v>
      </c>
      <c r="D83" s="9">
        <f xml:space="preserve"> K75</f>
        <v>10902663.432129452</v>
      </c>
      <c r="E83" s="9">
        <f t="shared" si="9"/>
        <v>216694636.30162498</v>
      </c>
      <c r="F83" s="8">
        <v>1.7999999999999999E-2</v>
      </c>
      <c r="G83" s="9">
        <f t="shared" si="5"/>
        <v>220595139.75505424</v>
      </c>
      <c r="H83" s="9"/>
      <c r="I83" s="10">
        <v>0</v>
      </c>
      <c r="P83" s="9"/>
    </row>
    <row r="84" spans="1:16" s="8" customFormat="1" x14ac:dyDescent="0.3">
      <c r="B84" s="44"/>
      <c r="C84" s="8">
        <v>10</v>
      </c>
      <c r="D84" s="9">
        <f xml:space="preserve"> K75</f>
        <v>10902663.432129452</v>
      </c>
      <c r="E84" s="9">
        <f t="shared" si="9"/>
        <v>231497803.18718368</v>
      </c>
      <c r="F84" s="8">
        <v>1.7999999999999999E-2</v>
      </c>
      <c r="G84" s="9">
        <f t="shared" si="5"/>
        <v>235664763.64455298</v>
      </c>
      <c r="H84" s="9"/>
      <c r="I84" s="10">
        <v>0</v>
      </c>
      <c r="P84" s="9"/>
    </row>
    <row r="85" spans="1:16" s="8" customFormat="1" x14ac:dyDescent="0.3">
      <c r="B85" s="44"/>
      <c r="C85" s="8">
        <v>11</v>
      </c>
      <c r="D85" s="9">
        <f xml:space="preserve"> K75</f>
        <v>10902663.432129452</v>
      </c>
      <c r="E85" s="9">
        <f t="shared" si="9"/>
        <v>246567427.07668242</v>
      </c>
      <c r="F85" s="8">
        <v>1.7999999999999999E-2</v>
      </c>
      <c r="G85" s="9">
        <f t="shared" si="5"/>
        <v>251005640.7640627</v>
      </c>
      <c r="H85" s="9"/>
      <c r="I85" s="10">
        <v>0</v>
      </c>
      <c r="P85" s="9"/>
    </row>
    <row r="86" spans="1:16" s="18" customFormat="1" x14ac:dyDescent="0.3">
      <c r="B86" s="44"/>
      <c r="C86" s="18">
        <v>12</v>
      </c>
      <c r="D86" s="19">
        <f xml:space="preserve"> K75</f>
        <v>10902663.432129452</v>
      </c>
      <c r="E86" s="19">
        <f t="shared" si="9"/>
        <v>261908304.19619215</v>
      </c>
      <c r="F86" s="18">
        <v>1.7999999999999999E-2</v>
      </c>
      <c r="G86" s="19">
        <f t="shared" si="5"/>
        <v>266622653.6717236</v>
      </c>
      <c r="H86" s="19"/>
      <c r="I86" s="20">
        <v>0</v>
      </c>
      <c r="J86" s="19">
        <f xml:space="preserve"> (E75 + SUM(D76:D86)) - SUM(I76:I86)</f>
        <v>226915790.74831456</v>
      </c>
      <c r="K86" s="19">
        <f xml:space="preserve"> G86 - J86</f>
        <v>39706862.923409045</v>
      </c>
      <c r="L86" s="18">
        <v>0.84</v>
      </c>
      <c r="M86" s="19">
        <f xml:space="preserve"> K86 * L86</f>
        <v>33353764.855663598</v>
      </c>
      <c r="N86" s="19">
        <f xml:space="preserve"> K86 - M86</f>
        <v>6353098.0677454472</v>
      </c>
      <c r="O86" s="18">
        <f xml:space="preserve"> K86 / J86 * 100</f>
        <v>17.498501445168365</v>
      </c>
      <c r="P86" s="19"/>
    </row>
    <row r="87" spans="1:16" s="8" customFormat="1" x14ac:dyDescent="0.3">
      <c r="A87" s="8">
        <v>8</v>
      </c>
      <c r="B87" s="44">
        <v>2029</v>
      </c>
      <c r="C87" s="8">
        <v>1</v>
      </c>
      <c r="D87" s="9">
        <f xml:space="preserve"> K87</f>
        <v>13609277.236321816</v>
      </c>
      <c r="E87" s="9">
        <f xml:space="preserve"> (G86 / 2) + D87 - I87</f>
        <v>146920604.07218361</v>
      </c>
      <c r="F87" s="8">
        <v>1.7999999999999999E-2</v>
      </c>
      <c r="G87" s="9">
        <f t="shared" si="5"/>
        <v>149565174.94548291</v>
      </c>
      <c r="H87" s="9"/>
      <c r="I87" s="10">
        <v>0</v>
      </c>
      <c r="K87" s="11">
        <f xml:space="preserve"> ((G86 - I87) / 2 / 12) +2500000</f>
        <v>13609277.236321816</v>
      </c>
      <c r="M87" s="9">
        <f xml:space="preserve"> (G86 / 2 )</f>
        <v>133311326.8358618</v>
      </c>
      <c r="P87" s="9"/>
    </row>
    <row r="88" spans="1:16" s="8" customFormat="1" x14ac:dyDescent="0.3">
      <c r="B88" s="44"/>
      <c r="C88" s="8">
        <v>2</v>
      </c>
      <c r="D88" s="9">
        <f xml:space="preserve"> K87</f>
        <v>13609277.236321816</v>
      </c>
      <c r="E88" s="9">
        <f t="shared" ref="E88:E98" si="10" xml:space="preserve"> G87 + D88 - I88</f>
        <v>163174452.18180472</v>
      </c>
      <c r="F88" s="8">
        <v>1.7999999999999999E-2</v>
      </c>
      <c r="G88" s="9">
        <f t="shared" si="5"/>
        <v>166111592.3210772</v>
      </c>
      <c r="H88" s="9"/>
      <c r="I88" s="10">
        <v>0</v>
      </c>
      <c r="P88" s="9"/>
    </row>
    <row r="89" spans="1:16" s="8" customFormat="1" x14ac:dyDescent="0.3">
      <c r="B89" s="44"/>
      <c r="C89" s="8">
        <v>3</v>
      </c>
      <c r="D89" s="9">
        <f xml:space="preserve"> K87</f>
        <v>13609277.236321816</v>
      </c>
      <c r="E89" s="9">
        <f t="shared" si="10"/>
        <v>179720869.557399</v>
      </c>
      <c r="F89" s="8">
        <v>1.7999999999999999E-2</v>
      </c>
      <c r="G89" s="9">
        <f t="shared" si="5"/>
        <v>182955845.20943218</v>
      </c>
      <c r="H89" s="9"/>
      <c r="I89" s="10">
        <v>0</v>
      </c>
      <c r="P89" s="9"/>
    </row>
    <row r="90" spans="1:16" s="8" customFormat="1" x14ac:dyDescent="0.3">
      <c r="B90" s="44"/>
      <c r="C90" s="8">
        <v>4</v>
      </c>
      <c r="D90" s="9">
        <f xml:space="preserve"> K87</f>
        <v>13609277.236321816</v>
      </c>
      <c r="E90" s="9">
        <f t="shared" si="10"/>
        <v>196565122.44575399</v>
      </c>
      <c r="F90" s="8">
        <v>1.7999999999999999E-2</v>
      </c>
      <c r="G90" s="9">
        <f t="shared" si="5"/>
        <v>200103294.64977756</v>
      </c>
      <c r="H90" s="9"/>
      <c r="I90" s="10">
        <v>0</v>
      </c>
      <c r="P90" s="9"/>
    </row>
    <row r="91" spans="1:16" s="8" customFormat="1" x14ac:dyDescent="0.3">
      <c r="B91" s="44"/>
      <c r="C91" s="8">
        <v>5</v>
      </c>
      <c r="D91" s="9">
        <f xml:space="preserve"> K87</f>
        <v>13609277.236321816</v>
      </c>
      <c r="E91" s="9">
        <f t="shared" si="10"/>
        <v>207359473.81835392</v>
      </c>
      <c r="F91" s="8">
        <v>1.7999999999999999E-2</v>
      </c>
      <c r="G91" s="9">
        <f t="shared" si="5"/>
        <v>211091944.34708428</v>
      </c>
      <c r="H91" s="9"/>
      <c r="I91" s="10">
        <f xml:space="preserve"> N86</f>
        <v>6353098.0677454472</v>
      </c>
      <c r="P91" s="9"/>
    </row>
    <row r="92" spans="1:16" s="8" customFormat="1" x14ac:dyDescent="0.3">
      <c r="B92" s="44"/>
      <c r="C92" s="8">
        <v>6</v>
      </c>
      <c r="D92" s="9">
        <f xml:space="preserve"> K87</f>
        <v>13609277.236321816</v>
      </c>
      <c r="E92" s="9">
        <f t="shared" si="10"/>
        <v>224701221.58340609</v>
      </c>
      <c r="F92" s="8">
        <v>1.7999999999999999E-2</v>
      </c>
      <c r="G92" s="9">
        <f t="shared" si="5"/>
        <v>228745843.5719074</v>
      </c>
      <c r="H92" s="9"/>
      <c r="I92" s="10">
        <v>0</v>
      </c>
      <c r="P92" s="9"/>
    </row>
    <row r="93" spans="1:16" s="8" customFormat="1" x14ac:dyDescent="0.3">
      <c r="B93" s="44"/>
      <c r="C93" s="8">
        <v>7</v>
      </c>
      <c r="D93" s="9">
        <f xml:space="preserve"> K87</f>
        <v>13609277.236321816</v>
      </c>
      <c r="E93" s="9">
        <f t="shared" si="10"/>
        <v>242355120.80822921</v>
      </c>
      <c r="F93" s="8">
        <v>1.7999999999999999E-2</v>
      </c>
      <c r="G93" s="9">
        <f t="shared" si="5"/>
        <v>246717512.98277733</v>
      </c>
      <c r="H93" s="9"/>
      <c r="I93" s="10">
        <v>0</v>
      </c>
      <c r="P93" s="9"/>
    </row>
    <row r="94" spans="1:16" s="8" customFormat="1" x14ac:dyDescent="0.3">
      <c r="B94" s="44"/>
      <c r="C94" s="8">
        <v>8</v>
      </c>
      <c r="D94" s="9">
        <f xml:space="preserve"> K87</f>
        <v>13609277.236321816</v>
      </c>
      <c r="E94" s="9">
        <f t="shared" si="10"/>
        <v>260326790.21909913</v>
      </c>
      <c r="F94" s="8">
        <v>1.7999999999999999E-2</v>
      </c>
      <c r="G94" s="9">
        <f t="shared" ref="G94:G157" si="11" xml:space="preserve"> (E94 * F94) + E94</f>
        <v>265012672.4430429</v>
      </c>
      <c r="H94" s="9"/>
      <c r="I94" s="10">
        <v>0</v>
      </c>
      <c r="P94" s="9"/>
    </row>
    <row r="95" spans="1:16" s="8" customFormat="1" x14ac:dyDescent="0.3">
      <c r="B95" s="44"/>
      <c r="C95" s="8">
        <v>9</v>
      </c>
      <c r="D95" s="9">
        <f xml:space="preserve"> K87</f>
        <v>13609277.236321816</v>
      </c>
      <c r="E95" s="9">
        <f t="shared" si="10"/>
        <v>278621949.67936474</v>
      </c>
      <c r="F95" s="8">
        <v>1.7999999999999999E-2</v>
      </c>
      <c r="G95" s="9">
        <f t="shared" si="11"/>
        <v>283637144.77359331</v>
      </c>
      <c r="H95" s="9"/>
      <c r="I95" s="10">
        <v>0</v>
      </c>
      <c r="P95" s="9"/>
    </row>
    <row r="96" spans="1:16" s="8" customFormat="1" x14ac:dyDescent="0.3">
      <c r="B96" s="44"/>
      <c r="C96" s="8">
        <v>10</v>
      </c>
      <c r="D96" s="9">
        <f xml:space="preserve"> K87</f>
        <v>13609277.236321816</v>
      </c>
      <c r="E96" s="9">
        <f t="shared" si="10"/>
        <v>297246422.00991511</v>
      </c>
      <c r="F96" s="8">
        <v>1.7999999999999999E-2</v>
      </c>
      <c r="G96" s="9">
        <f t="shared" si="11"/>
        <v>302596857.60609359</v>
      </c>
      <c r="H96" s="9"/>
      <c r="I96" s="10">
        <v>0</v>
      </c>
      <c r="P96" s="9"/>
    </row>
    <row r="97" spans="1:16" s="8" customFormat="1" x14ac:dyDescent="0.3">
      <c r="B97" s="44"/>
      <c r="C97" s="8">
        <v>11</v>
      </c>
      <c r="D97" s="9">
        <f xml:space="preserve"> K87</f>
        <v>13609277.236321816</v>
      </c>
      <c r="E97" s="9">
        <f t="shared" si="10"/>
        <v>316206134.84241539</v>
      </c>
      <c r="F97" s="8">
        <v>1.7999999999999999E-2</v>
      </c>
      <c r="G97" s="9">
        <f t="shared" si="11"/>
        <v>321897845.26957887</v>
      </c>
      <c r="H97" s="9"/>
      <c r="I97" s="10">
        <v>0</v>
      </c>
      <c r="P97" s="9"/>
    </row>
    <row r="98" spans="1:16" s="18" customFormat="1" x14ac:dyDescent="0.3">
      <c r="B98" s="44"/>
      <c r="C98" s="18">
        <v>12</v>
      </c>
      <c r="D98" s="19">
        <f xml:space="preserve"> K87</f>
        <v>13609277.236321816</v>
      </c>
      <c r="E98" s="19">
        <f t="shared" si="10"/>
        <v>335507122.50590068</v>
      </c>
      <c r="F98" s="18">
        <v>1.7999999999999999E-2</v>
      </c>
      <c r="G98" s="19">
        <f t="shared" si="11"/>
        <v>341546250.71100688</v>
      </c>
      <c r="H98" s="19"/>
      <c r="I98" s="20">
        <v>0</v>
      </c>
      <c r="J98" s="19">
        <f xml:space="preserve"> (E87 + SUM(D88:D98)) - SUM(I88:I98)</f>
        <v>290269555.60397816</v>
      </c>
      <c r="K98" s="19">
        <f xml:space="preserve"> G98 - J98</f>
        <v>51276695.107028723</v>
      </c>
      <c r="L98" s="18">
        <v>0.84</v>
      </c>
      <c r="M98" s="19">
        <f xml:space="preserve"> K98 * L98</f>
        <v>43072423.889904127</v>
      </c>
      <c r="N98" s="19">
        <f xml:space="preserve"> K98 - M98</f>
        <v>8204271.2171245962</v>
      </c>
      <c r="O98" s="18">
        <f xml:space="preserve"> K98 / J98 * 100</f>
        <v>17.665199163010666</v>
      </c>
      <c r="P98" s="19"/>
    </row>
    <row r="99" spans="1:16" s="8" customFormat="1" x14ac:dyDescent="0.3">
      <c r="A99" s="8">
        <v>9</v>
      </c>
      <c r="B99" s="44">
        <v>2030</v>
      </c>
      <c r="C99" s="8">
        <v>1</v>
      </c>
      <c r="D99" s="9">
        <f>K99</f>
        <v>16731093.779625287</v>
      </c>
      <c r="E99" s="9">
        <f xml:space="preserve"> (G98 / 2) + D99 - I99</f>
        <v>187504219.13512874</v>
      </c>
      <c r="F99" s="8">
        <v>1.7999999999999999E-2</v>
      </c>
      <c r="G99" s="9">
        <f t="shared" si="11"/>
        <v>190879295.07956105</v>
      </c>
      <c r="H99" s="9"/>
      <c r="I99" s="10">
        <v>0</v>
      </c>
      <c r="K99" s="11">
        <f xml:space="preserve"> ((G98 - I99) / 2 / 12) +2500000</f>
        <v>16731093.779625287</v>
      </c>
      <c r="M99" s="9">
        <f xml:space="preserve"> (G98 / 2 )</f>
        <v>170773125.35550344</v>
      </c>
      <c r="P99" s="9"/>
    </row>
    <row r="100" spans="1:16" s="8" customFormat="1" x14ac:dyDescent="0.3">
      <c r="B100" s="44"/>
      <c r="C100" s="8">
        <v>2</v>
      </c>
      <c r="D100" s="9">
        <f>K99</f>
        <v>16731093.779625287</v>
      </c>
      <c r="E100" s="9">
        <f t="shared" ref="E100:E110" si="12" xml:space="preserve"> G99 + D100 - I100</f>
        <v>207610388.85918635</v>
      </c>
      <c r="F100" s="8">
        <v>1.7999999999999999E-2</v>
      </c>
      <c r="G100" s="9">
        <f t="shared" si="11"/>
        <v>211347375.8586517</v>
      </c>
      <c r="H100" s="9"/>
      <c r="I100" s="10">
        <v>0</v>
      </c>
      <c r="P100" s="9"/>
    </row>
    <row r="101" spans="1:16" s="8" customFormat="1" x14ac:dyDescent="0.3">
      <c r="B101" s="44"/>
      <c r="C101" s="8">
        <v>3</v>
      </c>
      <c r="D101" s="9">
        <f>K99</f>
        <v>16731093.779625287</v>
      </c>
      <c r="E101" s="9">
        <f t="shared" si="12"/>
        <v>228078469.63827699</v>
      </c>
      <c r="F101" s="8">
        <v>1.7999999999999999E-2</v>
      </c>
      <c r="G101" s="9">
        <f t="shared" si="11"/>
        <v>232183882.09176597</v>
      </c>
      <c r="H101" s="9"/>
      <c r="I101" s="10">
        <v>0</v>
      </c>
      <c r="P101" s="9"/>
    </row>
    <row r="102" spans="1:16" s="8" customFormat="1" x14ac:dyDescent="0.3">
      <c r="B102" s="44"/>
      <c r="C102" s="8">
        <v>4</v>
      </c>
      <c r="D102" s="9">
        <f>K99</f>
        <v>16731093.779625287</v>
      </c>
      <c r="E102" s="9">
        <f t="shared" si="12"/>
        <v>248914975.87139127</v>
      </c>
      <c r="F102" s="8">
        <v>1.7999999999999999E-2</v>
      </c>
      <c r="G102" s="9">
        <f t="shared" si="11"/>
        <v>253395445.4370763</v>
      </c>
      <c r="H102" s="9"/>
      <c r="I102" s="10">
        <v>0</v>
      </c>
      <c r="P102" s="9"/>
    </row>
    <row r="103" spans="1:16" s="8" customFormat="1" x14ac:dyDescent="0.3">
      <c r="B103" s="44"/>
      <c r="C103" s="8">
        <v>5</v>
      </c>
      <c r="D103" s="9">
        <f>K99</f>
        <v>16731093.779625287</v>
      </c>
      <c r="E103" s="9">
        <f t="shared" si="12"/>
        <v>261922267.99957699</v>
      </c>
      <c r="F103" s="8">
        <v>1.7999999999999999E-2</v>
      </c>
      <c r="G103" s="9">
        <f t="shared" si="11"/>
        <v>266636868.82356936</v>
      </c>
      <c r="H103" s="9"/>
      <c r="I103" s="10">
        <f xml:space="preserve"> N98</f>
        <v>8204271.2171245962</v>
      </c>
      <c r="P103" s="9"/>
    </row>
    <row r="104" spans="1:16" s="8" customFormat="1" x14ac:dyDescent="0.3">
      <c r="B104" s="44"/>
      <c r="C104" s="8">
        <v>6</v>
      </c>
      <c r="D104" s="9">
        <f>K99</f>
        <v>16731093.779625287</v>
      </c>
      <c r="E104" s="9">
        <f t="shared" si="12"/>
        <v>283367962.60319465</v>
      </c>
      <c r="F104" s="8">
        <v>1.7999999999999999E-2</v>
      </c>
      <c r="G104" s="9">
        <f t="shared" si="11"/>
        <v>288468585.93005216</v>
      </c>
      <c r="H104" s="9"/>
      <c r="I104" s="10">
        <v>0</v>
      </c>
      <c r="P104" s="9"/>
    </row>
    <row r="105" spans="1:16" s="8" customFormat="1" x14ac:dyDescent="0.3">
      <c r="B105" s="44"/>
      <c r="C105" s="8">
        <v>7</v>
      </c>
      <c r="D105" s="9">
        <f>K99</f>
        <v>16731093.779625287</v>
      </c>
      <c r="E105" s="9">
        <f t="shared" si="12"/>
        <v>305199679.70967746</v>
      </c>
      <c r="F105" s="8">
        <v>1.7999999999999999E-2</v>
      </c>
      <c r="G105" s="9">
        <f t="shared" si="11"/>
        <v>310693273.94445163</v>
      </c>
      <c r="H105" s="9"/>
      <c r="I105" s="10">
        <v>0</v>
      </c>
      <c r="P105" s="9"/>
    </row>
    <row r="106" spans="1:16" s="8" customFormat="1" x14ac:dyDescent="0.3">
      <c r="B106" s="44"/>
      <c r="C106" s="8">
        <v>8</v>
      </c>
      <c r="D106" s="9">
        <f>K99</f>
        <v>16731093.779625287</v>
      </c>
      <c r="E106" s="9">
        <f t="shared" si="12"/>
        <v>327424367.72407693</v>
      </c>
      <c r="F106" s="8">
        <v>1.7999999999999999E-2</v>
      </c>
      <c r="G106" s="9">
        <f t="shared" si="11"/>
        <v>333318006.34311032</v>
      </c>
      <c r="H106" s="9"/>
      <c r="I106" s="10">
        <v>0</v>
      </c>
      <c r="P106" s="9"/>
    </row>
    <row r="107" spans="1:16" s="8" customFormat="1" x14ac:dyDescent="0.3">
      <c r="B107" s="44"/>
      <c r="C107" s="8">
        <v>9</v>
      </c>
      <c r="D107" s="9">
        <f>K99</f>
        <v>16731093.779625287</v>
      </c>
      <c r="E107" s="9">
        <f t="shared" si="12"/>
        <v>350049100.12273562</v>
      </c>
      <c r="F107" s="8">
        <v>1.7999999999999999E-2</v>
      </c>
      <c r="G107" s="9">
        <f t="shared" si="11"/>
        <v>356349983.92494488</v>
      </c>
      <c r="H107" s="9"/>
      <c r="I107" s="10">
        <v>0</v>
      </c>
      <c r="P107" s="9"/>
    </row>
    <row r="108" spans="1:16" s="8" customFormat="1" x14ac:dyDescent="0.3">
      <c r="B108" s="44"/>
      <c r="C108" s="8">
        <v>10</v>
      </c>
      <c r="D108" s="9">
        <f>K99</f>
        <v>16731093.779625287</v>
      </c>
      <c r="E108" s="9">
        <f t="shared" si="12"/>
        <v>373081077.70457017</v>
      </c>
      <c r="F108" s="8">
        <v>1.7999999999999999E-2</v>
      </c>
      <c r="G108" s="9">
        <f t="shared" si="11"/>
        <v>379796537.10325241</v>
      </c>
      <c r="H108" s="9"/>
      <c r="I108" s="10">
        <v>0</v>
      </c>
      <c r="P108" s="9"/>
    </row>
    <row r="109" spans="1:16" s="8" customFormat="1" x14ac:dyDescent="0.3">
      <c r="B109" s="44"/>
      <c r="C109" s="8">
        <v>11</v>
      </c>
      <c r="D109" s="9">
        <f>K99</f>
        <v>16731093.779625287</v>
      </c>
      <c r="E109" s="9">
        <f t="shared" si="12"/>
        <v>396527630.88287771</v>
      </c>
      <c r="F109" s="8">
        <v>1.7999999999999999E-2</v>
      </c>
      <c r="G109" s="9">
        <f t="shared" si="11"/>
        <v>403665128.23876953</v>
      </c>
      <c r="H109" s="9"/>
      <c r="I109" s="10">
        <v>0</v>
      </c>
      <c r="P109" s="9"/>
    </row>
    <row r="110" spans="1:16" s="18" customFormat="1" x14ac:dyDescent="0.3">
      <c r="B110" s="44"/>
      <c r="C110" s="18">
        <v>12</v>
      </c>
      <c r="D110" s="19">
        <f>K99</f>
        <v>16731093.779625287</v>
      </c>
      <c r="E110" s="19">
        <f t="shared" si="12"/>
        <v>420396222.01839483</v>
      </c>
      <c r="F110" s="18">
        <v>1.7999999999999999E-2</v>
      </c>
      <c r="G110" s="19">
        <f t="shared" si="11"/>
        <v>427963354.01472592</v>
      </c>
      <c r="H110" s="19"/>
      <c r="I110" s="20">
        <v>0</v>
      </c>
      <c r="J110" s="19">
        <f xml:space="preserve"> (E99 + SUM(D100:D110)) - SUM(I100:I110)</f>
        <v>363341979.4938823</v>
      </c>
      <c r="K110" s="19">
        <f xml:space="preserve"> G110 - J110</f>
        <v>64621374.520843625</v>
      </c>
      <c r="L110" s="18">
        <v>0.84</v>
      </c>
      <c r="M110" s="19">
        <f xml:space="preserve"> K110 * L110</f>
        <v>54281954.597508647</v>
      </c>
      <c r="N110" s="19">
        <f xml:space="preserve"> K110 - M110</f>
        <v>10339419.923334979</v>
      </c>
      <c r="O110" s="18">
        <f xml:space="preserve"> K110 / J110 * 100</f>
        <v>17.785276177241631</v>
      </c>
      <c r="P110" s="19"/>
    </row>
    <row r="111" spans="1:16" s="8" customFormat="1" x14ac:dyDescent="0.3">
      <c r="A111" s="8">
        <v>10</v>
      </c>
      <c r="B111" s="44">
        <v>2031</v>
      </c>
      <c r="C111" s="8">
        <v>1</v>
      </c>
      <c r="D111" s="9">
        <f>K111</f>
        <v>20331806.417280246</v>
      </c>
      <c r="E111" s="9">
        <f xml:space="preserve"> (G110 / 2) + D111 - I111</f>
        <v>234313483.42464322</v>
      </c>
      <c r="F111" s="8">
        <v>1.7999999999999999E-2</v>
      </c>
      <c r="G111" s="9">
        <f t="shared" si="11"/>
        <v>238531126.1262868</v>
      </c>
      <c r="H111" s="9"/>
      <c r="I111" s="10">
        <v>0</v>
      </c>
      <c r="K111" s="11">
        <f xml:space="preserve"> ((G110 - I111) / 2 / 12) +2500000</f>
        <v>20331806.417280246</v>
      </c>
      <c r="M111" s="9">
        <f xml:space="preserve"> (G110 / 2 )</f>
        <v>213981677.00736296</v>
      </c>
      <c r="P111" s="9"/>
    </row>
    <row r="112" spans="1:16" s="8" customFormat="1" x14ac:dyDescent="0.3">
      <c r="B112" s="44"/>
      <c r="C112" s="8">
        <v>2</v>
      </c>
      <c r="D112" s="9">
        <f>K111</f>
        <v>20331806.417280246</v>
      </c>
      <c r="E112" s="9">
        <f t="shared" ref="E112:E122" si="13" xml:space="preserve"> G111 + D112 - I112</f>
        <v>258862932.54356706</v>
      </c>
      <c r="F112" s="8">
        <v>1.7999999999999999E-2</v>
      </c>
      <c r="G112" s="9">
        <f t="shared" si="11"/>
        <v>263522465.32935128</v>
      </c>
      <c r="H112" s="9"/>
      <c r="I112" s="10">
        <v>0</v>
      </c>
      <c r="P112" s="9"/>
    </row>
    <row r="113" spans="1:16" s="8" customFormat="1" x14ac:dyDescent="0.3">
      <c r="B113" s="44"/>
      <c r="C113" s="8">
        <v>3</v>
      </c>
      <c r="D113" s="9">
        <f>K111</f>
        <v>20331806.417280246</v>
      </c>
      <c r="E113" s="9">
        <f t="shared" si="13"/>
        <v>283854271.7466315</v>
      </c>
      <c r="F113" s="8">
        <v>1.7999999999999999E-2</v>
      </c>
      <c r="G113" s="9">
        <f t="shared" si="11"/>
        <v>288963648.63807088</v>
      </c>
      <c r="H113" s="9"/>
      <c r="I113" s="10">
        <v>0</v>
      </c>
      <c r="P113" s="9"/>
    </row>
    <row r="114" spans="1:16" s="8" customFormat="1" x14ac:dyDescent="0.3">
      <c r="B114" s="44"/>
      <c r="C114" s="8">
        <v>4</v>
      </c>
      <c r="D114" s="9">
        <f>K111</f>
        <v>20331806.417280246</v>
      </c>
      <c r="E114" s="9">
        <f t="shared" si="13"/>
        <v>309295455.05535114</v>
      </c>
      <c r="F114" s="8">
        <v>1.7999999999999999E-2</v>
      </c>
      <c r="G114" s="9">
        <f t="shared" si="11"/>
        <v>314862773.24634749</v>
      </c>
      <c r="H114" s="9"/>
      <c r="I114" s="10">
        <v>0</v>
      </c>
      <c r="P114" s="9"/>
    </row>
    <row r="115" spans="1:16" s="8" customFormat="1" x14ac:dyDescent="0.3">
      <c r="B115" s="44"/>
      <c r="C115" s="8">
        <v>5</v>
      </c>
      <c r="D115" s="9">
        <f>K111</f>
        <v>20331806.417280246</v>
      </c>
      <c r="E115" s="9">
        <f t="shared" si="13"/>
        <v>324855159.74029279</v>
      </c>
      <c r="F115" s="8">
        <v>1.7999999999999999E-2</v>
      </c>
      <c r="G115" s="9">
        <f t="shared" si="11"/>
        <v>330702552.61561805</v>
      </c>
      <c r="H115" s="9"/>
      <c r="I115" s="10">
        <f xml:space="preserve"> N110</f>
        <v>10339419.923334979</v>
      </c>
      <c r="P115" s="9"/>
    </row>
    <row r="116" spans="1:16" s="8" customFormat="1" x14ac:dyDescent="0.3">
      <c r="B116" s="44"/>
      <c r="C116" s="8">
        <v>6</v>
      </c>
      <c r="D116" s="9">
        <f>K111</f>
        <v>20331806.417280246</v>
      </c>
      <c r="E116" s="9">
        <f t="shared" si="13"/>
        <v>351034359.03289831</v>
      </c>
      <c r="F116" s="8">
        <v>1.7999999999999999E-2</v>
      </c>
      <c r="G116" s="9">
        <f t="shared" si="11"/>
        <v>357352977.49549049</v>
      </c>
      <c r="H116" s="9"/>
      <c r="I116" s="10">
        <v>0</v>
      </c>
      <c r="P116" s="9"/>
    </row>
    <row r="117" spans="1:16" s="8" customFormat="1" x14ac:dyDescent="0.3">
      <c r="B117" s="44"/>
      <c r="C117" s="8">
        <v>7</v>
      </c>
      <c r="D117" s="9">
        <f>K111</f>
        <v>20331806.417280246</v>
      </c>
      <c r="E117" s="9">
        <f t="shared" si="13"/>
        <v>377684783.91277075</v>
      </c>
      <c r="F117" s="8">
        <v>1.7999999999999999E-2</v>
      </c>
      <c r="G117" s="9">
        <f t="shared" si="11"/>
        <v>384483110.02320063</v>
      </c>
      <c r="H117" s="9"/>
      <c r="I117" s="10">
        <v>0</v>
      </c>
      <c r="P117" s="9"/>
    </row>
    <row r="118" spans="1:16" s="8" customFormat="1" x14ac:dyDescent="0.3">
      <c r="B118" s="44"/>
      <c r="C118" s="8">
        <v>8</v>
      </c>
      <c r="D118" s="9">
        <f>K111</f>
        <v>20331806.417280246</v>
      </c>
      <c r="E118" s="9">
        <f t="shared" si="13"/>
        <v>404814916.44048089</v>
      </c>
      <c r="F118" s="8">
        <v>1.7999999999999999E-2</v>
      </c>
      <c r="G118" s="9">
        <f t="shared" si="11"/>
        <v>412101584.93640953</v>
      </c>
      <c r="H118" s="9"/>
      <c r="I118" s="10">
        <v>0</v>
      </c>
      <c r="P118" s="9"/>
    </row>
    <row r="119" spans="1:16" s="8" customFormat="1" x14ac:dyDescent="0.3">
      <c r="B119" s="44"/>
      <c r="C119" s="8">
        <v>9</v>
      </c>
      <c r="D119" s="9">
        <f>K111</f>
        <v>20331806.417280246</v>
      </c>
      <c r="E119" s="9">
        <f t="shared" si="13"/>
        <v>432433391.35368979</v>
      </c>
      <c r="F119" s="8">
        <v>1.7999999999999999E-2</v>
      </c>
      <c r="G119" s="9">
        <f t="shared" si="11"/>
        <v>440217192.39805621</v>
      </c>
      <c r="H119" s="9"/>
      <c r="I119" s="10">
        <v>0</v>
      </c>
      <c r="P119" s="9"/>
    </row>
    <row r="120" spans="1:16" s="8" customFormat="1" x14ac:dyDescent="0.3">
      <c r="B120" s="44"/>
      <c r="C120" s="8">
        <v>10</v>
      </c>
      <c r="D120" s="9">
        <f>K111</f>
        <v>20331806.417280246</v>
      </c>
      <c r="E120" s="9">
        <f t="shared" si="13"/>
        <v>460548998.81533647</v>
      </c>
      <c r="F120" s="8">
        <v>1.7999999999999999E-2</v>
      </c>
      <c r="G120" s="9">
        <f t="shared" si="11"/>
        <v>468838880.79401255</v>
      </c>
      <c r="H120" s="9"/>
      <c r="I120" s="10">
        <v>0</v>
      </c>
      <c r="P120" s="9"/>
    </row>
    <row r="121" spans="1:16" s="8" customFormat="1" x14ac:dyDescent="0.3">
      <c r="B121" s="44"/>
      <c r="C121" s="8">
        <v>11</v>
      </c>
      <c r="D121" s="9">
        <f>K111</f>
        <v>20331806.417280246</v>
      </c>
      <c r="E121" s="9">
        <f t="shared" si="13"/>
        <v>489170687.2112928</v>
      </c>
      <c r="F121" s="8">
        <v>1.7999999999999999E-2</v>
      </c>
      <c r="G121" s="9">
        <f t="shared" si="11"/>
        <v>497975759.58109605</v>
      </c>
      <c r="H121" s="9"/>
      <c r="I121" s="10">
        <v>0</v>
      </c>
      <c r="P121" s="9"/>
    </row>
    <row r="122" spans="1:16" s="18" customFormat="1" x14ac:dyDescent="0.3">
      <c r="B122" s="44"/>
      <c r="C122" s="18">
        <v>12</v>
      </c>
      <c r="D122" s="19">
        <f>K111</f>
        <v>20331806.417280246</v>
      </c>
      <c r="E122" s="19">
        <f t="shared" si="13"/>
        <v>518307565.99837631</v>
      </c>
      <c r="F122" s="18">
        <v>1.7999999999999999E-2</v>
      </c>
      <c r="G122" s="19">
        <f t="shared" si="11"/>
        <v>527637102.18634707</v>
      </c>
      <c r="H122" s="19"/>
      <c r="I122" s="20">
        <v>0</v>
      </c>
      <c r="J122" s="19">
        <f xml:space="preserve"> (E111 + SUM(D112:D122)) - SUM(I112:I122)</f>
        <v>447623934.09139097</v>
      </c>
      <c r="K122" s="19">
        <f xml:space="preserve"> G122 - J122</f>
        <v>80013168.0949561</v>
      </c>
      <c r="L122" s="18">
        <v>0.84</v>
      </c>
      <c r="M122" s="19">
        <f xml:space="preserve"> K122 * L122</f>
        <v>67211061.199763119</v>
      </c>
      <c r="N122" s="19">
        <f xml:space="preserve"> K122 - M122</f>
        <v>12802106.895192981</v>
      </c>
      <c r="O122" s="18">
        <f xml:space="preserve"> K122 / J122 * 100</f>
        <v>17.875087099033422</v>
      </c>
      <c r="P122" s="19"/>
    </row>
    <row r="123" spans="1:16" s="8" customFormat="1" x14ac:dyDescent="0.3">
      <c r="A123" s="8">
        <v>11</v>
      </c>
      <c r="B123" s="44">
        <v>2032</v>
      </c>
      <c r="C123" s="8">
        <v>1</v>
      </c>
      <c r="D123" s="9">
        <f>K123</f>
        <v>24484879.257764462</v>
      </c>
      <c r="E123" s="9">
        <f xml:space="preserve"> (G122 / 2) + D123 - I123</f>
        <v>288303430.35093802</v>
      </c>
      <c r="F123" s="8">
        <v>1.7999999999999999E-2</v>
      </c>
      <c r="G123" s="9">
        <f t="shared" si="11"/>
        <v>293492892.09725493</v>
      </c>
      <c r="H123" s="9"/>
      <c r="I123" s="10"/>
      <c r="K123" s="11">
        <f xml:space="preserve"> ((G122 - I123) / 2 / 12) +2500000</f>
        <v>24484879.257764462</v>
      </c>
      <c r="M123" s="9">
        <f xml:space="preserve"> (G122 / 2 )</f>
        <v>263818551.09317353</v>
      </c>
      <c r="P123" s="9"/>
    </row>
    <row r="124" spans="1:16" s="8" customFormat="1" x14ac:dyDescent="0.3">
      <c r="B124" s="44"/>
      <c r="C124" s="8">
        <v>2</v>
      </c>
      <c r="D124" s="9">
        <f>K123</f>
        <v>24484879.257764462</v>
      </c>
      <c r="E124" s="9">
        <f t="shared" ref="E124:E134" si="14" xml:space="preserve"> G123 + D124 - I124</f>
        <v>317977771.35501939</v>
      </c>
      <c r="F124" s="8">
        <v>1.7999999999999999E-2</v>
      </c>
      <c r="G124" s="9">
        <f t="shared" si="11"/>
        <v>323701371.23940974</v>
      </c>
      <c r="H124" s="9"/>
      <c r="I124" s="10"/>
      <c r="P124" s="9"/>
    </row>
    <row r="125" spans="1:16" s="8" customFormat="1" x14ac:dyDescent="0.3">
      <c r="B125" s="44"/>
      <c r="C125" s="8">
        <v>3</v>
      </c>
      <c r="D125" s="9">
        <f>K123</f>
        <v>24484879.257764462</v>
      </c>
      <c r="E125" s="9">
        <f t="shared" si="14"/>
        <v>348186250.4971742</v>
      </c>
      <c r="F125" s="8">
        <v>1.7999999999999999E-2</v>
      </c>
      <c r="G125" s="9">
        <f t="shared" si="11"/>
        <v>354453603.00612336</v>
      </c>
      <c r="H125" s="9"/>
      <c r="I125" s="10"/>
      <c r="P125" s="9"/>
    </row>
    <row r="126" spans="1:16" s="8" customFormat="1" x14ac:dyDescent="0.3">
      <c r="B126" s="44"/>
      <c r="C126" s="8">
        <v>4</v>
      </c>
      <c r="D126" s="9">
        <f>K123</f>
        <v>24484879.257764462</v>
      </c>
      <c r="E126" s="9">
        <f t="shared" si="14"/>
        <v>378938482.26388782</v>
      </c>
      <c r="F126" s="8">
        <v>1.7999999999999999E-2</v>
      </c>
      <c r="G126" s="9">
        <f t="shared" si="11"/>
        <v>385759374.94463778</v>
      </c>
      <c r="H126" s="9"/>
      <c r="I126" s="10"/>
      <c r="P126" s="9"/>
    </row>
    <row r="127" spans="1:16" s="8" customFormat="1" x14ac:dyDescent="0.3">
      <c r="B127" s="44"/>
      <c r="C127" s="8">
        <v>5</v>
      </c>
      <c r="D127" s="9">
        <f>K123</f>
        <v>24484879.257764462</v>
      </c>
      <c r="E127" s="9">
        <f t="shared" si="14"/>
        <v>397442147.30720925</v>
      </c>
      <c r="F127" s="8">
        <v>1.7999999999999999E-2</v>
      </c>
      <c r="G127" s="9">
        <f t="shared" si="11"/>
        <v>404596105.95873904</v>
      </c>
      <c r="H127" s="9"/>
      <c r="I127" s="10">
        <f xml:space="preserve"> N122</f>
        <v>12802106.895192981</v>
      </c>
      <c r="P127" s="9"/>
    </row>
    <row r="128" spans="1:16" s="8" customFormat="1" x14ac:dyDescent="0.3">
      <c r="B128" s="44"/>
      <c r="C128" s="8">
        <v>6</v>
      </c>
      <c r="D128" s="9">
        <f>K123</f>
        <v>24484879.257764462</v>
      </c>
      <c r="E128" s="9">
        <f t="shared" si="14"/>
        <v>429080985.2165035</v>
      </c>
      <c r="F128" s="8">
        <v>1.7999999999999999E-2</v>
      </c>
      <c r="G128" s="9">
        <f t="shared" si="11"/>
        <v>436804442.95040059</v>
      </c>
      <c r="H128" s="9"/>
      <c r="I128" s="10"/>
      <c r="P128" s="9"/>
    </row>
    <row r="129" spans="1:16" s="8" customFormat="1" x14ac:dyDescent="0.3">
      <c r="B129" s="44"/>
      <c r="C129" s="8">
        <v>7</v>
      </c>
      <c r="D129" s="9">
        <f>K123</f>
        <v>24484879.257764462</v>
      </c>
      <c r="E129" s="9">
        <f t="shared" si="14"/>
        <v>461289322.20816505</v>
      </c>
      <c r="F129" s="8">
        <v>1.7999999999999999E-2</v>
      </c>
      <c r="G129" s="9">
        <f t="shared" si="11"/>
        <v>469592530.00791204</v>
      </c>
      <c r="H129" s="9"/>
      <c r="I129" s="10"/>
      <c r="P129" s="9"/>
    </row>
    <row r="130" spans="1:16" s="8" customFormat="1" x14ac:dyDescent="0.3">
      <c r="B130" s="44"/>
      <c r="C130" s="8">
        <v>8</v>
      </c>
      <c r="D130" s="9">
        <f>K123</f>
        <v>24484879.257764462</v>
      </c>
      <c r="E130" s="9">
        <f t="shared" si="14"/>
        <v>494077409.2656765</v>
      </c>
      <c r="F130" s="8">
        <v>1.7999999999999999E-2</v>
      </c>
      <c r="G130" s="9">
        <f t="shared" si="11"/>
        <v>502970802.63245869</v>
      </c>
      <c r="H130" s="9"/>
      <c r="I130" s="10"/>
      <c r="P130" s="9"/>
    </row>
    <row r="131" spans="1:16" s="8" customFormat="1" x14ac:dyDescent="0.3">
      <c r="B131" s="44"/>
      <c r="C131" s="8">
        <v>9</v>
      </c>
      <c r="D131" s="9">
        <f>K123</f>
        <v>24484879.257764462</v>
      </c>
      <c r="E131" s="9">
        <f t="shared" si="14"/>
        <v>527455681.89022315</v>
      </c>
      <c r="F131" s="8">
        <v>1.7999999999999999E-2</v>
      </c>
      <c r="G131" s="9">
        <f t="shared" si="11"/>
        <v>536949884.16424716</v>
      </c>
      <c r="H131" s="9"/>
      <c r="I131" s="10"/>
      <c r="P131" s="9"/>
    </row>
    <row r="132" spans="1:16" s="8" customFormat="1" x14ac:dyDescent="0.3">
      <c r="B132" s="44"/>
      <c r="C132" s="8">
        <v>10</v>
      </c>
      <c r="D132" s="9">
        <f>K123</f>
        <v>24484879.257764462</v>
      </c>
      <c r="E132" s="9">
        <f t="shared" si="14"/>
        <v>561434763.42201161</v>
      </c>
      <c r="F132" s="8">
        <v>1.7999999999999999E-2</v>
      </c>
      <c r="G132" s="9">
        <f t="shared" si="11"/>
        <v>571540589.16360784</v>
      </c>
      <c r="H132" s="9"/>
      <c r="I132" s="10"/>
      <c r="P132" s="9"/>
    </row>
    <row r="133" spans="1:16" s="8" customFormat="1" x14ac:dyDescent="0.3">
      <c r="B133" s="44"/>
      <c r="C133" s="8">
        <v>11</v>
      </c>
      <c r="D133" s="9">
        <f>K123</f>
        <v>24484879.257764462</v>
      </c>
      <c r="E133" s="9">
        <f t="shared" si="14"/>
        <v>596025468.42137229</v>
      </c>
      <c r="F133" s="8">
        <v>1.7999999999999999E-2</v>
      </c>
      <c r="G133" s="9">
        <f t="shared" si="11"/>
        <v>606753926.85295701</v>
      </c>
      <c r="H133" s="9"/>
      <c r="I133" s="10"/>
      <c r="P133" s="9"/>
    </row>
    <row r="134" spans="1:16" s="18" customFormat="1" x14ac:dyDescent="0.3">
      <c r="B134" s="44"/>
      <c r="C134" s="18">
        <v>12</v>
      </c>
      <c r="D134" s="19">
        <f>K123</f>
        <v>24484879.257764462</v>
      </c>
      <c r="E134" s="19">
        <f t="shared" si="14"/>
        <v>595238806.11072147</v>
      </c>
      <c r="F134" s="18">
        <v>1.7999999999999999E-2</v>
      </c>
      <c r="G134" s="19">
        <f t="shared" si="11"/>
        <v>605953104.62071443</v>
      </c>
      <c r="H134" s="19"/>
      <c r="I134" s="24">
        <v>36000000</v>
      </c>
      <c r="J134" s="19">
        <f xml:space="preserve"> (E123 + SUM(D124:D134)) - SUM(I124:I134)</f>
        <v>508834995.29115415</v>
      </c>
      <c r="K134" s="19">
        <f xml:space="preserve"> G134 - J134</f>
        <v>97118109.32956028</v>
      </c>
      <c r="L134" s="18">
        <v>0.84</v>
      </c>
      <c r="M134" s="19">
        <f xml:space="preserve"> K134 * L134</f>
        <v>81579211.836830631</v>
      </c>
      <c r="N134" s="19">
        <f xml:space="preserve"> K134 - M134</f>
        <v>15538897.492729649</v>
      </c>
      <c r="O134" s="18">
        <f xml:space="preserve"> K134 / J134 * 100</f>
        <v>19.086365959163153</v>
      </c>
      <c r="P134" s="19"/>
    </row>
    <row r="135" spans="1:16" s="12" customFormat="1" x14ac:dyDescent="0.3">
      <c r="A135" s="12">
        <v>12</v>
      </c>
      <c r="B135" s="43">
        <v>2033</v>
      </c>
      <c r="C135" s="12">
        <v>1</v>
      </c>
      <c r="D135" s="13">
        <f>K135</f>
        <v>25248046.0258631</v>
      </c>
      <c r="E135" s="13">
        <f xml:space="preserve"> (G134 / 2) + D135 - I135</f>
        <v>328224598.33622032</v>
      </c>
      <c r="F135" s="12">
        <v>1.7999999999999999E-2</v>
      </c>
      <c r="G135" s="13">
        <f t="shared" si="11"/>
        <v>334132641.10627228</v>
      </c>
      <c r="H135" s="13"/>
      <c r="I135" s="14">
        <v>0</v>
      </c>
      <c r="K135" s="15">
        <f xml:space="preserve"> ((G134 - I135) / 2 / 12)</f>
        <v>25248046.0258631</v>
      </c>
      <c r="M135" s="13">
        <f xml:space="preserve"> (G134 - I135) / 2</f>
        <v>302976552.31035721</v>
      </c>
      <c r="N135" s="16" t="s">
        <v>0</v>
      </c>
      <c r="P135" s="13"/>
    </row>
    <row r="136" spans="1:16" s="12" customFormat="1" x14ac:dyDescent="0.3">
      <c r="B136" s="43"/>
      <c r="C136" s="12">
        <v>2</v>
      </c>
      <c r="D136" s="13">
        <f>K135</f>
        <v>25248046.0258631</v>
      </c>
      <c r="E136" s="13">
        <f t="shared" ref="E136:E146" si="15" xml:space="preserve"> G135 + D136 - I136</f>
        <v>359380687.13213539</v>
      </c>
      <c r="F136" s="12">
        <v>1.7999999999999999E-2</v>
      </c>
      <c r="G136" s="13">
        <f t="shared" si="11"/>
        <v>365849539.50051385</v>
      </c>
      <c r="H136" s="13"/>
      <c r="I136" s="14"/>
      <c r="P136" s="13"/>
    </row>
    <row r="137" spans="1:16" s="12" customFormat="1" x14ac:dyDescent="0.3">
      <c r="B137" s="43"/>
      <c r="C137" s="12">
        <v>3</v>
      </c>
      <c r="D137" s="13">
        <f>K135</f>
        <v>25248046.0258631</v>
      </c>
      <c r="E137" s="13">
        <f t="shared" si="15"/>
        <v>391097585.52637696</v>
      </c>
      <c r="F137" s="12">
        <v>1.7999999999999999E-2</v>
      </c>
      <c r="G137" s="13">
        <f t="shared" si="11"/>
        <v>398137342.06585175</v>
      </c>
      <c r="H137" s="13"/>
      <c r="I137" s="14"/>
      <c r="P137" s="13"/>
    </row>
    <row r="138" spans="1:16" s="12" customFormat="1" x14ac:dyDescent="0.3">
      <c r="B138" s="43"/>
      <c r="C138" s="12">
        <v>4</v>
      </c>
      <c r="D138" s="13">
        <f>K135</f>
        <v>25248046.0258631</v>
      </c>
      <c r="E138" s="13">
        <f t="shared" si="15"/>
        <v>423385388.09171486</v>
      </c>
      <c r="F138" s="12">
        <v>1.7999999999999999E-2</v>
      </c>
      <c r="G138" s="13">
        <f t="shared" si="11"/>
        <v>431006325.07736576</v>
      </c>
      <c r="H138" s="13"/>
      <c r="I138" s="14"/>
      <c r="P138" s="13"/>
    </row>
    <row r="139" spans="1:16" s="12" customFormat="1" x14ac:dyDescent="0.3">
      <c r="B139" s="43"/>
      <c r="C139" s="12">
        <v>5</v>
      </c>
      <c r="D139" s="13">
        <f>K135</f>
        <v>25248046.0258631</v>
      </c>
      <c r="E139" s="13">
        <f t="shared" si="15"/>
        <v>440715473.6104992</v>
      </c>
      <c r="F139" s="12">
        <v>1.7999999999999999E-2</v>
      </c>
      <c r="G139" s="13">
        <f t="shared" si="11"/>
        <v>448648352.13548821</v>
      </c>
      <c r="H139" s="13"/>
      <c r="I139" s="14">
        <f xml:space="preserve"> N134</f>
        <v>15538897.492729649</v>
      </c>
      <c r="P139" s="13"/>
    </row>
    <row r="140" spans="1:16" s="12" customFormat="1" x14ac:dyDescent="0.3">
      <c r="B140" s="43"/>
      <c r="C140" s="12">
        <v>6</v>
      </c>
      <c r="D140" s="13">
        <f>K135</f>
        <v>25248046.0258631</v>
      </c>
      <c r="E140" s="13">
        <f t="shared" si="15"/>
        <v>473896398.16135132</v>
      </c>
      <c r="F140" s="12">
        <v>1.7999999999999999E-2</v>
      </c>
      <c r="G140" s="13">
        <f t="shared" si="11"/>
        <v>482426533.32825565</v>
      </c>
      <c r="H140" s="13"/>
      <c r="I140" s="14"/>
      <c r="P140" s="13"/>
    </row>
    <row r="141" spans="1:16" s="12" customFormat="1" x14ac:dyDescent="0.3">
      <c r="B141" s="43"/>
      <c r="C141" s="12">
        <v>7</v>
      </c>
      <c r="D141" s="13">
        <f>K135</f>
        <v>25248046.0258631</v>
      </c>
      <c r="E141" s="13">
        <f t="shared" si="15"/>
        <v>507674579.35411876</v>
      </c>
      <c r="F141" s="12">
        <v>1.7999999999999999E-2</v>
      </c>
      <c r="G141" s="13">
        <f t="shared" si="11"/>
        <v>516812721.78249288</v>
      </c>
      <c r="H141" s="13"/>
      <c r="I141" s="14"/>
      <c r="P141" s="13"/>
    </row>
    <row r="142" spans="1:16" s="12" customFormat="1" x14ac:dyDescent="0.3">
      <c r="B142" s="43"/>
      <c r="C142" s="12">
        <v>8</v>
      </c>
      <c r="D142" s="13">
        <f>K135</f>
        <v>25248046.0258631</v>
      </c>
      <c r="E142" s="13">
        <f t="shared" si="15"/>
        <v>542060767.80835593</v>
      </c>
      <c r="F142" s="12">
        <v>1.7999999999999999E-2</v>
      </c>
      <c r="G142" s="13">
        <f t="shared" si="11"/>
        <v>551817861.62890637</v>
      </c>
      <c r="H142" s="13"/>
      <c r="I142" s="14"/>
      <c r="P142" s="13"/>
    </row>
    <row r="143" spans="1:16" s="12" customFormat="1" x14ac:dyDescent="0.3">
      <c r="B143" s="43"/>
      <c r="C143" s="12">
        <v>9</v>
      </c>
      <c r="D143" s="13">
        <f>K135</f>
        <v>25248046.0258631</v>
      </c>
      <c r="E143" s="13">
        <f t="shared" si="15"/>
        <v>577065907.65476942</v>
      </c>
      <c r="F143" s="12">
        <v>1.7999999999999999E-2</v>
      </c>
      <c r="G143" s="13">
        <f t="shared" si="11"/>
        <v>587453093.99255526</v>
      </c>
      <c r="H143" s="13"/>
      <c r="I143" s="14"/>
      <c r="P143" s="13"/>
    </row>
    <row r="144" spans="1:16" s="12" customFormat="1" x14ac:dyDescent="0.3">
      <c r="B144" s="43"/>
      <c r="C144" s="12">
        <v>10</v>
      </c>
      <c r="D144" s="13">
        <f>K135</f>
        <v>25248046.0258631</v>
      </c>
      <c r="E144" s="13">
        <f t="shared" si="15"/>
        <v>612701140.01841831</v>
      </c>
      <c r="F144" s="12">
        <v>1.7999999999999999E-2</v>
      </c>
      <c r="G144" s="13">
        <f t="shared" si="11"/>
        <v>623729760.53874981</v>
      </c>
      <c r="H144" s="13"/>
      <c r="I144" s="14"/>
      <c r="P144" s="13"/>
    </row>
    <row r="145" spans="1:16" s="12" customFormat="1" x14ac:dyDescent="0.3">
      <c r="B145" s="43"/>
      <c r="C145" s="12">
        <v>11</v>
      </c>
      <c r="D145" s="13">
        <f>K135</f>
        <v>25248046.0258631</v>
      </c>
      <c r="E145" s="13">
        <f t="shared" si="15"/>
        <v>648977806.56461287</v>
      </c>
      <c r="F145" s="12">
        <v>1.7999999999999999E-2</v>
      </c>
      <c r="G145" s="13">
        <f t="shared" si="11"/>
        <v>660659407.08277595</v>
      </c>
      <c r="H145" s="13"/>
      <c r="I145" s="14"/>
      <c r="P145" s="13"/>
    </row>
    <row r="146" spans="1:16" s="18" customFormat="1" x14ac:dyDescent="0.3">
      <c r="B146" s="43"/>
      <c r="C146" s="18">
        <v>12</v>
      </c>
      <c r="D146" s="19">
        <f>K135</f>
        <v>25248046.0258631</v>
      </c>
      <c r="E146" s="19">
        <f t="shared" si="15"/>
        <v>649907453.108639</v>
      </c>
      <c r="F146" s="18">
        <v>1.7999999999999999E-2</v>
      </c>
      <c r="G146" s="19">
        <f t="shared" si="11"/>
        <v>661605787.26459455</v>
      </c>
      <c r="H146" s="19"/>
      <c r="I146" s="24">
        <v>36000000</v>
      </c>
      <c r="J146" s="19">
        <f xml:space="preserve"> (E135 + SUM(D136:D146)) - SUM(I136:I146)</f>
        <v>554414207.12798476</v>
      </c>
      <c r="K146" s="19">
        <f xml:space="preserve"> G146 - J146</f>
        <v>107191580.13660979</v>
      </c>
      <c r="L146" s="18">
        <v>0.84</v>
      </c>
      <c r="M146" s="19">
        <f xml:space="preserve"> K146 * L146</f>
        <v>90040927.314752221</v>
      </c>
      <c r="N146" s="19">
        <f xml:space="preserve"> K146 - M146</f>
        <v>17150652.821857572</v>
      </c>
      <c r="O146" s="18">
        <f xml:space="preserve"> K146 / J146 * 100</f>
        <v>19.334205140934451</v>
      </c>
      <c r="P146" s="19"/>
    </row>
    <row r="147" spans="1:16" s="12" customFormat="1" x14ac:dyDescent="0.3">
      <c r="A147" s="12">
        <v>13</v>
      </c>
      <c r="B147" s="43">
        <v>2034</v>
      </c>
      <c r="C147" s="12">
        <v>1</v>
      </c>
      <c r="D147" s="13">
        <f>K147</f>
        <v>27566907.802691441</v>
      </c>
      <c r="E147" s="13">
        <f xml:space="preserve"> (G146 / 2) + D147 - I147</f>
        <v>358369801.43498874</v>
      </c>
      <c r="F147" s="12">
        <v>1.7999999999999999E-2</v>
      </c>
      <c r="G147" s="13">
        <f t="shared" si="11"/>
        <v>364820457.86081851</v>
      </c>
      <c r="H147" s="13"/>
      <c r="I147" s="14"/>
      <c r="K147" s="15">
        <f xml:space="preserve"> ((G146 - I147) / 2 / 12)</f>
        <v>27566907.802691441</v>
      </c>
      <c r="M147" s="9">
        <f xml:space="preserve"> (G146 - I147) / 2</f>
        <v>330802893.63229728</v>
      </c>
      <c r="P147" s="13"/>
    </row>
    <row r="148" spans="1:16" s="12" customFormat="1" x14ac:dyDescent="0.3">
      <c r="B148" s="43"/>
      <c r="C148" s="12">
        <v>2</v>
      </c>
      <c r="D148" s="13">
        <f>K147</f>
        <v>27566907.802691441</v>
      </c>
      <c r="E148" s="13">
        <f t="shared" ref="E148:E158" si="16" xml:space="preserve"> G147 + D148 - I148</f>
        <v>392387365.66350996</v>
      </c>
      <c r="F148" s="12">
        <v>1.7999999999999999E-2</v>
      </c>
      <c r="G148" s="13">
        <f t="shared" si="11"/>
        <v>399450338.24545312</v>
      </c>
      <c r="H148" s="13"/>
      <c r="I148" s="14"/>
      <c r="P148" s="13"/>
    </row>
    <row r="149" spans="1:16" s="12" customFormat="1" x14ac:dyDescent="0.3">
      <c r="B149" s="43"/>
      <c r="C149" s="12">
        <v>3</v>
      </c>
      <c r="D149" s="13">
        <f>K147</f>
        <v>27566907.802691441</v>
      </c>
      <c r="E149" s="13">
        <f t="shared" si="16"/>
        <v>427017246.04814458</v>
      </c>
      <c r="F149" s="12">
        <v>1.7999999999999999E-2</v>
      </c>
      <c r="G149" s="13">
        <f t="shared" si="11"/>
        <v>434703556.4770112</v>
      </c>
      <c r="H149" s="13"/>
      <c r="I149" s="14"/>
      <c r="P149" s="13"/>
    </row>
    <row r="150" spans="1:16" s="12" customFormat="1" x14ac:dyDescent="0.3">
      <c r="B150" s="43"/>
      <c r="C150" s="12">
        <v>4</v>
      </c>
      <c r="D150" s="13">
        <f>K147</f>
        <v>27566907.802691441</v>
      </c>
      <c r="E150" s="13">
        <f t="shared" si="16"/>
        <v>462270464.27970266</v>
      </c>
      <c r="F150" s="12">
        <v>1.7999999999999999E-2</v>
      </c>
      <c r="G150" s="13">
        <f t="shared" si="11"/>
        <v>470591332.63673729</v>
      </c>
      <c r="H150" s="13"/>
      <c r="I150" s="14"/>
      <c r="P150" s="13"/>
    </row>
    <row r="151" spans="1:16" s="12" customFormat="1" x14ac:dyDescent="0.3">
      <c r="B151" s="43"/>
      <c r="C151" s="12">
        <v>5</v>
      </c>
      <c r="D151" s="13">
        <f>K147</f>
        <v>27566907.802691441</v>
      </c>
      <c r="E151" s="13">
        <f t="shared" si="16"/>
        <v>481007587.61757118</v>
      </c>
      <c r="F151" s="12">
        <v>1.7999999999999999E-2</v>
      </c>
      <c r="G151" s="13">
        <f t="shared" si="11"/>
        <v>489665724.19468749</v>
      </c>
      <c r="H151" s="13"/>
      <c r="I151" s="14">
        <f xml:space="preserve"> N146</f>
        <v>17150652.821857572</v>
      </c>
      <c r="P151" s="13"/>
    </row>
    <row r="152" spans="1:16" s="12" customFormat="1" x14ac:dyDescent="0.3">
      <c r="B152" s="43"/>
      <c r="C152" s="12">
        <v>6</v>
      </c>
      <c r="D152" s="13">
        <f>K147</f>
        <v>27566907.802691441</v>
      </c>
      <c r="E152" s="13">
        <f t="shared" si="16"/>
        <v>517232631.99737895</v>
      </c>
      <c r="F152" s="12">
        <v>1.7999999999999999E-2</v>
      </c>
      <c r="G152" s="13">
        <f t="shared" si="11"/>
        <v>526542819.37333179</v>
      </c>
      <c r="H152" s="13"/>
      <c r="I152" s="14"/>
      <c r="P152" s="13"/>
    </row>
    <row r="153" spans="1:16" s="12" customFormat="1" x14ac:dyDescent="0.3">
      <c r="B153" s="43"/>
      <c r="C153" s="12">
        <v>7</v>
      </c>
      <c r="D153" s="13">
        <f>K147</f>
        <v>27566907.802691441</v>
      </c>
      <c r="E153" s="13">
        <f t="shared" si="16"/>
        <v>554109727.17602324</v>
      </c>
      <c r="F153" s="12">
        <v>1.7999999999999999E-2</v>
      </c>
      <c r="G153" s="13">
        <f t="shared" si="11"/>
        <v>564083702.26519167</v>
      </c>
      <c r="H153" s="13"/>
      <c r="I153" s="14"/>
      <c r="P153" s="13"/>
    </row>
    <row r="154" spans="1:16" s="12" customFormat="1" x14ac:dyDescent="0.3">
      <c r="B154" s="43"/>
      <c r="C154" s="12">
        <v>8</v>
      </c>
      <c r="D154" s="13">
        <f>K147</f>
        <v>27566907.802691441</v>
      </c>
      <c r="E154" s="13">
        <f t="shared" si="16"/>
        <v>591650610.06788313</v>
      </c>
      <c r="F154" s="12">
        <v>1.7999999999999999E-2</v>
      </c>
      <c r="G154" s="13">
        <f t="shared" si="11"/>
        <v>602300321.04910505</v>
      </c>
      <c r="H154" s="13"/>
      <c r="I154" s="14"/>
      <c r="P154" s="13"/>
    </row>
    <row r="155" spans="1:16" s="12" customFormat="1" x14ac:dyDescent="0.3">
      <c r="B155" s="43"/>
      <c r="C155" s="12">
        <v>9</v>
      </c>
      <c r="D155" s="13">
        <f>K147</f>
        <v>27566907.802691441</v>
      </c>
      <c r="E155" s="13">
        <f t="shared" si="16"/>
        <v>629867228.85179651</v>
      </c>
      <c r="F155" s="12">
        <v>1.7999999999999999E-2</v>
      </c>
      <c r="G155" s="13">
        <f t="shared" si="11"/>
        <v>641204838.97112882</v>
      </c>
      <c r="H155" s="13"/>
      <c r="I155" s="14"/>
      <c r="P155" s="13"/>
    </row>
    <row r="156" spans="1:16" s="12" customFormat="1" x14ac:dyDescent="0.3">
      <c r="B156" s="43"/>
      <c r="C156" s="12">
        <v>10</v>
      </c>
      <c r="D156" s="13">
        <f>K147</f>
        <v>27566907.802691441</v>
      </c>
      <c r="E156" s="13">
        <f t="shared" si="16"/>
        <v>668771746.77382028</v>
      </c>
      <c r="F156" s="12">
        <v>1.7999999999999999E-2</v>
      </c>
      <c r="G156" s="13">
        <f t="shared" si="11"/>
        <v>680809638.21574903</v>
      </c>
      <c r="H156" s="13"/>
      <c r="I156" s="14"/>
      <c r="P156" s="13"/>
    </row>
    <row r="157" spans="1:16" s="12" customFormat="1" x14ac:dyDescent="0.3">
      <c r="B157" s="43"/>
      <c r="C157" s="12">
        <v>11</v>
      </c>
      <c r="D157" s="13">
        <f>K147</f>
        <v>27566907.802691441</v>
      </c>
      <c r="E157" s="13">
        <f t="shared" si="16"/>
        <v>708376546.01844049</v>
      </c>
      <c r="F157" s="12">
        <v>1.7999999999999999E-2</v>
      </c>
      <c r="G157" s="13">
        <f t="shared" si="11"/>
        <v>721127323.84677243</v>
      </c>
      <c r="H157" s="13"/>
      <c r="I157" s="14"/>
      <c r="P157" s="13"/>
    </row>
    <row r="158" spans="1:16" s="18" customFormat="1" x14ac:dyDescent="0.3">
      <c r="B158" s="43"/>
      <c r="C158" s="18">
        <v>12</v>
      </c>
      <c r="D158" s="19">
        <f>K147</f>
        <v>27566907.802691441</v>
      </c>
      <c r="E158" s="19">
        <f t="shared" si="16"/>
        <v>712694231.64946389</v>
      </c>
      <c r="F158" s="18">
        <v>1.7999999999999999E-2</v>
      </c>
      <c r="G158" s="19">
        <f t="shared" ref="G158:G221" si="17" xml:space="preserve"> (E158 * F158) + E158</f>
        <v>725522727.81915426</v>
      </c>
      <c r="H158" s="19"/>
      <c r="I158" s="24">
        <v>36000000</v>
      </c>
      <c r="J158" s="19">
        <f xml:space="preserve"> (E147 + SUM(D148:D158)) - SUM(I148:I158)</f>
        <v>608455134.44273698</v>
      </c>
      <c r="K158" s="19">
        <f xml:space="preserve"> G158 - J158</f>
        <v>117067593.37641728</v>
      </c>
      <c r="L158" s="18">
        <v>0.84</v>
      </c>
      <c r="M158" s="19">
        <f xml:space="preserve"> K158 * L158</f>
        <v>98336778.436190516</v>
      </c>
      <c r="N158" s="19">
        <f xml:space="preserve"> K158 - M158</f>
        <v>18730814.940226763</v>
      </c>
      <c r="O158" s="18">
        <f xml:space="preserve"> K158 / J158 * 100</f>
        <v>19.240135673049327</v>
      </c>
      <c r="P158" s="19"/>
    </row>
    <row r="159" spans="1:16" s="12" customFormat="1" x14ac:dyDescent="0.3">
      <c r="A159" s="12">
        <v>14</v>
      </c>
      <c r="B159" s="43">
        <v>2035</v>
      </c>
      <c r="C159" s="12">
        <v>1</v>
      </c>
      <c r="D159" s="13">
        <f>K159</f>
        <v>30230113.659131426</v>
      </c>
      <c r="E159" s="13">
        <f xml:space="preserve"> (G158 / 2) + D159 - I159</f>
        <v>392991477.56870854</v>
      </c>
      <c r="F159" s="12">
        <v>1.7999999999999999E-2</v>
      </c>
      <c r="G159" s="13">
        <f t="shared" si="17"/>
        <v>400065324.1649453</v>
      </c>
      <c r="H159" s="13"/>
      <c r="I159" s="14"/>
      <c r="K159" s="15">
        <f xml:space="preserve"> ((G158 - I159) / 2 / 12)</f>
        <v>30230113.659131426</v>
      </c>
      <c r="M159" s="9">
        <f xml:space="preserve"> (G158 - I159) / 2</f>
        <v>362761363.90957713</v>
      </c>
      <c r="P159" s="13"/>
    </row>
    <row r="160" spans="1:16" s="12" customFormat="1" x14ac:dyDescent="0.3">
      <c r="B160" s="43"/>
      <c r="C160" s="12">
        <v>2</v>
      </c>
      <c r="D160" s="13">
        <f>K159</f>
        <v>30230113.659131426</v>
      </c>
      <c r="E160" s="13">
        <f t="shared" ref="E160:E170" si="18" xml:space="preserve"> G159 + D160 - I160</f>
        <v>430295437.82407671</v>
      </c>
      <c r="F160" s="12">
        <v>1.7999999999999999E-2</v>
      </c>
      <c r="G160" s="13">
        <f t="shared" si="17"/>
        <v>438040755.7049101</v>
      </c>
      <c r="H160" s="13"/>
      <c r="I160" s="14"/>
      <c r="P160" s="13"/>
    </row>
    <row r="161" spans="1:16" s="12" customFormat="1" x14ac:dyDescent="0.3">
      <c r="B161" s="43"/>
      <c r="C161" s="12">
        <v>3</v>
      </c>
      <c r="D161" s="13">
        <f>K159</f>
        <v>30230113.659131426</v>
      </c>
      <c r="E161" s="13">
        <f t="shared" si="18"/>
        <v>468270869.36404151</v>
      </c>
      <c r="F161" s="12">
        <v>1.7999999999999999E-2</v>
      </c>
      <c r="G161" s="13">
        <f t="shared" si="17"/>
        <v>476699745.01259422</v>
      </c>
      <c r="H161" s="13"/>
      <c r="I161" s="14"/>
      <c r="P161" s="13"/>
    </row>
    <row r="162" spans="1:16" s="12" customFormat="1" x14ac:dyDescent="0.3">
      <c r="B162" s="43"/>
      <c r="C162" s="12">
        <v>4</v>
      </c>
      <c r="D162" s="13">
        <f>K159</f>
        <v>30230113.659131426</v>
      </c>
      <c r="E162" s="13">
        <f t="shared" si="18"/>
        <v>506929858.67172563</v>
      </c>
      <c r="F162" s="12">
        <v>1.7999999999999999E-2</v>
      </c>
      <c r="G162" s="13">
        <f t="shared" si="17"/>
        <v>516054596.12781668</v>
      </c>
      <c r="H162" s="13"/>
      <c r="I162" s="14"/>
      <c r="P162" s="13"/>
    </row>
    <row r="163" spans="1:16" s="12" customFormat="1" x14ac:dyDescent="0.3">
      <c r="B163" s="43"/>
      <c r="C163" s="12">
        <v>5</v>
      </c>
      <c r="D163" s="13">
        <f>K159</f>
        <v>30230113.659131426</v>
      </c>
      <c r="E163" s="13">
        <f t="shared" si="18"/>
        <v>527553894.84672129</v>
      </c>
      <c r="F163" s="12">
        <v>1.7999999999999999E-2</v>
      </c>
      <c r="G163" s="13">
        <f t="shared" si="17"/>
        <v>537049864.95396233</v>
      </c>
      <c r="H163" s="13"/>
      <c r="I163" s="14">
        <f xml:space="preserve"> N158</f>
        <v>18730814.940226763</v>
      </c>
      <c r="P163" s="13"/>
    </row>
    <row r="164" spans="1:16" s="12" customFormat="1" x14ac:dyDescent="0.3">
      <c r="B164" s="43"/>
      <c r="C164" s="12">
        <v>6</v>
      </c>
      <c r="D164" s="13">
        <f>K159</f>
        <v>30230113.659131426</v>
      </c>
      <c r="E164" s="13">
        <f t="shared" si="18"/>
        <v>567279978.61309373</v>
      </c>
      <c r="F164" s="12">
        <v>1.7999999999999999E-2</v>
      </c>
      <c r="G164" s="13">
        <f t="shared" si="17"/>
        <v>577491018.22812939</v>
      </c>
      <c r="H164" s="13"/>
      <c r="I164" s="14"/>
      <c r="P164" s="13"/>
    </row>
    <row r="165" spans="1:16" s="12" customFormat="1" x14ac:dyDescent="0.3">
      <c r="B165" s="43"/>
      <c r="C165" s="12">
        <v>7</v>
      </c>
      <c r="D165" s="13">
        <f>K159</f>
        <v>30230113.659131426</v>
      </c>
      <c r="E165" s="13">
        <f t="shared" si="18"/>
        <v>607721131.88726079</v>
      </c>
      <c r="F165" s="12">
        <v>1.7999999999999999E-2</v>
      </c>
      <c r="G165" s="13">
        <f t="shared" si="17"/>
        <v>618660112.26123154</v>
      </c>
      <c r="H165" s="13"/>
      <c r="I165" s="14"/>
      <c r="P165" s="13"/>
    </row>
    <row r="166" spans="1:16" s="12" customFormat="1" x14ac:dyDescent="0.3">
      <c r="B166" s="43"/>
      <c r="C166" s="12">
        <v>8</v>
      </c>
      <c r="D166" s="13">
        <f>K159</f>
        <v>30230113.659131426</v>
      </c>
      <c r="E166" s="13">
        <f t="shared" si="18"/>
        <v>648890225.92036295</v>
      </c>
      <c r="F166" s="12">
        <v>1.7999999999999999E-2</v>
      </c>
      <c r="G166" s="13">
        <f t="shared" si="17"/>
        <v>660570249.98692954</v>
      </c>
      <c r="H166" s="13"/>
      <c r="I166" s="14"/>
      <c r="P166" s="13"/>
    </row>
    <row r="167" spans="1:16" s="12" customFormat="1" x14ac:dyDescent="0.3">
      <c r="B167" s="43"/>
      <c r="C167" s="12">
        <v>9</v>
      </c>
      <c r="D167" s="13">
        <f>K159</f>
        <v>30230113.659131426</v>
      </c>
      <c r="E167" s="13">
        <f t="shared" si="18"/>
        <v>690800363.64606094</v>
      </c>
      <c r="F167" s="12">
        <v>1.7999999999999999E-2</v>
      </c>
      <c r="G167" s="13">
        <f t="shared" si="17"/>
        <v>703234770.19169009</v>
      </c>
      <c r="H167" s="13"/>
      <c r="I167" s="14"/>
      <c r="P167" s="13"/>
    </row>
    <row r="168" spans="1:16" s="12" customFormat="1" x14ac:dyDescent="0.3">
      <c r="B168" s="43"/>
      <c r="C168" s="12">
        <v>10</v>
      </c>
      <c r="D168" s="13">
        <f>K159</f>
        <v>30230113.659131426</v>
      </c>
      <c r="E168" s="13">
        <f t="shared" si="18"/>
        <v>733464883.8508215</v>
      </c>
      <c r="F168" s="12">
        <v>1.7999999999999999E-2</v>
      </c>
      <c r="G168" s="13">
        <f t="shared" si="17"/>
        <v>746667251.76013625</v>
      </c>
      <c r="H168" s="13"/>
      <c r="I168" s="14"/>
      <c r="P168" s="13"/>
    </row>
    <row r="169" spans="1:16" s="12" customFormat="1" x14ac:dyDescent="0.3">
      <c r="B169" s="43"/>
      <c r="C169" s="12">
        <v>11</v>
      </c>
      <c r="D169" s="13">
        <f>K159</f>
        <v>30230113.659131426</v>
      </c>
      <c r="E169" s="13">
        <f t="shared" si="18"/>
        <v>776897365.41926765</v>
      </c>
      <c r="F169" s="12">
        <v>1.7999999999999999E-2</v>
      </c>
      <c r="G169" s="13">
        <f t="shared" si="17"/>
        <v>790881517.99681449</v>
      </c>
      <c r="H169" s="13"/>
      <c r="I169" s="14"/>
      <c r="P169" s="13"/>
    </row>
    <row r="170" spans="1:16" s="18" customFormat="1" x14ac:dyDescent="0.3">
      <c r="B170" s="43"/>
      <c r="C170" s="18">
        <v>12</v>
      </c>
      <c r="D170" s="19">
        <f>K159</f>
        <v>30230113.659131426</v>
      </c>
      <c r="E170" s="19">
        <f t="shared" si="18"/>
        <v>785111631.6559459</v>
      </c>
      <c r="F170" s="18">
        <v>1.7999999999999999E-2</v>
      </c>
      <c r="G170" s="19">
        <f t="shared" si="17"/>
        <v>799243641.0257529</v>
      </c>
      <c r="H170" s="19"/>
      <c r="I170" s="24">
        <v>36000000</v>
      </c>
      <c r="J170" s="19">
        <f xml:space="preserve"> (E159 + SUM(D160:D170)) - SUM(I160:I170)</f>
        <v>670791912.87892747</v>
      </c>
      <c r="K170" s="19">
        <f xml:space="preserve"> G170 - J170</f>
        <v>128451728.14682543</v>
      </c>
      <c r="L170" s="18">
        <v>0.84</v>
      </c>
      <c r="M170" s="19">
        <f xml:space="preserve"> K170 * L170</f>
        <v>107899451.64333336</v>
      </c>
      <c r="N170" s="19">
        <f xml:space="preserve"> K170 - M170</f>
        <v>20552276.503492072</v>
      </c>
      <c r="O170" s="18">
        <f xml:space="preserve"> K170 / J170 * 100</f>
        <v>19.149266066063909</v>
      </c>
      <c r="P170" s="19"/>
    </row>
    <row r="171" spans="1:16" s="12" customFormat="1" x14ac:dyDescent="0.3">
      <c r="A171" s="12">
        <v>15</v>
      </c>
      <c r="B171" s="43">
        <v>2036</v>
      </c>
      <c r="C171" s="12">
        <v>1</v>
      </c>
      <c r="D171" s="13">
        <f>K171</f>
        <v>33301818.376073036</v>
      </c>
      <c r="E171" s="13">
        <f xml:space="preserve"> (G170 / 2) + D171 - I171</f>
        <v>432923638.88894951</v>
      </c>
      <c r="F171" s="12">
        <v>1.7999999999999999E-2</v>
      </c>
      <c r="G171" s="13">
        <f t="shared" si="17"/>
        <v>440716264.38895059</v>
      </c>
      <c r="H171" s="13"/>
      <c r="I171" s="14"/>
      <c r="K171" s="15">
        <f xml:space="preserve"> ((G170 - I171) / 2 / 12)</f>
        <v>33301818.376073036</v>
      </c>
      <c r="M171" s="9">
        <f xml:space="preserve"> (G170 - I171) / 2</f>
        <v>399621820.51287645</v>
      </c>
      <c r="P171" s="13"/>
    </row>
    <row r="172" spans="1:16" s="12" customFormat="1" x14ac:dyDescent="0.3">
      <c r="B172" s="43"/>
      <c r="C172" s="12">
        <v>2</v>
      </c>
      <c r="D172" s="13">
        <f>K171</f>
        <v>33301818.376073036</v>
      </c>
      <c r="E172" s="13">
        <f t="shared" ref="E172:E182" si="19" xml:space="preserve"> G171 + D172 - I172</f>
        <v>474018082.76502365</v>
      </c>
      <c r="F172" s="12">
        <v>1.7999999999999999E-2</v>
      </c>
      <c r="G172" s="13">
        <f t="shared" si="17"/>
        <v>482550408.25479406</v>
      </c>
      <c r="H172" s="13"/>
      <c r="I172" s="14"/>
      <c r="P172" s="13"/>
    </row>
    <row r="173" spans="1:16" s="12" customFormat="1" x14ac:dyDescent="0.3">
      <c r="B173" s="43"/>
      <c r="C173" s="12">
        <v>3</v>
      </c>
      <c r="D173" s="13">
        <f>K171</f>
        <v>33301818.376073036</v>
      </c>
      <c r="E173" s="13">
        <f t="shared" si="19"/>
        <v>515852226.63086712</v>
      </c>
      <c r="F173" s="12">
        <v>1.7999999999999999E-2</v>
      </c>
      <c r="G173" s="13">
        <f t="shared" si="17"/>
        <v>525137566.71022272</v>
      </c>
      <c r="H173" s="13"/>
      <c r="I173" s="14"/>
      <c r="P173" s="13"/>
    </row>
    <row r="174" spans="1:16" s="12" customFormat="1" x14ac:dyDescent="0.3">
      <c r="B174" s="43"/>
      <c r="C174" s="12">
        <v>4</v>
      </c>
      <c r="D174" s="13">
        <f>K171</f>
        <v>33301818.376073036</v>
      </c>
      <c r="E174" s="13">
        <f t="shared" si="19"/>
        <v>558439385.08629572</v>
      </c>
      <c r="F174" s="12">
        <v>1.7999999999999999E-2</v>
      </c>
      <c r="G174" s="13">
        <f t="shared" si="17"/>
        <v>568491294.01784909</v>
      </c>
      <c r="H174" s="13"/>
      <c r="I174" s="14"/>
      <c r="P174" s="13"/>
    </row>
    <row r="175" spans="1:16" s="12" customFormat="1" x14ac:dyDescent="0.3">
      <c r="B175" s="43"/>
      <c r="C175" s="12">
        <v>5</v>
      </c>
      <c r="D175" s="13">
        <f>K171</f>
        <v>33301818.376073036</v>
      </c>
      <c r="E175" s="13">
        <f t="shared" si="19"/>
        <v>581240835.89042997</v>
      </c>
      <c r="F175" s="12">
        <v>1.7999999999999999E-2</v>
      </c>
      <c r="G175" s="13">
        <f t="shared" si="17"/>
        <v>591703170.93645775</v>
      </c>
      <c r="H175" s="13"/>
      <c r="I175" s="14">
        <f xml:space="preserve"> N170</f>
        <v>20552276.503492072</v>
      </c>
      <c r="P175" s="13"/>
    </row>
    <row r="176" spans="1:16" s="12" customFormat="1" x14ac:dyDescent="0.3">
      <c r="B176" s="43"/>
      <c r="C176" s="12">
        <v>6</v>
      </c>
      <c r="D176" s="13">
        <f>K171</f>
        <v>33301818.376073036</v>
      </c>
      <c r="E176" s="13">
        <f t="shared" si="19"/>
        <v>625004989.31253076</v>
      </c>
      <c r="F176" s="12">
        <v>1.7999999999999999E-2</v>
      </c>
      <c r="G176" s="13">
        <f t="shared" si="17"/>
        <v>636255079.12015629</v>
      </c>
      <c r="H176" s="13"/>
      <c r="I176" s="14"/>
      <c r="P176" s="13"/>
    </row>
    <row r="177" spans="1:16" s="12" customFormat="1" x14ac:dyDescent="0.3">
      <c r="B177" s="43"/>
      <c r="C177" s="12">
        <v>7</v>
      </c>
      <c r="D177" s="13">
        <f>K171</f>
        <v>33301818.376073036</v>
      </c>
      <c r="E177" s="13">
        <f t="shared" si="19"/>
        <v>669556897.49622929</v>
      </c>
      <c r="F177" s="12">
        <v>1.7999999999999999E-2</v>
      </c>
      <c r="G177" s="13">
        <f t="shared" si="17"/>
        <v>681608921.65116143</v>
      </c>
      <c r="H177" s="13"/>
      <c r="I177" s="14"/>
      <c r="P177" s="13"/>
    </row>
    <row r="178" spans="1:16" s="12" customFormat="1" x14ac:dyDescent="0.3">
      <c r="B178" s="43"/>
      <c r="C178" s="12">
        <v>8</v>
      </c>
      <c r="D178" s="13">
        <f>K171</f>
        <v>33301818.376073036</v>
      </c>
      <c r="E178" s="13">
        <f t="shared" si="19"/>
        <v>714910740.02723444</v>
      </c>
      <c r="F178" s="12">
        <v>1.7999999999999999E-2</v>
      </c>
      <c r="G178" s="13">
        <f t="shared" si="17"/>
        <v>727779133.34772468</v>
      </c>
      <c r="H178" s="13"/>
      <c r="I178" s="14"/>
      <c r="P178" s="13"/>
    </row>
    <row r="179" spans="1:16" s="12" customFormat="1" x14ac:dyDescent="0.3">
      <c r="B179" s="43"/>
      <c r="C179" s="12">
        <v>9</v>
      </c>
      <c r="D179" s="13">
        <f>K171</f>
        <v>33301818.376073036</v>
      </c>
      <c r="E179" s="13">
        <f t="shared" si="19"/>
        <v>761080951.72379768</v>
      </c>
      <c r="F179" s="12">
        <v>1.7999999999999999E-2</v>
      </c>
      <c r="G179" s="13">
        <f t="shared" si="17"/>
        <v>774780408.85482609</v>
      </c>
      <c r="H179" s="13"/>
      <c r="I179" s="14"/>
      <c r="P179" s="13"/>
    </row>
    <row r="180" spans="1:16" s="12" customFormat="1" x14ac:dyDescent="0.3">
      <c r="B180" s="43"/>
      <c r="C180" s="12">
        <v>10</v>
      </c>
      <c r="D180" s="13">
        <f>K171</f>
        <v>33301818.376073036</v>
      </c>
      <c r="E180" s="13">
        <f t="shared" si="19"/>
        <v>808082227.2308991</v>
      </c>
      <c r="F180" s="12">
        <v>1.7999999999999999E-2</v>
      </c>
      <c r="G180" s="13">
        <f t="shared" si="17"/>
        <v>822627707.32105529</v>
      </c>
      <c r="H180" s="13"/>
      <c r="I180" s="14"/>
      <c r="P180" s="13"/>
    </row>
    <row r="181" spans="1:16" s="12" customFormat="1" x14ac:dyDescent="0.3">
      <c r="B181" s="43"/>
      <c r="C181" s="12">
        <v>11</v>
      </c>
      <c r="D181" s="13">
        <f>K171</f>
        <v>33301818.376073036</v>
      </c>
      <c r="E181" s="13">
        <f t="shared" si="19"/>
        <v>855929525.6971283</v>
      </c>
      <c r="F181" s="12">
        <v>1.7999999999999999E-2</v>
      </c>
      <c r="G181" s="13">
        <f t="shared" si="17"/>
        <v>871336257.15967655</v>
      </c>
      <c r="H181" s="13"/>
      <c r="I181" s="14"/>
      <c r="P181" s="13"/>
    </row>
    <row r="182" spans="1:16" s="18" customFormat="1" x14ac:dyDescent="0.3">
      <c r="B182" s="43"/>
      <c r="C182" s="18">
        <v>12</v>
      </c>
      <c r="D182" s="19">
        <f>K171</f>
        <v>33301818.376073036</v>
      </c>
      <c r="E182" s="19">
        <f t="shared" si="19"/>
        <v>868638075.53574955</v>
      </c>
      <c r="F182" s="18">
        <v>1.7999999999999999E-2</v>
      </c>
      <c r="G182" s="19">
        <f t="shared" si="17"/>
        <v>884273560.89539301</v>
      </c>
      <c r="H182" s="19"/>
      <c r="I182" s="24">
        <v>36000000</v>
      </c>
      <c r="J182" s="19">
        <f xml:space="preserve"> (E171 + SUM(D172:D182)) - SUM(I172:I182)</f>
        <v>742691364.5222609</v>
      </c>
      <c r="K182" s="19">
        <f xml:space="preserve"> G182 - J182</f>
        <v>141582196.37313211</v>
      </c>
      <c r="L182" s="18">
        <v>0.84</v>
      </c>
      <c r="M182" s="19">
        <f xml:space="preserve"> K182 * L182</f>
        <v>118929044.95343097</v>
      </c>
      <c r="N182" s="19">
        <f xml:space="preserve"> K182 - M182</f>
        <v>22653151.419701144</v>
      </c>
      <c r="O182" s="18">
        <f xml:space="preserve"> K182 / J182 * 100</f>
        <v>19.063396066844724</v>
      </c>
      <c r="P182" s="19"/>
    </row>
    <row r="183" spans="1:16" s="12" customFormat="1" x14ac:dyDescent="0.3">
      <c r="A183" s="12">
        <v>16</v>
      </c>
      <c r="B183" s="43">
        <v>2037</v>
      </c>
      <c r="C183" s="12">
        <v>1</v>
      </c>
      <c r="D183" s="13">
        <f>K183</f>
        <v>36844731.703974709</v>
      </c>
      <c r="E183" s="13">
        <f xml:space="preserve"> (G182 / 2) + D183 - I183</f>
        <v>478981512.15167123</v>
      </c>
      <c r="F183" s="12">
        <v>1.7999999999999999E-2</v>
      </c>
      <c r="G183" s="13">
        <f t="shared" si="17"/>
        <v>487603179.37040132</v>
      </c>
      <c r="H183" s="13"/>
      <c r="I183" s="14"/>
      <c r="K183" s="15">
        <f xml:space="preserve"> ((G182 - I183) / 2 / 12)</f>
        <v>36844731.703974709</v>
      </c>
      <c r="M183" s="9">
        <f xml:space="preserve"> (G182 - I183) / 2</f>
        <v>442136780.44769651</v>
      </c>
      <c r="P183" s="13"/>
    </row>
    <row r="184" spans="1:16" s="12" customFormat="1" x14ac:dyDescent="0.3">
      <c r="B184" s="43"/>
      <c r="C184" s="12">
        <v>2</v>
      </c>
      <c r="D184" s="13">
        <f>K183</f>
        <v>36844731.703974709</v>
      </c>
      <c r="E184" s="13">
        <f t="shared" ref="E184:E194" si="20" xml:space="preserve"> G183 + D184 - I184</f>
        <v>524447911.07437605</v>
      </c>
      <c r="F184" s="12">
        <v>1.7999999999999999E-2</v>
      </c>
      <c r="G184" s="13">
        <f t="shared" si="17"/>
        <v>533887973.47371483</v>
      </c>
      <c r="H184" s="13"/>
      <c r="I184" s="14"/>
      <c r="P184" s="13"/>
    </row>
    <row r="185" spans="1:16" s="12" customFormat="1" x14ac:dyDescent="0.3">
      <c r="B185" s="43"/>
      <c r="C185" s="12">
        <v>3</v>
      </c>
      <c r="D185" s="13">
        <f>K183</f>
        <v>36844731.703974709</v>
      </c>
      <c r="E185" s="13">
        <f t="shared" si="20"/>
        <v>570732705.17768955</v>
      </c>
      <c r="F185" s="12">
        <v>1.7999999999999999E-2</v>
      </c>
      <c r="G185" s="13">
        <f t="shared" si="17"/>
        <v>581005893.87088799</v>
      </c>
      <c r="H185" s="13"/>
      <c r="I185" s="14"/>
      <c r="P185" s="13"/>
    </row>
    <row r="186" spans="1:16" s="12" customFormat="1" x14ac:dyDescent="0.3">
      <c r="B186" s="43"/>
      <c r="C186" s="12">
        <v>4</v>
      </c>
      <c r="D186" s="13">
        <f>K183</f>
        <v>36844731.703974709</v>
      </c>
      <c r="E186" s="13">
        <f t="shared" si="20"/>
        <v>617850625.57486272</v>
      </c>
      <c r="F186" s="12">
        <v>1.7999999999999999E-2</v>
      </c>
      <c r="G186" s="13">
        <f t="shared" si="17"/>
        <v>628971936.8352102</v>
      </c>
      <c r="H186" s="13"/>
      <c r="I186" s="14"/>
      <c r="P186" s="13"/>
    </row>
    <row r="187" spans="1:16" s="12" customFormat="1" x14ac:dyDescent="0.3">
      <c r="B187" s="43"/>
      <c r="C187" s="12">
        <v>5</v>
      </c>
      <c r="D187" s="13">
        <f>K183</f>
        <v>36844731.703974709</v>
      </c>
      <c r="E187" s="13">
        <f t="shared" si="20"/>
        <v>643163517.11948383</v>
      </c>
      <c r="F187" s="12">
        <v>1.7999999999999999E-2</v>
      </c>
      <c r="G187" s="13">
        <f t="shared" si="17"/>
        <v>654740460.42763448</v>
      </c>
      <c r="H187" s="13"/>
      <c r="I187" s="14">
        <f xml:space="preserve"> N182</f>
        <v>22653151.419701144</v>
      </c>
      <c r="P187" s="13"/>
    </row>
    <row r="188" spans="1:16" s="12" customFormat="1" x14ac:dyDescent="0.3">
      <c r="B188" s="43"/>
      <c r="C188" s="12">
        <v>6</v>
      </c>
      <c r="D188" s="13">
        <f>K183</f>
        <v>36844731.703974709</v>
      </c>
      <c r="E188" s="13">
        <f t="shared" si="20"/>
        <v>691585192.1316092</v>
      </c>
      <c r="F188" s="12">
        <v>1.7999999999999999E-2</v>
      </c>
      <c r="G188" s="13">
        <f t="shared" si="17"/>
        <v>704033725.58997822</v>
      </c>
      <c r="H188" s="13"/>
      <c r="I188" s="14"/>
      <c r="P188" s="13"/>
    </row>
    <row r="189" spans="1:16" s="12" customFormat="1" x14ac:dyDescent="0.3">
      <c r="B189" s="43"/>
      <c r="C189" s="12">
        <v>7</v>
      </c>
      <c r="D189" s="13">
        <f>K183</f>
        <v>36844731.703974709</v>
      </c>
      <c r="E189" s="13">
        <f t="shared" si="20"/>
        <v>740878457.29395294</v>
      </c>
      <c r="F189" s="12">
        <v>1.7999999999999999E-2</v>
      </c>
      <c r="G189" s="13">
        <f t="shared" si="17"/>
        <v>754214269.52524412</v>
      </c>
      <c r="H189" s="13"/>
      <c r="I189" s="14"/>
      <c r="P189" s="13"/>
    </row>
    <row r="190" spans="1:16" s="12" customFormat="1" x14ac:dyDescent="0.3">
      <c r="B190" s="43"/>
      <c r="C190" s="12">
        <v>8</v>
      </c>
      <c r="D190" s="13">
        <f>K183</f>
        <v>36844731.703974709</v>
      </c>
      <c r="E190" s="13">
        <f t="shared" si="20"/>
        <v>791059001.22921884</v>
      </c>
      <c r="F190" s="12">
        <v>1.7999999999999999E-2</v>
      </c>
      <c r="G190" s="13">
        <f t="shared" si="17"/>
        <v>805298063.2513448</v>
      </c>
      <c r="H190" s="13"/>
      <c r="I190" s="14"/>
      <c r="P190" s="13"/>
    </row>
    <row r="191" spans="1:16" s="12" customFormat="1" x14ac:dyDescent="0.3">
      <c r="B191" s="43"/>
      <c r="C191" s="12">
        <v>9</v>
      </c>
      <c r="D191" s="13">
        <f>K183</f>
        <v>36844731.703974709</v>
      </c>
      <c r="E191" s="13">
        <f t="shared" si="20"/>
        <v>842142794.95531952</v>
      </c>
      <c r="F191" s="12">
        <v>1.7999999999999999E-2</v>
      </c>
      <c r="G191" s="13">
        <f t="shared" si="17"/>
        <v>857301365.26451528</v>
      </c>
      <c r="H191" s="13"/>
      <c r="I191" s="14"/>
      <c r="P191" s="13"/>
    </row>
    <row r="192" spans="1:16" s="12" customFormat="1" x14ac:dyDescent="0.3">
      <c r="B192" s="43"/>
      <c r="C192" s="12">
        <v>10</v>
      </c>
      <c r="D192" s="13">
        <f>K183</f>
        <v>36844731.703974709</v>
      </c>
      <c r="E192" s="13">
        <f t="shared" si="20"/>
        <v>894146096.96849</v>
      </c>
      <c r="F192" s="12">
        <v>1.7999999999999999E-2</v>
      </c>
      <c r="G192" s="13">
        <f t="shared" si="17"/>
        <v>910240726.71392286</v>
      </c>
      <c r="H192" s="13"/>
      <c r="I192" s="14"/>
      <c r="P192" s="13"/>
    </row>
    <row r="193" spans="1:16" s="12" customFormat="1" x14ac:dyDescent="0.3">
      <c r="B193" s="43"/>
      <c r="C193" s="12">
        <v>11</v>
      </c>
      <c r="D193" s="13">
        <f>K183</f>
        <v>36844731.703974709</v>
      </c>
      <c r="E193" s="13">
        <f t="shared" si="20"/>
        <v>947085458.41789758</v>
      </c>
      <c r="F193" s="12">
        <v>1.7999999999999999E-2</v>
      </c>
      <c r="G193" s="13">
        <f t="shared" si="17"/>
        <v>964132996.66941977</v>
      </c>
      <c r="H193" s="13"/>
      <c r="I193" s="14"/>
      <c r="P193" s="13"/>
    </row>
    <row r="194" spans="1:16" s="18" customFormat="1" x14ac:dyDescent="0.3">
      <c r="B194" s="43"/>
      <c r="C194" s="18">
        <v>12</v>
      </c>
      <c r="D194" s="19">
        <f>K183</f>
        <v>36844731.703974709</v>
      </c>
      <c r="E194" s="19">
        <f t="shared" si="20"/>
        <v>864977728.37339449</v>
      </c>
      <c r="F194" s="18">
        <v>1.7999999999999999E-2</v>
      </c>
      <c r="G194" s="19">
        <f t="shared" si="17"/>
        <v>880547327.4841156</v>
      </c>
      <c r="H194" s="19"/>
      <c r="I194" s="24">
        <v>136000000</v>
      </c>
      <c r="J194" s="19">
        <f xml:space="preserve"> (E183 + SUM(D184:D194)) - SUM(I184:I194)</f>
        <v>725620409.47569203</v>
      </c>
      <c r="K194" s="19">
        <f xml:space="preserve"> G194 - J194</f>
        <v>154926918.00842357</v>
      </c>
      <c r="L194" s="18">
        <v>0.84</v>
      </c>
      <c r="M194" s="19">
        <f xml:space="preserve"> K194 * L194</f>
        <v>130138611.12707579</v>
      </c>
      <c r="N194" s="19">
        <f xml:space="preserve"> K194 - M194</f>
        <v>24788306.881347775</v>
      </c>
      <c r="O194" s="18">
        <f xml:space="preserve"> K194 / J194 * 100</f>
        <v>21.350959259865409</v>
      </c>
      <c r="P194" s="19"/>
    </row>
    <row r="195" spans="1:16" s="3" customFormat="1" x14ac:dyDescent="0.3">
      <c r="A195" s="3">
        <v>17</v>
      </c>
      <c r="B195" s="42">
        <v>2038</v>
      </c>
      <c r="C195" s="3">
        <v>1</v>
      </c>
      <c r="D195" s="4">
        <f>K195</f>
        <v>36689471.978504814</v>
      </c>
      <c r="E195" s="4">
        <f xml:space="preserve"> (G194 / 2) + D195 - I195</f>
        <v>476963135.72056264</v>
      </c>
      <c r="F195" s="3">
        <v>1.7999999999999999E-2</v>
      </c>
      <c r="G195" s="4">
        <f t="shared" si="17"/>
        <v>485548472.16353273</v>
      </c>
      <c r="H195" s="4"/>
      <c r="I195" s="5"/>
      <c r="K195" s="6">
        <f xml:space="preserve"> ((G194 - I195) / 2 / 12)</f>
        <v>36689471.978504814</v>
      </c>
      <c r="M195" s="9">
        <f xml:space="preserve"> (G194 - I195) / 2</f>
        <v>440273663.7420578</v>
      </c>
      <c r="N195" s="7" t="s">
        <v>1</v>
      </c>
      <c r="P195" s="4"/>
    </row>
    <row r="196" spans="1:16" s="3" customFormat="1" x14ac:dyDescent="0.3">
      <c r="B196" s="42"/>
      <c r="C196" s="3">
        <v>2</v>
      </c>
      <c r="D196" s="4">
        <f>K195</f>
        <v>36689471.978504814</v>
      </c>
      <c r="E196" s="4">
        <f t="shared" ref="E196:E206" si="21" xml:space="preserve"> G195 + D196 - I196</f>
        <v>522237944.14203757</v>
      </c>
      <c r="F196" s="3">
        <v>1.7999999999999999E-2</v>
      </c>
      <c r="G196" s="4">
        <f t="shared" si="17"/>
        <v>531638227.13659424</v>
      </c>
      <c r="H196" s="4"/>
      <c r="I196" s="5"/>
      <c r="P196" s="4"/>
    </row>
    <row r="197" spans="1:16" s="3" customFormat="1" x14ac:dyDescent="0.3">
      <c r="B197" s="42"/>
      <c r="C197" s="3">
        <v>3</v>
      </c>
      <c r="D197" s="4">
        <f>K195</f>
        <v>36689471.978504814</v>
      </c>
      <c r="E197" s="4">
        <f t="shared" si="21"/>
        <v>568327699.11509907</v>
      </c>
      <c r="F197" s="3">
        <v>1.7999999999999999E-2</v>
      </c>
      <c r="G197" s="4">
        <f t="shared" si="17"/>
        <v>578557597.69917083</v>
      </c>
      <c r="H197" s="4"/>
      <c r="I197" s="5"/>
      <c r="P197" s="4"/>
    </row>
    <row r="198" spans="1:16" s="3" customFormat="1" x14ac:dyDescent="0.3">
      <c r="B198" s="42"/>
      <c r="C198" s="3">
        <v>4</v>
      </c>
      <c r="D198" s="4">
        <f>K195</f>
        <v>36689471.978504814</v>
      </c>
      <c r="E198" s="4">
        <f t="shared" si="21"/>
        <v>615247069.6776756</v>
      </c>
      <c r="F198" s="3">
        <v>1.7999999999999999E-2</v>
      </c>
      <c r="G198" s="4">
        <f t="shared" si="17"/>
        <v>626321516.9318738</v>
      </c>
      <c r="H198" s="4"/>
      <c r="I198" s="5"/>
      <c r="P198" s="4"/>
    </row>
    <row r="199" spans="1:16" s="3" customFormat="1" x14ac:dyDescent="0.3">
      <c r="B199" s="42"/>
      <c r="C199" s="3">
        <v>5</v>
      </c>
      <c r="D199" s="4">
        <f>K195</f>
        <v>36689471.978504814</v>
      </c>
      <c r="E199" s="4">
        <f t="shared" si="21"/>
        <v>638222682.0290308</v>
      </c>
      <c r="F199" s="3">
        <v>1.7999999999999999E-2</v>
      </c>
      <c r="G199" s="4">
        <f t="shared" si="17"/>
        <v>649710690.30555332</v>
      </c>
      <c r="H199" s="4"/>
      <c r="I199" s="5">
        <f xml:space="preserve"> N194</f>
        <v>24788306.881347775</v>
      </c>
      <c r="P199" s="4"/>
    </row>
    <row r="200" spans="1:16" s="3" customFormat="1" x14ac:dyDescent="0.3">
      <c r="B200" s="42"/>
      <c r="C200" s="3">
        <v>6</v>
      </c>
      <c r="D200" s="4">
        <f>K195</f>
        <v>36689471.978504814</v>
      </c>
      <c r="E200" s="4">
        <f t="shared" si="21"/>
        <v>686400162.28405809</v>
      </c>
      <c r="F200" s="3">
        <v>1.7999999999999999E-2</v>
      </c>
      <c r="G200" s="4">
        <f t="shared" si="17"/>
        <v>698755365.20517111</v>
      </c>
      <c r="H200" s="4"/>
      <c r="I200" s="5"/>
      <c r="P200" s="4"/>
    </row>
    <row r="201" spans="1:16" s="3" customFormat="1" x14ac:dyDescent="0.3">
      <c r="B201" s="42"/>
      <c r="C201" s="3">
        <v>7</v>
      </c>
      <c r="D201" s="4">
        <f>K195</f>
        <v>36689471.978504814</v>
      </c>
      <c r="E201" s="4">
        <f t="shared" si="21"/>
        <v>735444837.18367589</v>
      </c>
      <c r="F201" s="3">
        <v>1.7999999999999999E-2</v>
      </c>
      <c r="G201" s="4">
        <f t="shared" si="17"/>
        <v>748682844.25298202</v>
      </c>
      <c r="H201" s="4"/>
      <c r="I201" s="5"/>
      <c r="P201" s="4"/>
    </row>
    <row r="202" spans="1:16" s="3" customFormat="1" x14ac:dyDescent="0.3">
      <c r="B202" s="42"/>
      <c r="C202" s="3">
        <v>8</v>
      </c>
      <c r="D202" s="4">
        <f>K195</f>
        <v>36689471.978504814</v>
      </c>
      <c r="E202" s="4">
        <f t="shared" si="21"/>
        <v>785372316.2314868</v>
      </c>
      <c r="F202" s="3">
        <v>1.7999999999999999E-2</v>
      </c>
      <c r="G202" s="4">
        <f t="shared" si="17"/>
        <v>799509017.9236536</v>
      </c>
      <c r="H202" s="4"/>
      <c r="I202" s="5"/>
      <c r="P202" s="4"/>
    </row>
    <row r="203" spans="1:16" s="3" customFormat="1" x14ac:dyDescent="0.3">
      <c r="B203" s="42"/>
      <c r="C203" s="3">
        <v>9</v>
      </c>
      <c r="D203" s="4">
        <f>K195</f>
        <v>36689471.978504814</v>
      </c>
      <c r="E203" s="4">
        <f t="shared" si="21"/>
        <v>836198489.90215838</v>
      </c>
      <c r="F203" s="3">
        <v>1.7999999999999999E-2</v>
      </c>
      <c r="G203" s="4">
        <f t="shared" si="17"/>
        <v>851250062.72039723</v>
      </c>
      <c r="H203" s="4"/>
      <c r="I203" s="5"/>
      <c r="P203" s="4"/>
    </row>
    <row r="204" spans="1:16" s="3" customFormat="1" x14ac:dyDescent="0.3">
      <c r="B204" s="42"/>
      <c r="C204" s="3">
        <v>10</v>
      </c>
      <c r="D204" s="4">
        <f>K195</f>
        <v>36689471.978504814</v>
      </c>
      <c r="E204" s="4">
        <f t="shared" si="21"/>
        <v>887939534.69890201</v>
      </c>
      <c r="F204" s="3">
        <v>1.7999999999999999E-2</v>
      </c>
      <c r="G204" s="4">
        <f t="shared" si="17"/>
        <v>903922446.32348228</v>
      </c>
      <c r="H204" s="4"/>
      <c r="I204" s="5"/>
      <c r="P204" s="4"/>
    </row>
    <row r="205" spans="1:16" s="3" customFormat="1" x14ac:dyDescent="0.3">
      <c r="B205" s="42"/>
      <c r="C205" s="3">
        <v>11</v>
      </c>
      <c r="D205" s="4">
        <f>K195</f>
        <v>36689471.978504814</v>
      </c>
      <c r="E205" s="4">
        <f t="shared" si="21"/>
        <v>940611918.30198705</v>
      </c>
      <c r="F205" s="3">
        <v>1.7999999999999999E-2</v>
      </c>
      <c r="G205" s="4">
        <f t="shared" si="17"/>
        <v>957542932.83142281</v>
      </c>
      <c r="H205" s="4"/>
      <c r="I205" s="5"/>
      <c r="P205" s="4"/>
    </row>
    <row r="206" spans="1:16" s="3" customFormat="1" x14ac:dyDescent="0.3">
      <c r="B206" s="42"/>
      <c r="C206" s="3">
        <v>12</v>
      </c>
      <c r="D206" s="4">
        <f>K195</f>
        <v>36689471.978504814</v>
      </c>
      <c r="E206" s="4">
        <f t="shared" si="21"/>
        <v>954232404.80992758</v>
      </c>
      <c r="F206" s="3">
        <v>1.7999999999999999E-2</v>
      </c>
      <c r="G206" s="4">
        <f t="shared" si="17"/>
        <v>971408588.09650624</v>
      </c>
      <c r="H206" s="4"/>
      <c r="I206" s="17">
        <v>40000000</v>
      </c>
      <c r="J206" s="4">
        <f xml:space="preserve"> (E195 + SUM(D196:D206)) - SUM(I196:I206)</f>
        <v>815759020.60276783</v>
      </c>
      <c r="K206" s="9">
        <f xml:space="preserve"> G206 - J206</f>
        <v>155649567.49373841</v>
      </c>
      <c r="L206" s="3">
        <v>0.84</v>
      </c>
      <c r="M206" s="4">
        <f xml:space="preserve"> K206 * L206</f>
        <v>130745636.69474027</v>
      </c>
      <c r="N206" s="4">
        <f xml:space="preserve"> K206 - M206</f>
        <v>24903930.798998147</v>
      </c>
      <c r="O206" s="3">
        <f xml:space="preserve"> K206 / J206 * 100</f>
        <v>19.080336663482836</v>
      </c>
      <c r="P206" s="4"/>
    </row>
    <row r="207" spans="1:16" s="3" customFormat="1" x14ac:dyDescent="0.3">
      <c r="A207" s="3">
        <v>18</v>
      </c>
      <c r="B207" s="42">
        <v>2039</v>
      </c>
      <c r="C207" s="3">
        <v>1</v>
      </c>
      <c r="D207" s="4">
        <f>K207</f>
        <v>40475357.837354429</v>
      </c>
      <c r="E207" s="4">
        <f xml:space="preserve"> (G206 / 2) + D207 - I207</f>
        <v>526179651.88560754</v>
      </c>
      <c r="F207" s="3">
        <v>1.7999999999999999E-2</v>
      </c>
      <c r="G207" s="4">
        <f t="shared" si="17"/>
        <v>535650885.6195485</v>
      </c>
      <c r="H207" s="4"/>
      <c r="I207" s="5"/>
      <c r="K207" s="6">
        <f xml:space="preserve"> ((G206 - I207) / 2 / 12)</f>
        <v>40475357.837354429</v>
      </c>
      <c r="M207" s="9">
        <f xml:space="preserve"> (G206 - I207) / 2</f>
        <v>485704294.04825312</v>
      </c>
      <c r="P207" s="4"/>
    </row>
    <row r="208" spans="1:16" s="3" customFormat="1" x14ac:dyDescent="0.3">
      <c r="B208" s="42"/>
      <c r="C208" s="3">
        <v>2</v>
      </c>
      <c r="D208" s="4">
        <f>K207</f>
        <v>40475357.837354429</v>
      </c>
      <c r="E208" s="4">
        <f t="shared" ref="E208:E218" si="22" xml:space="preserve"> G207 + D208 - I208</f>
        <v>576126243.45690298</v>
      </c>
      <c r="F208" s="3">
        <v>1.7999999999999999E-2</v>
      </c>
      <c r="G208" s="4">
        <f t="shared" si="17"/>
        <v>586496515.83912718</v>
      </c>
      <c r="H208" s="4"/>
      <c r="I208" s="5"/>
      <c r="P208" s="4"/>
    </row>
    <row r="209" spans="1:16" s="3" customFormat="1" x14ac:dyDescent="0.3">
      <c r="B209" s="42"/>
      <c r="C209" s="3">
        <v>3</v>
      </c>
      <c r="D209" s="4">
        <f>K207</f>
        <v>40475357.837354429</v>
      </c>
      <c r="E209" s="4">
        <f t="shared" si="22"/>
        <v>626971873.6764816</v>
      </c>
      <c r="F209" s="3">
        <v>1.7999999999999999E-2</v>
      </c>
      <c r="G209" s="4">
        <f t="shared" si="17"/>
        <v>638257367.40265822</v>
      </c>
      <c r="H209" s="4"/>
      <c r="I209" s="5"/>
      <c r="P209" s="4"/>
    </row>
    <row r="210" spans="1:16" s="3" customFormat="1" x14ac:dyDescent="0.3">
      <c r="B210" s="42"/>
      <c r="C210" s="3">
        <v>4</v>
      </c>
      <c r="D210" s="4">
        <f>K207</f>
        <v>40475357.837354429</v>
      </c>
      <c r="E210" s="4">
        <f t="shared" si="22"/>
        <v>678732725.24001265</v>
      </c>
      <c r="F210" s="3">
        <v>1.7999999999999999E-2</v>
      </c>
      <c r="G210" s="4">
        <f t="shared" si="17"/>
        <v>690949914.29433286</v>
      </c>
      <c r="H210" s="4"/>
      <c r="I210" s="5"/>
      <c r="P210" s="4"/>
    </row>
    <row r="211" spans="1:16" s="3" customFormat="1" x14ac:dyDescent="0.3">
      <c r="B211" s="42"/>
      <c r="C211" s="3">
        <v>5</v>
      </c>
      <c r="D211" s="4">
        <f>K207</f>
        <v>40475357.837354429</v>
      </c>
      <c r="E211" s="4">
        <f t="shared" si="22"/>
        <v>706521341.33268917</v>
      </c>
      <c r="F211" s="3">
        <v>1.7999999999999999E-2</v>
      </c>
      <c r="G211" s="4">
        <f t="shared" si="17"/>
        <v>719238725.47667754</v>
      </c>
      <c r="H211" s="4"/>
      <c r="I211" s="5">
        <f xml:space="preserve"> N206</f>
        <v>24903930.798998147</v>
      </c>
      <c r="P211" s="4"/>
    </row>
    <row r="212" spans="1:16" s="3" customFormat="1" x14ac:dyDescent="0.3">
      <c r="B212" s="42"/>
      <c r="C212" s="3">
        <v>6</v>
      </c>
      <c r="D212" s="4">
        <f>K207</f>
        <v>40475357.837354429</v>
      </c>
      <c r="E212" s="4">
        <f t="shared" si="22"/>
        <v>759714083.31403196</v>
      </c>
      <c r="F212" s="3">
        <v>1.7999999999999999E-2</v>
      </c>
      <c r="G212" s="4">
        <f t="shared" si="17"/>
        <v>773388936.81368458</v>
      </c>
      <c r="H212" s="4"/>
      <c r="I212" s="5"/>
      <c r="P212" s="4"/>
    </row>
    <row r="213" spans="1:16" s="3" customFormat="1" x14ac:dyDescent="0.3">
      <c r="B213" s="42"/>
      <c r="C213" s="3">
        <v>7</v>
      </c>
      <c r="D213" s="4">
        <f>K207</f>
        <v>40475357.837354429</v>
      </c>
      <c r="E213" s="4">
        <f t="shared" si="22"/>
        <v>813864294.651039</v>
      </c>
      <c r="F213" s="3">
        <v>1.7999999999999999E-2</v>
      </c>
      <c r="G213" s="4">
        <f t="shared" si="17"/>
        <v>828513851.95475769</v>
      </c>
      <c r="H213" s="4"/>
      <c r="I213" s="5"/>
      <c r="P213" s="4"/>
    </row>
    <row r="214" spans="1:16" s="3" customFormat="1" x14ac:dyDescent="0.3">
      <c r="B214" s="42"/>
      <c r="C214" s="3">
        <v>8</v>
      </c>
      <c r="D214" s="4">
        <f>K207</f>
        <v>40475357.837354429</v>
      </c>
      <c r="E214" s="4">
        <f t="shared" si="22"/>
        <v>868989209.79211211</v>
      </c>
      <c r="F214" s="3">
        <v>1.7999999999999999E-2</v>
      </c>
      <c r="G214" s="4">
        <f t="shared" si="17"/>
        <v>884631015.5683701</v>
      </c>
      <c r="H214" s="4"/>
      <c r="I214" s="5"/>
      <c r="P214" s="4"/>
    </row>
    <row r="215" spans="1:16" s="3" customFormat="1" x14ac:dyDescent="0.3">
      <c r="B215" s="42"/>
      <c r="C215" s="3">
        <v>9</v>
      </c>
      <c r="D215" s="4">
        <f>K207</f>
        <v>40475357.837354429</v>
      </c>
      <c r="E215" s="4">
        <f t="shared" si="22"/>
        <v>925106373.40572453</v>
      </c>
      <c r="F215" s="3">
        <v>1.7999999999999999E-2</v>
      </c>
      <c r="G215" s="4">
        <f t="shared" si="17"/>
        <v>941758288.12702751</v>
      </c>
      <c r="H215" s="4"/>
      <c r="I215" s="5"/>
      <c r="P215" s="4"/>
    </row>
    <row r="216" spans="1:16" s="3" customFormat="1" x14ac:dyDescent="0.3">
      <c r="B216" s="42"/>
      <c r="C216" s="3">
        <v>10</v>
      </c>
      <c r="D216" s="4">
        <f>K207</f>
        <v>40475357.837354429</v>
      </c>
      <c r="E216" s="4">
        <f t="shared" si="22"/>
        <v>982233645.96438193</v>
      </c>
      <c r="F216" s="3">
        <v>1.7999999999999999E-2</v>
      </c>
      <c r="G216" s="4">
        <f t="shared" si="17"/>
        <v>999913851.59174085</v>
      </c>
      <c r="H216" s="4"/>
      <c r="I216" s="5"/>
      <c r="P216" s="4"/>
    </row>
    <row r="217" spans="1:16" s="3" customFormat="1" x14ac:dyDescent="0.3">
      <c r="B217" s="42"/>
      <c r="C217" s="3">
        <v>11</v>
      </c>
      <c r="D217" s="4">
        <f>K207</f>
        <v>40475357.837354429</v>
      </c>
      <c r="E217" s="4">
        <f t="shared" si="22"/>
        <v>1040389209.4290953</v>
      </c>
      <c r="F217" s="3">
        <v>1.7999999999999999E-2</v>
      </c>
      <c r="G217" s="4">
        <f t="shared" si="17"/>
        <v>1059116215.1988189</v>
      </c>
      <c r="H217" s="4"/>
      <c r="I217" s="5"/>
      <c r="P217" s="4"/>
    </row>
    <row r="218" spans="1:16" s="3" customFormat="1" x14ac:dyDescent="0.3">
      <c r="B218" s="42"/>
      <c r="C218" s="3">
        <v>12</v>
      </c>
      <c r="D218" s="4">
        <f>K207</f>
        <v>40475357.837354429</v>
      </c>
      <c r="E218" s="4">
        <f t="shared" si="22"/>
        <v>1059591573.0361733</v>
      </c>
      <c r="F218" s="3">
        <v>1.7999999999999999E-2</v>
      </c>
      <c r="G218" s="4">
        <f t="shared" si="17"/>
        <v>1078664221.3508244</v>
      </c>
      <c r="H218" s="4"/>
      <c r="I218" s="17">
        <v>40000000</v>
      </c>
      <c r="J218" s="4">
        <f xml:space="preserve"> (E207 + SUM(D208:D218)) - SUM(I208:I218)</f>
        <v>906504657.29750812</v>
      </c>
      <c r="K218" s="9">
        <f xml:space="preserve"> G218 - J218</f>
        <v>172159564.05331624</v>
      </c>
      <c r="L218" s="3">
        <v>0.84</v>
      </c>
      <c r="M218" s="4">
        <f xml:space="preserve"> K218 * L218</f>
        <v>144614033.80478564</v>
      </c>
      <c r="N218" s="4">
        <f xml:space="preserve"> K218 - M218</f>
        <v>27545530.248530596</v>
      </c>
      <c r="O218" s="3">
        <f xml:space="preserve"> K218 / J218 * 100</f>
        <v>18.99158075663529</v>
      </c>
      <c r="P218" s="4"/>
    </row>
    <row r="219" spans="1:16" s="3" customFormat="1" x14ac:dyDescent="0.3">
      <c r="A219" s="3">
        <v>19</v>
      </c>
      <c r="B219" s="42">
        <v>2040</v>
      </c>
      <c r="C219" s="3">
        <v>1</v>
      </c>
      <c r="D219" s="4">
        <f>K219</f>
        <v>44944342.556284346</v>
      </c>
      <c r="E219" s="4">
        <f xml:space="preserve"> (G218 / 2) + D219 - I219</f>
        <v>584276453.23169649</v>
      </c>
      <c r="F219" s="3">
        <v>1.7999999999999999E-2</v>
      </c>
      <c r="G219" s="4">
        <f t="shared" si="17"/>
        <v>594793429.38986707</v>
      </c>
      <c r="H219" s="4"/>
      <c r="I219" s="5"/>
      <c r="K219" s="6">
        <f xml:space="preserve"> ((G218 - I219) / 2 / 12)</f>
        <v>44944342.556284346</v>
      </c>
      <c r="M219" s="9">
        <f xml:space="preserve"> (G218 - I219) / 2</f>
        <v>539332110.67541218</v>
      </c>
      <c r="P219" s="4"/>
    </row>
    <row r="220" spans="1:16" s="3" customFormat="1" x14ac:dyDescent="0.3">
      <c r="B220" s="42"/>
      <c r="C220" s="3">
        <v>2</v>
      </c>
      <c r="D220" s="4">
        <f>K219</f>
        <v>44944342.556284346</v>
      </c>
      <c r="E220" s="4">
        <f t="shared" ref="E220:E230" si="23" xml:space="preserve"> G219 + D220 - I220</f>
        <v>639737771.94615138</v>
      </c>
      <c r="F220" s="3">
        <v>1.7999999999999999E-2</v>
      </c>
      <c r="G220" s="4">
        <f t="shared" si="17"/>
        <v>651253051.84118211</v>
      </c>
      <c r="H220" s="4"/>
      <c r="I220" s="5"/>
      <c r="P220" s="4"/>
    </row>
    <row r="221" spans="1:16" s="3" customFormat="1" x14ac:dyDescent="0.3">
      <c r="B221" s="42"/>
      <c r="C221" s="3">
        <v>3</v>
      </c>
      <c r="D221" s="4">
        <f>K219</f>
        <v>44944342.556284346</v>
      </c>
      <c r="E221" s="4">
        <f t="shared" si="23"/>
        <v>696197394.39746642</v>
      </c>
      <c r="F221" s="3">
        <v>1.7999999999999999E-2</v>
      </c>
      <c r="G221" s="4">
        <f t="shared" si="17"/>
        <v>708728947.49662077</v>
      </c>
      <c r="H221" s="4"/>
      <c r="I221" s="5"/>
      <c r="P221" s="4"/>
    </row>
    <row r="222" spans="1:16" s="3" customFormat="1" x14ac:dyDescent="0.3">
      <c r="B222" s="42"/>
      <c r="C222" s="3">
        <v>4</v>
      </c>
      <c r="D222" s="4">
        <f>K219</f>
        <v>44944342.556284346</v>
      </c>
      <c r="E222" s="4">
        <f t="shared" si="23"/>
        <v>753673290.05290508</v>
      </c>
      <c r="F222" s="3">
        <v>1.7999999999999999E-2</v>
      </c>
      <c r="G222" s="4">
        <f t="shared" ref="G222:G254" si="24" xml:space="preserve"> (E222 * F222) + E222</f>
        <v>767239409.27385736</v>
      </c>
      <c r="H222" s="4"/>
      <c r="I222" s="5"/>
      <c r="P222" s="4"/>
    </row>
    <row r="223" spans="1:16" s="3" customFormat="1" x14ac:dyDescent="0.3">
      <c r="B223" s="42"/>
      <c r="C223" s="3">
        <v>5</v>
      </c>
      <c r="D223" s="4">
        <f>K219</f>
        <v>44944342.556284346</v>
      </c>
      <c r="E223" s="4">
        <f t="shared" si="23"/>
        <v>784638221.58161104</v>
      </c>
      <c r="F223" s="3">
        <v>1.7999999999999999E-2</v>
      </c>
      <c r="G223" s="4">
        <f t="shared" si="24"/>
        <v>798761709.57008004</v>
      </c>
      <c r="H223" s="4"/>
      <c r="I223" s="5">
        <f xml:space="preserve"> N218</f>
        <v>27545530.248530596</v>
      </c>
      <c r="P223" s="4"/>
    </row>
    <row r="224" spans="1:16" s="3" customFormat="1" x14ac:dyDescent="0.3">
      <c r="B224" s="42"/>
      <c r="C224" s="3">
        <v>6</v>
      </c>
      <c r="D224" s="4">
        <f>K219</f>
        <v>44944342.556284346</v>
      </c>
      <c r="E224" s="4">
        <f t="shared" si="23"/>
        <v>843706052.12636435</v>
      </c>
      <c r="F224" s="3">
        <v>1.7999999999999999E-2</v>
      </c>
      <c r="G224" s="4">
        <f t="shared" si="24"/>
        <v>858892761.06463885</v>
      </c>
      <c r="H224" s="4"/>
      <c r="I224" s="5"/>
      <c r="P224" s="4"/>
    </row>
    <row r="225" spans="1:16" s="3" customFormat="1" x14ac:dyDescent="0.3">
      <c r="B225" s="42"/>
      <c r="C225" s="3">
        <v>7</v>
      </c>
      <c r="D225" s="4">
        <f>K219</f>
        <v>44944342.556284346</v>
      </c>
      <c r="E225" s="4">
        <f t="shared" si="23"/>
        <v>903837103.62092316</v>
      </c>
      <c r="F225" s="3">
        <v>1.7999999999999999E-2</v>
      </c>
      <c r="G225" s="4">
        <f t="shared" si="24"/>
        <v>920106171.48609972</v>
      </c>
      <c r="H225" s="4"/>
      <c r="I225" s="5"/>
      <c r="P225" s="4"/>
    </row>
    <row r="226" spans="1:16" s="3" customFormat="1" x14ac:dyDescent="0.3">
      <c r="B226" s="42"/>
      <c r="C226" s="3">
        <v>8</v>
      </c>
      <c r="D226" s="4">
        <f>K219</f>
        <v>44944342.556284346</v>
      </c>
      <c r="E226" s="4">
        <f t="shared" si="23"/>
        <v>965050514.04238403</v>
      </c>
      <c r="F226" s="3">
        <v>1.7999999999999999E-2</v>
      </c>
      <c r="G226" s="4">
        <f t="shared" si="24"/>
        <v>982421423.29514694</v>
      </c>
      <c r="H226" s="4"/>
      <c r="I226" s="5"/>
      <c r="P226" s="4"/>
    </row>
    <row r="227" spans="1:16" s="3" customFormat="1" x14ac:dyDescent="0.3">
      <c r="B227" s="42"/>
      <c r="C227" s="3">
        <v>9</v>
      </c>
      <c r="D227" s="4">
        <f>K219</f>
        <v>44944342.556284346</v>
      </c>
      <c r="E227" s="4">
        <f t="shared" si="23"/>
        <v>1027365765.8514313</v>
      </c>
      <c r="F227" s="3">
        <v>1.7999999999999999E-2</v>
      </c>
      <c r="G227" s="4">
        <f t="shared" si="24"/>
        <v>1045858349.636757</v>
      </c>
      <c r="H227" s="4"/>
      <c r="I227" s="5"/>
      <c r="P227" s="4"/>
    </row>
    <row r="228" spans="1:16" s="3" customFormat="1" x14ac:dyDescent="0.3">
      <c r="B228" s="42"/>
      <c r="C228" s="3">
        <v>10</v>
      </c>
      <c r="D228" s="4">
        <f>K219</f>
        <v>44944342.556284346</v>
      </c>
      <c r="E228" s="4">
        <f t="shared" si="23"/>
        <v>1090802692.1930413</v>
      </c>
      <c r="F228" s="3">
        <v>1.7999999999999999E-2</v>
      </c>
      <c r="G228" s="4">
        <f t="shared" si="24"/>
        <v>1110437140.6525161</v>
      </c>
      <c r="H228" s="4"/>
      <c r="I228" s="5"/>
      <c r="P228" s="4"/>
    </row>
    <row r="229" spans="1:16" s="3" customFormat="1" x14ac:dyDescent="0.3">
      <c r="B229" s="42"/>
      <c r="C229" s="3">
        <v>11</v>
      </c>
      <c r="D229" s="4">
        <f>K219</f>
        <v>44944342.556284346</v>
      </c>
      <c r="E229" s="4">
        <f t="shared" si="23"/>
        <v>1155381483.2088006</v>
      </c>
      <c r="F229" s="3">
        <v>1.7999999999999999E-2</v>
      </c>
      <c r="G229" s="4">
        <f t="shared" si="24"/>
        <v>1176178349.906559</v>
      </c>
      <c r="H229" s="4"/>
      <c r="I229" s="5"/>
      <c r="P229" s="4"/>
    </row>
    <row r="230" spans="1:16" s="3" customFormat="1" x14ac:dyDescent="0.3">
      <c r="B230" s="42"/>
      <c r="C230" s="3">
        <v>12</v>
      </c>
      <c r="D230" s="4">
        <f>K219</f>
        <v>44944342.556284346</v>
      </c>
      <c r="E230" s="4">
        <f t="shared" si="23"/>
        <v>1181122692.4628434</v>
      </c>
      <c r="F230" s="3">
        <v>1.7999999999999999E-2</v>
      </c>
      <c r="G230" s="4">
        <f t="shared" si="24"/>
        <v>1202382900.9271746</v>
      </c>
      <c r="H230" s="4"/>
      <c r="I230" s="17">
        <v>40000000</v>
      </c>
      <c r="J230" s="4">
        <f xml:space="preserve"> (E219 + SUM(D220:D230)) - SUM(I220:I230)</f>
        <v>1011118691.1022937</v>
      </c>
      <c r="K230" s="9">
        <f xml:space="preserve"> G230 - J230</f>
        <v>191264209.82488084</v>
      </c>
      <c r="L230" s="3">
        <v>0.84</v>
      </c>
      <c r="M230" s="4">
        <f xml:space="preserve"> K230 * L230</f>
        <v>160661936.25289989</v>
      </c>
      <c r="N230" s="4">
        <f xml:space="preserve"> K230 - M230</f>
        <v>30602273.571980953</v>
      </c>
      <c r="O230" s="3">
        <f xml:space="preserve"> K230 / J230 * 100</f>
        <v>18.916098723916367</v>
      </c>
      <c r="P230" s="4"/>
    </row>
    <row r="231" spans="1:16" s="3" customFormat="1" x14ac:dyDescent="0.3">
      <c r="A231" s="3">
        <v>20</v>
      </c>
      <c r="B231" s="42">
        <v>2041</v>
      </c>
      <c r="C231" s="3">
        <v>1</v>
      </c>
      <c r="D231" s="4">
        <f>K231</f>
        <v>50099287.538632274</v>
      </c>
      <c r="E231" s="4">
        <f xml:space="preserve"> (G230 / 2) + D231 - I231</f>
        <v>651290738.00221956</v>
      </c>
      <c r="F231" s="3">
        <v>1.7999999999999999E-2</v>
      </c>
      <c r="G231" s="4">
        <f t="shared" si="24"/>
        <v>663013971.28625953</v>
      </c>
      <c r="H231" s="4"/>
      <c r="I231" s="5"/>
      <c r="K231" s="6">
        <f xml:space="preserve"> ((G230 - I231) / 2 / 12)</f>
        <v>50099287.538632274</v>
      </c>
      <c r="M231" s="9">
        <f xml:space="preserve"> (G230 - I231) / 2</f>
        <v>601191450.46358728</v>
      </c>
      <c r="P231" s="4"/>
    </row>
    <row r="232" spans="1:16" s="3" customFormat="1" x14ac:dyDescent="0.3">
      <c r="B232" s="42"/>
      <c r="C232" s="3">
        <v>2</v>
      </c>
      <c r="D232" s="4">
        <f>K231</f>
        <v>50099287.538632274</v>
      </c>
      <c r="E232" s="4">
        <f t="shared" ref="E232:E242" si="25" xml:space="preserve"> G231 + D232 - I232</f>
        <v>713113258.82489181</v>
      </c>
      <c r="F232" s="3">
        <v>1.7999999999999999E-2</v>
      </c>
      <c r="G232" s="4">
        <f t="shared" si="24"/>
        <v>725949297.48373985</v>
      </c>
      <c r="H232" s="4"/>
      <c r="I232" s="5"/>
      <c r="P232" s="4"/>
    </row>
    <row r="233" spans="1:16" s="3" customFormat="1" x14ac:dyDescent="0.3">
      <c r="B233" s="42"/>
      <c r="C233" s="3">
        <v>3</v>
      </c>
      <c r="D233" s="4">
        <f>K231</f>
        <v>50099287.538632274</v>
      </c>
      <c r="E233" s="4">
        <f t="shared" si="25"/>
        <v>776048585.02237213</v>
      </c>
      <c r="F233" s="3">
        <v>1.7999999999999999E-2</v>
      </c>
      <c r="G233" s="4">
        <f t="shared" si="24"/>
        <v>790017459.55277479</v>
      </c>
      <c r="H233" s="4"/>
      <c r="I233" s="5"/>
      <c r="P233" s="4"/>
    </row>
    <row r="234" spans="1:16" s="3" customFormat="1" x14ac:dyDescent="0.3">
      <c r="B234" s="42"/>
      <c r="C234" s="3">
        <v>4</v>
      </c>
      <c r="D234" s="4">
        <f>K231</f>
        <v>50099287.538632274</v>
      </c>
      <c r="E234" s="4">
        <f t="shared" si="25"/>
        <v>840116747.09140706</v>
      </c>
      <c r="F234" s="3">
        <v>1.7999999999999999E-2</v>
      </c>
      <c r="G234" s="4">
        <f t="shared" si="24"/>
        <v>855238848.53905237</v>
      </c>
      <c r="H234" s="4"/>
      <c r="I234" s="5"/>
      <c r="P234" s="4"/>
    </row>
    <row r="235" spans="1:16" s="3" customFormat="1" x14ac:dyDescent="0.3">
      <c r="B235" s="42"/>
      <c r="C235" s="3">
        <v>5</v>
      </c>
      <c r="D235" s="4">
        <f>K231</f>
        <v>50099287.538632274</v>
      </c>
      <c r="E235" s="4">
        <f t="shared" si="25"/>
        <v>874735862.50570369</v>
      </c>
      <c r="F235" s="3">
        <v>1.7999999999999999E-2</v>
      </c>
      <c r="G235" s="4">
        <f t="shared" si="24"/>
        <v>890481108.0308063</v>
      </c>
      <c r="H235" s="4"/>
      <c r="I235" s="5">
        <f xml:space="preserve"> N230</f>
        <v>30602273.571980953</v>
      </c>
      <c r="P235" s="4"/>
    </row>
    <row r="236" spans="1:16" s="3" customFormat="1" x14ac:dyDescent="0.3">
      <c r="B236" s="42"/>
      <c r="C236" s="3">
        <v>6</v>
      </c>
      <c r="D236" s="4">
        <f>K231</f>
        <v>50099287.538632274</v>
      </c>
      <c r="E236" s="4">
        <f t="shared" si="25"/>
        <v>940580395.56943858</v>
      </c>
      <c r="F236" s="3">
        <v>1.7999999999999999E-2</v>
      </c>
      <c r="G236" s="4">
        <f t="shared" si="24"/>
        <v>957510842.68968844</v>
      </c>
      <c r="H236" s="4"/>
      <c r="I236" s="5"/>
      <c r="P236" s="4"/>
    </row>
    <row r="237" spans="1:16" s="3" customFormat="1" x14ac:dyDescent="0.3">
      <c r="B237" s="42"/>
      <c r="C237" s="3">
        <v>7</v>
      </c>
      <c r="D237" s="4">
        <f>K231</f>
        <v>50099287.538632274</v>
      </c>
      <c r="E237" s="4">
        <f t="shared" si="25"/>
        <v>1007610130.2283207</v>
      </c>
      <c r="F237" s="3">
        <v>1.7999999999999999E-2</v>
      </c>
      <c r="G237" s="4">
        <f t="shared" si="24"/>
        <v>1025747112.5724305</v>
      </c>
      <c r="H237" s="4"/>
      <c r="I237" s="5"/>
      <c r="P237" s="4"/>
    </row>
    <row r="238" spans="1:16" s="3" customFormat="1" x14ac:dyDescent="0.3">
      <c r="B238" s="42"/>
      <c r="C238" s="3">
        <v>8</v>
      </c>
      <c r="D238" s="4">
        <f>K231</f>
        <v>50099287.538632274</v>
      </c>
      <c r="E238" s="4">
        <f t="shared" si="25"/>
        <v>1075846400.1110628</v>
      </c>
      <c r="F238" s="3">
        <v>1.7999999999999999E-2</v>
      </c>
      <c r="G238" s="4">
        <f t="shared" si="24"/>
        <v>1095211635.313062</v>
      </c>
      <c r="H238" s="4"/>
      <c r="I238" s="5"/>
      <c r="P238" s="4"/>
    </row>
    <row r="239" spans="1:16" s="3" customFormat="1" x14ac:dyDescent="0.3">
      <c r="B239" s="42"/>
      <c r="C239" s="3">
        <v>9</v>
      </c>
      <c r="D239" s="4">
        <f>K231</f>
        <v>50099287.538632274</v>
      </c>
      <c r="E239" s="4">
        <f t="shared" si="25"/>
        <v>1145310922.8516941</v>
      </c>
      <c r="F239" s="3">
        <v>1.7999999999999999E-2</v>
      </c>
      <c r="G239" s="4">
        <f t="shared" si="24"/>
        <v>1165926519.4630246</v>
      </c>
      <c r="H239" s="4"/>
      <c r="I239" s="5"/>
      <c r="P239" s="4"/>
    </row>
    <row r="240" spans="1:16" s="3" customFormat="1" x14ac:dyDescent="0.3">
      <c r="B240" s="42"/>
      <c r="C240" s="3">
        <v>10</v>
      </c>
      <c r="D240" s="4">
        <f>K231</f>
        <v>50099287.538632274</v>
      </c>
      <c r="E240" s="4">
        <f t="shared" si="25"/>
        <v>1216025807.001657</v>
      </c>
      <c r="F240" s="3">
        <v>1.7999999999999999E-2</v>
      </c>
      <c r="G240" s="4">
        <f t="shared" si="24"/>
        <v>1237914271.5276868</v>
      </c>
      <c r="H240" s="4"/>
      <c r="I240" s="5"/>
      <c r="P240" s="4"/>
    </row>
    <row r="241" spans="1:16" s="3" customFormat="1" x14ac:dyDescent="0.3">
      <c r="B241" s="42"/>
      <c r="C241" s="3">
        <v>11</v>
      </c>
      <c r="D241" s="4">
        <f>K231</f>
        <v>50099287.538632274</v>
      </c>
      <c r="E241" s="4">
        <f t="shared" si="25"/>
        <v>1288013559.066319</v>
      </c>
      <c r="F241" s="3">
        <v>1.7999999999999999E-2</v>
      </c>
      <c r="G241" s="4">
        <f t="shared" si="24"/>
        <v>1311197803.1295128</v>
      </c>
      <c r="H241" s="4"/>
      <c r="I241" s="5"/>
      <c r="P241" s="4"/>
    </row>
    <row r="242" spans="1:16" s="3" customFormat="1" x14ac:dyDescent="0.3">
      <c r="B242" s="42"/>
      <c r="C242" s="3">
        <v>12</v>
      </c>
      <c r="D242" s="4">
        <f>K231</f>
        <v>50099287.538632274</v>
      </c>
      <c r="E242" s="4">
        <f t="shared" si="25"/>
        <v>1321297090.6681452</v>
      </c>
      <c r="F242" s="3">
        <v>1.7999999999999999E-2</v>
      </c>
      <c r="G242" s="4">
        <f t="shared" si="24"/>
        <v>1345080438.3001719</v>
      </c>
      <c r="H242" s="4"/>
      <c r="I242" s="17">
        <v>40000000</v>
      </c>
      <c r="J242" s="4">
        <f xml:space="preserve"> (E231 + SUM(D232:D242)) - SUM(I232:I242)</f>
        <v>1131780627.3551936</v>
      </c>
      <c r="K242" s="9">
        <f xml:space="preserve"> G242 - J242</f>
        <v>213299810.94497824</v>
      </c>
      <c r="L242" s="3">
        <v>0.84</v>
      </c>
      <c r="M242" s="4">
        <f xml:space="preserve"> K242 * L242</f>
        <v>179171841.1937817</v>
      </c>
      <c r="N242" s="4">
        <f xml:space="preserve"> K242 - M242</f>
        <v>34127969.751196533</v>
      </c>
      <c r="O242" s="3">
        <f xml:space="preserve"> K242 / J242 * 100</f>
        <v>18.846391764403037</v>
      </c>
      <c r="P242" s="4"/>
    </row>
    <row r="243" spans="1:16" s="3" customFormat="1" x14ac:dyDescent="0.3">
      <c r="A243" s="3">
        <v>21</v>
      </c>
      <c r="B243" s="42">
        <v>2042</v>
      </c>
      <c r="C243" s="3">
        <v>1</v>
      </c>
      <c r="D243" s="4">
        <f>K243</f>
        <v>56045018.262507163</v>
      </c>
      <c r="E243" s="4">
        <f xml:space="preserve"> (G242 / 2) + D243 - I243</f>
        <v>728585237.41259313</v>
      </c>
      <c r="F243" s="3">
        <v>1.7999999999999999E-2</v>
      </c>
      <c r="G243" s="4">
        <f t="shared" si="24"/>
        <v>741699771.68601978</v>
      </c>
      <c r="H243" s="4"/>
      <c r="I243" s="5"/>
      <c r="K243" s="6">
        <f xml:space="preserve"> ((G242 - I243) / 2 / 12)</f>
        <v>56045018.262507163</v>
      </c>
      <c r="M243" s="9">
        <f xml:space="preserve"> (G242 - I243) / 2</f>
        <v>672540219.15008593</v>
      </c>
      <c r="P243" s="4"/>
    </row>
    <row r="244" spans="1:16" x14ac:dyDescent="0.3">
      <c r="A244" s="3"/>
      <c r="B244" s="42"/>
      <c r="C244" s="3">
        <v>2</v>
      </c>
      <c r="D244" s="4">
        <f>K243</f>
        <v>56045018.262507163</v>
      </c>
      <c r="E244" s="4">
        <f t="shared" ref="E244:E254" si="26" xml:space="preserve"> G243 + D244 - I244</f>
        <v>797744789.94852698</v>
      </c>
      <c r="F244" s="3">
        <v>1.7999999999999999E-2</v>
      </c>
      <c r="G244" s="4">
        <f t="shared" si="24"/>
        <v>812104196.16760051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2"/>
      <c r="C245" s="3">
        <v>3</v>
      </c>
      <c r="D245" s="4">
        <f>K243</f>
        <v>56045018.262507163</v>
      </c>
      <c r="E245" s="4">
        <f t="shared" si="26"/>
        <v>868149214.43010771</v>
      </c>
      <c r="F245" s="3">
        <v>1.7999999999999999E-2</v>
      </c>
      <c r="G245" s="4">
        <f t="shared" si="24"/>
        <v>883775900.28984964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2"/>
      <c r="C246" s="3">
        <v>4</v>
      </c>
      <c r="D246" s="4">
        <f>K243</f>
        <v>56045018.262507163</v>
      </c>
      <c r="E246" s="4">
        <f t="shared" si="26"/>
        <v>939820918.55235684</v>
      </c>
      <c r="F246" s="3">
        <v>1.7999999999999999E-2</v>
      </c>
      <c r="G246" s="4">
        <f t="shared" si="24"/>
        <v>956737695.0862993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2"/>
      <c r="C247" s="3">
        <v>5</v>
      </c>
      <c r="D247" s="4">
        <f>K243</f>
        <v>56045018.262507163</v>
      </c>
      <c r="E247" s="4">
        <f t="shared" si="26"/>
        <v>978654743.59761</v>
      </c>
      <c r="F247" s="3">
        <v>1.7999999999999999E-2</v>
      </c>
      <c r="G247" s="4">
        <f t="shared" si="24"/>
        <v>996270528.98236692</v>
      </c>
      <c r="H247" s="4"/>
      <c r="I247" s="5">
        <f xml:space="preserve"> N242</f>
        <v>34127969.751196533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2"/>
      <c r="C248" s="3">
        <v>6</v>
      </c>
      <c r="D248" s="4">
        <f>K243</f>
        <v>56045018.262507163</v>
      </c>
      <c r="E248" s="4">
        <f t="shared" si="26"/>
        <v>1052315547.2448741</v>
      </c>
      <c r="F248" s="3">
        <v>1.7999999999999999E-2</v>
      </c>
      <c r="G248" s="4">
        <f t="shared" si="24"/>
        <v>1071257227.0952818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2"/>
      <c r="C249" s="3">
        <v>7</v>
      </c>
      <c r="D249" s="4">
        <f>K243</f>
        <v>56045018.262507163</v>
      </c>
      <c r="E249" s="4">
        <f t="shared" si="26"/>
        <v>1127302245.357789</v>
      </c>
      <c r="F249" s="3">
        <v>1.7999999999999999E-2</v>
      </c>
      <c r="G249" s="4">
        <f t="shared" si="24"/>
        <v>1147593685.7742293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2"/>
      <c r="C250" s="3">
        <v>8</v>
      </c>
      <c r="D250" s="4">
        <f>K243</f>
        <v>56045018.262507163</v>
      </c>
      <c r="E250" s="4">
        <f t="shared" si="26"/>
        <v>1203638704.0367365</v>
      </c>
      <c r="F250" s="3">
        <v>1.7999999999999999E-2</v>
      </c>
      <c r="G250" s="4">
        <f t="shared" si="24"/>
        <v>1225304200.7093978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2"/>
      <c r="C251" s="3">
        <v>9</v>
      </c>
      <c r="D251" s="4">
        <f>K243</f>
        <v>56045018.262507163</v>
      </c>
      <c r="E251" s="4">
        <f t="shared" si="26"/>
        <v>1281349218.971905</v>
      </c>
      <c r="F251" s="3">
        <v>1.7999999999999999E-2</v>
      </c>
      <c r="G251" s="4">
        <f t="shared" si="24"/>
        <v>1304413504.9133992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2"/>
      <c r="C252" s="3">
        <v>10</v>
      </c>
      <c r="D252" s="4">
        <f>K243</f>
        <v>56045018.262507163</v>
      </c>
      <c r="E252" s="4">
        <f t="shared" si="26"/>
        <v>1360458523.1759064</v>
      </c>
      <c r="F252" s="3">
        <v>1.7999999999999999E-2</v>
      </c>
      <c r="G252" s="4">
        <f t="shared" si="24"/>
        <v>1384946776.5930727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2"/>
      <c r="C253" s="3">
        <v>11</v>
      </c>
      <c r="D253" s="4">
        <f>K243</f>
        <v>56045018.262507163</v>
      </c>
      <c r="E253" s="4">
        <f t="shared" si="26"/>
        <v>1440991794.8555799</v>
      </c>
      <c r="F253" s="3">
        <v>1.7999999999999999E-2</v>
      </c>
      <c r="G253" s="4">
        <f t="shared" si="24"/>
        <v>1466929647.1629803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2"/>
      <c r="C254" s="3">
        <v>12</v>
      </c>
      <c r="D254" s="4">
        <f>K243</f>
        <v>56045018.262507163</v>
      </c>
      <c r="E254" s="4">
        <f t="shared" si="26"/>
        <v>1522974665.4254875</v>
      </c>
      <c r="F254" s="3">
        <v>1.7999999999999999E-2</v>
      </c>
      <c r="G254" s="4">
        <f t="shared" si="24"/>
        <v>1550388209.4031463</v>
      </c>
      <c r="H254" s="4"/>
      <c r="I254" s="5"/>
      <c r="J254" s="4">
        <f xml:space="preserve"> (E243 + SUM(D244:D254)) - SUM(I244:I254)</f>
        <v>1310952468.5489752</v>
      </c>
      <c r="K254" s="9">
        <f xml:space="preserve"> G254 - J254</f>
        <v>239435740.85417104</v>
      </c>
      <c r="L254" s="3">
        <v>0.84</v>
      </c>
      <c r="M254" s="4">
        <f xml:space="preserve"> K254 * L254</f>
        <v>201126022.31750366</v>
      </c>
      <c r="N254" s="4">
        <f xml:space="preserve"> K254 - M254</f>
        <v>38309718.536667377</v>
      </c>
      <c r="O254" s="3">
        <f xml:space="preserve"> K254 / J254 * 100</f>
        <v>18.264257980244693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2500000</v>
      </c>
      <c r="P11" s="1">
        <v>600000</v>
      </c>
      <c r="Q11" s="1">
        <f t="shared" ref="Q11" si="6">SUM(C11:P11)</f>
        <v>7080000</v>
      </c>
      <c r="R11" s="1">
        <f t="shared" ref="R11" si="7" xml:space="preserve"> B11 - Q11</f>
        <v>-150000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workbookViewId="0">
      <selection activeCell="I6" sqref="I6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46"/>
      <c r="C1" s="46"/>
    </row>
    <row r="2" spans="2:6" x14ac:dyDescent="0.3">
      <c r="B2" s="45" t="s">
        <v>34</v>
      </c>
      <c r="C2" s="45"/>
      <c r="E2" s="45" t="s">
        <v>38</v>
      </c>
      <c r="F2" s="45"/>
    </row>
    <row r="3" spans="2:6" x14ac:dyDescent="0.3">
      <c r="B3" s="28" t="s">
        <v>31</v>
      </c>
      <c r="C3" s="28" t="s">
        <v>32</v>
      </c>
      <c r="E3" s="28" t="s">
        <v>31</v>
      </c>
      <c r="F3" s="28" t="s">
        <v>32</v>
      </c>
    </row>
    <row r="4" spans="2:6" x14ac:dyDescent="0.3">
      <c r="B4" s="27">
        <v>1</v>
      </c>
      <c r="C4" s="31">
        <v>17215</v>
      </c>
      <c r="E4" s="27">
        <v>1</v>
      </c>
      <c r="F4" s="31">
        <v>3020</v>
      </c>
    </row>
    <row r="5" spans="2:6" x14ac:dyDescent="0.3">
      <c r="B5" s="27">
        <v>2</v>
      </c>
      <c r="C5" s="31">
        <v>-77107</v>
      </c>
      <c r="E5" s="27">
        <v>2</v>
      </c>
      <c r="F5" s="31">
        <v>-3342</v>
      </c>
    </row>
    <row r="6" spans="2:6" x14ac:dyDescent="0.3">
      <c r="B6" s="27">
        <v>3</v>
      </c>
      <c r="C6" s="31">
        <v>77453</v>
      </c>
      <c r="E6" s="27">
        <v>3</v>
      </c>
      <c r="F6" s="32">
        <v>0</v>
      </c>
    </row>
    <row r="7" spans="2:6" x14ac:dyDescent="0.3">
      <c r="B7" s="27">
        <v>4</v>
      </c>
      <c r="C7" s="31">
        <v>16450</v>
      </c>
      <c r="E7" s="27">
        <v>4</v>
      </c>
      <c r="F7" s="31">
        <v>0</v>
      </c>
    </row>
    <row r="8" spans="2:6" x14ac:dyDescent="0.3">
      <c r="B8" s="27">
        <v>5</v>
      </c>
      <c r="C8" s="31">
        <v>6818</v>
      </c>
      <c r="E8" s="27">
        <v>5</v>
      </c>
      <c r="F8" s="31">
        <v>0</v>
      </c>
    </row>
    <row r="9" spans="2:6" x14ac:dyDescent="0.3">
      <c r="B9" s="27">
        <v>6</v>
      </c>
      <c r="C9" s="31">
        <v>24585</v>
      </c>
      <c r="E9" s="27">
        <v>6</v>
      </c>
      <c r="F9" s="32">
        <v>0</v>
      </c>
    </row>
    <row r="10" spans="2:6" x14ac:dyDescent="0.3">
      <c r="B10" s="27">
        <v>7</v>
      </c>
      <c r="C10" s="31">
        <v>0</v>
      </c>
      <c r="E10" s="27">
        <v>7</v>
      </c>
      <c r="F10" s="31">
        <v>0</v>
      </c>
    </row>
    <row r="11" spans="2:6" x14ac:dyDescent="0.3">
      <c r="B11" s="27">
        <v>8</v>
      </c>
      <c r="C11" s="31">
        <v>0</v>
      </c>
      <c r="E11" s="27">
        <v>8</v>
      </c>
      <c r="F11" s="31">
        <v>0</v>
      </c>
    </row>
    <row r="12" spans="2:6" x14ac:dyDescent="0.3">
      <c r="B12" s="30">
        <v>9</v>
      </c>
      <c r="C12" s="32">
        <v>0</v>
      </c>
      <c r="E12" s="30">
        <v>9</v>
      </c>
      <c r="F12" s="32">
        <v>0</v>
      </c>
    </row>
    <row r="13" spans="2:6" x14ac:dyDescent="0.3">
      <c r="B13" s="27">
        <v>10</v>
      </c>
      <c r="C13" s="31">
        <v>0</v>
      </c>
      <c r="E13" s="27">
        <v>10</v>
      </c>
      <c r="F13" s="31">
        <v>0</v>
      </c>
    </row>
    <row r="14" spans="2:6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-322</v>
      </c>
    </row>
    <row r="15" spans="2:6" x14ac:dyDescent="0.3">
      <c r="B15" s="28" t="s">
        <v>35</v>
      </c>
      <c r="C15" s="29">
        <v>1061029</v>
      </c>
      <c r="E15" s="28" t="s">
        <v>21</v>
      </c>
      <c r="F15" s="29">
        <v>1126443</v>
      </c>
    </row>
    <row r="16" spans="2:6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-0.03</v>
      </c>
    </row>
    <row r="17" spans="2:6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1126121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A13" workbookViewId="0">
      <selection activeCell="I19" sqref="I19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9" width="14.375" bestFit="1" customWidth="1"/>
    <col min="10" max="10" width="16.25" customWidth="1"/>
    <col min="11" max="11" width="15.5" style="2" bestFit="1" customWidth="1"/>
    <col min="12" max="12" width="15.5" style="10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41" t="s">
        <v>21</v>
      </c>
      <c r="E1" s="41" t="s">
        <v>40</v>
      </c>
      <c r="F1" s="41" t="s">
        <v>25</v>
      </c>
      <c r="G1" s="41" t="s">
        <v>22</v>
      </c>
      <c r="H1" s="41" t="s">
        <v>23</v>
      </c>
      <c r="I1" s="41" t="s">
        <v>41</v>
      </c>
      <c r="J1" s="41" t="s">
        <v>42</v>
      </c>
      <c r="K1" s="50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51"/>
      <c r="L2" s="40"/>
    </row>
    <row r="3" spans="1:19" s="21" customFormat="1" x14ac:dyDescent="0.3">
      <c r="A3" s="21">
        <v>1</v>
      </c>
      <c r="B3" s="44">
        <v>2022</v>
      </c>
      <c r="C3" s="21">
        <v>1</v>
      </c>
      <c r="D3" s="22">
        <v>5000000</v>
      </c>
      <c r="E3" s="22"/>
      <c r="F3" s="22">
        <f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52">
        <v>0</v>
      </c>
      <c r="L3" s="23"/>
      <c r="M3" s="60"/>
      <c r="S3" s="22"/>
    </row>
    <row r="4" spans="1:19" s="21" customFormat="1" x14ac:dyDescent="0.3">
      <c r="B4" s="44"/>
      <c r="C4" s="21">
        <v>2</v>
      </c>
      <c r="D4" s="22">
        <v>0</v>
      </c>
      <c r="E4" s="22"/>
      <c r="F4" s="22">
        <f xml:space="preserve"> H3 + D4 - K4</f>
        <v>5050000</v>
      </c>
      <c r="G4" s="21">
        <v>0.01</v>
      </c>
      <c r="H4" s="22">
        <f xml:space="preserve"> (F4 * G4) + F4</f>
        <v>5100500</v>
      </c>
      <c r="I4" s="22"/>
      <c r="J4" s="22"/>
      <c r="K4" s="52">
        <v>0</v>
      </c>
      <c r="L4" s="23"/>
      <c r="M4" s="60"/>
      <c r="S4" s="22"/>
    </row>
    <row r="5" spans="1:19" s="21" customFormat="1" x14ac:dyDescent="0.3">
      <c r="B5" s="44"/>
      <c r="C5" s="21">
        <v>3</v>
      </c>
      <c r="D5" s="22">
        <v>1500000</v>
      </c>
      <c r="E5" s="22"/>
      <c r="F5" s="22">
        <f xml:space="preserve"> H4 + D5 - K5</f>
        <v>6600500</v>
      </c>
      <c r="G5" s="21">
        <v>0.01</v>
      </c>
      <c r="H5" s="22">
        <f xml:space="preserve"> (F5 * G5) + F5</f>
        <v>6666505</v>
      </c>
      <c r="I5" s="22"/>
      <c r="J5" s="22"/>
      <c r="K5" s="52">
        <v>0</v>
      </c>
      <c r="L5" s="23"/>
      <c r="M5" s="60"/>
      <c r="S5" s="22"/>
    </row>
    <row r="6" spans="1:19" s="21" customFormat="1" x14ac:dyDescent="0.3">
      <c r="B6" s="44"/>
      <c r="C6" s="21">
        <v>4</v>
      </c>
      <c r="D6" s="22">
        <v>3500000</v>
      </c>
      <c r="E6" s="22"/>
      <c r="F6" s="22">
        <f xml:space="preserve"> H5 + D6 - K6</f>
        <v>10166505</v>
      </c>
      <c r="G6" s="21">
        <v>0.01</v>
      </c>
      <c r="H6" s="22">
        <f t="shared" ref="H6:H14" si="0" xml:space="preserve"> (F6 * G6) + F6</f>
        <v>10268170.050000001</v>
      </c>
      <c r="I6" s="22"/>
      <c r="J6" s="22"/>
      <c r="K6" s="52">
        <v>0</v>
      </c>
      <c r="L6" s="23"/>
      <c r="M6" s="60"/>
      <c r="S6" s="22"/>
    </row>
    <row r="7" spans="1:19" s="21" customFormat="1" x14ac:dyDescent="0.3">
      <c r="B7" s="44"/>
      <c r="C7" s="21">
        <v>5</v>
      </c>
      <c r="D7" s="22">
        <v>2520000</v>
      </c>
      <c r="E7" s="22"/>
      <c r="F7" s="22">
        <f xml:space="preserve"> H6 + D7 - K7</f>
        <v>11788170.050000001</v>
      </c>
      <c r="G7" s="21">
        <v>0.01</v>
      </c>
      <c r="H7" s="22">
        <f t="shared" si="0"/>
        <v>11906051.750500001</v>
      </c>
      <c r="I7" s="22"/>
      <c r="J7" s="22"/>
      <c r="K7" s="52">
        <v>1000000</v>
      </c>
      <c r="L7" s="23"/>
      <c r="M7" s="60"/>
      <c r="N7" s="26"/>
      <c r="S7" s="22"/>
    </row>
    <row r="8" spans="1:19" s="21" customFormat="1" x14ac:dyDescent="0.3">
      <c r="B8" s="44"/>
      <c r="C8" s="21">
        <v>6</v>
      </c>
      <c r="D8" s="22">
        <v>2500000</v>
      </c>
      <c r="E8" s="22"/>
      <c r="F8" s="22">
        <f xml:space="preserve"> H7 + D8 - K8</f>
        <v>14406051.750500001</v>
      </c>
      <c r="G8" s="21">
        <v>0.01</v>
      </c>
      <c r="H8" s="22">
        <f t="shared" si="0"/>
        <v>14550112.268005</v>
      </c>
      <c r="I8" s="22"/>
      <c r="J8" s="22"/>
      <c r="K8" s="52">
        <v>0</v>
      </c>
      <c r="L8" s="23"/>
      <c r="M8" s="60"/>
      <c r="S8" s="22"/>
    </row>
    <row r="9" spans="1:19" s="21" customFormat="1" x14ac:dyDescent="0.3">
      <c r="B9" s="44"/>
      <c r="C9" s="21">
        <v>7</v>
      </c>
      <c r="D9" s="22">
        <v>2500000</v>
      </c>
      <c r="E9" s="22"/>
      <c r="F9" s="22">
        <f xml:space="preserve"> H8 + D9 - K9</f>
        <v>16450112.268004999</v>
      </c>
      <c r="G9" s="21">
        <v>0.01</v>
      </c>
      <c r="H9" s="22">
        <f t="shared" si="0"/>
        <v>16614613.390685048</v>
      </c>
      <c r="I9" s="22"/>
      <c r="J9" s="22"/>
      <c r="K9" s="52">
        <v>600000</v>
      </c>
      <c r="L9" s="23"/>
      <c r="M9" s="60"/>
      <c r="S9" s="22"/>
    </row>
    <row r="10" spans="1:19" s="21" customFormat="1" x14ac:dyDescent="0.3">
      <c r="B10" s="44"/>
      <c r="C10" s="21">
        <v>8</v>
      </c>
      <c r="D10" s="22">
        <v>2500000</v>
      </c>
      <c r="E10" s="22"/>
      <c r="F10" s="22">
        <f xml:space="preserve"> H9 + D10 - K10</f>
        <v>14058069.390685048</v>
      </c>
      <c r="G10" s="21">
        <v>0.01</v>
      </c>
      <c r="H10" s="22">
        <f t="shared" si="0"/>
        <v>14198650.084591899</v>
      </c>
      <c r="I10" s="22"/>
      <c r="J10" s="22"/>
      <c r="K10" s="52">
        <v>5056544</v>
      </c>
      <c r="L10" s="23"/>
      <c r="M10" s="60"/>
      <c r="S10" s="22"/>
    </row>
    <row r="11" spans="1:19" s="8" customFormat="1" x14ac:dyDescent="0.3">
      <c r="B11" s="44"/>
      <c r="C11" s="8">
        <v>9</v>
      </c>
      <c r="D11" s="9">
        <v>1000000</v>
      </c>
      <c r="E11" s="9">
        <v>4141561</v>
      </c>
      <c r="F11" s="9">
        <f xml:space="preserve"> H10 + D11 - K11</f>
        <v>15198650.084591899</v>
      </c>
      <c r="G11" s="8">
        <v>1.7999999999999999E-2</v>
      </c>
      <c r="H11" s="9">
        <f t="shared" si="0"/>
        <v>15472225.786114553</v>
      </c>
      <c r="I11" s="9"/>
      <c r="J11" s="9"/>
      <c r="K11" s="53">
        <v>0</v>
      </c>
      <c r="L11" s="10"/>
      <c r="M11" s="61"/>
      <c r="S11" s="9"/>
    </row>
    <row r="12" spans="1:19" s="12" customFormat="1" x14ac:dyDescent="0.3">
      <c r="B12" s="44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xml:space="preserve"> H11 + D12 - K12</f>
        <v>19972225.786114551</v>
      </c>
      <c r="G12" s="12">
        <v>1.7999999999999999E-2</v>
      </c>
      <c r="H12" s="13">
        <f t="shared" si="0"/>
        <v>20331725.850264613</v>
      </c>
      <c r="I12" s="13"/>
      <c r="J12" s="13"/>
      <c r="K12" s="54">
        <v>0</v>
      </c>
      <c r="L12" s="14"/>
      <c r="M12" s="62"/>
      <c r="S12" s="13"/>
    </row>
    <row r="13" spans="1:19" s="48" customFormat="1" x14ac:dyDescent="0.3">
      <c r="B13" s="44"/>
      <c r="C13" s="48">
        <v>11</v>
      </c>
      <c r="D13" s="47">
        <v>2500000</v>
      </c>
      <c r="E13" s="47">
        <f xml:space="preserve"> (E12 + 400000) + ((E12 + 400000) * G13 )</f>
        <v>5113728.6617640005</v>
      </c>
      <c r="F13" s="47">
        <f xml:space="preserve"> H12 + D13 - K13</f>
        <v>22831725.850264613</v>
      </c>
      <c r="G13" s="48">
        <v>1.7999999999999999E-2</v>
      </c>
      <c r="H13" s="47">
        <f t="shared" si="0"/>
        <v>23242696.915569376</v>
      </c>
      <c r="I13" s="47"/>
      <c r="J13" s="47"/>
      <c r="K13" s="55">
        <v>0</v>
      </c>
      <c r="L13" s="49"/>
      <c r="M13" s="63"/>
      <c r="S13" s="47"/>
    </row>
    <row r="14" spans="1:19" s="18" customFormat="1" x14ac:dyDescent="0.3">
      <c r="B14" s="44"/>
      <c r="C14" s="18">
        <v>12</v>
      </c>
      <c r="D14" s="19">
        <v>2500000</v>
      </c>
      <c r="E14" s="19">
        <f t="shared" ref="E14:E77" si="1" xml:space="preserve"> (E13 + 400000) + ((E13 + 400000) * G14 )</f>
        <v>5612975.7776757525</v>
      </c>
      <c r="F14" s="19">
        <f xml:space="preserve"> H13 + D14 - K14</f>
        <v>25742696.915569376</v>
      </c>
      <c r="G14" s="18">
        <v>1.7999999999999999E-2</v>
      </c>
      <c r="H14" s="19">
        <f t="shared" si="0"/>
        <v>26206065.460049625</v>
      </c>
      <c r="I14" s="19">
        <f xml:space="preserve"> H14 - E14</f>
        <v>20593089.682373874</v>
      </c>
      <c r="J14" s="19"/>
      <c r="K14" s="56">
        <v>0</v>
      </c>
      <c r="L14" s="20">
        <f xml:space="preserve"> I14 / 2</f>
        <v>10296544.841186937</v>
      </c>
      <c r="M14" s="64">
        <f xml:space="preserve"> (H2 + SUM(D3:D14)) - SUM(K3:K14)</f>
        <v>23863456</v>
      </c>
      <c r="N14" s="19">
        <f xml:space="preserve"> H14 - M14</f>
        <v>2342609.4600496255</v>
      </c>
      <c r="O14" s="18">
        <v>0.84</v>
      </c>
      <c r="P14" s="19">
        <f xml:space="preserve"> N14 * O14</f>
        <v>1967791.9464416853</v>
      </c>
      <c r="Q14" s="19">
        <f xml:space="preserve"> N14 - P14</f>
        <v>374817.51360794017</v>
      </c>
      <c r="R14" s="18">
        <f xml:space="preserve"> N14 / M14 * 100</f>
        <v>9.8167233616523344</v>
      </c>
      <c r="S14" s="19"/>
    </row>
    <row r="15" spans="1:19" s="8" customFormat="1" x14ac:dyDescent="0.3">
      <c r="A15" s="8">
        <v>2</v>
      </c>
      <c r="B15" s="44">
        <v>2023</v>
      </c>
      <c r="C15" s="8">
        <v>1</v>
      </c>
      <c r="D15" s="9">
        <f xml:space="preserve"> N15</f>
        <v>3358045.4034322449</v>
      </c>
      <c r="E15" s="47">
        <f t="shared" si="1"/>
        <v>6121209.3416739162</v>
      </c>
      <c r="F15" s="11">
        <f xml:space="preserve"> (I14 / 2) + D15 - K15</f>
        <v>13654590.244619181</v>
      </c>
      <c r="G15" s="8">
        <v>1.7999999999999999E-2</v>
      </c>
      <c r="H15" s="9">
        <f xml:space="preserve"> (F15 * G15) + F15</f>
        <v>13900372.869022327</v>
      </c>
      <c r="I15" s="9"/>
      <c r="J15" s="9">
        <f xml:space="preserve"> E15 + H15</f>
        <v>20021582.210696243</v>
      </c>
      <c r="K15" s="53">
        <v>0</v>
      </c>
      <c r="L15" s="10"/>
      <c r="M15" s="61"/>
      <c r="N15" s="11">
        <f xml:space="preserve"> (L14 / 12) +2500000</f>
        <v>3358045.4034322449</v>
      </c>
      <c r="P15" s="9">
        <f xml:space="preserve"> (H14 / 2 )</f>
        <v>13103032.730024813</v>
      </c>
      <c r="S15" s="9"/>
    </row>
    <row r="16" spans="1:19" s="8" customFormat="1" x14ac:dyDescent="0.3">
      <c r="B16" s="44"/>
      <c r="C16" s="8">
        <v>2</v>
      </c>
      <c r="D16" s="9">
        <f xml:space="preserve"> N15</f>
        <v>3358045.4034322449</v>
      </c>
      <c r="E16" s="47">
        <f t="shared" si="1"/>
        <v>6638591.1098240465</v>
      </c>
      <c r="F16" s="9">
        <f xml:space="preserve"> H15 + D16 - K16</f>
        <v>17258418.272454571</v>
      </c>
      <c r="G16" s="8">
        <v>1.7999999999999999E-2</v>
      </c>
      <c r="H16" s="11">
        <f xml:space="preserve"> (F16 * G16) + F16</f>
        <v>17569069.801358752</v>
      </c>
      <c r="I16" s="9"/>
      <c r="J16" s="9">
        <f t="shared" ref="J16:J26" si="2" xml:space="preserve"> E16 + H16</f>
        <v>24207660.911182798</v>
      </c>
      <c r="K16" s="53">
        <v>0</v>
      </c>
      <c r="L16" s="10"/>
      <c r="M16" s="61"/>
      <c r="S16" s="9"/>
    </row>
    <row r="17" spans="1:19" s="8" customFormat="1" x14ac:dyDescent="0.3">
      <c r="B17" s="44"/>
      <c r="C17" s="8">
        <v>3</v>
      </c>
      <c r="D17" s="9">
        <f xml:space="preserve"> N15</f>
        <v>3358045.4034322449</v>
      </c>
      <c r="E17" s="47">
        <f t="shared" si="1"/>
        <v>7165285.7498008795</v>
      </c>
      <c r="F17" s="9">
        <f xml:space="preserve"> H16 + D17 - K17</f>
        <v>20927115.204790998</v>
      </c>
      <c r="G17" s="8">
        <v>1.7999999999999999E-2</v>
      </c>
      <c r="H17" s="9">
        <f xml:space="preserve"> (F17 * G17) + F17</f>
        <v>21303803.278477237</v>
      </c>
      <c r="I17" s="9"/>
      <c r="J17" s="9">
        <f t="shared" si="2"/>
        <v>28469089.028278116</v>
      </c>
      <c r="K17" s="53">
        <v>0</v>
      </c>
      <c r="L17" s="10"/>
      <c r="M17" s="61"/>
      <c r="S17" s="9"/>
    </row>
    <row r="18" spans="1:19" s="8" customFormat="1" x14ac:dyDescent="0.3">
      <c r="B18" s="44"/>
      <c r="C18" s="8">
        <v>4</v>
      </c>
      <c r="D18" s="9">
        <f xml:space="preserve"> N15</f>
        <v>3358045.4034322449</v>
      </c>
      <c r="E18" s="47">
        <f t="shared" si="1"/>
        <v>7701460.8932972951</v>
      </c>
      <c r="F18" s="9">
        <f xml:space="preserve"> H17 + D18 - K18</f>
        <v>24661848.681909483</v>
      </c>
      <c r="G18" s="8">
        <v>1.7999999999999999E-2</v>
      </c>
      <c r="H18" s="9">
        <f t="shared" ref="H18:H26" si="3" xml:space="preserve"> (F18 * G18) + F18</f>
        <v>25105761.958183855</v>
      </c>
      <c r="I18" s="9"/>
      <c r="J18" s="9">
        <f t="shared" si="2"/>
        <v>32807222.851481151</v>
      </c>
      <c r="K18" s="53">
        <v>0</v>
      </c>
      <c r="L18" s="10"/>
      <c r="M18" s="61"/>
      <c r="S18" s="9"/>
    </row>
    <row r="19" spans="1:19" s="8" customFormat="1" x14ac:dyDescent="0.3">
      <c r="B19" s="44"/>
      <c r="C19" s="8">
        <v>5</v>
      </c>
      <c r="D19" s="9">
        <f xml:space="preserve"> N15</f>
        <v>3358045.4034322449</v>
      </c>
      <c r="E19" s="47">
        <f t="shared" si="1"/>
        <v>8247287.1893766467</v>
      </c>
      <c r="F19" s="9">
        <f xml:space="preserve"> H18 + D19 - K19</f>
        <v>28088989.84800816</v>
      </c>
      <c r="G19" s="8">
        <v>1.7999999999999999E-2</v>
      </c>
      <c r="H19" s="9">
        <f t="shared" si="3"/>
        <v>28594591.665272307</v>
      </c>
      <c r="I19" s="9"/>
      <c r="J19" s="9">
        <f t="shared" si="2"/>
        <v>36841878.854648955</v>
      </c>
      <c r="K19" s="53">
        <f xml:space="preserve"> Q14</f>
        <v>374817.51360794017</v>
      </c>
      <c r="L19" s="10"/>
      <c r="M19" s="61"/>
      <c r="S19" s="9"/>
    </row>
    <row r="20" spans="1:19" s="8" customFormat="1" x14ac:dyDescent="0.3">
      <c r="B20" s="44"/>
      <c r="C20" s="8">
        <v>6</v>
      </c>
      <c r="D20" s="9">
        <f xml:space="preserve"> N15</f>
        <v>3358045.4034322449</v>
      </c>
      <c r="E20" s="47">
        <f t="shared" si="1"/>
        <v>8802938.3587854262</v>
      </c>
      <c r="F20" s="9">
        <f xml:space="preserve"> H19 + D20 - K20</f>
        <v>31952637.068704553</v>
      </c>
      <c r="G20" s="8">
        <v>1.7999999999999999E-2</v>
      </c>
      <c r="H20" s="9">
        <f t="shared" si="3"/>
        <v>32527784.535941236</v>
      </c>
      <c r="I20" s="9"/>
      <c r="J20" s="9">
        <f t="shared" si="2"/>
        <v>41330722.894726664</v>
      </c>
      <c r="K20" s="53">
        <v>0</v>
      </c>
      <c r="L20" s="10"/>
      <c r="M20" s="61"/>
      <c r="S20" s="9"/>
    </row>
    <row r="21" spans="1:19" s="8" customFormat="1" x14ac:dyDescent="0.3">
      <c r="B21" s="44"/>
      <c r="C21" s="8">
        <v>7</v>
      </c>
      <c r="D21" s="9">
        <f xml:space="preserve"> N15</f>
        <v>3358045.4034322449</v>
      </c>
      <c r="E21" s="47">
        <f t="shared" si="1"/>
        <v>9368591.249243563</v>
      </c>
      <c r="F21" s="9">
        <f xml:space="preserve"> H20 + D21 - K21</f>
        <v>35885829.939373478</v>
      </c>
      <c r="G21" s="8">
        <v>1.7999999999999999E-2</v>
      </c>
      <c r="H21" s="9">
        <f t="shared" si="3"/>
        <v>36531774.878282204</v>
      </c>
      <c r="I21" s="9"/>
      <c r="J21" s="9">
        <f t="shared" si="2"/>
        <v>45900366.127525769</v>
      </c>
      <c r="K21" s="53">
        <v>0</v>
      </c>
      <c r="L21" s="10"/>
      <c r="M21" s="61"/>
      <c r="S21" s="9"/>
    </row>
    <row r="22" spans="1:19" s="8" customFormat="1" x14ac:dyDescent="0.3">
      <c r="B22" s="44"/>
      <c r="C22" s="8">
        <v>8</v>
      </c>
      <c r="D22" s="9">
        <f xml:space="preserve"> N15</f>
        <v>3358045.4034322449</v>
      </c>
      <c r="E22" s="47">
        <f t="shared" si="1"/>
        <v>9944425.8917299472</v>
      </c>
      <c r="F22" s="9">
        <f xml:space="preserve"> H21 + D22 - K22</f>
        <v>39889820.281714447</v>
      </c>
      <c r="G22" s="8">
        <v>1.7999999999999999E-2</v>
      </c>
      <c r="H22" s="9">
        <f t="shared" si="3"/>
        <v>40607837.04678531</v>
      </c>
      <c r="I22" s="9"/>
      <c r="J22" s="9">
        <f t="shared" si="2"/>
        <v>50552262.938515261</v>
      </c>
      <c r="K22" s="53">
        <v>0</v>
      </c>
      <c r="L22" s="10"/>
      <c r="M22" s="61"/>
      <c r="S22" s="9"/>
    </row>
    <row r="23" spans="1:19" s="8" customFormat="1" x14ac:dyDescent="0.3">
      <c r="B23" s="44"/>
      <c r="C23" s="8">
        <v>9</v>
      </c>
      <c r="D23" s="9">
        <f xml:space="preserve"> N15</f>
        <v>3358045.4034322449</v>
      </c>
      <c r="E23" s="47">
        <f t="shared" si="1"/>
        <v>10530625.557781085</v>
      </c>
      <c r="F23" s="9">
        <f xml:space="preserve"> H22 + D23 - K23</f>
        <v>43965882.450217552</v>
      </c>
      <c r="G23" s="8">
        <v>1.7999999999999999E-2</v>
      </c>
      <c r="H23" s="9">
        <f t="shared" si="3"/>
        <v>44757268.334321469</v>
      </c>
      <c r="I23" s="9"/>
      <c r="J23" s="9">
        <f t="shared" si="2"/>
        <v>55287893.892102554</v>
      </c>
      <c r="K23" s="53">
        <v>0</v>
      </c>
      <c r="L23" s="10"/>
      <c r="M23" s="61"/>
      <c r="S23" s="9"/>
    </row>
    <row r="24" spans="1:19" s="8" customFormat="1" x14ac:dyDescent="0.3">
      <c r="B24" s="44"/>
      <c r="C24" s="8">
        <v>10</v>
      </c>
      <c r="D24" s="9">
        <f xml:space="preserve"> N15</f>
        <v>3358045.4034322449</v>
      </c>
      <c r="E24" s="47">
        <f t="shared" si="1"/>
        <v>11127376.817821145</v>
      </c>
      <c r="F24" s="9">
        <f xml:space="preserve"> H23 + D24 - K24</f>
        <v>48115313.737753712</v>
      </c>
      <c r="G24" s="8">
        <v>1.7999999999999999E-2</v>
      </c>
      <c r="H24" s="9">
        <f t="shared" si="3"/>
        <v>48981389.38503328</v>
      </c>
      <c r="I24" s="9"/>
      <c r="J24" s="9">
        <f t="shared" si="2"/>
        <v>60108766.202854425</v>
      </c>
      <c r="K24" s="53">
        <v>0</v>
      </c>
      <c r="L24" s="10"/>
      <c r="M24" s="61"/>
      <c r="S24" s="9"/>
    </row>
    <row r="25" spans="1:19" s="8" customFormat="1" x14ac:dyDescent="0.3">
      <c r="B25" s="44"/>
      <c r="C25" s="8">
        <v>11</v>
      </c>
      <c r="D25" s="9">
        <f xml:space="preserve"> N15</f>
        <v>3358045.4034322449</v>
      </c>
      <c r="E25" s="47">
        <f t="shared" si="1"/>
        <v>11734869.600541925</v>
      </c>
      <c r="F25" s="9">
        <f xml:space="preserve"> H24 + D25 - K25</f>
        <v>52339434.788465522</v>
      </c>
      <c r="G25" s="8">
        <v>1.7999999999999999E-2</v>
      </c>
      <c r="H25" s="9">
        <f t="shared" si="3"/>
        <v>53281544.614657901</v>
      </c>
      <c r="I25" s="9"/>
      <c r="J25" s="9">
        <f t="shared" si="2"/>
        <v>65016414.215199828</v>
      </c>
      <c r="K25" s="53">
        <v>0</v>
      </c>
      <c r="L25" s="10"/>
      <c r="M25" s="61"/>
      <c r="S25" s="9"/>
    </row>
    <row r="26" spans="1:19" s="18" customFormat="1" x14ac:dyDescent="0.3">
      <c r="B26" s="44"/>
      <c r="C26" s="18">
        <v>12</v>
      </c>
      <c r="D26" s="19">
        <f xml:space="preserve"> N15</f>
        <v>3358045.4034322449</v>
      </c>
      <c r="E26" s="19">
        <f t="shared" si="1"/>
        <v>12353297.253351679</v>
      </c>
      <c r="F26" s="19">
        <f xml:space="preserve"> H25 + D26 - K26</f>
        <v>56639590.018090144</v>
      </c>
      <c r="G26" s="18">
        <v>1.7999999999999999E-2</v>
      </c>
      <c r="H26" s="19">
        <f t="shared" si="3"/>
        <v>57659102.638415769</v>
      </c>
      <c r="I26" s="19">
        <f xml:space="preserve"> H26</f>
        <v>57659102.638415769</v>
      </c>
      <c r="J26" s="19">
        <f t="shared" si="2"/>
        <v>70012399.891767442</v>
      </c>
      <c r="K26" s="56">
        <v>0</v>
      </c>
      <c r="L26" s="20">
        <f xml:space="preserve"> I26 / 2</f>
        <v>28829551.319207884</v>
      </c>
      <c r="M26" s="64">
        <f xml:space="preserve"> (F15 + SUM(D16:D26)) - SUM(K15:K26)</f>
        <v>50218272.16876594</v>
      </c>
      <c r="N26" s="19">
        <f xml:space="preserve"> H26 - M26</f>
        <v>7440830.469649829</v>
      </c>
      <c r="O26" s="18">
        <v>0.84</v>
      </c>
      <c r="P26" s="19">
        <f xml:space="preserve"> N26 * O26</f>
        <v>6250297.5945058558</v>
      </c>
      <c r="Q26" s="19">
        <f xml:space="preserve"> N26 - P26</f>
        <v>1190532.8751439732</v>
      </c>
      <c r="R26" s="18">
        <f xml:space="preserve"> N26 / M26 * 100</f>
        <v>14.816978259713547</v>
      </c>
      <c r="S26" s="19"/>
    </row>
    <row r="27" spans="1:19" s="8" customFormat="1" x14ac:dyDescent="0.3">
      <c r="A27" s="8">
        <v>3</v>
      </c>
      <c r="B27" s="44">
        <v>2024</v>
      </c>
      <c r="C27" s="8">
        <v>1</v>
      </c>
      <c r="D27" s="9">
        <f>N27</f>
        <v>4902462.609933991</v>
      </c>
      <c r="E27" s="47">
        <f t="shared" si="1"/>
        <v>12982856.603912009</v>
      </c>
      <c r="F27" s="11">
        <f xml:space="preserve"> (I26 / 2) + D27 - K27</f>
        <v>33732013.929141879</v>
      </c>
      <c r="G27" s="8">
        <v>1.7999999999999999E-2</v>
      </c>
      <c r="H27" s="9">
        <f xml:space="preserve"> (F27 * G27) + F27</f>
        <v>34339190.179866433</v>
      </c>
      <c r="I27" s="9"/>
      <c r="J27" s="9">
        <f xml:space="preserve"> E27 + H27</f>
        <v>47322046.783778444</v>
      </c>
      <c r="K27" s="53">
        <v>0</v>
      </c>
      <c r="L27" s="10"/>
      <c r="M27" s="61"/>
      <c r="N27" s="11">
        <f xml:space="preserve"> (L26 / 12) +2500000</f>
        <v>4902462.609933991</v>
      </c>
      <c r="P27" s="9">
        <f xml:space="preserve"> (H26 / 2 )</f>
        <v>28829551.319207884</v>
      </c>
      <c r="S27" s="9"/>
    </row>
    <row r="28" spans="1:19" s="48" customFormat="1" x14ac:dyDescent="0.3">
      <c r="B28" s="44"/>
      <c r="C28" s="48">
        <v>2</v>
      </c>
      <c r="D28" s="47">
        <f>N27</f>
        <v>4902462.609933991</v>
      </c>
      <c r="E28" s="47">
        <f t="shared" si="1"/>
        <v>13623748.022782424</v>
      </c>
      <c r="F28" s="47">
        <f xml:space="preserve"> H27 + D28 - K28</f>
        <v>39241652.78980042</v>
      </c>
      <c r="G28" s="48">
        <v>1.7999999999999999E-2</v>
      </c>
      <c r="H28" s="47">
        <f xml:space="preserve"> (F28 * G28) + F28</f>
        <v>39948002.54001683</v>
      </c>
      <c r="I28" s="47"/>
      <c r="J28" s="9">
        <f t="shared" ref="J28:J91" si="4" xml:space="preserve"> E28 + H28</f>
        <v>53571750.562799253</v>
      </c>
      <c r="K28" s="55">
        <v>0</v>
      </c>
      <c r="L28" s="49"/>
      <c r="M28" s="63"/>
      <c r="S28" s="47"/>
    </row>
    <row r="29" spans="1:19" s="8" customFormat="1" x14ac:dyDescent="0.3">
      <c r="B29" s="44"/>
      <c r="C29" s="8">
        <v>3</v>
      </c>
      <c r="D29" s="9">
        <f>N27</f>
        <v>4902462.609933991</v>
      </c>
      <c r="E29" s="47">
        <f t="shared" si="1"/>
        <v>14276175.487192508</v>
      </c>
      <c r="F29" s="9">
        <f xml:space="preserve"> H28 + D29 - K29</f>
        <v>44850465.149950817</v>
      </c>
      <c r="G29" s="8">
        <v>1.7999999999999999E-2</v>
      </c>
      <c r="H29" s="9">
        <f xml:space="preserve"> (F29 * G29) + F29</f>
        <v>45657773.522649929</v>
      </c>
      <c r="I29" s="9"/>
      <c r="J29" s="9">
        <f t="shared" si="4"/>
        <v>59933949.00984244</v>
      </c>
      <c r="K29" s="53">
        <v>0</v>
      </c>
      <c r="L29" s="10"/>
      <c r="M29" s="61"/>
      <c r="S29" s="9"/>
    </row>
    <row r="30" spans="1:19" s="8" customFormat="1" x14ac:dyDescent="0.3">
      <c r="B30" s="44"/>
      <c r="C30" s="8">
        <v>4</v>
      </c>
      <c r="D30" s="9">
        <f>N27</f>
        <v>4902462.609933991</v>
      </c>
      <c r="E30" s="47">
        <f t="shared" si="1"/>
        <v>14940346.645961974</v>
      </c>
      <c r="F30" s="9">
        <f xml:space="preserve"> H29 + D30 - K30</f>
        <v>50560236.132583916</v>
      </c>
      <c r="G30" s="8">
        <v>1.7999999999999999E-2</v>
      </c>
      <c r="H30" s="9">
        <f t="shared" ref="H30:H93" si="5" xml:space="preserve"> (F30 * G30) + F30</f>
        <v>51470320.38297043</v>
      </c>
      <c r="I30" s="9"/>
      <c r="J30" s="9">
        <f t="shared" si="4"/>
        <v>66410667.028932407</v>
      </c>
      <c r="K30" s="53">
        <v>0</v>
      </c>
      <c r="L30" s="10"/>
      <c r="M30" s="61"/>
      <c r="S30" s="9"/>
    </row>
    <row r="31" spans="1:19" s="8" customFormat="1" x14ac:dyDescent="0.3">
      <c r="B31" s="44"/>
      <c r="C31" s="8">
        <v>5</v>
      </c>
      <c r="D31" s="9">
        <f>N27</f>
        <v>4902462.609933991</v>
      </c>
      <c r="E31" s="47">
        <f t="shared" si="1"/>
        <v>15616472.885589289</v>
      </c>
      <c r="F31" s="9">
        <f xml:space="preserve"> H30 + D31 - K31</f>
        <v>55182250.11776045</v>
      </c>
      <c r="G31" s="8">
        <v>1.7999999999999999E-2</v>
      </c>
      <c r="H31" s="9">
        <f t="shared" si="5"/>
        <v>56175530.61988014</v>
      </c>
      <c r="I31" s="9"/>
      <c r="J31" s="9">
        <f t="shared" si="4"/>
        <v>71792003.505469427</v>
      </c>
      <c r="K31" s="53">
        <f xml:space="preserve"> Q26</f>
        <v>1190532.8751439732</v>
      </c>
      <c r="L31" s="10"/>
      <c r="M31" s="61"/>
      <c r="S31" s="9"/>
    </row>
    <row r="32" spans="1:19" s="8" customFormat="1" x14ac:dyDescent="0.3">
      <c r="B32" s="44"/>
      <c r="C32" s="8">
        <v>6</v>
      </c>
      <c r="D32" s="9">
        <f>N27</f>
        <v>4902462.609933991</v>
      </c>
      <c r="E32" s="47">
        <f t="shared" si="1"/>
        <v>16304769.397529896</v>
      </c>
      <c r="F32" s="9">
        <f xml:space="preserve"> H31 + D32 - K32</f>
        <v>61077993.229814127</v>
      </c>
      <c r="G32" s="8">
        <v>1.7999999999999999E-2</v>
      </c>
      <c r="H32" s="9">
        <f t="shared" si="5"/>
        <v>62177397.107950784</v>
      </c>
      <c r="I32" s="9"/>
      <c r="J32" s="9">
        <f t="shared" si="4"/>
        <v>78482166.505480677</v>
      </c>
      <c r="K32" s="53">
        <v>0</v>
      </c>
      <c r="L32" s="10"/>
      <c r="M32" s="61"/>
      <c r="S32" s="9"/>
    </row>
    <row r="33" spans="1:19" s="8" customFormat="1" x14ac:dyDescent="0.3">
      <c r="B33" s="44"/>
      <c r="C33" s="8">
        <v>7</v>
      </c>
      <c r="D33" s="9">
        <f>N27</f>
        <v>4902462.609933991</v>
      </c>
      <c r="E33" s="47">
        <f t="shared" si="1"/>
        <v>17005455.246685434</v>
      </c>
      <c r="F33" s="9">
        <f xml:space="preserve"> H32 + D33 - K33</f>
        <v>67079859.717884779</v>
      </c>
      <c r="G33" s="8">
        <v>1.7999999999999999E-2</v>
      </c>
      <c r="H33" s="9">
        <f t="shared" si="5"/>
        <v>68287297.192806706</v>
      </c>
      <c r="I33" s="9"/>
      <c r="J33" s="9">
        <f t="shared" si="4"/>
        <v>85292752.439492136</v>
      </c>
      <c r="K33" s="53">
        <v>0</v>
      </c>
      <c r="L33" s="10"/>
      <c r="M33" s="61"/>
      <c r="S33" s="9"/>
    </row>
    <row r="34" spans="1:19" s="8" customFormat="1" x14ac:dyDescent="0.3">
      <c r="B34" s="44"/>
      <c r="C34" s="8">
        <v>8</v>
      </c>
      <c r="D34" s="9">
        <f>N27</f>
        <v>4902462.609933991</v>
      </c>
      <c r="E34" s="47">
        <f t="shared" si="1"/>
        <v>17718753.441125773</v>
      </c>
      <c r="F34" s="9">
        <f xml:space="preserve"> H33 + D34 - K34</f>
        <v>73189759.802740693</v>
      </c>
      <c r="G34" s="8">
        <v>1.7999999999999999E-2</v>
      </c>
      <c r="H34" s="9">
        <f t="shared" si="5"/>
        <v>74507175.479190022</v>
      </c>
      <c r="I34" s="9"/>
      <c r="J34" s="9">
        <f t="shared" si="4"/>
        <v>92225928.920315802</v>
      </c>
      <c r="K34" s="53">
        <v>0</v>
      </c>
      <c r="L34" s="10"/>
      <c r="M34" s="61"/>
      <c r="S34" s="9"/>
    </row>
    <row r="35" spans="1:19" s="8" customFormat="1" x14ac:dyDescent="0.3">
      <c r="B35" s="44"/>
      <c r="C35" s="8">
        <v>9</v>
      </c>
      <c r="D35" s="9">
        <f>N27</f>
        <v>4902462.609933991</v>
      </c>
      <c r="E35" s="47">
        <f t="shared" si="1"/>
        <v>18444891.003066037</v>
      </c>
      <c r="F35" s="9">
        <f xml:space="preserve"> H34 + D35 - K35</f>
        <v>79409638.089124009</v>
      </c>
      <c r="G35" s="8">
        <v>1.7999999999999999E-2</v>
      </c>
      <c r="H35" s="9">
        <f t="shared" si="5"/>
        <v>80839011.574728236</v>
      </c>
      <c r="I35" s="9"/>
      <c r="J35" s="9">
        <f t="shared" si="4"/>
        <v>99283902.577794269</v>
      </c>
      <c r="K35" s="53">
        <v>0</v>
      </c>
      <c r="L35" s="10"/>
      <c r="M35" s="61"/>
      <c r="S35" s="9"/>
    </row>
    <row r="36" spans="1:19" s="8" customFormat="1" x14ac:dyDescent="0.3">
      <c r="B36" s="44"/>
      <c r="C36" s="8">
        <v>10</v>
      </c>
      <c r="D36" s="9">
        <f>N27</f>
        <v>4902462.609933991</v>
      </c>
      <c r="E36" s="47">
        <f t="shared" si="1"/>
        <v>19184099.041121226</v>
      </c>
      <c r="F36" s="9">
        <f xml:space="preserve"> H35 + D36 - K36</f>
        <v>85741474.184662223</v>
      </c>
      <c r="G36" s="8">
        <v>1.7999999999999999E-2</v>
      </c>
      <c r="H36" s="9">
        <f t="shared" si="5"/>
        <v>87284820.719986141</v>
      </c>
      <c r="I36" s="9"/>
      <c r="J36" s="9">
        <f t="shared" si="4"/>
        <v>106468919.76110737</v>
      </c>
      <c r="K36" s="53">
        <v>0</v>
      </c>
      <c r="L36" s="10"/>
      <c r="M36" s="61"/>
      <c r="S36" s="9"/>
    </row>
    <row r="37" spans="1:19" s="8" customFormat="1" x14ac:dyDescent="0.3">
      <c r="B37" s="44"/>
      <c r="C37" s="8">
        <v>11</v>
      </c>
      <c r="D37" s="9">
        <f>N27</f>
        <v>4902462.609933991</v>
      </c>
      <c r="E37" s="47">
        <f t="shared" si="1"/>
        <v>19936612.823861409</v>
      </c>
      <c r="F37" s="9">
        <f xml:space="preserve"> H36 + D37 - K37</f>
        <v>92187283.329920128</v>
      </c>
      <c r="G37" s="8">
        <v>1.7999999999999999E-2</v>
      </c>
      <c r="H37" s="9">
        <f t="shared" si="5"/>
        <v>93846654.429858685</v>
      </c>
      <c r="I37" s="9"/>
      <c r="J37" s="9">
        <f t="shared" si="4"/>
        <v>113783267.25372009</v>
      </c>
      <c r="K37" s="53">
        <v>0</v>
      </c>
      <c r="L37" s="10"/>
      <c r="M37" s="61"/>
      <c r="S37" s="9"/>
    </row>
    <row r="38" spans="1:19" s="18" customFormat="1" x14ac:dyDescent="0.3">
      <c r="B38" s="44"/>
      <c r="C38" s="18">
        <v>12</v>
      </c>
      <c r="D38" s="19">
        <f>N27</f>
        <v>4902462.609933991</v>
      </c>
      <c r="E38" s="19">
        <f t="shared" si="1"/>
        <v>20702671.854690913</v>
      </c>
      <c r="F38" s="19">
        <f xml:space="preserve"> H37 + D38 - K38</f>
        <v>98749117.039792672</v>
      </c>
      <c r="G38" s="18">
        <v>1.7999999999999999E-2</v>
      </c>
      <c r="H38" s="19">
        <f t="shared" si="5"/>
        <v>100526601.14650895</v>
      </c>
      <c r="I38" s="19">
        <f xml:space="preserve"> H38</f>
        <v>100526601.14650895</v>
      </c>
      <c r="J38" s="19">
        <f t="shared" si="4"/>
        <v>121229273.00119986</v>
      </c>
      <c r="K38" s="56">
        <v>0</v>
      </c>
      <c r="L38" s="20">
        <f xml:space="preserve"> I38 / 2</f>
        <v>50263300.573254474</v>
      </c>
      <c r="M38" s="64">
        <f xml:space="preserve"> (F27 + SUM(D28:D38)) - SUM(K27:K38)</f>
        <v>86468569.763271794</v>
      </c>
      <c r="N38" s="19">
        <f xml:space="preserve"> H38 - M38</f>
        <v>14058031.383237153</v>
      </c>
      <c r="O38" s="18">
        <v>0.84</v>
      </c>
      <c r="P38" s="19">
        <f xml:space="preserve"> N38 * O38</f>
        <v>11808746.361919207</v>
      </c>
      <c r="Q38" s="19">
        <f xml:space="preserve"> N38 - P38</f>
        <v>2249285.0213179458</v>
      </c>
      <c r="R38" s="18">
        <f xml:space="preserve"> N38 / M38 * 100</f>
        <v>16.257966821614311</v>
      </c>
      <c r="S38" s="19"/>
    </row>
    <row r="39" spans="1:19" s="8" customFormat="1" x14ac:dyDescent="0.3">
      <c r="A39" s="8">
        <v>4</v>
      </c>
      <c r="B39" s="44">
        <v>2025</v>
      </c>
      <c r="C39" s="8">
        <v>1</v>
      </c>
      <c r="D39" s="9">
        <f>N39</f>
        <v>6688608.3811045401</v>
      </c>
      <c r="E39" s="47">
        <f t="shared" si="1"/>
        <v>21482519.94807535</v>
      </c>
      <c r="F39" s="9">
        <f xml:space="preserve"> (H38 / 2) + D39 - K39</f>
        <v>56951908.95435901</v>
      </c>
      <c r="G39" s="8">
        <v>1.7999999999999999E-2</v>
      </c>
      <c r="H39" s="9">
        <f t="shared" si="5"/>
        <v>57977043.315537475</v>
      </c>
      <c r="I39" s="9"/>
      <c r="J39" s="9">
        <f t="shared" si="4"/>
        <v>79459563.263612822</v>
      </c>
      <c r="K39" s="53">
        <v>0</v>
      </c>
      <c r="L39" s="10"/>
      <c r="M39" s="61"/>
      <c r="N39" s="11">
        <f xml:space="preserve"> (L38 / 12) +2500000</f>
        <v>6688608.3811045401</v>
      </c>
      <c r="P39" s="9">
        <f xml:space="preserve"> (H38 / 2 )</f>
        <v>50263300.573254474</v>
      </c>
      <c r="S39" s="9"/>
    </row>
    <row r="40" spans="1:19" s="8" customFormat="1" x14ac:dyDescent="0.3">
      <c r="B40" s="44"/>
      <c r="C40" s="8">
        <v>2</v>
      </c>
      <c r="D40" s="9">
        <f>N39</f>
        <v>6688608.3811045401</v>
      </c>
      <c r="E40" s="47">
        <f t="shared" si="1"/>
        <v>22276405.307140708</v>
      </c>
      <c r="F40" s="9">
        <f xml:space="preserve"> H39 + D40 - K40</f>
        <v>64665651.696642011</v>
      </c>
      <c r="G40" s="8">
        <v>1.7999999999999999E-2</v>
      </c>
      <c r="H40" s="9">
        <f t="shared" si="5"/>
        <v>65829633.427181564</v>
      </c>
      <c r="I40" s="9"/>
      <c r="J40" s="9">
        <f t="shared" si="4"/>
        <v>88106038.73432228</v>
      </c>
      <c r="K40" s="53">
        <v>0</v>
      </c>
      <c r="L40" s="10"/>
      <c r="M40" s="61"/>
      <c r="S40" s="9"/>
    </row>
    <row r="41" spans="1:19" s="8" customFormat="1" x14ac:dyDescent="0.3">
      <c r="B41" s="44"/>
      <c r="C41" s="8">
        <v>3</v>
      </c>
      <c r="D41" s="9">
        <f>N39</f>
        <v>6688608.3811045401</v>
      </c>
      <c r="E41" s="47">
        <f t="shared" si="1"/>
        <v>23084580.602669239</v>
      </c>
      <c r="F41" s="9">
        <f xml:space="preserve"> H40 + D41 - K41</f>
        <v>72518241.808286101</v>
      </c>
      <c r="G41" s="8">
        <v>1.7999999999999999E-2</v>
      </c>
      <c r="H41" s="9">
        <f t="shared" si="5"/>
        <v>73823570.160835251</v>
      </c>
      <c r="I41" s="9"/>
      <c r="J41" s="9">
        <f t="shared" si="4"/>
        <v>96908150.76350449</v>
      </c>
      <c r="K41" s="53">
        <v>0</v>
      </c>
      <c r="L41" s="10"/>
      <c r="M41" s="61"/>
      <c r="S41" s="9"/>
    </row>
    <row r="42" spans="1:19" s="8" customFormat="1" x14ac:dyDescent="0.3">
      <c r="B42" s="44"/>
      <c r="C42" s="8">
        <v>4</v>
      </c>
      <c r="D42" s="9">
        <f>N39</f>
        <v>6688608.3811045401</v>
      </c>
      <c r="E42" s="47">
        <f t="shared" si="1"/>
        <v>23907303.053517286</v>
      </c>
      <c r="F42" s="9">
        <f xml:space="preserve"> H41 + D42 - K42</f>
        <v>80512178.541939795</v>
      </c>
      <c r="G42" s="8">
        <v>1.7999999999999999E-2</v>
      </c>
      <c r="H42" s="9">
        <f t="shared" si="5"/>
        <v>81961397.755694717</v>
      </c>
      <c r="I42" s="9"/>
      <c r="J42" s="9">
        <f t="shared" si="4"/>
        <v>105868700.809212</v>
      </c>
      <c r="K42" s="53">
        <v>0</v>
      </c>
      <c r="L42" s="10"/>
      <c r="M42" s="61"/>
      <c r="S42" s="9"/>
    </row>
    <row r="43" spans="1:19" s="8" customFormat="1" x14ac:dyDescent="0.3">
      <c r="B43" s="44"/>
      <c r="C43" s="8">
        <v>5</v>
      </c>
      <c r="D43" s="9">
        <f>N39</f>
        <v>6688608.3811045401</v>
      </c>
      <c r="E43" s="47">
        <f t="shared" si="1"/>
        <v>24744834.508480597</v>
      </c>
      <c r="F43" s="9">
        <f xml:space="preserve"> H42 + D43 - K43</f>
        <v>86400721.115481317</v>
      </c>
      <c r="G43" s="8">
        <v>1.7999999999999999E-2</v>
      </c>
      <c r="H43" s="9">
        <f t="shared" si="5"/>
        <v>87955934.095559984</v>
      </c>
      <c r="I43" s="9"/>
      <c r="J43" s="9">
        <f t="shared" si="4"/>
        <v>112700768.60404058</v>
      </c>
      <c r="K43" s="53">
        <f xml:space="preserve"> Q38</f>
        <v>2249285.0213179458</v>
      </c>
      <c r="L43" s="10"/>
      <c r="M43" s="61"/>
      <c r="S43" s="9"/>
    </row>
    <row r="44" spans="1:19" s="8" customFormat="1" x14ac:dyDescent="0.3">
      <c r="B44" s="44"/>
      <c r="C44" s="8">
        <v>6</v>
      </c>
      <c r="D44" s="9">
        <f>N39</f>
        <v>6688608.3811045401</v>
      </c>
      <c r="E44" s="47">
        <f t="shared" si="1"/>
        <v>25597441.529633246</v>
      </c>
      <c r="F44" s="9">
        <f xml:space="preserve"> H43 + D44 - K44</f>
        <v>94644542.476664528</v>
      </c>
      <c r="G44" s="8">
        <v>1.7999999999999999E-2</v>
      </c>
      <c r="H44" s="9">
        <f t="shared" si="5"/>
        <v>96348144.241244495</v>
      </c>
      <c r="I44" s="9"/>
      <c r="J44" s="9">
        <f t="shared" si="4"/>
        <v>121945585.77087775</v>
      </c>
      <c r="K44" s="53">
        <v>0</v>
      </c>
      <c r="L44" s="10"/>
      <c r="M44" s="61"/>
      <c r="S44" s="9"/>
    </row>
    <row r="45" spans="1:19" s="8" customFormat="1" x14ac:dyDescent="0.3">
      <c r="B45" s="44"/>
      <c r="C45" s="8">
        <v>7</v>
      </c>
      <c r="D45" s="9">
        <f>N39</f>
        <v>6688608.3811045401</v>
      </c>
      <c r="E45" s="47">
        <f t="shared" si="1"/>
        <v>26465395.477166645</v>
      </c>
      <c r="F45" s="9">
        <f xml:space="preserve"> H44 + D45 - K45</f>
        <v>103036752.62234904</v>
      </c>
      <c r="G45" s="8">
        <v>1.7999999999999999E-2</v>
      </c>
      <c r="H45" s="9">
        <f t="shared" si="5"/>
        <v>104891414.16955133</v>
      </c>
      <c r="I45" s="9"/>
      <c r="J45" s="9">
        <f t="shared" si="4"/>
        <v>131356809.64671797</v>
      </c>
      <c r="K45" s="53">
        <v>0</v>
      </c>
      <c r="L45" s="10"/>
      <c r="M45" s="61"/>
      <c r="S45" s="9"/>
    </row>
    <row r="46" spans="1:19" s="8" customFormat="1" x14ac:dyDescent="0.3">
      <c r="B46" s="44"/>
      <c r="C46" s="8">
        <v>8</v>
      </c>
      <c r="D46" s="9">
        <f>N39</f>
        <v>6688608.3811045401</v>
      </c>
      <c r="E46" s="47">
        <f t="shared" si="1"/>
        <v>27348972.595755644</v>
      </c>
      <c r="F46" s="9">
        <f xml:space="preserve"> H45 + D46 - K46</f>
        <v>111580022.55065587</v>
      </c>
      <c r="G46" s="8">
        <v>1.7999999999999999E-2</v>
      </c>
      <c r="H46" s="9">
        <f t="shared" si="5"/>
        <v>113588462.95656767</v>
      </c>
      <c r="I46" s="9"/>
      <c r="J46" s="9">
        <f t="shared" si="4"/>
        <v>140937435.55232331</v>
      </c>
      <c r="K46" s="53">
        <v>0</v>
      </c>
      <c r="L46" s="10"/>
      <c r="M46" s="61"/>
      <c r="S46" s="9"/>
    </row>
    <row r="47" spans="1:19" s="8" customFormat="1" x14ac:dyDescent="0.3">
      <c r="B47" s="44"/>
      <c r="C47" s="8">
        <v>9</v>
      </c>
      <c r="D47" s="9">
        <f>N39</f>
        <v>6688608.3811045401</v>
      </c>
      <c r="E47" s="47">
        <f t="shared" si="1"/>
        <v>28248454.102479246</v>
      </c>
      <c r="F47" s="9">
        <f xml:space="preserve"> H46 + D47 - K47</f>
        <v>120277071.33767222</v>
      </c>
      <c r="G47" s="8">
        <v>1.7999999999999999E-2</v>
      </c>
      <c r="H47" s="9">
        <f t="shared" si="5"/>
        <v>122442058.62175032</v>
      </c>
      <c r="I47" s="9"/>
      <c r="J47" s="9">
        <f t="shared" si="4"/>
        <v>150690512.72422957</v>
      </c>
      <c r="K47" s="53">
        <v>0</v>
      </c>
      <c r="L47" s="10"/>
      <c r="M47" s="61"/>
      <c r="S47" s="9"/>
    </row>
    <row r="48" spans="1:19" s="8" customFormat="1" x14ac:dyDescent="0.3">
      <c r="B48" s="44"/>
      <c r="C48" s="8">
        <v>10</v>
      </c>
      <c r="D48" s="9">
        <f>N39</f>
        <v>6688608.3811045401</v>
      </c>
      <c r="E48" s="47">
        <f t="shared" si="1"/>
        <v>29164126.276323874</v>
      </c>
      <c r="F48" s="9">
        <f xml:space="preserve"> H47 + D48 - K48</f>
        <v>129130667.00285487</v>
      </c>
      <c r="G48" s="8">
        <v>1.7999999999999999E-2</v>
      </c>
      <c r="H48" s="9">
        <f t="shared" si="5"/>
        <v>131455019.00890626</v>
      </c>
      <c r="I48" s="9"/>
      <c r="J48" s="9">
        <f t="shared" si="4"/>
        <v>160619145.28523013</v>
      </c>
      <c r="K48" s="53">
        <v>0</v>
      </c>
      <c r="L48" s="10"/>
      <c r="M48" s="61"/>
      <c r="S48" s="9"/>
    </row>
    <row r="49" spans="1:19" s="8" customFormat="1" x14ac:dyDescent="0.3">
      <c r="B49" s="44"/>
      <c r="C49" s="8">
        <v>11</v>
      </c>
      <c r="D49" s="9">
        <f>N39</f>
        <v>6688608.3811045401</v>
      </c>
      <c r="E49" s="47">
        <f t="shared" si="1"/>
        <v>30096280.549297702</v>
      </c>
      <c r="F49" s="9">
        <f xml:space="preserve"> H48 + D49 - K49</f>
        <v>138143627.3900108</v>
      </c>
      <c r="G49" s="8">
        <v>1.7999999999999999E-2</v>
      </c>
      <c r="H49" s="9">
        <f t="shared" si="5"/>
        <v>140630212.68303099</v>
      </c>
      <c r="I49" s="9"/>
      <c r="J49" s="9">
        <f t="shared" si="4"/>
        <v>170726493.23232868</v>
      </c>
      <c r="K49" s="53">
        <v>0</v>
      </c>
      <c r="L49" s="10"/>
      <c r="M49" s="61"/>
      <c r="S49" s="9"/>
    </row>
    <row r="50" spans="1:19" s="18" customFormat="1" x14ac:dyDescent="0.3">
      <c r="B50" s="44"/>
      <c r="C50" s="18">
        <v>12</v>
      </c>
      <c r="D50" s="19">
        <f>N39</f>
        <v>6688608.3811045401</v>
      </c>
      <c r="E50" s="19">
        <f t="shared" si="1"/>
        <v>31045213.599185061</v>
      </c>
      <c r="F50" s="19">
        <f xml:space="preserve"> H49 + D50 - K50</f>
        <v>147318821.06413552</v>
      </c>
      <c r="G50" s="18">
        <v>1.7999999999999999E-2</v>
      </c>
      <c r="H50" s="19">
        <f t="shared" si="5"/>
        <v>149970559.84328997</v>
      </c>
      <c r="I50" s="19">
        <f xml:space="preserve"> H50</f>
        <v>149970559.84328997</v>
      </c>
      <c r="J50" s="19">
        <f t="shared" si="4"/>
        <v>181015773.44247502</v>
      </c>
      <c r="K50" s="56">
        <v>0</v>
      </c>
      <c r="L50" s="20">
        <f xml:space="preserve"> I50 / 2</f>
        <v>74985279.921644986</v>
      </c>
      <c r="M50" s="64">
        <f xml:space="preserve"> (F39 + SUM(D40:D50)) - SUM(K40:K50)</f>
        <v>128277316.12519102</v>
      </c>
      <c r="N50" s="19">
        <f xml:space="preserve"> H50 - M50</f>
        <v>21693243.718098953</v>
      </c>
      <c r="O50" s="18">
        <v>0.84</v>
      </c>
      <c r="P50" s="19">
        <f xml:space="preserve"> N50 * O50</f>
        <v>18222324.723203119</v>
      </c>
      <c r="Q50" s="19">
        <f xml:space="preserve"> N50 - P50</f>
        <v>3470918.9948958345</v>
      </c>
      <c r="R50" s="18">
        <f xml:space="preserve"> N50 / M50 * 100</f>
        <v>16.911207977665857</v>
      </c>
      <c r="S50" s="19"/>
    </row>
    <row r="51" spans="1:19" s="8" customFormat="1" x14ac:dyDescent="0.3">
      <c r="A51" s="8">
        <v>5</v>
      </c>
      <c r="B51" s="44">
        <v>2026</v>
      </c>
      <c r="C51" s="8">
        <v>1</v>
      </c>
      <c r="D51" s="9">
        <f xml:space="preserve"> N51</f>
        <v>8748773.3268037476</v>
      </c>
      <c r="E51" s="47">
        <f t="shared" si="1"/>
        <v>32011227.443970393</v>
      </c>
      <c r="F51" s="9">
        <f xml:space="preserve"> (H50 / 2) + D51 - K51</f>
        <v>83734053.24844873</v>
      </c>
      <c r="G51" s="8">
        <v>1.7999999999999999E-2</v>
      </c>
      <c r="H51" s="9">
        <f t="shared" si="5"/>
        <v>85241266.206920803</v>
      </c>
      <c r="I51" s="9"/>
      <c r="J51" s="9">
        <f t="shared" si="4"/>
        <v>117252493.6508912</v>
      </c>
      <c r="K51" s="53">
        <v>0</v>
      </c>
      <c r="L51" s="10"/>
      <c r="M51" s="61"/>
      <c r="N51" s="11">
        <f xml:space="preserve"> (L50 / 12) +2500000</f>
        <v>8748773.3268037476</v>
      </c>
      <c r="P51" s="9">
        <f xml:space="preserve"> (H50 / 2 )</f>
        <v>74985279.921644986</v>
      </c>
      <c r="S51" s="9"/>
    </row>
    <row r="52" spans="1:19" s="8" customFormat="1" x14ac:dyDescent="0.3">
      <c r="B52" s="44"/>
      <c r="C52" s="8">
        <v>2</v>
      </c>
      <c r="D52" s="9">
        <f xml:space="preserve"> N51</f>
        <v>8748773.3268037476</v>
      </c>
      <c r="E52" s="47">
        <f t="shared" si="1"/>
        <v>32994629.537961859</v>
      </c>
      <c r="F52" s="9">
        <f xml:space="preserve"> H51 + D52 - K52</f>
        <v>93990039.533724546</v>
      </c>
      <c r="G52" s="8">
        <v>1.7999999999999999E-2</v>
      </c>
      <c r="H52" s="9">
        <f t="shared" si="5"/>
        <v>95681860.245331585</v>
      </c>
      <c r="I52" s="9"/>
      <c r="J52" s="9">
        <f t="shared" si="4"/>
        <v>128676489.78329344</v>
      </c>
      <c r="K52" s="53">
        <v>0</v>
      </c>
      <c r="L52" s="10"/>
      <c r="M52" s="61"/>
      <c r="S52" s="9"/>
    </row>
    <row r="53" spans="1:19" s="8" customFormat="1" x14ac:dyDescent="0.3">
      <c r="B53" s="44"/>
      <c r="C53" s="8">
        <v>3</v>
      </c>
      <c r="D53" s="9">
        <f xml:space="preserve"> N51</f>
        <v>8748773.3268037476</v>
      </c>
      <c r="E53" s="47">
        <f t="shared" si="1"/>
        <v>33995732.869645171</v>
      </c>
      <c r="F53" s="9">
        <f xml:space="preserve"> H52 + D53 - K53</f>
        <v>104430633.57213533</v>
      </c>
      <c r="G53" s="8">
        <v>1.7999999999999999E-2</v>
      </c>
      <c r="H53" s="9">
        <f t="shared" si="5"/>
        <v>106310384.97643377</v>
      </c>
      <c r="I53" s="9"/>
      <c r="J53" s="9">
        <f t="shared" si="4"/>
        <v>140306117.84607893</v>
      </c>
      <c r="K53" s="53">
        <v>0</v>
      </c>
      <c r="L53" s="10"/>
      <c r="M53" s="61"/>
      <c r="S53" s="9"/>
    </row>
    <row r="54" spans="1:19" s="8" customFormat="1" x14ac:dyDescent="0.3">
      <c r="B54" s="44"/>
      <c r="C54" s="8">
        <v>4</v>
      </c>
      <c r="D54" s="9">
        <f xml:space="preserve"> N51</f>
        <v>8748773.3268037476</v>
      </c>
      <c r="E54" s="47">
        <f t="shared" si="1"/>
        <v>35014856.061298788</v>
      </c>
      <c r="F54" s="9">
        <f xml:space="preserve"> H53 + D54 - K54</f>
        <v>115059158.30323751</v>
      </c>
      <c r="G54" s="8">
        <v>1.7999999999999999E-2</v>
      </c>
      <c r="H54" s="9">
        <f t="shared" si="5"/>
        <v>117130223.15269579</v>
      </c>
      <c r="I54" s="9"/>
      <c r="J54" s="9">
        <f t="shared" si="4"/>
        <v>152145079.21399456</v>
      </c>
      <c r="K54" s="53">
        <v>0</v>
      </c>
      <c r="L54" s="10"/>
      <c r="M54" s="61"/>
      <c r="S54" s="9"/>
    </row>
    <row r="55" spans="1:19" s="8" customFormat="1" x14ac:dyDescent="0.3">
      <c r="B55" s="44"/>
      <c r="C55" s="8">
        <v>5</v>
      </c>
      <c r="D55" s="9">
        <f xml:space="preserve"> N51</f>
        <v>8748773.3268037476</v>
      </c>
      <c r="E55" s="47">
        <f t="shared" si="1"/>
        <v>36052323.470402166</v>
      </c>
      <c r="F55" s="9">
        <f xml:space="preserve"> H54 + D55 - K55</f>
        <v>122408077.4846037</v>
      </c>
      <c r="G55" s="8">
        <v>1.7999999999999999E-2</v>
      </c>
      <c r="H55" s="9">
        <f t="shared" si="5"/>
        <v>124611422.87932657</v>
      </c>
      <c r="I55" s="9"/>
      <c r="J55" s="9">
        <f t="shared" si="4"/>
        <v>160663746.34972873</v>
      </c>
      <c r="K55" s="53">
        <f xml:space="preserve"> Q50</f>
        <v>3470918.9948958345</v>
      </c>
      <c r="L55" s="10"/>
      <c r="M55" s="61"/>
      <c r="S55" s="9"/>
    </row>
    <row r="56" spans="1:19" s="8" customFormat="1" x14ac:dyDescent="0.3">
      <c r="B56" s="44"/>
      <c r="C56" s="8">
        <v>6</v>
      </c>
      <c r="D56" s="9">
        <f xml:space="preserve"> N51</f>
        <v>8748773.3268037476</v>
      </c>
      <c r="E56" s="47">
        <f t="shared" si="1"/>
        <v>37108465.292869404</v>
      </c>
      <c r="F56" s="9">
        <f xml:space="preserve"> H55 + D56 - K56</f>
        <v>133360196.20613031</v>
      </c>
      <c r="G56" s="8">
        <v>1.7999999999999999E-2</v>
      </c>
      <c r="H56" s="9">
        <f t="shared" si="5"/>
        <v>135760679.73784065</v>
      </c>
      <c r="I56" s="9"/>
      <c r="J56" s="9">
        <f t="shared" si="4"/>
        <v>172869145.03071004</v>
      </c>
      <c r="K56" s="53">
        <v>0</v>
      </c>
      <c r="L56" s="10"/>
      <c r="M56" s="61"/>
      <c r="S56" s="9"/>
    </row>
    <row r="57" spans="1:19" s="8" customFormat="1" x14ac:dyDescent="0.3">
      <c r="B57" s="44"/>
      <c r="C57" s="8">
        <v>7</v>
      </c>
      <c r="D57" s="9">
        <f xml:space="preserve"> N51</f>
        <v>8748773.3268037476</v>
      </c>
      <c r="E57" s="47">
        <f t="shared" si="1"/>
        <v>38183617.668141052</v>
      </c>
      <c r="F57" s="9">
        <f xml:space="preserve"> H56 + D57 - K57</f>
        <v>144509453.0646444</v>
      </c>
      <c r="G57" s="8">
        <v>1.7999999999999999E-2</v>
      </c>
      <c r="H57" s="9">
        <f t="shared" si="5"/>
        <v>147110623.21980798</v>
      </c>
      <c r="I57" s="9"/>
      <c r="J57" s="9">
        <f t="shared" si="4"/>
        <v>185294240.88794905</v>
      </c>
      <c r="K57" s="53">
        <v>0</v>
      </c>
      <c r="L57" s="10"/>
      <c r="M57" s="61"/>
      <c r="S57" s="9"/>
    </row>
    <row r="58" spans="1:19" s="8" customFormat="1" x14ac:dyDescent="0.3">
      <c r="B58" s="44"/>
      <c r="C58" s="8">
        <v>8</v>
      </c>
      <c r="D58" s="9">
        <f xml:space="preserve"> N51</f>
        <v>8748773.3268037476</v>
      </c>
      <c r="E58" s="47">
        <f t="shared" si="1"/>
        <v>39278122.786167592</v>
      </c>
      <c r="F58" s="9">
        <f xml:space="preserve"> H57 + D58 - K58</f>
        <v>155859396.54661173</v>
      </c>
      <c r="G58" s="8">
        <v>1.7999999999999999E-2</v>
      </c>
      <c r="H58" s="9">
        <f t="shared" si="5"/>
        <v>158664865.68445075</v>
      </c>
      <c r="I58" s="9"/>
      <c r="J58" s="9">
        <f t="shared" si="4"/>
        <v>197942988.47061834</v>
      </c>
      <c r="K58" s="53">
        <v>0</v>
      </c>
      <c r="L58" s="10"/>
      <c r="M58" s="61"/>
      <c r="S58" s="9"/>
    </row>
    <row r="59" spans="1:19" s="8" customFormat="1" x14ac:dyDescent="0.3">
      <c r="B59" s="44"/>
      <c r="C59" s="8">
        <v>9</v>
      </c>
      <c r="D59" s="9">
        <f xml:space="preserve"> N51</f>
        <v>8748773.3268037476</v>
      </c>
      <c r="E59" s="47">
        <f t="shared" si="1"/>
        <v>40392328.996318609</v>
      </c>
      <c r="F59" s="9">
        <f xml:space="preserve"> H58 + D59 - K59</f>
        <v>167413639.01125449</v>
      </c>
      <c r="G59" s="8">
        <v>1.7999999999999999E-2</v>
      </c>
      <c r="H59" s="9">
        <f t="shared" si="5"/>
        <v>170427084.51345706</v>
      </c>
      <c r="I59" s="9"/>
      <c r="J59" s="9">
        <f t="shared" si="4"/>
        <v>210819413.50977567</v>
      </c>
      <c r="K59" s="53">
        <v>0</v>
      </c>
      <c r="L59" s="10"/>
      <c r="M59" s="61"/>
      <c r="S59" s="9"/>
    </row>
    <row r="60" spans="1:19" s="8" customFormat="1" x14ac:dyDescent="0.3">
      <c r="B60" s="44"/>
      <c r="C60" s="8">
        <v>10</v>
      </c>
      <c r="D60" s="9">
        <f xml:space="preserve"> N51</f>
        <v>8748773.3268037476</v>
      </c>
      <c r="E60" s="47">
        <f t="shared" si="1"/>
        <v>41526590.918252341</v>
      </c>
      <c r="F60" s="9">
        <f xml:space="preserve"> H59 + D60 - K60</f>
        <v>179175857.8402608</v>
      </c>
      <c r="G60" s="8">
        <v>1.7999999999999999E-2</v>
      </c>
      <c r="H60" s="9">
        <f t="shared" si="5"/>
        <v>182401023.28138551</v>
      </c>
      <c r="I60" s="9"/>
      <c r="J60" s="9">
        <f t="shared" si="4"/>
        <v>223927614.19963786</v>
      </c>
      <c r="K60" s="53">
        <v>0</v>
      </c>
      <c r="L60" s="10"/>
      <c r="M60" s="61"/>
      <c r="S60" s="9"/>
    </row>
    <row r="61" spans="1:19" s="8" customFormat="1" x14ac:dyDescent="0.3">
      <c r="B61" s="44"/>
      <c r="C61" s="8">
        <v>11</v>
      </c>
      <c r="D61" s="9">
        <f xml:space="preserve"> N51</f>
        <v>8748773.3268037476</v>
      </c>
      <c r="E61" s="47">
        <f t="shared" si="1"/>
        <v>42681269.554780886</v>
      </c>
      <c r="F61" s="9">
        <f xml:space="preserve"> H60 + D61 - K61</f>
        <v>191149796.60818925</v>
      </c>
      <c r="G61" s="8">
        <v>1.7999999999999999E-2</v>
      </c>
      <c r="H61" s="9">
        <f t="shared" si="5"/>
        <v>194590492.94713667</v>
      </c>
      <c r="I61" s="9"/>
      <c r="J61" s="9">
        <f t="shared" si="4"/>
        <v>237271762.50191754</v>
      </c>
      <c r="K61" s="53">
        <v>0</v>
      </c>
      <c r="L61" s="10"/>
      <c r="M61" s="61"/>
      <c r="S61" s="9"/>
    </row>
    <row r="62" spans="1:19" s="18" customFormat="1" x14ac:dyDescent="0.3">
      <c r="B62" s="44"/>
      <c r="C62" s="18">
        <v>12</v>
      </c>
      <c r="D62" s="19">
        <f xml:space="preserve"> N51</f>
        <v>8748773.3268037476</v>
      </c>
      <c r="E62" s="19">
        <f t="shared" si="1"/>
        <v>43856732.406766944</v>
      </c>
      <c r="F62" s="19">
        <f xml:space="preserve"> H61 + D62 - K62</f>
        <v>203339266.27394041</v>
      </c>
      <c r="G62" s="18">
        <v>1.7999999999999999E-2</v>
      </c>
      <c r="H62" s="19">
        <f t="shared" si="5"/>
        <v>206999373.06687135</v>
      </c>
      <c r="I62" s="19">
        <f xml:space="preserve"> H62</f>
        <v>206999373.06687135</v>
      </c>
      <c r="J62" s="19">
        <f t="shared" si="4"/>
        <v>250856105.4736383</v>
      </c>
      <c r="K62" s="56">
        <v>0</v>
      </c>
      <c r="L62" s="20">
        <f xml:space="preserve"> I62 / 2</f>
        <v>103499686.53343567</v>
      </c>
      <c r="M62" s="64">
        <f xml:space="preserve"> (F51 + SUM(D52:D62)) - SUM(K52:K62)</f>
        <v>176499640.84839407</v>
      </c>
      <c r="N62" s="19">
        <f xml:space="preserve"> H62 - M62</f>
        <v>30499732.218477279</v>
      </c>
      <c r="O62" s="18">
        <v>0.84</v>
      </c>
      <c r="P62" s="19">
        <f xml:space="preserve"> N62 * O62</f>
        <v>25619775.063520912</v>
      </c>
      <c r="Q62" s="19">
        <f xml:space="preserve"> N62 - P62</f>
        <v>4879957.1549563669</v>
      </c>
      <c r="R62" s="18">
        <f xml:space="preserve"> N62 / M62 * 100</f>
        <v>17.280336703163773</v>
      </c>
      <c r="S62" s="19"/>
    </row>
    <row r="63" spans="1:19" s="8" customFormat="1" x14ac:dyDescent="0.3">
      <c r="A63" s="8">
        <v>6</v>
      </c>
      <c r="B63" s="44">
        <v>2027</v>
      </c>
      <c r="C63" s="8">
        <v>1</v>
      </c>
      <c r="D63" s="9">
        <f>N63</f>
        <v>11124973.877786307</v>
      </c>
      <c r="E63" s="47">
        <f t="shared" si="1"/>
        <v>45053353.590088747</v>
      </c>
      <c r="F63" s="9">
        <f xml:space="preserve"> (H62 / 2) + D63 - K63</f>
        <v>114624660.41122198</v>
      </c>
      <c r="G63" s="8">
        <v>1.7999999999999999E-2</v>
      </c>
      <c r="H63" s="9">
        <f t="shared" si="5"/>
        <v>116687904.29862398</v>
      </c>
      <c r="I63" s="9"/>
      <c r="J63" s="9">
        <f t="shared" si="4"/>
        <v>161741257.88871273</v>
      </c>
      <c r="K63" s="53">
        <v>0</v>
      </c>
      <c r="L63" s="10"/>
      <c r="M63" s="61"/>
      <c r="N63" s="11">
        <f xml:space="preserve"> (L62 / 12) +2500000</f>
        <v>11124973.877786307</v>
      </c>
      <c r="P63" s="9">
        <f xml:space="preserve"> (H62 / 2 )</f>
        <v>103499686.53343567</v>
      </c>
      <c r="S63" s="9"/>
    </row>
    <row r="64" spans="1:19" s="8" customFormat="1" x14ac:dyDescent="0.3">
      <c r="B64" s="44"/>
      <c r="C64" s="8">
        <v>2</v>
      </c>
      <c r="D64" s="9">
        <f>N63</f>
        <v>11124973.877786307</v>
      </c>
      <c r="E64" s="47">
        <f t="shared" si="1"/>
        <v>46271513.954710342</v>
      </c>
      <c r="F64" s="9">
        <f xml:space="preserve"> H63 + D64 - K64</f>
        <v>127812878.17641029</v>
      </c>
      <c r="G64" s="8">
        <v>1.7999999999999999E-2</v>
      </c>
      <c r="H64" s="9">
        <f t="shared" si="5"/>
        <v>130113509.98358567</v>
      </c>
      <c r="I64" s="9"/>
      <c r="J64" s="9">
        <f t="shared" si="4"/>
        <v>176385023.93829602</v>
      </c>
      <c r="K64" s="53">
        <v>0</v>
      </c>
      <c r="L64" s="10"/>
      <c r="M64" s="61"/>
      <c r="S64" s="9"/>
    </row>
    <row r="65" spans="1:19" s="8" customFormat="1" x14ac:dyDescent="0.3">
      <c r="B65" s="44"/>
      <c r="C65" s="8">
        <v>3</v>
      </c>
      <c r="D65" s="9">
        <f>N63</f>
        <v>11124973.877786307</v>
      </c>
      <c r="E65" s="47">
        <f t="shared" si="1"/>
        <v>47511601.205895126</v>
      </c>
      <c r="F65" s="9">
        <f xml:space="preserve"> H64 + D65 - K65</f>
        <v>141238483.86137196</v>
      </c>
      <c r="G65" s="8">
        <v>1.7999999999999999E-2</v>
      </c>
      <c r="H65" s="9">
        <f t="shared" si="5"/>
        <v>143780776.57087666</v>
      </c>
      <c r="I65" s="9"/>
      <c r="J65" s="9">
        <f t="shared" si="4"/>
        <v>191292377.77677178</v>
      </c>
      <c r="K65" s="53">
        <v>0</v>
      </c>
      <c r="L65" s="10"/>
      <c r="M65" s="61"/>
      <c r="S65" s="9"/>
    </row>
    <row r="66" spans="1:19" s="8" customFormat="1" x14ac:dyDescent="0.3">
      <c r="B66" s="44"/>
      <c r="C66" s="8">
        <v>4</v>
      </c>
      <c r="D66" s="9">
        <f>N63</f>
        <v>11124973.877786307</v>
      </c>
      <c r="E66" s="47">
        <f t="shared" si="1"/>
        <v>48774010.027601235</v>
      </c>
      <c r="F66" s="9">
        <f xml:space="preserve"> H65 + D66 - K66</f>
        <v>154905750.44866297</v>
      </c>
      <c r="G66" s="8">
        <v>1.7999999999999999E-2</v>
      </c>
      <c r="H66" s="9">
        <f t="shared" si="5"/>
        <v>157694053.95673889</v>
      </c>
      <c r="I66" s="9"/>
      <c r="J66" s="9">
        <f t="shared" si="4"/>
        <v>206468063.98434013</v>
      </c>
      <c r="K66" s="53">
        <v>0</v>
      </c>
      <c r="L66" s="10"/>
      <c r="M66" s="61"/>
      <c r="S66" s="9"/>
    </row>
    <row r="67" spans="1:19" s="8" customFormat="1" x14ac:dyDescent="0.3">
      <c r="B67" s="44"/>
      <c r="C67" s="8">
        <v>5</v>
      </c>
      <c r="D67" s="9">
        <f>N63</f>
        <v>11124973.877786307</v>
      </c>
      <c r="E67" s="47">
        <f t="shared" si="1"/>
        <v>50059142.208098054</v>
      </c>
      <c r="F67" s="9">
        <f xml:space="preserve"> H66 + D67 - K67</f>
        <v>163939070.67956883</v>
      </c>
      <c r="G67" s="8">
        <v>1.7999999999999999E-2</v>
      </c>
      <c r="H67" s="9">
        <f t="shared" si="5"/>
        <v>166889973.95180106</v>
      </c>
      <c r="I67" s="9"/>
      <c r="J67" s="9">
        <f t="shared" si="4"/>
        <v>216949116.15989912</v>
      </c>
      <c r="K67" s="53">
        <f xml:space="preserve"> Q62</f>
        <v>4879957.1549563669</v>
      </c>
      <c r="L67" s="10"/>
      <c r="M67" s="61"/>
      <c r="S67" s="9"/>
    </row>
    <row r="68" spans="1:19" s="8" customFormat="1" x14ac:dyDescent="0.3">
      <c r="B68" s="44"/>
      <c r="C68" s="8">
        <v>6</v>
      </c>
      <c r="D68" s="9">
        <f>N63</f>
        <v>11124973.877786307</v>
      </c>
      <c r="E68" s="47">
        <f t="shared" si="1"/>
        <v>51367406.76784382</v>
      </c>
      <c r="F68" s="9">
        <f xml:space="preserve"> H67 + D68 - K68</f>
        <v>178014947.82958737</v>
      </c>
      <c r="G68" s="8">
        <v>1.7999999999999999E-2</v>
      </c>
      <c r="H68" s="9">
        <f t="shared" si="5"/>
        <v>181219216.89051995</v>
      </c>
      <c r="I68" s="9"/>
      <c r="J68" s="9">
        <f t="shared" si="4"/>
        <v>232586623.65836376</v>
      </c>
      <c r="K68" s="53">
        <f xml:space="preserve"> Q63</f>
        <v>0</v>
      </c>
      <c r="L68" s="10"/>
      <c r="M68" s="61"/>
      <c r="S68" s="9"/>
    </row>
    <row r="69" spans="1:19" s="8" customFormat="1" x14ac:dyDescent="0.3">
      <c r="B69" s="44"/>
      <c r="C69" s="8">
        <v>7</v>
      </c>
      <c r="D69" s="9">
        <f>N63</f>
        <v>11124973.877786307</v>
      </c>
      <c r="E69" s="47">
        <f t="shared" si="1"/>
        <v>52699220.089665011</v>
      </c>
      <c r="F69" s="9">
        <f xml:space="preserve"> H68 + D69 - K69</f>
        <v>192344190.76830626</v>
      </c>
      <c r="G69" s="8">
        <v>1.7999999999999999E-2</v>
      </c>
      <c r="H69" s="9">
        <f t="shared" si="5"/>
        <v>195806386.20213577</v>
      </c>
      <c r="I69" s="9"/>
      <c r="J69" s="9">
        <f t="shared" si="4"/>
        <v>248505606.2918008</v>
      </c>
      <c r="K69" s="53">
        <v>0</v>
      </c>
      <c r="L69" s="10"/>
      <c r="M69" s="61"/>
      <c r="S69" s="9"/>
    </row>
    <row r="70" spans="1:19" s="8" customFormat="1" x14ac:dyDescent="0.3">
      <c r="B70" s="44"/>
      <c r="C70" s="8">
        <v>8</v>
      </c>
      <c r="D70" s="9">
        <f>N63</f>
        <v>11124973.877786307</v>
      </c>
      <c r="E70" s="47">
        <f t="shared" si="1"/>
        <v>54055006.051278979</v>
      </c>
      <c r="F70" s="9">
        <f xml:space="preserve"> H69 + D70 - K70</f>
        <v>206931360.07992208</v>
      </c>
      <c r="G70" s="8">
        <v>1.7999999999999999E-2</v>
      </c>
      <c r="H70" s="9">
        <f t="shared" si="5"/>
        <v>210656124.56136069</v>
      </c>
      <c r="I70" s="9"/>
      <c r="J70" s="9">
        <f t="shared" si="4"/>
        <v>264711130.61263967</v>
      </c>
      <c r="K70" s="53">
        <v>0</v>
      </c>
      <c r="L70" s="10"/>
      <c r="M70" s="61"/>
      <c r="S70" s="9"/>
    </row>
    <row r="71" spans="1:19" s="8" customFormat="1" x14ac:dyDescent="0.3">
      <c r="B71" s="44"/>
      <c r="C71" s="8">
        <v>9</v>
      </c>
      <c r="D71" s="9">
        <f>N63</f>
        <v>11124973.877786307</v>
      </c>
      <c r="E71" s="47">
        <f t="shared" si="1"/>
        <v>55435196.160201997</v>
      </c>
      <c r="F71" s="9">
        <f xml:space="preserve"> H70 + D71 - K71</f>
        <v>221781098.439147</v>
      </c>
      <c r="G71" s="8">
        <v>1.7999999999999999E-2</v>
      </c>
      <c r="H71" s="9">
        <f t="shared" si="5"/>
        <v>225773158.21105164</v>
      </c>
      <c r="I71" s="9"/>
      <c r="J71" s="9">
        <f t="shared" si="4"/>
        <v>281208354.37125361</v>
      </c>
      <c r="K71" s="53">
        <v>0</v>
      </c>
      <c r="L71" s="10"/>
      <c r="M71" s="61"/>
      <c r="S71" s="9"/>
    </row>
    <row r="72" spans="1:19" s="8" customFormat="1" x14ac:dyDescent="0.3">
      <c r="B72" s="44"/>
      <c r="C72" s="8">
        <v>10</v>
      </c>
      <c r="D72" s="9">
        <f>N63</f>
        <v>11124973.877786307</v>
      </c>
      <c r="E72" s="47">
        <f t="shared" si="1"/>
        <v>56840229.691085629</v>
      </c>
      <c r="F72" s="9">
        <f xml:space="preserve"> H71 + D72 - K72</f>
        <v>236898132.08883795</v>
      </c>
      <c r="G72" s="8">
        <v>1.7999999999999999E-2</v>
      </c>
      <c r="H72" s="9">
        <f t="shared" si="5"/>
        <v>241162298.46643704</v>
      </c>
      <c r="I72" s="9"/>
      <c r="J72" s="9">
        <f t="shared" si="4"/>
        <v>298002528.15752268</v>
      </c>
      <c r="K72" s="53">
        <v>0</v>
      </c>
      <c r="L72" s="10"/>
      <c r="M72" s="61"/>
      <c r="S72" s="9"/>
    </row>
    <row r="73" spans="1:19" s="8" customFormat="1" x14ac:dyDescent="0.3">
      <c r="B73" s="44"/>
      <c r="C73" s="8">
        <v>11</v>
      </c>
      <c r="D73" s="9">
        <f>N63</f>
        <v>11124973.877786307</v>
      </c>
      <c r="E73" s="47">
        <f t="shared" si="1"/>
        <v>58270553.825525172</v>
      </c>
      <c r="F73" s="9">
        <f xml:space="preserve"> H72 + D73 - K73</f>
        <v>252287272.34422335</v>
      </c>
      <c r="G73" s="8">
        <v>1.7999999999999999E-2</v>
      </c>
      <c r="H73" s="9">
        <f t="shared" si="5"/>
        <v>256828443.24641937</v>
      </c>
      <c r="I73" s="9"/>
      <c r="J73" s="9">
        <f t="shared" si="4"/>
        <v>315098997.07194453</v>
      </c>
      <c r="K73" s="53">
        <v>0</v>
      </c>
      <c r="L73" s="10"/>
      <c r="M73" s="61"/>
      <c r="S73" s="9"/>
    </row>
    <row r="74" spans="1:19" s="18" customFormat="1" x14ac:dyDescent="0.3">
      <c r="B74" s="44"/>
      <c r="C74" s="18">
        <v>12</v>
      </c>
      <c r="D74" s="19">
        <f>N63</f>
        <v>11124973.877786307</v>
      </c>
      <c r="E74" s="19">
        <f t="shared" si="1"/>
        <v>59726623.794384629</v>
      </c>
      <c r="F74" s="19">
        <f xml:space="preserve"> H73 + D74 - K74</f>
        <v>267953417.12420568</v>
      </c>
      <c r="G74" s="18">
        <v>1.7999999999999999E-2</v>
      </c>
      <c r="H74" s="19">
        <f t="shared" si="5"/>
        <v>272776578.6324414</v>
      </c>
      <c r="I74" s="19">
        <f xml:space="preserve"> H74</f>
        <v>272776578.6324414</v>
      </c>
      <c r="J74" s="19">
        <f t="shared" si="4"/>
        <v>332503202.426826</v>
      </c>
      <c r="K74" s="56">
        <v>0</v>
      </c>
      <c r="L74" s="20">
        <f xml:space="preserve"> I74 / 2</f>
        <v>136388289.3162207</v>
      </c>
      <c r="M74" s="64">
        <f xml:space="preserve"> (F63 + SUM(D64:D74)) - SUM(K64:K74)</f>
        <v>232119415.91191497</v>
      </c>
      <c r="N74" s="19">
        <f xml:space="preserve"> H74 - M74</f>
        <v>40657162.720526427</v>
      </c>
      <c r="O74" s="18">
        <v>0.84</v>
      </c>
      <c r="P74" s="19">
        <f xml:space="preserve"> N74 * O74</f>
        <v>34152016.685242198</v>
      </c>
      <c r="Q74" s="19">
        <f xml:space="preserve"> N74 - P74</f>
        <v>6505146.0352842286</v>
      </c>
      <c r="R74" s="18">
        <f xml:space="preserve"> N74 / M74 * 100</f>
        <v>17.515623396172543</v>
      </c>
      <c r="S74" s="19"/>
    </row>
    <row r="75" spans="1:19" s="8" customFormat="1" x14ac:dyDescent="0.3">
      <c r="A75" s="8">
        <v>7</v>
      </c>
      <c r="B75" s="44">
        <v>2028</v>
      </c>
      <c r="C75" s="8">
        <v>1</v>
      </c>
      <c r="D75" s="9">
        <f xml:space="preserve"> N75</f>
        <v>13865690.776351726</v>
      </c>
      <c r="E75" s="47">
        <f t="shared" si="1"/>
        <v>61208903.022683553</v>
      </c>
      <c r="F75" s="9">
        <f xml:space="preserve"> (H74 / 2) + D75 - K75</f>
        <v>150253980.09257242</v>
      </c>
      <c r="G75" s="8">
        <v>1.7999999999999999E-2</v>
      </c>
      <c r="H75" s="9">
        <f t="shared" si="5"/>
        <v>152958551.73423871</v>
      </c>
      <c r="I75" s="9"/>
      <c r="J75" s="9">
        <f t="shared" si="4"/>
        <v>214167454.75692227</v>
      </c>
      <c r="K75" s="53">
        <v>0</v>
      </c>
      <c r="L75" s="10"/>
      <c r="M75" s="61"/>
      <c r="N75" s="11">
        <f xml:space="preserve"> (L74 / 12) +2500000</f>
        <v>13865690.776351726</v>
      </c>
      <c r="P75" s="9">
        <f xml:space="preserve"> (H74 / 2 )</f>
        <v>136388289.3162207</v>
      </c>
      <c r="S75" s="9"/>
    </row>
    <row r="76" spans="1:19" s="8" customFormat="1" x14ac:dyDescent="0.3">
      <c r="B76" s="44"/>
      <c r="C76" s="8">
        <v>2</v>
      </c>
      <c r="D76" s="9">
        <f xml:space="preserve"> N75</f>
        <v>13865690.776351726</v>
      </c>
      <c r="E76" s="47">
        <f t="shared" si="1"/>
        <v>62717863.277091861</v>
      </c>
      <c r="F76" s="9">
        <f xml:space="preserve"> H75 + D76 - K76</f>
        <v>166824242.51059043</v>
      </c>
      <c r="G76" s="8">
        <v>1.7999999999999999E-2</v>
      </c>
      <c r="H76" s="9">
        <f t="shared" si="5"/>
        <v>169827078.87578106</v>
      </c>
      <c r="I76" s="9"/>
      <c r="J76" s="9">
        <f t="shared" si="4"/>
        <v>232544942.15287292</v>
      </c>
      <c r="K76" s="53">
        <v>0</v>
      </c>
      <c r="L76" s="10"/>
      <c r="M76" s="61"/>
      <c r="S76" s="9"/>
    </row>
    <row r="77" spans="1:19" s="8" customFormat="1" x14ac:dyDescent="0.3">
      <c r="B77" s="44"/>
      <c r="C77" s="8">
        <v>3</v>
      </c>
      <c r="D77" s="9">
        <f xml:space="preserve"> N75</f>
        <v>13865690.776351726</v>
      </c>
      <c r="E77" s="47">
        <f t="shared" si="1"/>
        <v>64253984.816079512</v>
      </c>
      <c r="F77" s="9">
        <f xml:space="preserve"> H76 + D77 - K77</f>
        <v>183692769.65213278</v>
      </c>
      <c r="G77" s="8">
        <v>1.7999999999999999E-2</v>
      </c>
      <c r="H77" s="9">
        <f t="shared" si="5"/>
        <v>186999239.50587118</v>
      </c>
      <c r="I77" s="9"/>
      <c r="J77" s="9">
        <f t="shared" si="4"/>
        <v>251253224.32195067</v>
      </c>
      <c r="K77" s="53">
        <v>0</v>
      </c>
      <c r="L77" s="10"/>
      <c r="M77" s="61"/>
      <c r="S77" s="9"/>
    </row>
    <row r="78" spans="1:19" s="8" customFormat="1" x14ac:dyDescent="0.3">
      <c r="B78" s="44"/>
      <c r="C78" s="8">
        <v>4</v>
      </c>
      <c r="D78" s="9">
        <f xml:space="preserve"> N75</f>
        <v>13865690.776351726</v>
      </c>
      <c r="E78" s="47">
        <f t="shared" ref="E78:E134" si="6" xml:space="preserve"> (E77 + 400000) + ((E77 + 400000) * G78 )</f>
        <v>65817756.54276894</v>
      </c>
      <c r="F78" s="9">
        <f xml:space="preserve"> H77 + D78 - K78</f>
        <v>200864930.2822229</v>
      </c>
      <c r="G78" s="8">
        <v>1.7999999999999999E-2</v>
      </c>
      <c r="H78" s="9">
        <f t="shared" si="5"/>
        <v>204480499.02730292</v>
      </c>
      <c r="I78" s="9"/>
      <c r="J78" s="9">
        <f t="shared" si="4"/>
        <v>270298255.57007188</v>
      </c>
      <c r="K78" s="53">
        <v>0</v>
      </c>
      <c r="L78" s="10"/>
      <c r="M78" s="61"/>
      <c r="S78" s="9"/>
    </row>
    <row r="79" spans="1:19" s="8" customFormat="1" x14ac:dyDescent="0.3">
      <c r="B79" s="44"/>
      <c r="C79" s="8">
        <v>5</v>
      </c>
      <c r="D79" s="9">
        <f xml:space="preserve"> N75</f>
        <v>13865690.776351726</v>
      </c>
      <c r="E79" s="47">
        <f t="shared" si="6"/>
        <v>67409676.160538778</v>
      </c>
      <c r="F79" s="9">
        <f xml:space="preserve"> H78 + D79 - K79</f>
        <v>211841043.76837042</v>
      </c>
      <c r="G79" s="8">
        <v>1.7999999999999999E-2</v>
      </c>
      <c r="H79" s="9">
        <f t="shared" si="5"/>
        <v>215654182.5562011</v>
      </c>
      <c r="I79" s="9"/>
      <c r="J79" s="9">
        <f t="shared" si="4"/>
        <v>283063858.71673989</v>
      </c>
      <c r="K79" s="53">
        <f xml:space="preserve"> Q74</f>
        <v>6505146.0352842286</v>
      </c>
      <c r="L79" s="10"/>
      <c r="M79" s="61"/>
      <c r="S79" s="9"/>
    </row>
    <row r="80" spans="1:19" s="8" customFormat="1" x14ac:dyDescent="0.3">
      <c r="B80" s="44"/>
      <c r="C80" s="8">
        <v>6</v>
      </c>
      <c r="D80" s="9">
        <f xml:space="preserve"> N75</f>
        <v>13865690.776351726</v>
      </c>
      <c r="E80" s="47">
        <f t="shared" si="6"/>
        <v>69030250.331428468</v>
      </c>
      <c r="F80" s="9">
        <f xml:space="preserve"> H79 + D80 - K80</f>
        <v>229519873.33255282</v>
      </c>
      <c r="G80" s="8">
        <v>1.7999999999999999E-2</v>
      </c>
      <c r="H80" s="9">
        <f t="shared" si="5"/>
        <v>233651231.05253878</v>
      </c>
      <c r="I80" s="9"/>
      <c r="J80" s="9">
        <f t="shared" si="4"/>
        <v>302681481.38396728</v>
      </c>
      <c r="K80" s="53">
        <v>0</v>
      </c>
      <c r="L80" s="10"/>
      <c r="M80" s="61"/>
      <c r="S80" s="9"/>
    </row>
    <row r="81" spans="1:19" s="8" customFormat="1" x14ac:dyDescent="0.3">
      <c r="B81" s="44"/>
      <c r="C81" s="8">
        <v>7</v>
      </c>
      <c r="D81" s="9">
        <f xml:space="preserve"> N75</f>
        <v>13865690.776351726</v>
      </c>
      <c r="E81" s="47">
        <f t="shared" si="6"/>
        <v>70679994.837394178</v>
      </c>
      <c r="F81" s="9">
        <f xml:space="preserve"> H80 + D81 - K81</f>
        <v>247516921.8288905</v>
      </c>
      <c r="G81" s="8">
        <v>1.7999999999999999E-2</v>
      </c>
      <c r="H81" s="9">
        <f t="shared" si="5"/>
        <v>251972226.42181054</v>
      </c>
      <c r="I81" s="9"/>
      <c r="J81" s="9">
        <f t="shared" si="4"/>
        <v>322652221.25920475</v>
      </c>
      <c r="K81" s="53">
        <v>0</v>
      </c>
      <c r="L81" s="10"/>
      <c r="M81" s="61"/>
      <c r="S81" s="9"/>
    </row>
    <row r="82" spans="1:19" s="8" customFormat="1" x14ac:dyDescent="0.3">
      <c r="B82" s="44"/>
      <c r="C82" s="8">
        <v>8</v>
      </c>
      <c r="D82" s="9">
        <f xml:space="preserve"> N75</f>
        <v>13865690.776351726</v>
      </c>
      <c r="E82" s="47">
        <f t="shared" si="6"/>
        <v>72359434.744467273</v>
      </c>
      <c r="F82" s="9">
        <f xml:space="preserve"> H81 + D82 - K82</f>
        <v>265837917.19816226</v>
      </c>
      <c r="G82" s="8">
        <v>1.7999999999999999E-2</v>
      </c>
      <c r="H82" s="9">
        <f t="shared" si="5"/>
        <v>270622999.70772916</v>
      </c>
      <c r="I82" s="9"/>
      <c r="J82" s="9">
        <f t="shared" si="4"/>
        <v>342982434.45219642</v>
      </c>
      <c r="K82" s="53">
        <v>0</v>
      </c>
      <c r="L82" s="10"/>
      <c r="M82" s="61"/>
      <c r="S82" s="9"/>
    </row>
    <row r="83" spans="1:19" s="8" customFormat="1" x14ac:dyDescent="0.3">
      <c r="B83" s="44"/>
      <c r="C83" s="8">
        <v>9</v>
      </c>
      <c r="D83" s="9">
        <f xml:space="preserve"> N75</f>
        <v>13865690.776351726</v>
      </c>
      <c r="E83" s="47">
        <f t="shared" si="6"/>
        <v>74069104.569867685</v>
      </c>
      <c r="F83" s="9">
        <f xml:space="preserve"> H82 + D83 - K83</f>
        <v>284488690.48408091</v>
      </c>
      <c r="G83" s="8">
        <v>1.7999999999999999E-2</v>
      </c>
      <c r="H83" s="9">
        <f t="shared" si="5"/>
        <v>289609486.91279435</v>
      </c>
      <c r="I83" s="9"/>
      <c r="J83" s="9">
        <f t="shared" si="4"/>
        <v>363678591.48266202</v>
      </c>
      <c r="K83" s="53">
        <v>0</v>
      </c>
      <c r="L83" s="10"/>
      <c r="M83" s="61"/>
      <c r="S83" s="9"/>
    </row>
    <row r="84" spans="1:19" s="8" customFormat="1" x14ac:dyDescent="0.3">
      <c r="B84" s="44"/>
      <c r="C84" s="8">
        <v>10</v>
      </c>
      <c r="D84" s="9">
        <f xml:space="preserve"> N75</f>
        <v>13865690.776351726</v>
      </c>
      <c r="E84" s="47">
        <f t="shared" si="6"/>
        <v>75809548.452125311</v>
      </c>
      <c r="F84" s="9">
        <f xml:space="preserve"> H83 + D84 - K84</f>
        <v>303475177.6891461</v>
      </c>
      <c r="G84" s="8">
        <v>1.7999999999999999E-2</v>
      </c>
      <c r="H84" s="9">
        <f t="shared" si="5"/>
        <v>308937730.88755071</v>
      </c>
      <c r="I84" s="9"/>
      <c r="J84" s="9">
        <f t="shared" si="4"/>
        <v>384747279.33967602</v>
      </c>
      <c r="K84" s="53">
        <v>0</v>
      </c>
      <c r="L84" s="10"/>
      <c r="M84" s="61"/>
      <c r="S84" s="9"/>
    </row>
    <row r="85" spans="1:19" s="8" customFormat="1" x14ac:dyDescent="0.3">
      <c r="B85" s="44"/>
      <c r="C85" s="8">
        <v>11</v>
      </c>
      <c r="D85" s="9">
        <f xml:space="preserve"> N75</f>
        <v>13865690.776351726</v>
      </c>
      <c r="E85" s="47">
        <f t="shared" si="6"/>
        <v>77581320.324263573</v>
      </c>
      <c r="F85" s="9">
        <f xml:space="preserve"> H84 + D85 - K85</f>
        <v>322803421.66390246</v>
      </c>
      <c r="G85" s="8">
        <v>1.7999999999999999E-2</v>
      </c>
      <c r="H85" s="9">
        <f t="shared" si="5"/>
        <v>328613883.25385273</v>
      </c>
      <c r="I85" s="9"/>
      <c r="J85" s="9">
        <f t="shared" si="4"/>
        <v>406195203.5781163</v>
      </c>
      <c r="K85" s="53">
        <v>0</v>
      </c>
      <c r="L85" s="10"/>
      <c r="M85" s="61"/>
      <c r="S85" s="9"/>
    </row>
    <row r="86" spans="1:19" s="18" customFormat="1" x14ac:dyDescent="0.3">
      <c r="B86" s="44"/>
      <c r="C86" s="18">
        <v>12</v>
      </c>
      <c r="D86" s="19">
        <f xml:space="preserve"> N75</f>
        <v>13865690.776351726</v>
      </c>
      <c r="E86" s="19">
        <f t="shared" si="6"/>
        <v>79384984.090100318</v>
      </c>
      <c r="F86" s="19">
        <f xml:space="preserve"> H85 + D86 - K86</f>
        <v>342479574.03020447</v>
      </c>
      <c r="G86" s="18">
        <v>1.7999999999999999E-2</v>
      </c>
      <c r="H86" s="19">
        <f t="shared" si="5"/>
        <v>348644206.36274815</v>
      </c>
      <c r="I86" s="19">
        <f xml:space="preserve"> H86</f>
        <v>348644206.36274815</v>
      </c>
      <c r="J86" s="19">
        <f t="shared" si="4"/>
        <v>428029190.45284843</v>
      </c>
      <c r="K86" s="56">
        <v>0</v>
      </c>
      <c r="L86" s="20">
        <f xml:space="preserve"> I86 / 2</f>
        <v>174322103.18137407</v>
      </c>
      <c r="M86" s="64">
        <f xml:space="preserve"> (F75 + SUM(D76:D86)) - SUM(K76:K86)</f>
        <v>296271432.59715718</v>
      </c>
      <c r="N86" s="19">
        <f xml:space="preserve"> H86 - M86</f>
        <v>52372773.765590966</v>
      </c>
      <c r="O86" s="18">
        <v>0.84</v>
      </c>
      <c r="P86" s="19">
        <f xml:space="preserve"> N86 * O86</f>
        <v>43993129.96309641</v>
      </c>
      <c r="Q86" s="19">
        <f xml:space="preserve"> N86 - P86</f>
        <v>8379643.8024945557</v>
      </c>
      <c r="R86" s="18">
        <f xml:space="preserve"> N86 / M86 * 100</f>
        <v>17.677294535785595</v>
      </c>
      <c r="S86" s="19"/>
    </row>
    <row r="87" spans="1:19" s="8" customFormat="1" x14ac:dyDescent="0.3">
      <c r="A87" s="8">
        <v>8</v>
      </c>
      <c r="B87" s="44">
        <v>2029</v>
      </c>
      <c r="C87" s="8">
        <v>1</v>
      </c>
      <c r="D87" s="9">
        <f xml:space="preserve"> N87</f>
        <v>17026841.931781173</v>
      </c>
      <c r="E87" s="47">
        <f t="shared" si="6"/>
        <v>81221113.803722128</v>
      </c>
      <c r="F87" s="9">
        <f xml:space="preserve"> (H86 / 2) + D87 - K87</f>
        <v>191348945.11315525</v>
      </c>
      <c r="G87" s="8">
        <v>1.7999999999999999E-2</v>
      </c>
      <c r="H87" s="9">
        <f t="shared" si="5"/>
        <v>194793226.12519205</v>
      </c>
      <c r="I87" s="9"/>
      <c r="J87" s="9">
        <f t="shared" si="4"/>
        <v>276014339.92891419</v>
      </c>
      <c r="K87" s="53">
        <v>0</v>
      </c>
      <c r="L87" s="10"/>
      <c r="M87" s="61"/>
      <c r="N87" s="11">
        <f xml:space="preserve"> (L86 / 12) +2500000</f>
        <v>17026841.931781173</v>
      </c>
      <c r="P87" s="9">
        <f xml:space="preserve"> (H86 / 2 )</f>
        <v>174322103.18137407</v>
      </c>
      <c r="S87" s="9"/>
    </row>
    <row r="88" spans="1:19" s="8" customFormat="1" x14ac:dyDescent="0.3">
      <c r="B88" s="44"/>
      <c r="C88" s="8">
        <v>2</v>
      </c>
      <c r="D88" s="9">
        <f xml:space="preserve"> N87</f>
        <v>17026841.931781173</v>
      </c>
      <c r="E88" s="47">
        <f t="shared" si="6"/>
        <v>83090293.852189124</v>
      </c>
      <c r="F88" s="9">
        <f xml:space="preserve"> H87 + D88 - K88</f>
        <v>211820068.05697322</v>
      </c>
      <c r="G88" s="8">
        <v>1.7999999999999999E-2</v>
      </c>
      <c r="H88" s="9">
        <f t="shared" si="5"/>
        <v>215632829.28199872</v>
      </c>
      <c r="I88" s="9"/>
      <c r="J88" s="9">
        <f t="shared" si="4"/>
        <v>298723123.13418782</v>
      </c>
      <c r="K88" s="53">
        <v>0</v>
      </c>
      <c r="L88" s="10"/>
      <c r="M88" s="61"/>
      <c r="S88" s="9"/>
    </row>
    <row r="89" spans="1:19" s="8" customFormat="1" x14ac:dyDescent="0.3">
      <c r="B89" s="44"/>
      <c r="C89" s="8">
        <v>3</v>
      </c>
      <c r="D89" s="9">
        <f xml:space="preserve"> N87</f>
        <v>17026841.931781173</v>
      </c>
      <c r="E89" s="47">
        <f t="shared" si="6"/>
        <v>84993119.141528532</v>
      </c>
      <c r="F89" s="9">
        <f xml:space="preserve"> H88 + D89 - K89</f>
        <v>232659671.2137799</v>
      </c>
      <c r="G89" s="8">
        <v>1.7999999999999999E-2</v>
      </c>
      <c r="H89" s="9">
        <f t="shared" si="5"/>
        <v>236847545.29562792</v>
      </c>
      <c r="I89" s="9"/>
      <c r="J89" s="9">
        <f t="shared" si="4"/>
        <v>321840664.43715644</v>
      </c>
      <c r="K89" s="53">
        <v>0</v>
      </c>
      <c r="L89" s="10"/>
      <c r="M89" s="61"/>
      <c r="S89" s="9"/>
    </row>
    <row r="90" spans="1:19" s="8" customFormat="1" x14ac:dyDescent="0.3">
      <c r="B90" s="44"/>
      <c r="C90" s="8">
        <v>4</v>
      </c>
      <c r="D90" s="9">
        <f xml:space="preserve"> N87</f>
        <v>17026841.931781173</v>
      </c>
      <c r="E90" s="47">
        <f t="shared" si="6"/>
        <v>86930195.286076039</v>
      </c>
      <c r="F90" s="9">
        <f xml:space="preserve"> H89 + D90 - K90</f>
        <v>253874387.22740909</v>
      </c>
      <c r="G90" s="8">
        <v>1.7999999999999999E-2</v>
      </c>
      <c r="H90" s="9">
        <f t="shared" si="5"/>
        <v>258444126.19750246</v>
      </c>
      <c r="I90" s="9"/>
      <c r="J90" s="9">
        <f t="shared" si="4"/>
        <v>345374321.4835785</v>
      </c>
      <c r="K90" s="53">
        <v>0</v>
      </c>
      <c r="L90" s="10"/>
      <c r="M90" s="61"/>
      <c r="S90" s="9"/>
    </row>
    <row r="91" spans="1:19" s="8" customFormat="1" x14ac:dyDescent="0.3">
      <c r="B91" s="44"/>
      <c r="C91" s="8">
        <v>5</v>
      </c>
      <c r="D91" s="9">
        <f xml:space="preserve"> N87</f>
        <v>17026841.931781173</v>
      </c>
      <c r="E91" s="47">
        <f t="shared" si="6"/>
        <v>88902138.801225409</v>
      </c>
      <c r="F91" s="9">
        <f xml:space="preserve"> H90 + D91 - K91</f>
        <v>267091324.32678911</v>
      </c>
      <c r="G91" s="8">
        <v>1.7999999999999999E-2</v>
      </c>
      <c r="H91" s="9">
        <f t="shared" si="5"/>
        <v>271898968.1646713</v>
      </c>
      <c r="I91" s="9"/>
      <c r="J91" s="9">
        <f t="shared" si="4"/>
        <v>360801106.96589673</v>
      </c>
      <c r="K91" s="53">
        <f xml:space="preserve"> Q86</f>
        <v>8379643.8024945557</v>
      </c>
      <c r="L91" s="10"/>
      <c r="M91" s="61"/>
      <c r="S91" s="9"/>
    </row>
    <row r="92" spans="1:19" s="8" customFormat="1" x14ac:dyDescent="0.3">
      <c r="B92" s="44"/>
      <c r="C92" s="8">
        <v>6</v>
      </c>
      <c r="D92" s="9">
        <f xml:space="preserve"> N87</f>
        <v>17026841.931781173</v>
      </c>
      <c r="E92" s="47">
        <f t="shared" si="6"/>
        <v>90909577.299647465</v>
      </c>
      <c r="F92" s="9">
        <f xml:space="preserve"> H91 + D92 - K92</f>
        <v>288925810.09645247</v>
      </c>
      <c r="G92" s="8">
        <v>1.7999999999999999E-2</v>
      </c>
      <c r="H92" s="9">
        <f t="shared" si="5"/>
        <v>294126474.67818862</v>
      </c>
      <c r="I92" s="9"/>
      <c r="J92" s="9">
        <f t="shared" ref="J92:J155" si="7" xml:space="preserve"> E92 + H92</f>
        <v>385036051.97783607</v>
      </c>
      <c r="K92" s="53">
        <v>0</v>
      </c>
      <c r="L92" s="10"/>
      <c r="M92" s="61"/>
      <c r="S92" s="9"/>
    </row>
    <row r="93" spans="1:19" s="8" customFormat="1" x14ac:dyDescent="0.3">
      <c r="B93" s="44"/>
      <c r="C93" s="8">
        <v>7</v>
      </c>
      <c r="D93" s="9">
        <f xml:space="preserve"> N87</f>
        <v>17026841.931781173</v>
      </c>
      <c r="E93" s="47">
        <f t="shared" si="6"/>
        <v>92953149.691041127</v>
      </c>
      <c r="F93" s="9">
        <f xml:space="preserve"> H92 + D93 - K93</f>
        <v>311153316.60996979</v>
      </c>
      <c r="G93" s="8">
        <v>1.7999999999999999E-2</v>
      </c>
      <c r="H93" s="9">
        <f t="shared" si="5"/>
        <v>316754076.30894923</v>
      </c>
      <c r="I93" s="9"/>
      <c r="J93" s="9">
        <f t="shared" si="7"/>
        <v>409707225.99999034</v>
      </c>
      <c r="K93" s="53">
        <v>0</v>
      </c>
      <c r="L93" s="10"/>
      <c r="M93" s="61"/>
      <c r="S93" s="9"/>
    </row>
    <row r="94" spans="1:19" s="8" customFormat="1" x14ac:dyDescent="0.3">
      <c r="B94" s="44"/>
      <c r="C94" s="8">
        <v>8</v>
      </c>
      <c r="D94" s="9">
        <f xml:space="preserve"> N87</f>
        <v>17026841.931781173</v>
      </c>
      <c r="E94" s="47">
        <f t="shared" si="6"/>
        <v>95033506.385479867</v>
      </c>
      <c r="F94" s="9">
        <f xml:space="preserve"> H93 + D94 - K94</f>
        <v>333780918.2407304</v>
      </c>
      <c r="G94" s="8">
        <v>1.7999999999999999E-2</v>
      </c>
      <c r="H94" s="9">
        <f t="shared" ref="H94:H157" si="8" xml:space="preserve"> (F94 * G94) + F94</f>
        <v>339788974.76906353</v>
      </c>
      <c r="I94" s="9"/>
      <c r="J94" s="9">
        <f t="shared" si="7"/>
        <v>434822481.1545434</v>
      </c>
      <c r="K94" s="53">
        <v>0</v>
      </c>
      <c r="L94" s="10"/>
      <c r="M94" s="61"/>
      <c r="S94" s="9"/>
    </row>
    <row r="95" spans="1:19" s="8" customFormat="1" x14ac:dyDescent="0.3">
      <c r="B95" s="44"/>
      <c r="C95" s="8">
        <v>9</v>
      </c>
      <c r="D95" s="9">
        <f xml:space="preserve"> N87</f>
        <v>17026841.931781173</v>
      </c>
      <c r="E95" s="47">
        <f t="shared" si="6"/>
        <v>97151309.500418499</v>
      </c>
      <c r="F95" s="9">
        <f xml:space="preserve"> H94 + D95 - K95</f>
        <v>356815816.70084471</v>
      </c>
      <c r="G95" s="8">
        <v>1.7999999999999999E-2</v>
      </c>
      <c r="H95" s="9">
        <f t="shared" si="8"/>
        <v>363238501.40145993</v>
      </c>
      <c r="I95" s="9"/>
      <c r="J95" s="9">
        <f t="shared" si="7"/>
        <v>460389810.90187842</v>
      </c>
      <c r="K95" s="53">
        <v>0</v>
      </c>
      <c r="L95" s="10"/>
      <c r="M95" s="61"/>
      <c r="S95" s="9"/>
    </row>
    <row r="96" spans="1:19" s="8" customFormat="1" x14ac:dyDescent="0.3">
      <c r="B96" s="44"/>
      <c r="C96" s="8">
        <v>10</v>
      </c>
      <c r="D96" s="9">
        <f xml:space="preserve"> N87</f>
        <v>17026841.931781173</v>
      </c>
      <c r="E96" s="47">
        <f t="shared" si="6"/>
        <v>99307233.071426034</v>
      </c>
      <c r="F96" s="9">
        <f xml:space="preserve"> H95 + D96 - K96</f>
        <v>380265343.33324111</v>
      </c>
      <c r="G96" s="8">
        <v>1.7999999999999999E-2</v>
      </c>
      <c r="H96" s="9">
        <f t="shared" si="8"/>
        <v>387110119.51323944</v>
      </c>
      <c r="I96" s="9"/>
      <c r="J96" s="9">
        <f t="shared" si="7"/>
        <v>486417352.58466548</v>
      </c>
      <c r="K96" s="53">
        <v>0</v>
      </c>
      <c r="L96" s="10"/>
      <c r="M96" s="61"/>
      <c r="S96" s="9"/>
    </row>
    <row r="97" spans="1:19" s="8" customFormat="1" x14ac:dyDescent="0.3">
      <c r="B97" s="44"/>
      <c r="C97" s="8">
        <v>11</v>
      </c>
      <c r="D97" s="9">
        <f xml:space="preserve"> N87</f>
        <v>17026841.931781173</v>
      </c>
      <c r="E97" s="47">
        <f t="shared" si="6"/>
        <v>101501963.2667117</v>
      </c>
      <c r="F97" s="9">
        <f xml:space="preserve"> H96 + D97 - K97</f>
        <v>404136961.44502062</v>
      </c>
      <c r="G97" s="8">
        <v>1.7999999999999999E-2</v>
      </c>
      <c r="H97" s="9">
        <f t="shared" si="8"/>
        <v>411411426.75103098</v>
      </c>
      <c r="I97" s="9"/>
      <c r="J97" s="9">
        <f t="shared" si="7"/>
        <v>512913390.01774269</v>
      </c>
      <c r="K97" s="53">
        <v>0</v>
      </c>
      <c r="L97" s="10"/>
      <c r="M97" s="61"/>
      <c r="S97" s="9"/>
    </row>
    <row r="98" spans="1:19" s="18" customFormat="1" x14ac:dyDescent="0.3">
      <c r="B98" s="44"/>
      <c r="C98" s="18">
        <v>12</v>
      </c>
      <c r="D98" s="19">
        <f xml:space="preserve"> N87</f>
        <v>17026841.931781173</v>
      </c>
      <c r="E98" s="19">
        <f t="shared" si="6"/>
        <v>103736198.60551251</v>
      </c>
      <c r="F98" s="19">
        <f xml:space="preserve"> H97 + D98 - K98</f>
        <v>428438268.68281215</v>
      </c>
      <c r="G98" s="18">
        <v>1.7999999999999999E-2</v>
      </c>
      <c r="H98" s="19">
        <f t="shared" si="8"/>
        <v>436150157.51910275</v>
      </c>
      <c r="I98" s="19">
        <f xml:space="preserve"> H98</f>
        <v>436150157.51910275</v>
      </c>
      <c r="J98" s="19">
        <f t="shared" si="7"/>
        <v>539886356.12461531</v>
      </c>
      <c r="K98" s="56">
        <v>0</v>
      </c>
      <c r="L98" s="20">
        <f xml:space="preserve"> I98 / 2</f>
        <v>218075078.75955138</v>
      </c>
      <c r="M98" s="64">
        <f xml:space="preserve"> (F87 + SUM(D88:D98)) - SUM(K88:K98)</f>
        <v>370264562.56025362</v>
      </c>
      <c r="N98" s="19">
        <f xml:space="preserve"> H98 - M98</f>
        <v>65885594.958849132</v>
      </c>
      <c r="O98" s="18">
        <v>0.84</v>
      </c>
      <c r="P98" s="19">
        <f xml:space="preserve"> N98 * O98</f>
        <v>55343899.765433267</v>
      </c>
      <c r="Q98" s="19">
        <f xml:space="preserve"> N98 - P98</f>
        <v>10541695.193415865</v>
      </c>
      <c r="R98" s="18">
        <f xml:space="preserve"> N98 / M98 * 100</f>
        <v>17.794194103608682</v>
      </c>
      <c r="S98" s="19"/>
    </row>
    <row r="99" spans="1:19" s="8" customFormat="1" x14ac:dyDescent="0.3">
      <c r="A99" s="8">
        <v>9</v>
      </c>
      <c r="B99" s="44">
        <v>2030</v>
      </c>
      <c r="C99" s="8">
        <v>1</v>
      </c>
      <c r="D99" s="9">
        <f>N99</f>
        <v>20672923.229962613</v>
      </c>
      <c r="E99" s="47">
        <f t="shared" si="6"/>
        <v>106010650.18041174</v>
      </c>
      <c r="F99" s="9">
        <f xml:space="preserve"> (H98 / 2) + D99 - K99</f>
        <v>238748001.98951399</v>
      </c>
      <c r="G99" s="8">
        <v>1.7999999999999999E-2</v>
      </c>
      <c r="H99" s="9">
        <f t="shared" si="8"/>
        <v>243045466.02532524</v>
      </c>
      <c r="I99" s="9"/>
      <c r="J99" s="9">
        <f t="shared" si="7"/>
        <v>349056116.20573699</v>
      </c>
      <c r="K99" s="53">
        <v>0</v>
      </c>
      <c r="L99" s="10"/>
      <c r="M99" s="61"/>
      <c r="N99" s="11">
        <f xml:space="preserve"> (L98 / 12) +2500000</f>
        <v>20672923.229962613</v>
      </c>
      <c r="P99" s="9">
        <f xml:space="preserve"> (H98 / 2 )</f>
        <v>218075078.75955138</v>
      </c>
      <c r="S99" s="9"/>
    </row>
    <row r="100" spans="1:19" s="8" customFormat="1" x14ac:dyDescent="0.3">
      <c r="B100" s="44"/>
      <c r="C100" s="8">
        <v>2</v>
      </c>
      <c r="D100" s="9">
        <f>N99</f>
        <v>20672923.229962613</v>
      </c>
      <c r="E100" s="47">
        <f t="shared" si="6"/>
        <v>108326041.88365915</v>
      </c>
      <c r="F100" s="9">
        <f xml:space="preserve"> H99 + D100 - K100</f>
        <v>263718389.25528786</v>
      </c>
      <c r="G100" s="8">
        <v>1.7999999999999999E-2</v>
      </c>
      <c r="H100" s="9">
        <f t="shared" si="8"/>
        <v>268465320.26188302</v>
      </c>
      <c r="I100" s="9"/>
      <c r="J100" s="9">
        <f t="shared" si="7"/>
        <v>376791362.14554214</v>
      </c>
      <c r="K100" s="53">
        <v>0</v>
      </c>
      <c r="L100" s="10"/>
      <c r="M100" s="61"/>
      <c r="S100" s="9"/>
    </row>
    <row r="101" spans="1:19" s="8" customFormat="1" x14ac:dyDescent="0.3">
      <c r="B101" s="44"/>
      <c r="C101" s="8">
        <v>3</v>
      </c>
      <c r="D101" s="9">
        <f>N99</f>
        <v>20672923.229962613</v>
      </c>
      <c r="E101" s="47">
        <f t="shared" si="6"/>
        <v>110683110.63756502</v>
      </c>
      <c r="F101" s="9">
        <f xml:space="preserve"> H100 + D101 - K101</f>
        <v>289138243.49184561</v>
      </c>
      <c r="G101" s="8">
        <v>1.7999999999999999E-2</v>
      </c>
      <c r="H101" s="9">
        <f t="shared" si="8"/>
        <v>294342731.87469882</v>
      </c>
      <c r="I101" s="9"/>
      <c r="J101" s="9">
        <f t="shared" si="7"/>
        <v>405025842.51226383</v>
      </c>
      <c r="K101" s="53">
        <v>0</v>
      </c>
      <c r="L101" s="10"/>
      <c r="M101" s="61"/>
      <c r="S101" s="9"/>
    </row>
    <row r="102" spans="1:19" s="8" customFormat="1" x14ac:dyDescent="0.3">
      <c r="B102" s="44"/>
      <c r="C102" s="8">
        <v>4</v>
      </c>
      <c r="D102" s="9">
        <f>N99</f>
        <v>20672923.229962613</v>
      </c>
      <c r="E102" s="47">
        <f t="shared" si="6"/>
        <v>113082606.62904118</v>
      </c>
      <c r="F102" s="9">
        <f xml:space="preserve"> H101 + D102 - K102</f>
        <v>315015655.10466141</v>
      </c>
      <c r="G102" s="8">
        <v>1.7999999999999999E-2</v>
      </c>
      <c r="H102" s="9">
        <f t="shared" si="8"/>
        <v>320685936.89654529</v>
      </c>
      <c r="I102" s="9"/>
      <c r="J102" s="9">
        <f t="shared" si="7"/>
        <v>433768543.52558649</v>
      </c>
      <c r="K102" s="53">
        <v>0</v>
      </c>
      <c r="L102" s="10"/>
      <c r="M102" s="61"/>
      <c r="S102" s="9"/>
    </row>
    <row r="103" spans="1:19" s="8" customFormat="1" x14ac:dyDescent="0.3">
      <c r="B103" s="44"/>
      <c r="C103" s="8">
        <v>5</v>
      </c>
      <c r="D103" s="9">
        <f>N99</f>
        <v>20672923.229962613</v>
      </c>
      <c r="E103" s="47">
        <f t="shared" si="6"/>
        <v>115525293.54836392</v>
      </c>
      <c r="F103" s="9">
        <f xml:space="preserve"> H102 + D103 - K103</f>
        <v>330817164.933092</v>
      </c>
      <c r="G103" s="8">
        <v>1.7999999999999999E-2</v>
      </c>
      <c r="H103" s="9">
        <f t="shared" si="8"/>
        <v>336771873.90188766</v>
      </c>
      <c r="I103" s="9"/>
      <c r="J103" s="9">
        <f t="shared" si="7"/>
        <v>452297167.45025158</v>
      </c>
      <c r="K103" s="53">
        <f xml:space="preserve"> Q98</f>
        <v>10541695.193415865</v>
      </c>
      <c r="L103" s="10"/>
      <c r="M103" s="61"/>
      <c r="S103" s="9"/>
    </row>
    <row r="104" spans="1:19" s="8" customFormat="1" x14ac:dyDescent="0.3">
      <c r="B104" s="44"/>
      <c r="C104" s="8">
        <v>6</v>
      </c>
      <c r="D104" s="9">
        <f>N99</f>
        <v>20672923.229962613</v>
      </c>
      <c r="E104" s="47">
        <f t="shared" si="6"/>
        <v>118011948.83223447</v>
      </c>
      <c r="F104" s="9">
        <f xml:space="preserve"> H103 + D104 - K104</f>
        <v>357444797.13185024</v>
      </c>
      <c r="G104" s="8">
        <v>1.7999999999999999E-2</v>
      </c>
      <c r="H104" s="9">
        <f t="shared" si="8"/>
        <v>363878803.48022354</v>
      </c>
      <c r="I104" s="9"/>
      <c r="J104" s="9">
        <f t="shared" si="7"/>
        <v>481890752.31245804</v>
      </c>
      <c r="K104" s="53">
        <v>0</v>
      </c>
      <c r="L104" s="10"/>
      <c r="M104" s="61"/>
      <c r="S104" s="9"/>
    </row>
    <row r="105" spans="1:19" s="8" customFormat="1" x14ac:dyDescent="0.3">
      <c r="B105" s="44"/>
      <c r="C105" s="8">
        <v>7</v>
      </c>
      <c r="D105" s="9">
        <f>N99</f>
        <v>20672923.229962613</v>
      </c>
      <c r="E105" s="47">
        <f t="shared" si="6"/>
        <v>120543363.91121469</v>
      </c>
      <c r="F105" s="9">
        <f xml:space="preserve"> H104 + D105 - K105</f>
        <v>384551726.71018612</v>
      </c>
      <c r="G105" s="8">
        <v>1.7999999999999999E-2</v>
      </c>
      <c r="H105" s="9">
        <f t="shared" si="8"/>
        <v>391473657.79096949</v>
      </c>
      <c r="I105" s="9"/>
      <c r="J105" s="9">
        <f t="shared" si="7"/>
        <v>512017021.7021842</v>
      </c>
      <c r="K105" s="53">
        <v>0</v>
      </c>
      <c r="L105" s="10"/>
      <c r="M105" s="61"/>
      <c r="S105" s="9"/>
    </row>
    <row r="106" spans="1:19" s="8" customFormat="1" x14ac:dyDescent="0.3">
      <c r="B106" s="44"/>
      <c r="C106" s="8">
        <v>8</v>
      </c>
      <c r="D106" s="9">
        <f>N99</f>
        <v>20672923.229962613</v>
      </c>
      <c r="E106" s="47">
        <f t="shared" si="6"/>
        <v>123120344.46161656</v>
      </c>
      <c r="F106" s="9">
        <f xml:space="preserve"> H105 + D106 - K106</f>
        <v>412146581.02093208</v>
      </c>
      <c r="G106" s="8">
        <v>1.7999999999999999E-2</v>
      </c>
      <c r="H106" s="9">
        <f t="shared" si="8"/>
        <v>419565219.47930884</v>
      </c>
      <c r="I106" s="9"/>
      <c r="J106" s="9">
        <f t="shared" si="7"/>
        <v>542685563.94092536</v>
      </c>
      <c r="K106" s="53">
        <v>0</v>
      </c>
      <c r="L106" s="10"/>
      <c r="M106" s="61"/>
      <c r="S106" s="9"/>
    </row>
    <row r="107" spans="1:19" s="8" customFormat="1" x14ac:dyDescent="0.3">
      <c r="B107" s="44"/>
      <c r="C107" s="8">
        <v>9</v>
      </c>
      <c r="D107" s="9">
        <f>N99</f>
        <v>20672923.229962613</v>
      </c>
      <c r="E107" s="47">
        <f t="shared" si="6"/>
        <v>125743710.66192566</v>
      </c>
      <c r="F107" s="9">
        <f xml:space="preserve"> H106 + D107 - K107</f>
        <v>440238142.70927143</v>
      </c>
      <c r="G107" s="8">
        <v>1.7999999999999999E-2</v>
      </c>
      <c r="H107" s="9">
        <f t="shared" si="8"/>
        <v>448162429.27803832</v>
      </c>
      <c r="I107" s="9"/>
      <c r="J107" s="9">
        <f t="shared" si="7"/>
        <v>573906139.93996394</v>
      </c>
      <c r="K107" s="53">
        <v>0</v>
      </c>
      <c r="L107" s="10"/>
      <c r="M107" s="61"/>
      <c r="S107" s="9"/>
    </row>
    <row r="108" spans="1:19" s="8" customFormat="1" x14ac:dyDescent="0.3">
      <c r="B108" s="44"/>
      <c r="C108" s="8">
        <v>10</v>
      </c>
      <c r="D108" s="9">
        <f>N99</f>
        <v>20672923.229962613</v>
      </c>
      <c r="E108" s="47">
        <f t="shared" si="6"/>
        <v>128414297.45384032</v>
      </c>
      <c r="F108" s="9">
        <f xml:space="preserve"> H107 + D108 - K108</f>
        <v>468835352.50800091</v>
      </c>
      <c r="G108" s="8">
        <v>1.7999999999999999E-2</v>
      </c>
      <c r="H108" s="9">
        <f t="shared" si="8"/>
        <v>477274388.85314494</v>
      </c>
      <c r="I108" s="9"/>
      <c r="J108" s="9">
        <f t="shared" si="7"/>
        <v>605688686.30698526</v>
      </c>
      <c r="K108" s="53">
        <v>0</v>
      </c>
      <c r="L108" s="10"/>
      <c r="M108" s="61"/>
      <c r="S108" s="9"/>
    </row>
    <row r="109" spans="1:19" s="8" customFormat="1" x14ac:dyDescent="0.3">
      <c r="B109" s="44"/>
      <c r="C109" s="8">
        <v>11</v>
      </c>
      <c r="D109" s="9">
        <f>N99</f>
        <v>20672923.229962613</v>
      </c>
      <c r="E109" s="47">
        <f t="shared" si="6"/>
        <v>131132954.80800945</v>
      </c>
      <c r="F109" s="9">
        <f xml:space="preserve"> H108 + D109 - K109</f>
        <v>497947312.08310753</v>
      </c>
      <c r="G109" s="8">
        <v>1.7999999999999999E-2</v>
      </c>
      <c r="H109" s="9">
        <f t="shared" si="8"/>
        <v>506910363.70060349</v>
      </c>
      <c r="I109" s="9"/>
      <c r="J109" s="9">
        <f t="shared" si="7"/>
        <v>638043318.50861287</v>
      </c>
      <c r="K109" s="53">
        <v>0</v>
      </c>
      <c r="L109" s="10"/>
      <c r="M109" s="61"/>
      <c r="S109" s="9"/>
    </row>
    <row r="110" spans="1:19" s="18" customFormat="1" x14ac:dyDescent="0.3">
      <c r="B110" s="44"/>
      <c r="C110" s="18">
        <v>12</v>
      </c>
      <c r="D110" s="19">
        <f>N99</f>
        <v>20672923.229962613</v>
      </c>
      <c r="E110" s="19">
        <f t="shared" si="6"/>
        <v>133900547.99455361</v>
      </c>
      <c r="F110" s="19">
        <f xml:space="preserve"> H109 + D110 - K110</f>
        <v>527583286.93056607</v>
      </c>
      <c r="G110" s="18">
        <v>1.7999999999999999E-2</v>
      </c>
      <c r="H110" s="19">
        <f t="shared" si="8"/>
        <v>537079786.09531629</v>
      </c>
      <c r="I110" s="19">
        <f xml:space="preserve"> H110</f>
        <v>537079786.09531629</v>
      </c>
      <c r="J110" s="19">
        <f t="shared" si="7"/>
        <v>670980334.08986986</v>
      </c>
      <c r="K110" s="56">
        <v>0</v>
      </c>
      <c r="L110" s="20">
        <f xml:space="preserve"> I110 / 2</f>
        <v>268539893.04765815</v>
      </c>
      <c r="M110" s="64">
        <f xml:space="preserve"> (F99 + SUM(D100:D110)) - SUM(K100:K110)</f>
        <v>455608462.32568687</v>
      </c>
      <c r="N110" s="19">
        <f xml:space="preserve"> H110 - M110</f>
        <v>81471323.769629419</v>
      </c>
      <c r="O110" s="18">
        <v>0.84</v>
      </c>
      <c r="P110" s="19">
        <f xml:space="preserve"> N110 * O110</f>
        <v>68435911.966488704</v>
      </c>
      <c r="Q110" s="19">
        <f xml:space="preserve"> N110 - P110</f>
        <v>13035411.803140715</v>
      </c>
      <c r="R110" s="18">
        <f xml:space="preserve"> N110 / M110 * 100</f>
        <v>17.881872376503512</v>
      </c>
      <c r="S110" s="19"/>
    </row>
    <row r="111" spans="1:19" s="8" customFormat="1" x14ac:dyDescent="0.3">
      <c r="A111" s="8">
        <v>10</v>
      </c>
      <c r="B111" s="44">
        <v>2031</v>
      </c>
      <c r="C111" s="8">
        <v>1</v>
      </c>
      <c r="D111" s="9">
        <f>N111</f>
        <v>24878324.420638178</v>
      </c>
      <c r="E111" s="47">
        <f t="shared" si="6"/>
        <v>136717957.8584556</v>
      </c>
      <c r="F111" s="9">
        <f xml:space="preserve"> (H110 / 2) + D111 - K111</f>
        <v>293418217.46829635</v>
      </c>
      <c r="G111" s="8">
        <v>1.7999999999999999E-2</v>
      </c>
      <c r="H111" s="9">
        <f t="shared" si="8"/>
        <v>298699745.38272566</v>
      </c>
      <c r="I111" s="9"/>
      <c r="J111" s="9">
        <f t="shared" si="7"/>
        <v>435417703.24118125</v>
      </c>
      <c r="K111" s="53">
        <v>0</v>
      </c>
      <c r="L111" s="10"/>
      <c r="M111" s="61"/>
      <c r="N111" s="11">
        <f xml:space="preserve"> (L110 / 12) +2500000</f>
        <v>24878324.420638178</v>
      </c>
      <c r="P111" s="9">
        <f xml:space="preserve"> (H110 / 2 )</f>
        <v>268539893.04765815</v>
      </c>
      <c r="S111" s="9"/>
    </row>
    <row r="112" spans="1:19" s="8" customFormat="1" x14ac:dyDescent="0.3">
      <c r="B112" s="44"/>
      <c r="C112" s="8">
        <v>2</v>
      </c>
      <c r="D112" s="9">
        <f>N111</f>
        <v>24878324.420638178</v>
      </c>
      <c r="E112" s="47">
        <f t="shared" si="6"/>
        <v>139586081.09990779</v>
      </c>
      <c r="F112" s="9">
        <f xml:space="preserve"> H111 + D112 - K112</f>
        <v>323578069.80336386</v>
      </c>
      <c r="G112" s="8">
        <v>1.7999999999999999E-2</v>
      </c>
      <c r="H112" s="9">
        <f t="shared" si="8"/>
        <v>329402475.05982441</v>
      </c>
      <c r="I112" s="9"/>
      <c r="J112" s="9">
        <f t="shared" si="7"/>
        <v>468988556.15973222</v>
      </c>
      <c r="K112" s="53">
        <v>0</v>
      </c>
      <c r="L112" s="10"/>
      <c r="M112" s="61"/>
      <c r="S112" s="9"/>
    </row>
    <row r="113" spans="1:19" s="8" customFormat="1" x14ac:dyDescent="0.3">
      <c r="B113" s="44"/>
      <c r="C113" s="8">
        <v>3</v>
      </c>
      <c r="D113" s="9">
        <f>N111</f>
        <v>24878324.420638178</v>
      </c>
      <c r="E113" s="47">
        <f t="shared" si="6"/>
        <v>142505830.55970612</v>
      </c>
      <c r="F113" s="9">
        <f xml:space="preserve"> H112 + D113 - K113</f>
        <v>354280799.48046261</v>
      </c>
      <c r="G113" s="8">
        <v>1.7999999999999999E-2</v>
      </c>
      <c r="H113" s="9">
        <f t="shared" si="8"/>
        <v>360657853.87111092</v>
      </c>
      <c r="I113" s="9"/>
      <c r="J113" s="9">
        <f t="shared" si="7"/>
        <v>503163684.43081701</v>
      </c>
      <c r="K113" s="53">
        <v>0</v>
      </c>
      <c r="L113" s="10"/>
      <c r="M113" s="61"/>
      <c r="S113" s="9"/>
    </row>
    <row r="114" spans="1:19" s="8" customFormat="1" x14ac:dyDescent="0.3">
      <c r="B114" s="44"/>
      <c r="C114" s="8">
        <v>4</v>
      </c>
      <c r="D114" s="9">
        <f>N111</f>
        <v>24878324.420638178</v>
      </c>
      <c r="E114" s="47">
        <f t="shared" si="6"/>
        <v>145478135.50978082</v>
      </c>
      <c r="F114" s="9">
        <f xml:space="preserve"> H113 + D114 - K114</f>
        <v>385536178.29174912</v>
      </c>
      <c r="G114" s="8">
        <v>1.7999999999999999E-2</v>
      </c>
      <c r="H114" s="9">
        <f t="shared" si="8"/>
        <v>392475829.50100058</v>
      </c>
      <c r="I114" s="9"/>
      <c r="J114" s="9">
        <f t="shared" si="7"/>
        <v>537953965.01078141</v>
      </c>
      <c r="K114" s="53">
        <v>0</v>
      </c>
      <c r="L114" s="10"/>
      <c r="M114" s="61"/>
      <c r="S114" s="9"/>
    </row>
    <row r="115" spans="1:19" s="8" customFormat="1" x14ac:dyDescent="0.3">
      <c r="B115" s="44"/>
      <c r="C115" s="8">
        <v>5</v>
      </c>
      <c r="D115" s="9">
        <f>N111</f>
        <v>24878324.420638178</v>
      </c>
      <c r="E115" s="47">
        <f t="shared" si="6"/>
        <v>148503941.94895688</v>
      </c>
      <c r="F115" s="9">
        <f xml:space="preserve"> H114 + D115 - K115</f>
        <v>404318742.11849809</v>
      </c>
      <c r="G115" s="8">
        <v>1.7999999999999999E-2</v>
      </c>
      <c r="H115" s="9">
        <f t="shared" si="8"/>
        <v>411596479.47663105</v>
      </c>
      <c r="I115" s="9"/>
      <c r="J115" s="9">
        <f t="shared" si="7"/>
        <v>560100421.42558789</v>
      </c>
      <c r="K115" s="53">
        <f xml:space="preserve"> Q110</f>
        <v>13035411.803140715</v>
      </c>
      <c r="L115" s="10"/>
      <c r="M115" s="61"/>
      <c r="S115" s="9"/>
    </row>
    <row r="116" spans="1:19" s="8" customFormat="1" x14ac:dyDescent="0.3">
      <c r="B116" s="44"/>
      <c r="C116" s="8">
        <v>6</v>
      </c>
      <c r="D116" s="9">
        <f>N111</f>
        <v>24878324.420638178</v>
      </c>
      <c r="E116" s="47">
        <f t="shared" si="6"/>
        <v>151584212.9040381</v>
      </c>
      <c r="F116" s="9">
        <f xml:space="preserve"> H115 + D116 - K116</f>
        <v>436474803.89726925</v>
      </c>
      <c r="G116" s="8">
        <v>1.7999999999999999E-2</v>
      </c>
      <c r="H116" s="9">
        <f t="shared" si="8"/>
        <v>444331350.36742008</v>
      </c>
      <c r="I116" s="9"/>
      <c r="J116" s="9">
        <f t="shared" si="7"/>
        <v>595915563.27145815</v>
      </c>
      <c r="K116" s="53">
        <v>0</v>
      </c>
      <c r="L116" s="10"/>
      <c r="M116" s="61"/>
      <c r="S116" s="9"/>
    </row>
    <row r="117" spans="1:19" s="8" customFormat="1" x14ac:dyDescent="0.3">
      <c r="B117" s="44"/>
      <c r="C117" s="8">
        <v>7</v>
      </c>
      <c r="D117" s="9">
        <f>N111</f>
        <v>24878324.420638178</v>
      </c>
      <c r="E117" s="47">
        <f t="shared" si="6"/>
        <v>154719928.73631078</v>
      </c>
      <c r="F117" s="9">
        <f xml:space="preserve"> H116 + D117 - K117</f>
        <v>469209674.78805828</v>
      </c>
      <c r="G117" s="8">
        <v>1.7999999999999999E-2</v>
      </c>
      <c r="H117" s="9">
        <f t="shared" si="8"/>
        <v>477655448.93424332</v>
      </c>
      <c r="I117" s="9"/>
      <c r="J117" s="9">
        <f t="shared" si="7"/>
        <v>632375377.67055416</v>
      </c>
      <c r="K117" s="53">
        <v>0</v>
      </c>
      <c r="L117" s="10"/>
      <c r="M117" s="61"/>
      <c r="S117" s="9"/>
    </row>
    <row r="118" spans="1:19" s="8" customFormat="1" x14ac:dyDescent="0.3">
      <c r="B118" s="44"/>
      <c r="C118" s="8">
        <v>8</v>
      </c>
      <c r="D118" s="9">
        <f>N111</f>
        <v>24878324.420638178</v>
      </c>
      <c r="E118" s="47">
        <f t="shared" si="6"/>
        <v>157912087.45356438</v>
      </c>
      <c r="F118" s="9">
        <f xml:space="preserve"> H117 + D118 - K118</f>
        <v>502533773.35488153</v>
      </c>
      <c r="G118" s="8">
        <v>1.7999999999999999E-2</v>
      </c>
      <c r="H118" s="9">
        <f t="shared" si="8"/>
        <v>511579381.27526939</v>
      </c>
      <c r="I118" s="9"/>
      <c r="J118" s="9">
        <f t="shared" si="7"/>
        <v>669491468.72883379</v>
      </c>
      <c r="K118" s="53">
        <v>0</v>
      </c>
      <c r="L118" s="10"/>
      <c r="M118" s="61"/>
      <c r="S118" s="9"/>
    </row>
    <row r="119" spans="1:19" s="8" customFormat="1" x14ac:dyDescent="0.3">
      <c r="B119" s="44"/>
      <c r="C119" s="8">
        <v>9</v>
      </c>
      <c r="D119" s="9">
        <f>N111</f>
        <v>24878324.420638178</v>
      </c>
      <c r="E119" s="47">
        <f t="shared" si="6"/>
        <v>161161705.02772853</v>
      </c>
      <c r="F119" s="9">
        <f xml:space="preserve"> H118 + D119 - K119</f>
        <v>536457705.69590759</v>
      </c>
      <c r="G119" s="8">
        <v>1.7999999999999999E-2</v>
      </c>
      <c r="H119" s="9">
        <f t="shared" si="8"/>
        <v>546113944.39843392</v>
      </c>
      <c r="I119" s="9"/>
      <c r="J119" s="9">
        <f t="shared" si="7"/>
        <v>707275649.42616248</v>
      </c>
      <c r="K119" s="53">
        <v>0</v>
      </c>
      <c r="L119" s="10"/>
      <c r="M119" s="61"/>
      <c r="S119" s="9"/>
    </row>
    <row r="120" spans="1:19" s="8" customFormat="1" x14ac:dyDescent="0.3">
      <c r="B120" s="44"/>
      <c r="C120" s="8">
        <v>10</v>
      </c>
      <c r="D120" s="9">
        <f>N111</f>
        <v>24878324.420638178</v>
      </c>
      <c r="E120" s="47">
        <f t="shared" si="6"/>
        <v>164469815.71822765</v>
      </c>
      <c r="F120" s="9">
        <f xml:space="preserve"> H119 + D120 - K120</f>
        <v>570992268.81907213</v>
      </c>
      <c r="G120" s="8">
        <v>1.7999999999999999E-2</v>
      </c>
      <c r="H120" s="9">
        <f t="shared" si="8"/>
        <v>581270129.65781546</v>
      </c>
      <c r="I120" s="9"/>
      <c r="J120" s="9">
        <f t="shared" si="7"/>
        <v>745739945.37604308</v>
      </c>
      <c r="K120" s="53">
        <v>0</v>
      </c>
      <c r="L120" s="10"/>
      <c r="M120" s="61"/>
      <c r="S120" s="9"/>
    </row>
    <row r="121" spans="1:19" s="8" customFormat="1" x14ac:dyDescent="0.3">
      <c r="B121" s="44"/>
      <c r="C121" s="8">
        <v>11</v>
      </c>
      <c r="D121" s="9">
        <f>N111</f>
        <v>24878324.420638178</v>
      </c>
      <c r="E121" s="47">
        <f t="shared" si="6"/>
        <v>167837472.40115574</v>
      </c>
      <c r="F121" s="9">
        <f xml:space="preserve"> H120 + D121 - K121</f>
        <v>606148454.07845366</v>
      </c>
      <c r="G121" s="8">
        <v>1.7999999999999999E-2</v>
      </c>
      <c r="H121" s="9">
        <f t="shared" si="8"/>
        <v>617059126.25186586</v>
      </c>
      <c r="I121" s="9"/>
      <c r="J121" s="9">
        <f t="shared" si="7"/>
        <v>784896598.65302157</v>
      </c>
      <c r="K121" s="53">
        <v>0</v>
      </c>
      <c r="L121" s="10"/>
      <c r="M121" s="61"/>
      <c r="S121" s="9"/>
    </row>
    <row r="122" spans="1:19" s="18" customFormat="1" x14ac:dyDescent="0.3">
      <c r="B122" s="44"/>
      <c r="C122" s="18">
        <v>12</v>
      </c>
      <c r="D122" s="19">
        <f>N111</f>
        <v>24878324.420638178</v>
      </c>
      <c r="E122" s="19">
        <f t="shared" si="6"/>
        <v>171265746.90437654</v>
      </c>
      <c r="F122" s="19">
        <f xml:space="preserve"> H121 + D122 - K122</f>
        <v>641937450.67250407</v>
      </c>
      <c r="G122" s="18">
        <v>1.7999999999999999E-2</v>
      </c>
      <c r="H122" s="19">
        <f t="shared" si="8"/>
        <v>653492324.78460908</v>
      </c>
      <c r="I122" s="19">
        <f xml:space="preserve"> H122</f>
        <v>653492324.78460908</v>
      </c>
      <c r="J122" s="19">
        <f t="shared" si="7"/>
        <v>824758071.68898559</v>
      </c>
      <c r="K122" s="56">
        <v>0</v>
      </c>
      <c r="L122" s="20">
        <f xml:space="preserve"> I122 / 2</f>
        <v>326746162.39230454</v>
      </c>
      <c r="M122" s="64">
        <f xml:space="preserve"> (F111 + SUM(D112:D122)) - SUM(K112:K122)</f>
        <v>554044374.29217553</v>
      </c>
      <c r="N122" s="19">
        <f xml:space="preserve"> H122 - M122</f>
        <v>99447950.492433548</v>
      </c>
      <c r="O122" s="18">
        <v>0.84</v>
      </c>
      <c r="P122" s="19">
        <f xml:space="preserve"> N122 * O122</f>
        <v>83536278.41364418</v>
      </c>
      <c r="Q122" s="19">
        <f xml:space="preserve"> N122 - P122</f>
        <v>15911672.078789368</v>
      </c>
      <c r="R122" s="18">
        <f xml:space="preserve"> N122 / M122 * 100</f>
        <v>17.949455875169601</v>
      </c>
      <c r="S122" s="19"/>
    </row>
    <row r="123" spans="1:19" s="8" customFormat="1" x14ac:dyDescent="0.3">
      <c r="A123" s="8">
        <v>11</v>
      </c>
      <c r="B123" s="44">
        <v>2032</v>
      </c>
      <c r="C123" s="8">
        <v>1</v>
      </c>
      <c r="D123" s="9">
        <f>N123</f>
        <v>29728846.866025377</v>
      </c>
      <c r="E123" s="47">
        <f t="shared" si="6"/>
        <v>174755730.34865531</v>
      </c>
      <c r="F123" s="9">
        <f xml:space="preserve"> (H122 / 2) + D123 - K123</f>
        <v>356475009.25832993</v>
      </c>
      <c r="G123" s="8">
        <v>1.7999999999999999E-2</v>
      </c>
      <c r="H123" s="9">
        <f t="shared" si="8"/>
        <v>362891559.42497987</v>
      </c>
      <c r="I123" s="9"/>
      <c r="J123" s="9">
        <f t="shared" si="7"/>
        <v>537647289.77363515</v>
      </c>
      <c r="K123" s="53"/>
      <c r="L123" s="10"/>
      <c r="M123" s="61"/>
      <c r="N123" s="11">
        <f xml:space="preserve"> (L122 / 12) +2500000</f>
        <v>29728846.866025377</v>
      </c>
      <c r="P123" s="9">
        <f xml:space="preserve"> (H122 / 2 )</f>
        <v>326746162.39230454</v>
      </c>
      <c r="S123" s="9"/>
    </row>
    <row r="124" spans="1:19" s="8" customFormat="1" x14ac:dyDescent="0.3">
      <c r="B124" s="44"/>
      <c r="C124" s="8">
        <v>2</v>
      </c>
      <c r="D124" s="9">
        <f>N123</f>
        <v>29728846.866025377</v>
      </c>
      <c r="E124" s="47">
        <f t="shared" si="6"/>
        <v>178308533.4949311</v>
      </c>
      <c r="F124" s="9">
        <f xml:space="preserve"> H123 + D124 - K124</f>
        <v>392620406.29100525</v>
      </c>
      <c r="G124" s="8">
        <v>1.7999999999999999E-2</v>
      </c>
      <c r="H124" s="9">
        <f t="shared" si="8"/>
        <v>399687573.60424334</v>
      </c>
      <c r="I124" s="9"/>
      <c r="J124" s="9">
        <f t="shared" si="7"/>
        <v>577996107.0991745</v>
      </c>
      <c r="K124" s="53"/>
      <c r="L124" s="10"/>
      <c r="M124" s="61"/>
      <c r="S124" s="9"/>
    </row>
    <row r="125" spans="1:19" s="8" customFormat="1" x14ac:dyDescent="0.3">
      <c r="B125" s="44"/>
      <c r="C125" s="8">
        <v>3</v>
      </c>
      <c r="D125" s="9">
        <f>N123</f>
        <v>29728846.866025377</v>
      </c>
      <c r="E125" s="47">
        <f t="shared" si="6"/>
        <v>181925287.09783986</v>
      </c>
      <c r="F125" s="9">
        <f xml:space="preserve"> H124 + D125 - K125</f>
        <v>429416420.47026873</v>
      </c>
      <c r="G125" s="8">
        <v>1.7999999999999999E-2</v>
      </c>
      <c r="H125" s="9">
        <f t="shared" si="8"/>
        <v>437145916.03873354</v>
      </c>
      <c r="I125" s="9"/>
      <c r="J125" s="9">
        <f t="shared" si="7"/>
        <v>619071203.13657343</v>
      </c>
      <c r="K125" s="53"/>
      <c r="L125" s="10"/>
      <c r="M125" s="61"/>
      <c r="S125" s="9"/>
    </row>
    <row r="126" spans="1:19" s="8" customFormat="1" x14ac:dyDescent="0.3">
      <c r="B126" s="44"/>
      <c r="C126" s="8">
        <v>4</v>
      </c>
      <c r="D126" s="9">
        <f>N123</f>
        <v>29728846.866025377</v>
      </c>
      <c r="E126" s="47">
        <f t="shared" si="6"/>
        <v>185607142.26560098</v>
      </c>
      <c r="F126" s="9">
        <f xml:space="preserve"> H125 + D126 - K126</f>
        <v>466874762.90475893</v>
      </c>
      <c r="G126" s="8">
        <v>1.7999999999999999E-2</v>
      </c>
      <c r="H126" s="9">
        <f t="shared" si="8"/>
        <v>475278508.63704461</v>
      </c>
      <c r="I126" s="9"/>
      <c r="J126" s="9">
        <f t="shared" si="7"/>
        <v>660885650.90264559</v>
      </c>
      <c r="K126" s="53"/>
      <c r="L126" s="10"/>
      <c r="M126" s="61"/>
      <c r="S126" s="9"/>
    </row>
    <row r="127" spans="1:19" s="8" customFormat="1" x14ac:dyDescent="0.3">
      <c r="B127" s="44"/>
      <c r="C127" s="8">
        <v>5</v>
      </c>
      <c r="D127" s="9">
        <f>N123</f>
        <v>29728846.866025377</v>
      </c>
      <c r="E127" s="47">
        <f t="shared" si="6"/>
        <v>189355270.8263818</v>
      </c>
      <c r="F127" s="9">
        <f xml:space="preserve"> H126 + D127 - K127</f>
        <v>489095683.42428064</v>
      </c>
      <c r="G127" s="8">
        <v>1.7999999999999999E-2</v>
      </c>
      <c r="H127" s="9">
        <f t="shared" si="8"/>
        <v>497899405.7259177</v>
      </c>
      <c r="I127" s="9"/>
      <c r="J127" s="9">
        <f t="shared" si="7"/>
        <v>687254676.5522995</v>
      </c>
      <c r="K127" s="53">
        <f xml:space="preserve"> Q122</f>
        <v>15911672.078789368</v>
      </c>
      <c r="L127" s="10"/>
      <c r="M127" s="61"/>
      <c r="S127" s="9"/>
    </row>
    <row r="128" spans="1:19" s="8" customFormat="1" x14ac:dyDescent="0.3">
      <c r="B128" s="44"/>
      <c r="C128" s="8">
        <v>6</v>
      </c>
      <c r="D128" s="9">
        <f>N123</f>
        <v>29728846.866025377</v>
      </c>
      <c r="E128" s="47">
        <f t="shared" si="6"/>
        <v>193170865.70125666</v>
      </c>
      <c r="F128" s="9">
        <f xml:space="preserve"> H127 + D128 - K128</f>
        <v>527628252.59194309</v>
      </c>
      <c r="G128" s="8">
        <v>1.7999999999999999E-2</v>
      </c>
      <c r="H128" s="9">
        <f t="shared" si="8"/>
        <v>537125561.13859808</v>
      </c>
      <c r="I128" s="9"/>
      <c r="J128" s="9">
        <f t="shared" si="7"/>
        <v>730296426.83985472</v>
      </c>
      <c r="K128" s="53"/>
      <c r="L128" s="10"/>
      <c r="M128" s="61"/>
      <c r="S128" s="9"/>
    </row>
    <row r="129" spans="1:19" s="8" customFormat="1" x14ac:dyDescent="0.3">
      <c r="B129" s="44"/>
      <c r="C129" s="8">
        <v>7</v>
      </c>
      <c r="D129" s="9">
        <f>N123</f>
        <v>29728846.866025377</v>
      </c>
      <c r="E129" s="47">
        <f t="shared" si="6"/>
        <v>197055141.28387928</v>
      </c>
      <c r="F129" s="9">
        <f xml:space="preserve"> H128 + D129 - K129</f>
        <v>566854408.00462341</v>
      </c>
      <c r="G129" s="8">
        <v>1.7999999999999999E-2</v>
      </c>
      <c r="H129" s="9">
        <f t="shared" si="8"/>
        <v>577057787.3487066</v>
      </c>
      <c r="I129" s="9"/>
      <c r="J129" s="9">
        <f t="shared" si="7"/>
        <v>774112928.63258588</v>
      </c>
      <c r="K129" s="53"/>
      <c r="L129" s="10"/>
      <c r="M129" s="61"/>
      <c r="S129" s="9"/>
    </row>
    <row r="130" spans="1:19" s="8" customFormat="1" x14ac:dyDescent="0.3">
      <c r="B130" s="44"/>
      <c r="C130" s="8">
        <v>8</v>
      </c>
      <c r="D130" s="9">
        <f>N123</f>
        <v>29728846.866025377</v>
      </c>
      <c r="E130" s="47">
        <f t="shared" si="6"/>
        <v>201009333.82698911</v>
      </c>
      <c r="F130" s="9">
        <f xml:space="preserve"> H129 + D130 - K130</f>
        <v>606786634.21473193</v>
      </c>
      <c r="G130" s="8">
        <v>1.7999999999999999E-2</v>
      </c>
      <c r="H130" s="9">
        <f t="shared" si="8"/>
        <v>617708793.63059711</v>
      </c>
      <c r="I130" s="9"/>
      <c r="J130" s="9">
        <f t="shared" si="7"/>
        <v>818718127.45758629</v>
      </c>
      <c r="K130" s="53"/>
      <c r="L130" s="10"/>
      <c r="M130" s="61"/>
      <c r="S130" s="9"/>
    </row>
    <row r="131" spans="1:19" s="8" customFormat="1" x14ac:dyDescent="0.3">
      <c r="B131" s="44"/>
      <c r="C131" s="8">
        <v>9</v>
      </c>
      <c r="D131" s="9">
        <f>N123</f>
        <v>29728846.866025377</v>
      </c>
      <c r="E131" s="47">
        <f t="shared" si="6"/>
        <v>205034701.83587492</v>
      </c>
      <c r="F131" s="9">
        <f xml:space="preserve"> H130 + D131 - K131</f>
        <v>647437640.49662244</v>
      </c>
      <c r="G131" s="8">
        <v>1.7999999999999999E-2</v>
      </c>
      <c r="H131" s="9">
        <f t="shared" si="8"/>
        <v>659091518.02556169</v>
      </c>
      <c r="I131" s="9"/>
      <c r="J131" s="9">
        <f t="shared" si="7"/>
        <v>864126219.86143661</v>
      </c>
      <c r="K131" s="53"/>
      <c r="L131" s="10"/>
      <c r="M131" s="61"/>
      <c r="S131" s="9"/>
    </row>
    <row r="132" spans="1:19" s="8" customFormat="1" x14ac:dyDescent="0.3">
      <c r="B132" s="44"/>
      <c r="C132" s="8">
        <v>10</v>
      </c>
      <c r="D132" s="9">
        <f>N123</f>
        <v>29728846.866025377</v>
      </c>
      <c r="E132" s="47">
        <f t="shared" si="6"/>
        <v>209132526.46892068</v>
      </c>
      <c r="F132" s="9">
        <f xml:space="preserve"> H131 + D132 - K132</f>
        <v>688820364.89158702</v>
      </c>
      <c r="G132" s="8">
        <v>1.7999999999999999E-2</v>
      </c>
      <c r="H132" s="9">
        <f t="shared" si="8"/>
        <v>701219131.45963562</v>
      </c>
      <c r="I132" s="9"/>
      <c r="J132" s="9">
        <f t="shared" si="7"/>
        <v>910351657.92855632</v>
      </c>
      <c r="K132" s="53"/>
      <c r="L132" s="10"/>
      <c r="M132" s="61"/>
      <c r="S132" s="9"/>
    </row>
    <row r="133" spans="1:19" s="8" customFormat="1" x14ac:dyDescent="0.3">
      <c r="B133" s="44"/>
      <c r="C133" s="8">
        <v>11</v>
      </c>
      <c r="D133" s="9">
        <f>N123</f>
        <v>29728846.866025377</v>
      </c>
      <c r="E133" s="47">
        <f t="shared" si="6"/>
        <v>213304111.94536126</v>
      </c>
      <c r="F133" s="9">
        <f xml:space="preserve"> H132 + D133 - K133</f>
        <v>730947978.32566094</v>
      </c>
      <c r="G133" s="8">
        <v>1.7999999999999999E-2</v>
      </c>
      <c r="H133" s="9">
        <f t="shared" si="8"/>
        <v>744105041.93552279</v>
      </c>
      <c r="I133" s="9"/>
      <c r="J133" s="9">
        <f t="shared" si="7"/>
        <v>957409153.88088405</v>
      </c>
      <c r="K133" s="53"/>
      <c r="L133" s="10"/>
      <c r="M133" s="61"/>
      <c r="S133" s="9"/>
    </row>
    <row r="134" spans="1:19" s="18" customFormat="1" x14ac:dyDescent="0.3">
      <c r="B134" s="44"/>
      <c r="C134" s="18">
        <v>12</v>
      </c>
      <c r="D134" s="19">
        <f>N123</f>
        <v>29728846.866025377</v>
      </c>
      <c r="E134" s="19">
        <f t="shared" si="6"/>
        <v>217550785.96037775</v>
      </c>
      <c r="F134" s="19">
        <f xml:space="preserve"> H133 + D134 - K134</f>
        <v>737833888.80154812</v>
      </c>
      <c r="G134" s="18">
        <v>1.7999999999999999E-2</v>
      </c>
      <c r="H134" s="19">
        <f t="shared" si="8"/>
        <v>751114898.79997599</v>
      </c>
      <c r="I134" s="19">
        <f xml:space="preserve"> H134</f>
        <v>751114898.79997599</v>
      </c>
      <c r="J134" s="19">
        <f t="shared" si="7"/>
        <v>968665684.7603538</v>
      </c>
      <c r="K134" s="57">
        <v>36000000</v>
      </c>
      <c r="L134" s="20">
        <f xml:space="preserve"> (I134-K134) / 2</f>
        <v>357557449.399988</v>
      </c>
      <c r="M134" s="64">
        <f xml:space="preserve"> (F123 + SUM(D124:D134)) - SUM(K124:K134)</f>
        <v>631580652.70581973</v>
      </c>
      <c r="N134" s="19">
        <f xml:space="preserve"> H134 - M134</f>
        <v>119534246.09415627</v>
      </c>
      <c r="O134" s="18">
        <v>0.84</v>
      </c>
      <c r="P134" s="19">
        <f xml:space="preserve"> N134 * O134</f>
        <v>100408766.71909127</v>
      </c>
      <c r="Q134" s="19">
        <f xml:space="preserve"> N134 - P134</f>
        <v>19125479.375064999</v>
      </c>
      <c r="R134" s="18">
        <f xml:space="preserve"> N134 / M134 * 100</f>
        <v>18.926204528597779</v>
      </c>
      <c r="S134" s="19"/>
    </row>
    <row r="135" spans="1:19" s="12" customFormat="1" x14ac:dyDescent="0.3">
      <c r="A135" s="12">
        <v>12</v>
      </c>
      <c r="B135" s="43">
        <v>2033</v>
      </c>
      <c r="C135" s="12">
        <v>1</v>
      </c>
      <c r="D135" s="13">
        <f>N135</f>
        <v>32296454.116665665</v>
      </c>
      <c r="E135" s="47">
        <f xml:space="preserve"> (E134) + ((E134) * G135 )</f>
        <v>221466700.10766456</v>
      </c>
      <c r="F135" s="13">
        <f xml:space="preserve"> (H134 / 2) + D135 - K135</f>
        <v>407853903.51665366</v>
      </c>
      <c r="G135" s="12">
        <v>1.7999999999999999E-2</v>
      </c>
      <c r="H135" s="13">
        <f t="shared" si="8"/>
        <v>415195273.77995342</v>
      </c>
      <c r="I135" s="13"/>
      <c r="J135" s="9">
        <f t="shared" si="7"/>
        <v>636661973.88761795</v>
      </c>
      <c r="K135" s="54">
        <v>0</v>
      </c>
      <c r="L135" s="14"/>
      <c r="M135" s="62"/>
      <c r="N135" s="11">
        <f xml:space="preserve"> (L134 / 12) +2500000</f>
        <v>32296454.116665665</v>
      </c>
      <c r="P135" s="13">
        <f xml:space="preserve"> (H134 - K135) / 2</f>
        <v>375557449.399988</v>
      </c>
      <c r="Q135" s="16" t="s">
        <v>0</v>
      </c>
      <c r="S135" s="13"/>
    </row>
    <row r="136" spans="1:19" s="12" customFormat="1" x14ac:dyDescent="0.3">
      <c r="B136" s="43"/>
      <c r="C136" s="12">
        <v>2</v>
      </c>
      <c r="D136" s="13">
        <f>N135</f>
        <v>32296454.116665665</v>
      </c>
      <c r="E136" s="47">
        <f xml:space="preserve"> (E135) + ((E135) * G136 )</f>
        <v>225453100.7096025</v>
      </c>
      <c r="F136" s="13">
        <f xml:space="preserve"> H135 + D136 - K136</f>
        <v>447491727.89661908</v>
      </c>
      <c r="G136" s="12">
        <v>1.7999999999999999E-2</v>
      </c>
      <c r="H136" s="13">
        <f t="shared" si="8"/>
        <v>455546578.9987582</v>
      </c>
      <c r="I136" s="13"/>
      <c r="J136" s="9">
        <f t="shared" si="7"/>
        <v>680999679.70836067</v>
      </c>
      <c r="K136" s="54"/>
      <c r="L136" s="14"/>
      <c r="M136" s="62"/>
      <c r="S136" s="13"/>
    </row>
    <row r="137" spans="1:19" s="12" customFormat="1" x14ac:dyDescent="0.3">
      <c r="B137" s="43"/>
      <c r="C137" s="12">
        <v>3</v>
      </c>
      <c r="D137" s="13">
        <f>N135</f>
        <v>32296454.116665665</v>
      </c>
      <c r="E137" s="47">
        <f t="shared" ref="E137:E194" si="9" xml:space="preserve"> (E136) + ((E136) * G137 )</f>
        <v>229511256.52237535</v>
      </c>
      <c r="F137" s="13">
        <f xml:space="preserve"> H136 + D137 - K137</f>
        <v>487843033.11542386</v>
      </c>
      <c r="G137" s="12">
        <v>1.7999999999999999E-2</v>
      </c>
      <c r="H137" s="13">
        <f t="shared" si="8"/>
        <v>496624207.71150148</v>
      </c>
      <c r="I137" s="13"/>
      <c r="J137" s="9">
        <f t="shared" si="7"/>
        <v>726135464.23387682</v>
      </c>
      <c r="K137" s="54"/>
      <c r="L137" s="14"/>
      <c r="M137" s="62"/>
      <c r="S137" s="13"/>
    </row>
    <row r="138" spans="1:19" s="12" customFormat="1" x14ac:dyDescent="0.3">
      <c r="B138" s="43"/>
      <c r="C138" s="12">
        <v>4</v>
      </c>
      <c r="D138" s="13">
        <f>N135</f>
        <v>32296454.116665665</v>
      </c>
      <c r="E138" s="47">
        <f t="shared" si="9"/>
        <v>233642459.13977811</v>
      </c>
      <c r="F138" s="13">
        <f xml:space="preserve"> H137 + D138 - K138</f>
        <v>528920661.82816714</v>
      </c>
      <c r="G138" s="12">
        <v>1.7999999999999999E-2</v>
      </c>
      <c r="H138" s="13">
        <f t="shared" si="8"/>
        <v>538441233.7410742</v>
      </c>
      <c r="I138" s="13"/>
      <c r="J138" s="9">
        <f t="shared" si="7"/>
        <v>772083692.88085234</v>
      </c>
      <c r="K138" s="54"/>
      <c r="L138" s="14"/>
      <c r="M138" s="62"/>
      <c r="S138" s="13"/>
    </row>
    <row r="139" spans="1:19" s="12" customFormat="1" x14ac:dyDescent="0.3">
      <c r="B139" s="43"/>
      <c r="C139" s="12">
        <v>5</v>
      </c>
      <c r="D139" s="13">
        <f>N135</f>
        <v>32296454.116665665</v>
      </c>
      <c r="E139" s="47">
        <f t="shared" si="9"/>
        <v>237848023.4042941</v>
      </c>
      <c r="F139" s="13">
        <f xml:space="preserve"> H138 + D139 - K139</f>
        <v>551612208.48267496</v>
      </c>
      <c r="G139" s="12">
        <v>1.7999999999999999E-2</v>
      </c>
      <c r="H139" s="13">
        <f t="shared" si="8"/>
        <v>561541228.23536313</v>
      </c>
      <c r="I139" s="13"/>
      <c r="J139" s="9">
        <f t="shared" si="7"/>
        <v>799389251.63965726</v>
      </c>
      <c r="K139" s="54">
        <f xml:space="preserve"> Q134</f>
        <v>19125479.375064999</v>
      </c>
      <c r="L139" s="14"/>
      <c r="M139" s="62"/>
      <c r="S139" s="13"/>
    </row>
    <row r="140" spans="1:19" s="12" customFormat="1" x14ac:dyDescent="0.3">
      <c r="B140" s="43"/>
      <c r="C140" s="12">
        <v>6</v>
      </c>
      <c r="D140" s="13">
        <f>N135</f>
        <v>32296454.116665665</v>
      </c>
      <c r="E140" s="47">
        <f t="shared" si="9"/>
        <v>242129287.82557139</v>
      </c>
      <c r="F140" s="13">
        <f xml:space="preserve"> H139 + D140 - K140</f>
        <v>593837682.35202885</v>
      </c>
      <c r="G140" s="12">
        <v>1.7999999999999999E-2</v>
      </c>
      <c r="H140" s="13">
        <f t="shared" si="8"/>
        <v>604526760.63436532</v>
      </c>
      <c r="I140" s="13"/>
      <c r="J140" s="9">
        <f t="shared" si="7"/>
        <v>846656048.45993674</v>
      </c>
      <c r="K140" s="54"/>
      <c r="L140" s="14"/>
      <c r="M140" s="62"/>
      <c r="S140" s="13"/>
    </row>
    <row r="141" spans="1:19" s="12" customFormat="1" x14ac:dyDescent="0.3">
      <c r="B141" s="43"/>
      <c r="C141" s="12">
        <v>7</v>
      </c>
      <c r="D141" s="13">
        <f>N135</f>
        <v>32296454.116665665</v>
      </c>
      <c r="E141" s="47">
        <f t="shared" si="9"/>
        <v>246487615.00643167</v>
      </c>
      <c r="F141" s="13">
        <f xml:space="preserve"> H140 + D141 - K141</f>
        <v>636823214.75103104</v>
      </c>
      <c r="G141" s="12">
        <v>1.7999999999999999E-2</v>
      </c>
      <c r="H141" s="13">
        <f t="shared" si="8"/>
        <v>648286032.61654961</v>
      </c>
      <c r="I141" s="13"/>
      <c r="J141" s="9">
        <f t="shared" si="7"/>
        <v>894773647.62298131</v>
      </c>
      <c r="K141" s="54"/>
      <c r="L141" s="14"/>
      <c r="M141" s="62"/>
      <c r="S141" s="13"/>
    </row>
    <row r="142" spans="1:19" s="12" customFormat="1" x14ac:dyDescent="0.3">
      <c r="B142" s="43"/>
      <c r="C142" s="12">
        <v>8</v>
      </c>
      <c r="D142" s="13">
        <f>N135</f>
        <v>32296454.116665665</v>
      </c>
      <c r="E142" s="47">
        <f t="shared" si="9"/>
        <v>250924392.07654744</v>
      </c>
      <c r="F142" s="13">
        <f xml:space="preserve"> H141 + D142 - K142</f>
        <v>680582486.73321533</v>
      </c>
      <c r="G142" s="12">
        <v>1.7999999999999999E-2</v>
      </c>
      <c r="H142" s="13">
        <f t="shared" si="8"/>
        <v>692832971.49441326</v>
      </c>
      <c r="I142" s="13"/>
      <c r="J142" s="9">
        <f t="shared" si="7"/>
        <v>943757363.57096076</v>
      </c>
      <c r="K142" s="54"/>
      <c r="L142" s="14"/>
      <c r="M142" s="62"/>
      <c r="S142" s="13"/>
    </row>
    <row r="143" spans="1:19" s="12" customFormat="1" x14ac:dyDescent="0.3">
      <c r="B143" s="43"/>
      <c r="C143" s="12">
        <v>9</v>
      </c>
      <c r="D143" s="13">
        <f>N135</f>
        <v>32296454.116665665</v>
      </c>
      <c r="E143" s="47">
        <f t="shared" si="9"/>
        <v>255441031.13392529</v>
      </c>
      <c r="F143" s="13">
        <f xml:space="preserve"> H142 + D143 - K143</f>
        <v>725129425.61107898</v>
      </c>
      <c r="G143" s="12">
        <v>1.7999999999999999E-2</v>
      </c>
      <c r="H143" s="13">
        <f t="shared" si="8"/>
        <v>738181755.27207839</v>
      </c>
      <c r="I143" s="13"/>
      <c r="J143" s="9">
        <f t="shared" si="7"/>
        <v>993622786.40600371</v>
      </c>
      <c r="K143" s="54"/>
      <c r="L143" s="14"/>
      <c r="M143" s="62"/>
      <c r="S143" s="13"/>
    </row>
    <row r="144" spans="1:19" s="12" customFormat="1" x14ac:dyDescent="0.3">
      <c r="B144" s="43"/>
      <c r="C144" s="12">
        <v>10</v>
      </c>
      <c r="D144" s="13">
        <f>N135</f>
        <v>32296454.116665665</v>
      </c>
      <c r="E144" s="47">
        <f t="shared" si="9"/>
        <v>260038969.69433594</v>
      </c>
      <c r="F144" s="13">
        <f xml:space="preserve"> H143 + D144 - K144</f>
        <v>770478209.38874412</v>
      </c>
      <c r="G144" s="12">
        <v>1.7999999999999999E-2</v>
      </c>
      <c r="H144" s="13">
        <f t="shared" si="8"/>
        <v>784346817.15774155</v>
      </c>
      <c r="I144" s="13"/>
      <c r="J144" s="9">
        <f t="shared" si="7"/>
        <v>1044385786.8520775</v>
      </c>
      <c r="K144" s="54"/>
      <c r="L144" s="14"/>
      <c r="M144" s="62"/>
      <c r="S144" s="13"/>
    </row>
    <row r="145" spans="1:19" s="12" customFormat="1" x14ac:dyDescent="0.3">
      <c r="B145" s="43"/>
      <c r="C145" s="12">
        <v>11</v>
      </c>
      <c r="D145" s="13">
        <f>N135</f>
        <v>32296454.116665665</v>
      </c>
      <c r="E145" s="47">
        <f t="shared" si="9"/>
        <v>264719671.14883399</v>
      </c>
      <c r="F145" s="13">
        <f xml:space="preserve"> H144 + D145 - K145</f>
        <v>816643271.27440727</v>
      </c>
      <c r="G145" s="12">
        <v>1.7999999999999999E-2</v>
      </c>
      <c r="H145" s="13">
        <f t="shared" si="8"/>
        <v>831342850.15734661</v>
      </c>
      <c r="I145" s="13"/>
      <c r="J145" s="9">
        <f t="shared" si="7"/>
        <v>1096062521.3061805</v>
      </c>
      <c r="K145" s="54"/>
      <c r="L145" s="14"/>
      <c r="M145" s="62"/>
      <c r="S145" s="13"/>
    </row>
    <row r="146" spans="1:19" s="18" customFormat="1" x14ac:dyDescent="0.3">
      <c r="B146" s="43"/>
      <c r="C146" s="18">
        <v>12</v>
      </c>
      <c r="D146" s="19">
        <f>N135</f>
        <v>32296454.116665665</v>
      </c>
      <c r="E146" s="19">
        <f t="shared" si="9"/>
        <v>269484625.22951299</v>
      </c>
      <c r="F146" s="19">
        <f xml:space="preserve"> H145 + D146 - K146</f>
        <v>827639304.27401233</v>
      </c>
      <c r="G146" s="18">
        <v>1.7999999999999999E-2</v>
      </c>
      <c r="H146" s="19">
        <f t="shared" si="8"/>
        <v>842536811.7509445</v>
      </c>
      <c r="I146" s="19">
        <f xml:space="preserve"> H146</f>
        <v>842536811.7509445</v>
      </c>
      <c r="J146" s="19">
        <f t="shared" si="7"/>
        <v>1112021436.9804575</v>
      </c>
      <c r="K146" s="57">
        <v>36000000</v>
      </c>
      <c r="L146" s="20">
        <f xml:space="preserve"> (I146-K146) / 2</f>
        <v>403268405.87547225</v>
      </c>
      <c r="M146" s="64">
        <f xml:space="preserve"> (F135 + SUM(D136:D146)) - SUM(K136:K146)</f>
        <v>707989419.42491102</v>
      </c>
      <c r="N146" s="19">
        <f xml:space="preserve"> H146 - M146</f>
        <v>134547392.32603347</v>
      </c>
      <c r="O146" s="18">
        <v>0.84</v>
      </c>
      <c r="P146" s="19">
        <f xml:space="preserve"> N146 * O146</f>
        <v>113019809.55386811</v>
      </c>
      <c r="Q146" s="19">
        <f xml:space="preserve"> N146 - P146</f>
        <v>21527582.772165358</v>
      </c>
      <c r="R146" s="18">
        <f xml:space="preserve"> N146 / M146 * 100</f>
        <v>19.004152976653842</v>
      </c>
      <c r="S146" s="19"/>
    </row>
    <row r="147" spans="1:19" s="12" customFormat="1" x14ac:dyDescent="0.3">
      <c r="A147" s="12">
        <v>13</v>
      </c>
      <c r="B147" s="43">
        <v>2034</v>
      </c>
      <c r="C147" s="12">
        <v>1</v>
      </c>
      <c r="D147" s="13">
        <f>N147</f>
        <v>36105700.48962269</v>
      </c>
      <c r="E147" s="47">
        <f t="shared" si="9"/>
        <v>274335348.48364425</v>
      </c>
      <c r="F147" s="13">
        <f xml:space="preserve"> (H146 / 2) + D147 - K147</f>
        <v>457374106.36509496</v>
      </c>
      <c r="G147" s="12">
        <v>1.7999999999999999E-2</v>
      </c>
      <c r="H147" s="13">
        <f t="shared" si="8"/>
        <v>465606840.27966666</v>
      </c>
      <c r="I147" s="13"/>
      <c r="J147" s="9">
        <f t="shared" si="7"/>
        <v>739942188.76331091</v>
      </c>
      <c r="K147" s="54"/>
      <c r="L147" s="14"/>
      <c r="M147" s="62"/>
      <c r="N147" s="11">
        <f xml:space="preserve"> (L146 / 12) +2500000</f>
        <v>36105700.48962269</v>
      </c>
      <c r="P147" s="9">
        <f xml:space="preserve"> (H146 - K147) / 2</f>
        <v>421268405.87547225</v>
      </c>
      <c r="S147" s="13"/>
    </row>
    <row r="148" spans="1:19" s="12" customFormat="1" x14ac:dyDescent="0.3">
      <c r="B148" s="43"/>
      <c r="C148" s="12">
        <v>2</v>
      </c>
      <c r="D148" s="13">
        <f>N147</f>
        <v>36105700.48962269</v>
      </c>
      <c r="E148" s="47">
        <f t="shared" si="9"/>
        <v>279273384.75634986</v>
      </c>
      <c r="F148" s="13">
        <f xml:space="preserve"> H147 + D148 - K148</f>
        <v>501712540.76928937</v>
      </c>
      <c r="G148" s="12">
        <v>1.7999999999999999E-2</v>
      </c>
      <c r="H148" s="13">
        <f t="shared" si="8"/>
        <v>510743366.50313658</v>
      </c>
      <c r="I148" s="13"/>
      <c r="J148" s="9">
        <f t="shared" si="7"/>
        <v>790016751.25948644</v>
      </c>
      <c r="K148" s="54"/>
      <c r="L148" s="14"/>
      <c r="M148" s="62"/>
      <c r="S148" s="13"/>
    </row>
    <row r="149" spans="1:19" s="12" customFormat="1" x14ac:dyDescent="0.3">
      <c r="B149" s="43"/>
      <c r="C149" s="12">
        <v>3</v>
      </c>
      <c r="D149" s="13">
        <f>N147</f>
        <v>36105700.48962269</v>
      </c>
      <c r="E149" s="47">
        <f t="shared" si="9"/>
        <v>284300305.68196416</v>
      </c>
      <c r="F149" s="13">
        <f xml:space="preserve"> H148 + D149 - K149</f>
        <v>546849066.99275923</v>
      </c>
      <c r="G149" s="12">
        <v>1.7999999999999999E-2</v>
      </c>
      <c r="H149" s="13">
        <f t="shared" si="8"/>
        <v>556692350.1986289</v>
      </c>
      <c r="I149" s="13"/>
      <c r="J149" s="9">
        <f t="shared" si="7"/>
        <v>840992655.88059306</v>
      </c>
      <c r="K149" s="54"/>
      <c r="L149" s="14"/>
      <c r="M149" s="62"/>
      <c r="S149" s="13"/>
    </row>
    <row r="150" spans="1:19" s="12" customFormat="1" x14ac:dyDescent="0.3">
      <c r="B150" s="43"/>
      <c r="C150" s="12">
        <v>4</v>
      </c>
      <c r="D150" s="13">
        <f>N147</f>
        <v>36105700.48962269</v>
      </c>
      <c r="E150" s="47">
        <f t="shared" si="9"/>
        <v>289417711.18423951</v>
      </c>
      <c r="F150" s="13">
        <f xml:space="preserve"> H149 + D150 - K150</f>
        <v>592798050.68825161</v>
      </c>
      <c r="G150" s="12">
        <v>1.7999999999999999E-2</v>
      </c>
      <c r="H150" s="13">
        <f t="shared" si="8"/>
        <v>603468415.60064018</v>
      </c>
      <c r="I150" s="13"/>
      <c r="J150" s="9">
        <f t="shared" si="7"/>
        <v>892886126.78487968</v>
      </c>
      <c r="K150" s="54"/>
      <c r="L150" s="14"/>
      <c r="M150" s="62"/>
      <c r="S150" s="13"/>
    </row>
    <row r="151" spans="1:19" s="12" customFormat="1" x14ac:dyDescent="0.3">
      <c r="B151" s="43"/>
      <c r="C151" s="12">
        <v>5</v>
      </c>
      <c r="D151" s="13">
        <f>N147</f>
        <v>36105700.48962269</v>
      </c>
      <c r="E151" s="47">
        <f t="shared" si="9"/>
        <v>294627229.98555583</v>
      </c>
      <c r="F151" s="13">
        <f xml:space="preserve"> H150 + D151 - K151</f>
        <v>618046533.31809759</v>
      </c>
      <c r="G151" s="12">
        <v>1.7999999999999999E-2</v>
      </c>
      <c r="H151" s="13">
        <f t="shared" si="8"/>
        <v>629171370.91782331</v>
      </c>
      <c r="I151" s="13"/>
      <c r="J151" s="9">
        <f t="shared" si="7"/>
        <v>923798600.9033792</v>
      </c>
      <c r="K151" s="54">
        <f xml:space="preserve"> Q146</f>
        <v>21527582.772165358</v>
      </c>
      <c r="L151" s="14"/>
      <c r="M151" s="62"/>
      <c r="S151" s="13"/>
    </row>
    <row r="152" spans="1:19" s="12" customFormat="1" x14ac:dyDescent="0.3">
      <c r="B152" s="43"/>
      <c r="C152" s="12">
        <v>6</v>
      </c>
      <c r="D152" s="13">
        <f>N147</f>
        <v>36105700.48962269</v>
      </c>
      <c r="E152" s="47">
        <f t="shared" si="9"/>
        <v>299930520.12529582</v>
      </c>
      <c r="F152" s="13">
        <f xml:space="preserve"> H151 + D152 - K152</f>
        <v>665277071.40744603</v>
      </c>
      <c r="G152" s="12">
        <v>1.7999999999999999E-2</v>
      </c>
      <c r="H152" s="13">
        <f t="shared" si="8"/>
        <v>677252058.69278002</v>
      </c>
      <c r="I152" s="13"/>
      <c r="J152" s="9">
        <f t="shared" si="7"/>
        <v>977182578.8180759</v>
      </c>
      <c r="K152" s="54"/>
      <c r="L152" s="14"/>
      <c r="M152" s="62"/>
      <c r="S152" s="13"/>
    </row>
    <row r="153" spans="1:19" s="12" customFormat="1" x14ac:dyDescent="0.3">
      <c r="B153" s="43"/>
      <c r="C153" s="12">
        <v>7</v>
      </c>
      <c r="D153" s="13">
        <f>N147</f>
        <v>36105700.48962269</v>
      </c>
      <c r="E153" s="47">
        <f t="shared" si="9"/>
        <v>305329269.48755115</v>
      </c>
      <c r="F153" s="13">
        <f xml:space="preserve"> H152 + D153 - K153</f>
        <v>713357759.18240273</v>
      </c>
      <c r="G153" s="12">
        <v>1.7999999999999999E-2</v>
      </c>
      <c r="H153" s="13">
        <f t="shared" si="8"/>
        <v>726198198.84768593</v>
      </c>
      <c r="I153" s="13"/>
      <c r="J153" s="9">
        <f t="shared" si="7"/>
        <v>1031527468.335237</v>
      </c>
      <c r="K153" s="54"/>
      <c r="L153" s="14"/>
      <c r="M153" s="62"/>
      <c r="S153" s="13"/>
    </row>
    <row r="154" spans="1:19" s="12" customFormat="1" x14ac:dyDescent="0.3">
      <c r="B154" s="43"/>
      <c r="C154" s="12">
        <v>8</v>
      </c>
      <c r="D154" s="13">
        <f>N147</f>
        <v>36105700.48962269</v>
      </c>
      <c r="E154" s="47">
        <f t="shared" si="9"/>
        <v>310825196.33832705</v>
      </c>
      <c r="F154" s="13">
        <f xml:space="preserve"> H153 + D154 - K154</f>
        <v>762303899.33730865</v>
      </c>
      <c r="G154" s="12">
        <v>1.7999999999999999E-2</v>
      </c>
      <c r="H154" s="13">
        <f t="shared" si="8"/>
        <v>776025369.52538025</v>
      </c>
      <c r="I154" s="13"/>
      <c r="J154" s="9">
        <f t="shared" si="7"/>
        <v>1086850565.8637073</v>
      </c>
      <c r="K154" s="54"/>
      <c r="L154" s="14"/>
      <c r="M154" s="62"/>
      <c r="S154" s="13"/>
    </row>
    <row r="155" spans="1:19" s="12" customFormat="1" x14ac:dyDescent="0.3">
      <c r="B155" s="43"/>
      <c r="C155" s="12">
        <v>9</v>
      </c>
      <c r="D155" s="13">
        <f>N147</f>
        <v>36105700.48962269</v>
      </c>
      <c r="E155" s="47">
        <f t="shared" si="9"/>
        <v>316420049.87241691</v>
      </c>
      <c r="F155" s="13">
        <f xml:space="preserve"> H154 + D155 - K155</f>
        <v>812131070.01500297</v>
      </c>
      <c r="G155" s="12">
        <v>1.7999999999999999E-2</v>
      </c>
      <c r="H155" s="13">
        <f t="shared" si="8"/>
        <v>826749429.27527297</v>
      </c>
      <c r="I155" s="13"/>
      <c r="J155" s="9">
        <f t="shared" si="7"/>
        <v>1143169479.1476898</v>
      </c>
      <c r="K155" s="54"/>
      <c r="L155" s="14"/>
      <c r="M155" s="62"/>
      <c r="S155" s="13"/>
    </row>
    <row r="156" spans="1:19" s="12" customFormat="1" x14ac:dyDescent="0.3">
      <c r="B156" s="43"/>
      <c r="C156" s="12">
        <v>10</v>
      </c>
      <c r="D156" s="13">
        <f>N147</f>
        <v>36105700.48962269</v>
      </c>
      <c r="E156" s="47">
        <f t="shared" si="9"/>
        <v>322115610.77012044</v>
      </c>
      <c r="F156" s="13">
        <f xml:space="preserve"> H155 + D156 - K156</f>
        <v>862855129.76489568</v>
      </c>
      <c r="G156" s="12">
        <v>1.7999999999999999E-2</v>
      </c>
      <c r="H156" s="13">
        <f t="shared" si="8"/>
        <v>878386522.10066378</v>
      </c>
      <c r="I156" s="13"/>
      <c r="J156" s="9">
        <f t="shared" ref="J156:J194" si="10" xml:space="preserve"> E156 + H156</f>
        <v>1200502132.8707843</v>
      </c>
      <c r="K156" s="54"/>
      <c r="L156" s="14"/>
      <c r="M156" s="62"/>
      <c r="S156" s="13"/>
    </row>
    <row r="157" spans="1:19" s="12" customFormat="1" x14ac:dyDescent="0.3">
      <c r="B157" s="43"/>
      <c r="C157" s="12">
        <v>11</v>
      </c>
      <c r="D157" s="13">
        <f>N147</f>
        <v>36105700.48962269</v>
      </c>
      <c r="E157" s="47">
        <f t="shared" si="9"/>
        <v>327913691.76398259</v>
      </c>
      <c r="F157" s="13">
        <f xml:space="preserve"> H156 + D157 - K157</f>
        <v>914492222.59028649</v>
      </c>
      <c r="G157" s="12">
        <v>1.7999999999999999E-2</v>
      </c>
      <c r="H157" s="13">
        <f t="shared" si="8"/>
        <v>930953082.59691167</v>
      </c>
      <c r="I157" s="13"/>
      <c r="J157" s="9">
        <f t="shared" si="10"/>
        <v>1258866774.3608942</v>
      </c>
      <c r="K157" s="54"/>
      <c r="L157" s="14"/>
      <c r="M157" s="62"/>
      <c r="S157" s="13"/>
    </row>
    <row r="158" spans="1:19" s="18" customFormat="1" x14ac:dyDescent="0.3">
      <c r="B158" s="43"/>
      <c r="C158" s="18">
        <v>12</v>
      </c>
      <c r="D158" s="19">
        <f>N147</f>
        <v>36105700.48962269</v>
      </c>
      <c r="E158" s="19">
        <f t="shared" si="9"/>
        <v>333816138.2157343</v>
      </c>
      <c r="F158" s="19">
        <f xml:space="preserve"> H157 + D158 - K158</f>
        <v>931058783.08653438</v>
      </c>
      <c r="G158" s="18">
        <v>1.7999999999999999E-2</v>
      </c>
      <c r="H158" s="19">
        <f t="shared" ref="H158:H221" si="11" xml:space="preserve"> (F158 * G158) + F158</f>
        <v>947817841.18209195</v>
      </c>
      <c r="I158" s="19">
        <f xml:space="preserve"> H158</f>
        <v>947817841.18209195</v>
      </c>
      <c r="J158" s="19">
        <f t="shared" si="10"/>
        <v>1281633979.3978262</v>
      </c>
      <c r="K158" s="57">
        <v>36000000</v>
      </c>
      <c r="L158" s="20">
        <f xml:space="preserve"> (I158-K158) / 2</f>
        <v>455908920.59104598</v>
      </c>
      <c r="M158" s="64">
        <f xml:space="preserve"> (F147 + SUM(D148:D158)) - SUM(K148:K158)</f>
        <v>797009228.97877932</v>
      </c>
      <c r="N158" s="19">
        <f xml:space="preserve"> H158 - M158</f>
        <v>150808612.20331264</v>
      </c>
      <c r="O158" s="18">
        <v>0.84</v>
      </c>
      <c r="P158" s="19">
        <f xml:space="preserve"> N158 * O158</f>
        <v>126679234.25078261</v>
      </c>
      <c r="Q158" s="19">
        <f xml:space="preserve"> N158 - P158</f>
        <v>24129377.952530026</v>
      </c>
      <c r="R158" s="18">
        <f xml:space="preserve"> N158 / M158 * 100</f>
        <v>18.921815045547984</v>
      </c>
      <c r="S158" s="19"/>
    </row>
    <row r="159" spans="1:19" s="12" customFormat="1" x14ac:dyDescent="0.3">
      <c r="A159" s="12">
        <v>14</v>
      </c>
      <c r="B159" s="43">
        <v>2035</v>
      </c>
      <c r="C159" s="12">
        <v>1</v>
      </c>
      <c r="D159" s="13">
        <f>N159</f>
        <v>40492410.049253829</v>
      </c>
      <c r="E159" s="47">
        <f t="shared" si="9"/>
        <v>339824828.70361751</v>
      </c>
      <c r="F159" s="13">
        <f xml:space="preserve"> (H158 / 2) + D159 - K159</f>
        <v>514401330.6402998</v>
      </c>
      <c r="G159" s="12">
        <v>1.7999999999999999E-2</v>
      </c>
      <c r="H159" s="13">
        <f t="shared" si="11"/>
        <v>523660554.59182519</v>
      </c>
      <c r="I159" s="13"/>
      <c r="J159" s="9">
        <f t="shared" si="10"/>
        <v>863485383.2954427</v>
      </c>
      <c r="K159" s="54"/>
      <c r="L159" s="14"/>
      <c r="M159" s="62"/>
      <c r="N159" s="11">
        <f xml:space="preserve"> (L158 / 12) +2500000</f>
        <v>40492410.049253829</v>
      </c>
      <c r="P159" s="9">
        <f xml:space="preserve"> (H158 - K159) / 2</f>
        <v>473908920.59104598</v>
      </c>
      <c r="S159" s="13"/>
    </row>
    <row r="160" spans="1:19" s="12" customFormat="1" x14ac:dyDescent="0.3">
      <c r="B160" s="43"/>
      <c r="C160" s="12">
        <v>2</v>
      </c>
      <c r="D160" s="13">
        <f>N159</f>
        <v>40492410.049253829</v>
      </c>
      <c r="E160" s="47">
        <f t="shared" si="9"/>
        <v>345941675.62028265</v>
      </c>
      <c r="F160" s="13">
        <f xml:space="preserve"> H159 + D160 - K160</f>
        <v>564152964.64107907</v>
      </c>
      <c r="G160" s="12">
        <v>1.7999999999999999E-2</v>
      </c>
      <c r="H160" s="13">
        <f t="shared" si="11"/>
        <v>574307718.00461853</v>
      </c>
      <c r="I160" s="13"/>
      <c r="J160" s="9">
        <f t="shared" si="10"/>
        <v>920249393.62490118</v>
      </c>
      <c r="K160" s="54"/>
      <c r="L160" s="14"/>
      <c r="M160" s="62"/>
      <c r="S160" s="13"/>
    </row>
    <row r="161" spans="1:19" s="12" customFormat="1" x14ac:dyDescent="0.3">
      <c r="B161" s="43"/>
      <c r="C161" s="12">
        <v>3</v>
      </c>
      <c r="D161" s="13">
        <f>N159</f>
        <v>40492410.049253829</v>
      </c>
      <c r="E161" s="47">
        <f t="shared" si="9"/>
        <v>352168625.78144771</v>
      </c>
      <c r="F161" s="13">
        <f xml:space="preserve"> H160 + D161 - K161</f>
        <v>614800128.05387235</v>
      </c>
      <c r="G161" s="12">
        <v>1.7999999999999999E-2</v>
      </c>
      <c r="H161" s="13">
        <f t="shared" si="11"/>
        <v>625866530.35884202</v>
      </c>
      <c r="I161" s="13"/>
      <c r="J161" s="9">
        <f t="shared" si="10"/>
        <v>978035156.14028978</v>
      </c>
      <c r="K161" s="54"/>
      <c r="L161" s="14"/>
      <c r="M161" s="62"/>
      <c r="S161" s="13"/>
    </row>
    <row r="162" spans="1:19" s="12" customFormat="1" x14ac:dyDescent="0.3">
      <c r="B162" s="43"/>
      <c r="C162" s="12">
        <v>4</v>
      </c>
      <c r="D162" s="13">
        <f>N159</f>
        <v>40492410.049253829</v>
      </c>
      <c r="E162" s="47">
        <f t="shared" si="9"/>
        <v>358507661.04551375</v>
      </c>
      <c r="F162" s="13">
        <f xml:space="preserve"> H161 + D162 - K162</f>
        <v>666358940.40809584</v>
      </c>
      <c r="G162" s="12">
        <v>1.7999999999999999E-2</v>
      </c>
      <c r="H162" s="13">
        <f t="shared" si="11"/>
        <v>678353401.33544159</v>
      </c>
      <c r="I162" s="13"/>
      <c r="J162" s="9">
        <f t="shared" si="10"/>
        <v>1036861062.3809553</v>
      </c>
      <c r="K162" s="54"/>
      <c r="L162" s="14"/>
      <c r="M162" s="62"/>
      <c r="S162" s="13"/>
    </row>
    <row r="163" spans="1:19" s="12" customFormat="1" x14ac:dyDescent="0.3">
      <c r="B163" s="43"/>
      <c r="C163" s="12">
        <v>5</v>
      </c>
      <c r="D163" s="13">
        <f>N159</f>
        <v>40492410.049253829</v>
      </c>
      <c r="E163" s="47">
        <f t="shared" si="9"/>
        <v>364960798.94433302</v>
      </c>
      <c r="F163" s="13">
        <f xml:space="preserve"> H162 + D163 - K163</f>
        <v>694716433.43216538</v>
      </c>
      <c r="G163" s="12">
        <v>1.7999999999999999E-2</v>
      </c>
      <c r="H163" s="13">
        <f t="shared" si="11"/>
        <v>707221329.23394442</v>
      </c>
      <c r="I163" s="13"/>
      <c r="J163" s="9">
        <f t="shared" si="10"/>
        <v>1072182128.1782775</v>
      </c>
      <c r="K163" s="54">
        <f xml:space="preserve"> Q158</f>
        <v>24129377.952530026</v>
      </c>
      <c r="L163" s="14"/>
      <c r="M163" s="62"/>
      <c r="S163" s="13"/>
    </row>
    <row r="164" spans="1:19" s="12" customFormat="1" x14ac:dyDescent="0.3">
      <c r="B164" s="43"/>
      <c r="C164" s="12">
        <v>6</v>
      </c>
      <c r="D164" s="13">
        <f>N159</f>
        <v>40492410.049253829</v>
      </c>
      <c r="E164" s="47">
        <f t="shared" si="9"/>
        <v>371530093.32533103</v>
      </c>
      <c r="F164" s="13">
        <f xml:space="preserve"> H163 + D164 - K164</f>
        <v>747713739.28319824</v>
      </c>
      <c r="G164" s="12">
        <v>1.7999999999999999E-2</v>
      </c>
      <c r="H164" s="13">
        <f t="shared" si="11"/>
        <v>761172586.59029579</v>
      </c>
      <c r="I164" s="13"/>
      <c r="J164" s="9">
        <f t="shared" si="10"/>
        <v>1132702679.9156268</v>
      </c>
      <c r="K164" s="54"/>
      <c r="L164" s="14"/>
      <c r="M164" s="62"/>
      <c r="S164" s="13"/>
    </row>
    <row r="165" spans="1:19" s="12" customFormat="1" x14ac:dyDescent="0.3">
      <c r="B165" s="43"/>
      <c r="C165" s="12">
        <v>7</v>
      </c>
      <c r="D165" s="13">
        <f>N159</f>
        <v>40492410.049253829</v>
      </c>
      <c r="E165" s="47">
        <f t="shared" si="9"/>
        <v>378217635.00518698</v>
      </c>
      <c r="F165" s="13">
        <f xml:space="preserve"> H164 + D165 - K165</f>
        <v>801664996.63954961</v>
      </c>
      <c r="G165" s="12">
        <v>1.7999999999999999E-2</v>
      </c>
      <c r="H165" s="13">
        <f t="shared" si="11"/>
        <v>816094966.57906151</v>
      </c>
      <c r="I165" s="13"/>
      <c r="J165" s="9">
        <f t="shared" si="10"/>
        <v>1194312601.5842485</v>
      </c>
      <c r="K165" s="54"/>
      <c r="L165" s="14"/>
      <c r="M165" s="62"/>
      <c r="S165" s="13"/>
    </row>
    <row r="166" spans="1:19" s="12" customFormat="1" x14ac:dyDescent="0.3">
      <c r="B166" s="43"/>
      <c r="C166" s="12">
        <v>8</v>
      </c>
      <c r="D166" s="13">
        <f>N159</f>
        <v>40492410.049253829</v>
      </c>
      <c r="E166" s="47">
        <f t="shared" si="9"/>
        <v>385025552.43528032</v>
      </c>
      <c r="F166" s="13">
        <f xml:space="preserve"> H165 + D166 - K166</f>
        <v>856587376.62831533</v>
      </c>
      <c r="G166" s="12">
        <v>1.7999999999999999E-2</v>
      </c>
      <c r="H166" s="13">
        <f t="shared" si="11"/>
        <v>872005949.40762496</v>
      </c>
      <c r="I166" s="13"/>
      <c r="J166" s="9">
        <f t="shared" si="10"/>
        <v>1257031501.8429053</v>
      </c>
      <c r="K166" s="54"/>
      <c r="L166" s="14"/>
      <c r="M166" s="62"/>
      <c r="S166" s="13"/>
    </row>
    <row r="167" spans="1:19" s="12" customFormat="1" x14ac:dyDescent="0.3">
      <c r="B167" s="43"/>
      <c r="C167" s="12">
        <v>9</v>
      </c>
      <c r="D167" s="13">
        <f>N159</f>
        <v>40492410.049253829</v>
      </c>
      <c r="E167" s="47">
        <f t="shared" si="9"/>
        <v>391956012.37911534</v>
      </c>
      <c r="F167" s="13">
        <f xml:space="preserve"> H166 + D167 - K167</f>
        <v>912498359.45687878</v>
      </c>
      <c r="G167" s="12">
        <v>1.7999999999999999E-2</v>
      </c>
      <c r="H167" s="13">
        <f t="shared" si="11"/>
        <v>928923329.92710257</v>
      </c>
      <c r="I167" s="13"/>
      <c r="J167" s="9">
        <f t="shared" si="10"/>
        <v>1320879342.3062179</v>
      </c>
      <c r="K167" s="54"/>
      <c r="L167" s="14"/>
      <c r="M167" s="62"/>
      <c r="S167" s="13"/>
    </row>
    <row r="168" spans="1:19" s="12" customFormat="1" x14ac:dyDescent="0.3">
      <c r="B168" s="43"/>
      <c r="C168" s="12">
        <v>10</v>
      </c>
      <c r="D168" s="13">
        <f>N159</f>
        <v>40492410.049253829</v>
      </c>
      <c r="E168" s="47">
        <f t="shared" si="9"/>
        <v>399011220.60193944</v>
      </c>
      <c r="F168" s="13">
        <f xml:space="preserve"> H167 + D168 - K168</f>
        <v>969415739.97635639</v>
      </c>
      <c r="G168" s="12">
        <v>1.7999999999999999E-2</v>
      </c>
      <c r="H168" s="13">
        <f t="shared" si="11"/>
        <v>986865223.29593074</v>
      </c>
      <c r="I168" s="13"/>
      <c r="J168" s="9">
        <f t="shared" si="10"/>
        <v>1385876443.8978701</v>
      </c>
      <c r="K168" s="54"/>
      <c r="L168" s="14"/>
      <c r="M168" s="62"/>
      <c r="S168" s="13"/>
    </row>
    <row r="169" spans="1:19" s="12" customFormat="1" x14ac:dyDescent="0.3">
      <c r="B169" s="43"/>
      <c r="C169" s="12">
        <v>11</v>
      </c>
      <c r="D169" s="13">
        <f>N159</f>
        <v>40492410.049253829</v>
      </c>
      <c r="E169" s="47">
        <f t="shared" si="9"/>
        <v>406193422.57277435</v>
      </c>
      <c r="F169" s="13">
        <f xml:space="preserve"> H168 + D169 - K169</f>
        <v>1027357633.3451846</v>
      </c>
      <c r="G169" s="12">
        <v>1.7999999999999999E-2</v>
      </c>
      <c r="H169" s="13">
        <f t="shared" si="11"/>
        <v>1045850070.7453979</v>
      </c>
      <c r="I169" s="13"/>
      <c r="J169" s="9">
        <f t="shared" si="10"/>
        <v>1452043493.3181722</v>
      </c>
      <c r="K169" s="54"/>
      <c r="L169" s="14"/>
      <c r="M169" s="62"/>
      <c r="S169" s="13"/>
    </row>
    <row r="170" spans="1:19" s="18" customFormat="1" x14ac:dyDescent="0.3">
      <c r="B170" s="43"/>
      <c r="C170" s="18">
        <v>12</v>
      </c>
      <c r="D170" s="19">
        <f>N159</f>
        <v>40492410.049253829</v>
      </c>
      <c r="E170" s="19">
        <f t="shared" si="9"/>
        <v>413504904.1790843</v>
      </c>
      <c r="F170" s="19">
        <f xml:space="preserve"> H169 + D170 - K170</f>
        <v>1050342480.7946517</v>
      </c>
      <c r="G170" s="18">
        <v>1.7999999999999999E-2</v>
      </c>
      <c r="H170" s="19">
        <f t="shared" si="11"/>
        <v>1069248645.4489555</v>
      </c>
      <c r="I170" s="19">
        <f xml:space="preserve"> H170</f>
        <v>1069248645.4489555</v>
      </c>
      <c r="J170" s="19">
        <f t="shared" si="10"/>
        <v>1482753549.6280398</v>
      </c>
      <c r="K170" s="57">
        <v>36000000</v>
      </c>
      <c r="L170" s="20">
        <f xml:space="preserve"> (I170-K170) / 2</f>
        <v>516624322.72447777</v>
      </c>
      <c r="M170" s="64">
        <f xml:space="preserve"> (F159 + SUM(D160:D170)) - SUM(K160:K170)</f>
        <v>899688463.22956192</v>
      </c>
      <c r="N170" s="19">
        <f xml:space="preserve"> H170 - M170</f>
        <v>169560182.21939361</v>
      </c>
      <c r="O170" s="18">
        <v>0.84</v>
      </c>
      <c r="P170" s="19">
        <f xml:space="preserve"> N170 * O170</f>
        <v>142430553.06429064</v>
      </c>
      <c r="Q170" s="19">
        <f xml:space="preserve"> N170 - P170</f>
        <v>27129629.155102968</v>
      </c>
      <c r="R170" s="18">
        <f xml:space="preserve"> N170 / M170 * 100</f>
        <v>18.846544014884088</v>
      </c>
      <c r="S170" s="19"/>
    </row>
    <row r="171" spans="1:19" s="12" customFormat="1" x14ac:dyDescent="0.3">
      <c r="A171" s="12">
        <v>15</v>
      </c>
      <c r="B171" s="43">
        <v>2036</v>
      </c>
      <c r="C171" s="12">
        <v>1</v>
      </c>
      <c r="D171" s="13">
        <f>N171</f>
        <v>45552026.893706478</v>
      </c>
      <c r="E171" s="47">
        <f t="shared" si="9"/>
        <v>420947992.45430779</v>
      </c>
      <c r="F171" s="13">
        <f xml:space="preserve"> (H170 / 2) + D171 - K171</f>
        <v>580176349.61818421</v>
      </c>
      <c r="G171" s="12">
        <v>1.7999999999999999E-2</v>
      </c>
      <c r="H171" s="13">
        <f t="shared" si="11"/>
        <v>590619523.91131151</v>
      </c>
      <c r="I171" s="13"/>
      <c r="J171" s="9">
        <f t="shared" si="10"/>
        <v>1011567516.3656193</v>
      </c>
      <c r="K171" s="54"/>
      <c r="L171" s="14"/>
      <c r="M171" s="62"/>
      <c r="N171" s="11">
        <f xml:space="preserve"> (L170 / 12) +2500000</f>
        <v>45552026.893706478</v>
      </c>
      <c r="P171" s="9">
        <f xml:space="preserve"> (H170 - K171) / 2</f>
        <v>534624322.72447777</v>
      </c>
      <c r="S171" s="13"/>
    </row>
    <row r="172" spans="1:19" s="12" customFormat="1" x14ac:dyDescent="0.3">
      <c r="B172" s="43"/>
      <c r="C172" s="12">
        <v>2</v>
      </c>
      <c r="D172" s="13">
        <f>N171</f>
        <v>45552026.893706478</v>
      </c>
      <c r="E172" s="47">
        <f t="shared" si="9"/>
        <v>428525056.31848532</v>
      </c>
      <c r="F172" s="13">
        <f xml:space="preserve"> H171 + D172 - K172</f>
        <v>636171550.80501795</v>
      </c>
      <c r="G172" s="12">
        <v>1.7999999999999999E-2</v>
      </c>
      <c r="H172" s="13">
        <f t="shared" si="11"/>
        <v>647622638.71950829</v>
      </c>
      <c r="I172" s="13"/>
      <c r="J172" s="9">
        <f t="shared" si="10"/>
        <v>1076147695.0379937</v>
      </c>
      <c r="K172" s="54"/>
      <c r="L172" s="14"/>
      <c r="M172" s="62"/>
      <c r="S172" s="13"/>
    </row>
    <row r="173" spans="1:19" s="12" customFormat="1" x14ac:dyDescent="0.3">
      <c r="B173" s="43"/>
      <c r="C173" s="12">
        <v>3</v>
      </c>
      <c r="D173" s="13">
        <f>N171</f>
        <v>45552026.893706478</v>
      </c>
      <c r="E173" s="47">
        <f t="shared" si="9"/>
        <v>436238507.33221805</v>
      </c>
      <c r="F173" s="13">
        <f xml:space="preserve"> H172 + D173 - K173</f>
        <v>693174665.61321473</v>
      </c>
      <c r="G173" s="12">
        <v>1.7999999999999999E-2</v>
      </c>
      <c r="H173" s="13">
        <f t="shared" si="11"/>
        <v>705651809.59425259</v>
      </c>
      <c r="I173" s="13"/>
      <c r="J173" s="9">
        <f t="shared" si="10"/>
        <v>1141890316.9264708</v>
      </c>
      <c r="K173" s="54"/>
      <c r="L173" s="14"/>
      <c r="M173" s="62"/>
      <c r="S173" s="13"/>
    </row>
    <row r="174" spans="1:19" s="12" customFormat="1" x14ac:dyDescent="0.3">
      <c r="B174" s="43"/>
      <c r="C174" s="12">
        <v>4</v>
      </c>
      <c r="D174" s="13">
        <f>N171</f>
        <v>45552026.893706478</v>
      </c>
      <c r="E174" s="47">
        <f t="shared" si="9"/>
        <v>444090800.46419799</v>
      </c>
      <c r="F174" s="13">
        <f xml:space="preserve"> H173 + D174 - K174</f>
        <v>751203836.48795903</v>
      </c>
      <c r="G174" s="12">
        <v>1.7999999999999999E-2</v>
      </c>
      <c r="H174" s="13">
        <f t="shared" si="11"/>
        <v>764725505.54474235</v>
      </c>
      <c r="I174" s="13"/>
      <c r="J174" s="9">
        <f t="shared" si="10"/>
        <v>1208816306.0089402</v>
      </c>
      <c r="K174" s="54"/>
      <c r="L174" s="14"/>
      <c r="M174" s="62"/>
      <c r="S174" s="13"/>
    </row>
    <row r="175" spans="1:19" s="12" customFormat="1" x14ac:dyDescent="0.3">
      <c r="B175" s="43"/>
      <c r="C175" s="12">
        <v>5</v>
      </c>
      <c r="D175" s="13">
        <f>N171</f>
        <v>45552026.893706478</v>
      </c>
      <c r="E175" s="47">
        <f t="shared" si="9"/>
        <v>452084434.87255353</v>
      </c>
      <c r="F175" s="13">
        <f xml:space="preserve"> H174 + D175 - K175</f>
        <v>783147903.28334582</v>
      </c>
      <c r="G175" s="12">
        <v>1.7999999999999999E-2</v>
      </c>
      <c r="H175" s="13">
        <f t="shared" si="11"/>
        <v>797244565.54244602</v>
      </c>
      <c r="I175" s="13"/>
      <c r="J175" s="9">
        <f t="shared" si="10"/>
        <v>1249329000.4149995</v>
      </c>
      <c r="K175" s="54">
        <f xml:space="preserve"> Q170</f>
        <v>27129629.155102968</v>
      </c>
      <c r="L175" s="14"/>
      <c r="M175" s="62"/>
      <c r="S175" s="13"/>
    </row>
    <row r="176" spans="1:19" s="12" customFormat="1" x14ac:dyDescent="0.3">
      <c r="B176" s="43"/>
      <c r="C176" s="12">
        <v>6</v>
      </c>
      <c r="D176" s="13">
        <f>N171</f>
        <v>45552026.893706478</v>
      </c>
      <c r="E176" s="47">
        <f t="shared" si="9"/>
        <v>460221954.70025951</v>
      </c>
      <c r="F176" s="13">
        <f xml:space="preserve"> H175 + D176 - K176</f>
        <v>842796592.43615246</v>
      </c>
      <c r="G176" s="12">
        <v>1.7999999999999999E-2</v>
      </c>
      <c r="H176" s="13">
        <f t="shared" si="11"/>
        <v>857966931.10000324</v>
      </c>
      <c r="I176" s="13"/>
      <c r="J176" s="9">
        <f t="shared" si="10"/>
        <v>1318188885.8002627</v>
      </c>
      <c r="K176" s="54"/>
      <c r="L176" s="14"/>
      <c r="M176" s="62"/>
      <c r="S176" s="13"/>
    </row>
    <row r="177" spans="1:19" s="12" customFormat="1" x14ac:dyDescent="0.3">
      <c r="B177" s="43"/>
      <c r="C177" s="12">
        <v>7</v>
      </c>
      <c r="D177" s="13">
        <f>N171</f>
        <v>45552026.893706478</v>
      </c>
      <c r="E177" s="47">
        <f t="shared" si="9"/>
        <v>468505949.88486415</v>
      </c>
      <c r="F177" s="13">
        <f xml:space="preserve"> H176 + D177 - K177</f>
        <v>903518957.99370968</v>
      </c>
      <c r="G177" s="12">
        <v>1.7999999999999999E-2</v>
      </c>
      <c r="H177" s="13">
        <f t="shared" si="11"/>
        <v>919782299.23759651</v>
      </c>
      <c r="I177" s="13"/>
      <c r="J177" s="9">
        <f t="shared" si="10"/>
        <v>1388288249.1224606</v>
      </c>
      <c r="K177" s="54"/>
      <c r="L177" s="14"/>
      <c r="M177" s="62"/>
      <c r="S177" s="13"/>
    </row>
    <row r="178" spans="1:19" s="12" customFormat="1" x14ac:dyDescent="0.3">
      <c r="B178" s="43"/>
      <c r="C178" s="12">
        <v>8</v>
      </c>
      <c r="D178" s="13">
        <f>N171</f>
        <v>45552026.893706478</v>
      </c>
      <c r="E178" s="47">
        <f t="shared" si="9"/>
        <v>476939056.98279172</v>
      </c>
      <c r="F178" s="13">
        <f xml:space="preserve"> H177 + D178 - K178</f>
        <v>965334326.13130295</v>
      </c>
      <c r="G178" s="12">
        <v>1.7999999999999999E-2</v>
      </c>
      <c r="H178" s="13">
        <f t="shared" si="11"/>
        <v>982710344.00166643</v>
      </c>
      <c r="I178" s="13"/>
      <c r="J178" s="9">
        <f t="shared" si="10"/>
        <v>1459649400.9844582</v>
      </c>
      <c r="K178" s="54"/>
      <c r="L178" s="14"/>
      <c r="M178" s="62"/>
      <c r="S178" s="13"/>
    </row>
    <row r="179" spans="1:19" s="12" customFormat="1" x14ac:dyDescent="0.3">
      <c r="B179" s="43"/>
      <c r="C179" s="12">
        <v>9</v>
      </c>
      <c r="D179" s="13">
        <f>N171</f>
        <v>45552026.893706478</v>
      </c>
      <c r="E179" s="47">
        <f t="shared" si="9"/>
        <v>485523960.00848198</v>
      </c>
      <c r="F179" s="13">
        <f xml:space="preserve"> H178 + D179 - K179</f>
        <v>1028262370.8953729</v>
      </c>
      <c r="G179" s="12">
        <v>1.7999999999999999E-2</v>
      </c>
      <c r="H179" s="13">
        <f t="shared" si="11"/>
        <v>1046771093.5714896</v>
      </c>
      <c r="I179" s="13"/>
      <c r="J179" s="9">
        <f t="shared" si="10"/>
        <v>1532295053.5799716</v>
      </c>
      <c r="K179" s="54"/>
      <c r="L179" s="14"/>
      <c r="M179" s="62"/>
      <c r="S179" s="13"/>
    </row>
    <row r="180" spans="1:19" s="12" customFormat="1" x14ac:dyDescent="0.3">
      <c r="B180" s="43"/>
      <c r="C180" s="12">
        <v>10</v>
      </c>
      <c r="D180" s="13">
        <f>N171</f>
        <v>45552026.893706478</v>
      </c>
      <c r="E180" s="47">
        <f t="shared" si="9"/>
        <v>494263391.28863466</v>
      </c>
      <c r="F180" s="13">
        <f xml:space="preserve"> H179 + D180 - K180</f>
        <v>1092323120.4651961</v>
      </c>
      <c r="G180" s="12">
        <v>1.7999999999999999E-2</v>
      </c>
      <c r="H180" s="13">
        <f t="shared" si="11"/>
        <v>1111984936.6335697</v>
      </c>
      <c r="I180" s="13"/>
      <c r="J180" s="9">
        <f t="shared" si="10"/>
        <v>1606248327.9222045</v>
      </c>
      <c r="K180" s="54"/>
      <c r="L180" s="14"/>
      <c r="M180" s="62"/>
      <c r="S180" s="13"/>
    </row>
    <row r="181" spans="1:19" s="12" customFormat="1" x14ac:dyDescent="0.3">
      <c r="B181" s="43"/>
      <c r="C181" s="12">
        <v>11</v>
      </c>
      <c r="D181" s="13">
        <f>N171</f>
        <v>45552026.893706478</v>
      </c>
      <c r="E181" s="47">
        <f t="shared" si="9"/>
        <v>503160132.33183008</v>
      </c>
      <c r="F181" s="13">
        <f xml:space="preserve"> H180 + D181 - K181</f>
        <v>1157536963.5272763</v>
      </c>
      <c r="G181" s="12">
        <v>1.7999999999999999E-2</v>
      </c>
      <c r="H181" s="13">
        <f t="shared" si="11"/>
        <v>1178372628.8707674</v>
      </c>
      <c r="I181" s="13"/>
      <c r="J181" s="9">
        <f t="shared" si="10"/>
        <v>1681532761.2025974</v>
      </c>
      <c r="K181" s="54"/>
      <c r="L181" s="14"/>
      <c r="M181" s="62"/>
      <c r="S181" s="13"/>
    </row>
    <row r="182" spans="1:19" s="18" customFormat="1" x14ac:dyDescent="0.3">
      <c r="B182" s="43"/>
      <c r="C182" s="18">
        <v>12</v>
      </c>
      <c r="D182" s="19">
        <f>N171</f>
        <v>45552026.893706478</v>
      </c>
      <c r="E182" s="19">
        <f t="shared" si="9"/>
        <v>512217014.71380305</v>
      </c>
      <c r="F182" s="19">
        <f xml:space="preserve"> H181 + D182 - K182</f>
        <v>1187924655.7644739</v>
      </c>
      <c r="G182" s="18">
        <v>1.7999999999999999E-2</v>
      </c>
      <c r="H182" s="19">
        <f t="shared" si="11"/>
        <v>1209307299.5682344</v>
      </c>
      <c r="I182" s="19">
        <f xml:space="preserve"> H182</f>
        <v>1209307299.5682344</v>
      </c>
      <c r="J182" s="19">
        <f t="shared" si="10"/>
        <v>1721524314.2820375</v>
      </c>
      <c r="K182" s="57">
        <v>36000000</v>
      </c>
      <c r="L182" s="20">
        <f xml:space="preserve"> (I182-K182) / 2</f>
        <v>586653649.78411722</v>
      </c>
      <c r="M182" s="64">
        <f xml:space="preserve"> (F171 + SUM(D172:D182)) - SUM(K172:K182)</f>
        <v>1018119016.2938526</v>
      </c>
      <c r="N182" s="19">
        <f xml:space="preserve"> H182 - M182</f>
        <v>191188283.27438188</v>
      </c>
      <c r="O182" s="18">
        <v>0.84</v>
      </c>
      <c r="P182" s="19">
        <f xml:space="preserve"> N182 * O182</f>
        <v>160598157.95048076</v>
      </c>
      <c r="Q182" s="19">
        <f xml:space="preserve"> N182 - P182</f>
        <v>30590125.323901117</v>
      </c>
      <c r="R182" s="18">
        <f xml:space="preserve"> N182 / M182 * 100</f>
        <v>18.778578949477211</v>
      </c>
      <c r="S182" s="19"/>
    </row>
    <row r="183" spans="1:19" s="12" customFormat="1" x14ac:dyDescent="0.3">
      <c r="A183" s="12">
        <v>16</v>
      </c>
      <c r="B183" s="43">
        <v>2037</v>
      </c>
      <c r="C183" s="12">
        <v>1</v>
      </c>
      <c r="D183" s="13">
        <f>N183</f>
        <v>51387804.148676433</v>
      </c>
      <c r="E183" s="47">
        <f t="shared" si="9"/>
        <v>521436920.97865152</v>
      </c>
      <c r="F183" s="13">
        <f xml:space="preserve"> (H182 / 2) + D183 - K183</f>
        <v>656041453.93279362</v>
      </c>
      <c r="G183" s="12">
        <v>1.7999999999999999E-2</v>
      </c>
      <c r="H183" s="13">
        <f t="shared" si="11"/>
        <v>667850200.10358393</v>
      </c>
      <c r="I183" s="13"/>
      <c r="J183" s="9">
        <f t="shared" si="10"/>
        <v>1189287121.0822353</v>
      </c>
      <c r="K183" s="54"/>
      <c r="L183" s="14"/>
      <c r="M183" s="62"/>
      <c r="N183" s="11">
        <f xml:space="preserve"> (L182 / 12) +2500000</f>
        <v>51387804.148676433</v>
      </c>
      <c r="P183" s="9">
        <f xml:space="preserve"> (H182 - K183) / 2</f>
        <v>604653649.78411722</v>
      </c>
      <c r="S183" s="13"/>
    </row>
    <row r="184" spans="1:19" s="12" customFormat="1" x14ac:dyDescent="0.3">
      <c r="B184" s="43"/>
      <c r="C184" s="12">
        <v>2</v>
      </c>
      <c r="D184" s="13">
        <f>N183</f>
        <v>51387804.148676433</v>
      </c>
      <c r="E184" s="47">
        <f t="shared" si="9"/>
        <v>530822785.55626726</v>
      </c>
      <c r="F184" s="13">
        <f xml:space="preserve"> H183 + D184 - K184</f>
        <v>719238004.25226033</v>
      </c>
      <c r="G184" s="12">
        <v>1.7999999999999999E-2</v>
      </c>
      <c r="H184" s="13">
        <f t="shared" si="11"/>
        <v>732184288.32880104</v>
      </c>
      <c r="I184" s="13"/>
      <c r="J184" s="9">
        <f t="shared" si="10"/>
        <v>1263007073.8850684</v>
      </c>
      <c r="K184" s="54"/>
      <c r="L184" s="14"/>
      <c r="M184" s="62"/>
      <c r="S184" s="13"/>
    </row>
    <row r="185" spans="1:19" s="12" customFormat="1" x14ac:dyDescent="0.3">
      <c r="B185" s="43"/>
      <c r="C185" s="12">
        <v>3</v>
      </c>
      <c r="D185" s="13">
        <f>N183</f>
        <v>51387804.148676433</v>
      </c>
      <c r="E185" s="47">
        <f t="shared" si="9"/>
        <v>540377595.69628012</v>
      </c>
      <c r="F185" s="13">
        <f xml:space="preserve"> H184 + D185 - K185</f>
        <v>783572092.47747743</v>
      </c>
      <c r="G185" s="12">
        <v>1.7999999999999999E-2</v>
      </c>
      <c r="H185" s="13">
        <f t="shared" si="11"/>
        <v>797676390.14207208</v>
      </c>
      <c r="I185" s="13"/>
      <c r="J185" s="9">
        <f t="shared" si="10"/>
        <v>1338053985.8383522</v>
      </c>
      <c r="K185" s="54"/>
      <c r="L185" s="14"/>
      <c r="M185" s="62"/>
      <c r="S185" s="13"/>
    </row>
    <row r="186" spans="1:19" s="12" customFormat="1" x14ac:dyDescent="0.3">
      <c r="B186" s="43"/>
      <c r="C186" s="12">
        <v>4</v>
      </c>
      <c r="D186" s="13">
        <f>N183</f>
        <v>51387804.148676433</v>
      </c>
      <c r="E186" s="47">
        <f t="shared" si="9"/>
        <v>550104392.41881311</v>
      </c>
      <c r="F186" s="13">
        <f xml:space="preserve"> H185 + D186 - K186</f>
        <v>849064194.29074848</v>
      </c>
      <c r="G186" s="12">
        <v>1.7999999999999999E-2</v>
      </c>
      <c r="H186" s="13">
        <f t="shared" si="11"/>
        <v>864347349.78798199</v>
      </c>
      <c r="I186" s="13"/>
      <c r="J186" s="9">
        <f t="shared" si="10"/>
        <v>1414451742.2067952</v>
      </c>
      <c r="K186" s="54"/>
      <c r="L186" s="14"/>
      <c r="M186" s="62"/>
      <c r="S186" s="13"/>
    </row>
    <row r="187" spans="1:19" s="12" customFormat="1" x14ac:dyDescent="0.3">
      <c r="B187" s="43"/>
      <c r="C187" s="12">
        <v>5</v>
      </c>
      <c r="D187" s="13">
        <f>N183</f>
        <v>51387804.148676433</v>
      </c>
      <c r="E187" s="47">
        <f t="shared" si="9"/>
        <v>560006271.48235178</v>
      </c>
      <c r="F187" s="13">
        <f xml:space="preserve"> H186 + D187 - K187</f>
        <v>885145028.61275721</v>
      </c>
      <c r="G187" s="12">
        <v>1.7999999999999999E-2</v>
      </c>
      <c r="H187" s="13">
        <f t="shared" si="11"/>
        <v>901077639.12778687</v>
      </c>
      <c r="I187" s="13"/>
      <c r="J187" s="9">
        <f t="shared" si="10"/>
        <v>1461083910.6101387</v>
      </c>
      <c r="K187" s="54">
        <f xml:space="preserve"> Q182</f>
        <v>30590125.323901117</v>
      </c>
      <c r="L187" s="14"/>
      <c r="M187" s="62"/>
      <c r="S187" s="13"/>
    </row>
    <row r="188" spans="1:19" s="12" customFormat="1" x14ac:dyDescent="0.3">
      <c r="B188" s="43"/>
      <c r="C188" s="12">
        <v>6</v>
      </c>
      <c r="D188" s="13">
        <f>N183</f>
        <v>51387804.148676433</v>
      </c>
      <c r="E188" s="47">
        <f t="shared" si="9"/>
        <v>570086384.36903405</v>
      </c>
      <c r="F188" s="13">
        <f xml:space="preserve"> H187 + D188 - K188</f>
        <v>952465443.27646327</v>
      </c>
      <c r="G188" s="12">
        <v>1.7999999999999999E-2</v>
      </c>
      <c r="H188" s="13">
        <f t="shared" si="11"/>
        <v>969609821.25543964</v>
      </c>
      <c r="I188" s="13"/>
      <c r="J188" s="9">
        <f t="shared" si="10"/>
        <v>1539696205.6244736</v>
      </c>
      <c r="K188" s="54"/>
      <c r="L188" s="14"/>
      <c r="M188" s="62"/>
      <c r="S188" s="13"/>
    </row>
    <row r="189" spans="1:19" s="12" customFormat="1" x14ac:dyDescent="0.3">
      <c r="B189" s="43"/>
      <c r="C189" s="12">
        <v>7</v>
      </c>
      <c r="D189" s="13">
        <f>N183</f>
        <v>51387804.148676433</v>
      </c>
      <c r="E189" s="47">
        <f t="shared" si="9"/>
        <v>580347939.28767669</v>
      </c>
      <c r="F189" s="13">
        <f xml:space="preserve"> H188 + D189 - K189</f>
        <v>1020997625.404116</v>
      </c>
      <c r="G189" s="12">
        <v>1.7999999999999999E-2</v>
      </c>
      <c r="H189" s="13">
        <f t="shared" si="11"/>
        <v>1039375582.6613901</v>
      </c>
      <c r="I189" s="13"/>
      <c r="J189" s="9">
        <f t="shared" si="10"/>
        <v>1619723521.9490666</v>
      </c>
      <c r="K189" s="54"/>
      <c r="L189" s="14"/>
      <c r="M189" s="62"/>
      <c r="S189" s="13"/>
    </row>
    <row r="190" spans="1:19" s="12" customFormat="1" x14ac:dyDescent="0.3">
      <c r="B190" s="43"/>
      <c r="C190" s="12">
        <v>8</v>
      </c>
      <c r="D190" s="13">
        <f>N183</f>
        <v>51387804.148676433</v>
      </c>
      <c r="E190" s="47">
        <f t="shared" si="9"/>
        <v>590794202.19485486</v>
      </c>
      <c r="F190" s="13">
        <f xml:space="preserve"> H189 + D190 - K190</f>
        <v>1090763386.8100665</v>
      </c>
      <c r="G190" s="12">
        <v>1.7999999999999999E-2</v>
      </c>
      <c r="H190" s="13">
        <f t="shared" si="11"/>
        <v>1110397127.7726476</v>
      </c>
      <c r="I190" s="13"/>
      <c r="J190" s="9">
        <f t="shared" si="10"/>
        <v>1701191329.9675026</v>
      </c>
      <c r="K190" s="54"/>
      <c r="L190" s="14"/>
      <c r="M190" s="62"/>
      <c r="S190" s="13"/>
    </row>
    <row r="191" spans="1:19" s="12" customFormat="1" x14ac:dyDescent="0.3">
      <c r="B191" s="43"/>
      <c r="C191" s="12">
        <v>9</v>
      </c>
      <c r="D191" s="13">
        <f>N183</f>
        <v>51387804.148676433</v>
      </c>
      <c r="E191" s="47">
        <f t="shared" si="9"/>
        <v>601428497.83436227</v>
      </c>
      <c r="F191" s="13">
        <f xml:space="preserve"> H190 + D191 - K191</f>
        <v>1161784931.921324</v>
      </c>
      <c r="G191" s="12">
        <v>1.7999999999999999E-2</v>
      </c>
      <c r="H191" s="13">
        <f t="shared" si="11"/>
        <v>1182697060.6959078</v>
      </c>
      <c r="I191" s="13"/>
      <c r="J191" s="9">
        <f t="shared" si="10"/>
        <v>1784125558.5302701</v>
      </c>
      <c r="K191" s="54"/>
      <c r="L191" s="14"/>
      <c r="M191" s="62"/>
      <c r="S191" s="13"/>
    </row>
    <row r="192" spans="1:19" s="12" customFormat="1" x14ac:dyDescent="0.3">
      <c r="B192" s="43"/>
      <c r="C192" s="12">
        <v>10</v>
      </c>
      <c r="D192" s="13">
        <f>N183</f>
        <v>51387804.148676433</v>
      </c>
      <c r="E192" s="47">
        <f t="shared" si="9"/>
        <v>612254210.79538083</v>
      </c>
      <c r="F192" s="13">
        <f xml:space="preserve"> H191 + D192 - K192</f>
        <v>1234084864.8445842</v>
      </c>
      <c r="G192" s="12">
        <v>1.7999999999999999E-2</v>
      </c>
      <c r="H192" s="13">
        <f t="shared" si="11"/>
        <v>1256298392.4117868</v>
      </c>
      <c r="I192" s="13"/>
      <c r="J192" s="9">
        <f t="shared" si="10"/>
        <v>1868552603.2071676</v>
      </c>
      <c r="K192" s="54"/>
      <c r="L192" s="14"/>
      <c r="M192" s="62"/>
      <c r="S192" s="13"/>
    </row>
    <row r="193" spans="1:19" s="12" customFormat="1" x14ac:dyDescent="0.3">
      <c r="B193" s="43"/>
      <c r="C193" s="12">
        <v>11</v>
      </c>
      <c r="D193" s="13">
        <f>N183</f>
        <v>51387804.148676433</v>
      </c>
      <c r="E193" s="47">
        <f t="shared" si="9"/>
        <v>623274786.58969772</v>
      </c>
      <c r="F193" s="13">
        <f xml:space="preserve"> H192 + D193 - K193</f>
        <v>1307686196.5604632</v>
      </c>
      <c r="G193" s="12">
        <v>1.7999999999999999E-2</v>
      </c>
      <c r="H193" s="13">
        <f t="shared" si="11"/>
        <v>1331224548.0985515</v>
      </c>
      <c r="I193" s="13"/>
      <c r="J193" s="9">
        <f t="shared" si="10"/>
        <v>1954499334.6882491</v>
      </c>
      <c r="K193" s="54"/>
      <c r="L193" s="14"/>
      <c r="M193" s="62"/>
      <c r="S193" s="13"/>
    </row>
    <row r="194" spans="1:19" s="18" customFormat="1" x14ac:dyDescent="0.3">
      <c r="B194" s="43"/>
      <c r="C194" s="18">
        <v>12</v>
      </c>
      <c r="D194" s="19">
        <f>N183</f>
        <v>51387804.148676433</v>
      </c>
      <c r="E194" s="19">
        <f t="shared" si="9"/>
        <v>634493732.74831223</v>
      </c>
      <c r="F194" s="19">
        <f xml:space="preserve"> H193 + D194 - K194</f>
        <v>1346612352.2472279</v>
      </c>
      <c r="G194" s="18">
        <v>1.7999999999999999E-2</v>
      </c>
      <c r="H194" s="19">
        <f t="shared" si="11"/>
        <v>1370851374.587678</v>
      </c>
      <c r="I194" s="19">
        <f xml:space="preserve"> H194</f>
        <v>1370851374.587678</v>
      </c>
      <c r="J194" s="19">
        <f t="shared" si="10"/>
        <v>2005345107.3359902</v>
      </c>
      <c r="K194" s="57">
        <v>36000000</v>
      </c>
      <c r="L194" s="20">
        <f xml:space="preserve"> (I194-K194) / 2</f>
        <v>667425687.29383898</v>
      </c>
      <c r="M194" s="64">
        <f xml:space="preserve"> (F183 + SUM(D184:D194)) - SUM(K184:K194)</f>
        <v>1154717174.2443333</v>
      </c>
      <c r="N194" s="19">
        <f xml:space="preserve"> H194 - M194</f>
        <v>216134200.34334469</v>
      </c>
      <c r="O194" s="18">
        <v>0.84</v>
      </c>
      <c r="P194" s="19">
        <f xml:space="preserve"> N194 * O194</f>
        <v>181552728.28840953</v>
      </c>
      <c r="Q194" s="19">
        <f xml:space="preserve"> N194 - P194</f>
        <v>34581472.054935157</v>
      </c>
      <c r="R194" s="18">
        <f xml:space="preserve"> N194 / M194 * 100</f>
        <v>18.717501147827527</v>
      </c>
      <c r="S194" s="19"/>
    </row>
    <row r="195" spans="1:19" s="3" customFormat="1" x14ac:dyDescent="0.3">
      <c r="A195" s="3">
        <v>17</v>
      </c>
      <c r="B195" s="42">
        <v>2038</v>
      </c>
      <c r="C195" s="3">
        <v>1</v>
      </c>
      <c r="D195" s="4"/>
      <c r="E195" s="4"/>
      <c r="F195" s="4"/>
      <c r="H195" s="4"/>
      <c r="I195" s="4"/>
      <c r="J195" s="4"/>
      <c r="K195" s="58"/>
      <c r="L195" s="5"/>
      <c r="M195" s="65"/>
      <c r="N195" s="11"/>
      <c r="P195" s="9"/>
      <c r="Q195" s="7"/>
      <c r="S195" s="4"/>
    </row>
    <row r="196" spans="1:19" s="3" customFormat="1" x14ac:dyDescent="0.3">
      <c r="A196" s="67" t="s">
        <v>44</v>
      </c>
      <c r="B196" s="42"/>
      <c r="C196" s="3">
        <v>2</v>
      </c>
      <c r="D196" s="4"/>
      <c r="E196" s="4"/>
      <c r="F196" s="4"/>
      <c r="H196" s="4"/>
      <c r="I196" s="4"/>
      <c r="J196" s="4"/>
      <c r="K196" s="58"/>
      <c r="L196" s="5"/>
      <c r="M196" s="65"/>
      <c r="S196" s="4"/>
    </row>
    <row r="197" spans="1:19" s="3" customFormat="1" x14ac:dyDescent="0.3">
      <c r="B197" s="42"/>
      <c r="C197" s="3">
        <v>3</v>
      </c>
      <c r="D197" s="4"/>
      <c r="E197" s="4"/>
      <c r="F197" s="4"/>
      <c r="H197" s="4"/>
      <c r="I197" s="4"/>
      <c r="J197" s="4"/>
      <c r="K197" s="58"/>
      <c r="L197" s="5"/>
      <c r="M197" s="65"/>
      <c r="S197" s="4"/>
    </row>
    <row r="198" spans="1:19" s="3" customFormat="1" x14ac:dyDescent="0.3">
      <c r="B198" s="42"/>
      <c r="C198" s="3">
        <v>4</v>
      </c>
      <c r="D198" s="4"/>
      <c r="E198" s="4"/>
      <c r="F198" s="4"/>
      <c r="H198" s="4"/>
      <c r="I198" s="4"/>
      <c r="J198" s="4"/>
      <c r="K198" s="58"/>
      <c r="L198" s="5"/>
      <c r="M198" s="65"/>
      <c r="S198" s="4"/>
    </row>
    <row r="199" spans="1:19" s="3" customFormat="1" x14ac:dyDescent="0.3">
      <c r="B199" s="42"/>
      <c r="C199" s="3">
        <v>5</v>
      </c>
      <c r="D199" s="4"/>
      <c r="E199" s="4"/>
      <c r="F199" s="4"/>
      <c r="H199" s="4"/>
      <c r="I199" s="4"/>
      <c r="J199" s="4"/>
      <c r="K199" s="58"/>
      <c r="L199" s="5"/>
      <c r="M199" s="65"/>
      <c r="S199" s="4"/>
    </row>
    <row r="200" spans="1:19" s="3" customFormat="1" x14ac:dyDescent="0.3">
      <c r="B200" s="42"/>
      <c r="C200" s="3">
        <v>6</v>
      </c>
      <c r="D200" s="4"/>
      <c r="E200" s="4"/>
      <c r="F200" s="4"/>
      <c r="H200" s="4"/>
      <c r="I200" s="4"/>
      <c r="J200" s="4"/>
      <c r="K200" s="58"/>
      <c r="L200" s="5"/>
      <c r="M200" s="65"/>
      <c r="S200" s="4"/>
    </row>
    <row r="201" spans="1:19" s="3" customFormat="1" x14ac:dyDescent="0.3">
      <c r="B201" s="42"/>
      <c r="C201" s="3">
        <v>7</v>
      </c>
      <c r="D201" s="4"/>
      <c r="E201" s="4"/>
      <c r="F201" s="4"/>
      <c r="H201" s="4"/>
      <c r="I201" s="4"/>
      <c r="J201" s="4"/>
      <c r="K201" s="58"/>
      <c r="L201" s="5"/>
      <c r="M201" s="65"/>
      <c r="S201" s="4"/>
    </row>
    <row r="202" spans="1:19" s="3" customFormat="1" x14ac:dyDescent="0.3">
      <c r="B202" s="42"/>
      <c r="C202" s="3">
        <v>8</v>
      </c>
      <c r="D202" s="4"/>
      <c r="E202" s="4"/>
      <c r="F202" s="4"/>
      <c r="H202" s="4"/>
      <c r="I202" s="4"/>
      <c r="J202" s="4"/>
      <c r="K202" s="58"/>
      <c r="L202" s="5"/>
      <c r="M202" s="65"/>
      <c r="S202" s="4"/>
    </row>
    <row r="203" spans="1:19" s="3" customFormat="1" x14ac:dyDescent="0.3">
      <c r="B203" s="42"/>
      <c r="C203" s="3">
        <v>9</v>
      </c>
      <c r="D203" s="4"/>
      <c r="E203" s="4"/>
      <c r="F203" s="4"/>
      <c r="H203" s="4"/>
      <c r="I203" s="4"/>
      <c r="J203" s="4"/>
      <c r="K203" s="58"/>
      <c r="L203" s="5"/>
      <c r="M203" s="65"/>
      <c r="S203" s="4"/>
    </row>
    <row r="204" spans="1:19" s="3" customFormat="1" x14ac:dyDescent="0.3">
      <c r="B204" s="42"/>
      <c r="C204" s="3">
        <v>10</v>
      </c>
      <c r="D204" s="4"/>
      <c r="E204" s="4"/>
      <c r="F204" s="4"/>
      <c r="H204" s="4"/>
      <c r="I204" s="4"/>
      <c r="J204" s="4"/>
      <c r="K204" s="58"/>
      <c r="L204" s="5"/>
      <c r="M204" s="65"/>
      <c r="S204" s="4"/>
    </row>
    <row r="205" spans="1:19" s="3" customFormat="1" x14ac:dyDescent="0.3">
      <c r="B205" s="42"/>
      <c r="C205" s="3">
        <v>11</v>
      </c>
      <c r="D205" s="4"/>
      <c r="E205" s="4"/>
      <c r="F205" s="4"/>
      <c r="H205" s="4"/>
      <c r="I205" s="4"/>
      <c r="J205" s="4"/>
      <c r="K205" s="58"/>
      <c r="L205" s="5"/>
      <c r="M205" s="65"/>
      <c r="S205" s="4"/>
    </row>
    <row r="206" spans="1:19" s="3" customFormat="1" x14ac:dyDescent="0.3">
      <c r="B206" s="42"/>
      <c r="C206" s="3">
        <v>12</v>
      </c>
      <c r="D206" s="4"/>
      <c r="E206" s="4"/>
      <c r="F206" s="4"/>
      <c r="H206" s="4"/>
      <c r="I206" s="19"/>
      <c r="J206" s="19"/>
      <c r="K206" s="59"/>
      <c r="L206" s="17"/>
      <c r="M206" s="66"/>
      <c r="N206" s="9"/>
      <c r="P206" s="4"/>
      <c r="Q206" s="4"/>
      <c r="S206" s="4"/>
    </row>
    <row r="207" spans="1:19" s="3" customFormat="1" x14ac:dyDescent="0.3">
      <c r="A207" s="3">
        <v>18</v>
      </c>
      <c r="B207" s="42">
        <v>2039</v>
      </c>
      <c r="C207" s="3">
        <v>1</v>
      </c>
      <c r="D207" s="4"/>
      <c r="E207" s="4"/>
      <c r="F207" s="4"/>
      <c r="H207" s="4"/>
      <c r="I207" s="4"/>
      <c r="J207" s="4"/>
      <c r="K207" s="58"/>
      <c r="L207" s="5"/>
      <c r="M207" s="65"/>
      <c r="N207" s="6"/>
      <c r="P207" s="9"/>
      <c r="S207" s="4"/>
    </row>
    <row r="208" spans="1:19" s="3" customFormat="1" x14ac:dyDescent="0.3">
      <c r="B208" s="42"/>
      <c r="C208" s="3">
        <v>2</v>
      </c>
      <c r="D208" s="4"/>
      <c r="E208" s="4"/>
      <c r="F208" s="4"/>
      <c r="H208" s="4"/>
      <c r="I208" s="4"/>
      <c r="J208" s="4"/>
      <c r="K208" s="58"/>
      <c r="L208" s="5"/>
      <c r="M208" s="65"/>
      <c r="S208" s="4"/>
    </row>
    <row r="209" spans="1:19" s="3" customFormat="1" x14ac:dyDescent="0.3">
      <c r="B209" s="42"/>
      <c r="C209" s="3">
        <v>3</v>
      </c>
      <c r="D209" s="4"/>
      <c r="E209" s="4"/>
      <c r="F209" s="4"/>
      <c r="H209" s="4"/>
      <c r="I209" s="4"/>
      <c r="J209" s="4"/>
      <c r="K209" s="58"/>
      <c r="L209" s="5"/>
      <c r="M209" s="65"/>
      <c r="S209" s="4"/>
    </row>
    <row r="210" spans="1:19" s="3" customFormat="1" x14ac:dyDescent="0.3">
      <c r="B210" s="42"/>
      <c r="C210" s="3">
        <v>4</v>
      </c>
      <c r="D210" s="4"/>
      <c r="E210" s="4"/>
      <c r="F210" s="4"/>
      <c r="H210" s="4"/>
      <c r="I210" s="4"/>
      <c r="J210" s="4"/>
      <c r="K210" s="58"/>
      <c r="L210" s="5"/>
      <c r="M210" s="65"/>
      <c r="S210" s="4"/>
    </row>
    <row r="211" spans="1:19" s="3" customFormat="1" x14ac:dyDescent="0.3">
      <c r="B211" s="42"/>
      <c r="C211" s="3">
        <v>5</v>
      </c>
      <c r="D211" s="4"/>
      <c r="E211" s="4"/>
      <c r="F211" s="4"/>
      <c r="H211" s="4"/>
      <c r="I211" s="4"/>
      <c r="J211" s="4"/>
      <c r="K211" s="58"/>
      <c r="L211" s="5"/>
      <c r="M211" s="65"/>
      <c r="S211" s="4"/>
    </row>
    <row r="212" spans="1:19" s="3" customFormat="1" x14ac:dyDescent="0.3">
      <c r="B212" s="42"/>
      <c r="C212" s="3">
        <v>6</v>
      </c>
      <c r="D212" s="4"/>
      <c r="E212" s="4"/>
      <c r="F212" s="4"/>
      <c r="H212" s="4"/>
      <c r="I212" s="4"/>
      <c r="J212" s="4"/>
      <c r="K212" s="58"/>
      <c r="L212" s="5"/>
      <c r="M212" s="65"/>
      <c r="S212" s="4"/>
    </row>
    <row r="213" spans="1:19" s="3" customFormat="1" x14ac:dyDescent="0.3">
      <c r="B213" s="42"/>
      <c r="C213" s="3">
        <v>7</v>
      </c>
      <c r="D213" s="4"/>
      <c r="E213" s="4"/>
      <c r="F213" s="4"/>
      <c r="H213" s="4"/>
      <c r="I213" s="4"/>
      <c r="J213" s="4"/>
      <c r="K213" s="58"/>
      <c r="L213" s="5"/>
      <c r="M213" s="65"/>
      <c r="S213" s="4"/>
    </row>
    <row r="214" spans="1:19" s="3" customFormat="1" x14ac:dyDescent="0.3">
      <c r="B214" s="42"/>
      <c r="C214" s="3">
        <v>8</v>
      </c>
      <c r="D214" s="4"/>
      <c r="E214" s="4"/>
      <c r="F214" s="4"/>
      <c r="H214" s="4"/>
      <c r="I214" s="4"/>
      <c r="J214" s="4"/>
      <c r="K214" s="58"/>
      <c r="L214" s="5"/>
      <c r="M214" s="65"/>
      <c r="S214" s="4"/>
    </row>
    <row r="215" spans="1:19" s="3" customFormat="1" x14ac:dyDescent="0.3">
      <c r="B215" s="42"/>
      <c r="C215" s="3">
        <v>9</v>
      </c>
      <c r="D215" s="4"/>
      <c r="E215" s="4"/>
      <c r="F215" s="4"/>
      <c r="H215" s="4"/>
      <c r="I215" s="4"/>
      <c r="J215" s="4"/>
      <c r="K215" s="58"/>
      <c r="L215" s="5"/>
      <c r="M215" s="65"/>
      <c r="S215" s="4"/>
    </row>
    <row r="216" spans="1:19" s="3" customFormat="1" x14ac:dyDescent="0.3">
      <c r="B216" s="42"/>
      <c r="C216" s="3">
        <v>10</v>
      </c>
      <c r="D216" s="4"/>
      <c r="E216" s="4"/>
      <c r="F216" s="4"/>
      <c r="H216" s="4"/>
      <c r="I216" s="4"/>
      <c r="J216" s="4"/>
      <c r="K216" s="58"/>
      <c r="L216" s="5"/>
      <c r="M216" s="65"/>
      <c r="S216" s="4"/>
    </row>
    <row r="217" spans="1:19" s="3" customFormat="1" x14ac:dyDescent="0.3">
      <c r="B217" s="42"/>
      <c r="C217" s="3">
        <v>11</v>
      </c>
      <c r="D217" s="4"/>
      <c r="E217" s="4"/>
      <c r="F217" s="4"/>
      <c r="H217" s="4"/>
      <c r="I217" s="4"/>
      <c r="J217" s="4"/>
      <c r="K217" s="58"/>
      <c r="L217" s="5"/>
      <c r="M217" s="65"/>
      <c r="S217" s="4"/>
    </row>
    <row r="218" spans="1:19" s="3" customFormat="1" x14ac:dyDescent="0.3">
      <c r="B218" s="42"/>
      <c r="C218" s="3">
        <v>12</v>
      </c>
      <c r="D218" s="4"/>
      <c r="E218" s="4"/>
      <c r="F218" s="4"/>
      <c r="H218" s="4"/>
      <c r="I218" s="19"/>
      <c r="J218" s="19"/>
      <c r="K218" s="59"/>
      <c r="L218" s="17"/>
      <c r="M218" s="66"/>
      <c r="N218" s="9"/>
      <c r="P218" s="4"/>
      <c r="Q218" s="4"/>
      <c r="S218" s="4"/>
    </row>
    <row r="219" spans="1:19" s="3" customFormat="1" x14ac:dyDescent="0.3">
      <c r="A219" s="3">
        <v>19</v>
      </c>
      <c r="B219" s="42">
        <v>2040</v>
      </c>
      <c r="C219" s="3">
        <v>1</v>
      </c>
      <c r="D219" s="4"/>
      <c r="E219" s="4"/>
      <c r="F219" s="4"/>
      <c r="H219" s="4"/>
      <c r="I219" s="4"/>
      <c r="J219" s="4"/>
      <c r="K219" s="58"/>
      <c r="L219" s="5"/>
      <c r="M219" s="65"/>
      <c r="N219" s="6"/>
      <c r="P219" s="9"/>
      <c r="S219" s="4"/>
    </row>
    <row r="220" spans="1:19" s="3" customFormat="1" x14ac:dyDescent="0.3">
      <c r="B220" s="42"/>
      <c r="C220" s="3">
        <v>2</v>
      </c>
      <c r="D220" s="4"/>
      <c r="E220" s="4"/>
      <c r="F220" s="4"/>
      <c r="H220" s="4"/>
      <c r="I220" s="4"/>
      <c r="J220" s="4"/>
      <c r="K220" s="58"/>
      <c r="L220" s="5"/>
      <c r="M220" s="65"/>
      <c r="S220" s="4"/>
    </row>
    <row r="221" spans="1:19" s="3" customFormat="1" x14ac:dyDescent="0.3">
      <c r="B221" s="42"/>
      <c r="C221" s="3">
        <v>3</v>
      </c>
      <c r="D221" s="4"/>
      <c r="E221" s="4"/>
      <c r="F221" s="4"/>
      <c r="H221" s="4"/>
      <c r="I221" s="4"/>
      <c r="J221" s="4"/>
      <c r="K221" s="58"/>
      <c r="L221" s="5"/>
      <c r="M221" s="65"/>
      <c r="S221" s="4"/>
    </row>
    <row r="222" spans="1:19" s="3" customFormat="1" x14ac:dyDescent="0.3">
      <c r="B222" s="42"/>
      <c r="C222" s="3">
        <v>4</v>
      </c>
      <c r="D222" s="4"/>
      <c r="E222" s="4"/>
      <c r="F222" s="4"/>
      <c r="H222" s="4"/>
      <c r="I222" s="4"/>
      <c r="J222" s="4"/>
      <c r="K222" s="58"/>
      <c r="L222" s="5"/>
      <c r="M222" s="65"/>
      <c r="S222" s="4"/>
    </row>
    <row r="223" spans="1:19" s="3" customFormat="1" x14ac:dyDescent="0.3">
      <c r="B223" s="42"/>
      <c r="C223" s="3">
        <v>5</v>
      </c>
      <c r="D223" s="4"/>
      <c r="E223" s="4"/>
      <c r="F223" s="4"/>
      <c r="H223" s="4"/>
      <c r="I223" s="4"/>
      <c r="J223" s="4"/>
      <c r="K223" s="58"/>
      <c r="L223" s="5"/>
      <c r="M223" s="65"/>
      <c r="S223" s="4"/>
    </row>
    <row r="224" spans="1:19" s="3" customFormat="1" x14ac:dyDescent="0.3">
      <c r="B224" s="42"/>
      <c r="C224" s="3">
        <v>6</v>
      </c>
      <c r="D224" s="4"/>
      <c r="E224" s="4"/>
      <c r="F224" s="4"/>
      <c r="H224" s="4"/>
      <c r="I224" s="4"/>
      <c r="J224" s="4"/>
      <c r="K224" s="58"/>
      <c r="L224" s="5"/>
      <c r="M224" s="65"/>
      <c r="S224" s="4"/>
    </row>
    <row r="225" spans="1:19" s="3" customFormat="1" x14ac:dyDescent="0.3">
      <c r="B225" s="42"/>
      <c r="C225" s="3">
        <v>7</v>
      </c>
      <c r="D225" s="4"/>
      <c r="E225" s="4"/>
      <c r="F225" s="4"/>
      <c r="H225" s="4"/>
      <c r="I225" s="4"/>
      <c r="J225" s="4"/>
      <c r="K225" s="58"/>
      <c r="L225" s="5"/>
      <c r="M225" s="65"/>
      <c r="S225" s="4"/>
    </row>
    <row r="226" spans="1:19" s="3" customFormat="1" x14ac:dyDescent="0.3">
      <c r="B226" s="42"/>
      <c r="C226" s="3">
        <v>8</v>
      </c>
      <c r="D226" s="4"/>
      <c r="E226" s="4"/>
      <c r="F226" s="4"/>
      <c r="H226" s="4"/>
      <c r="I226" s="4"/>
      <c r="J226" s="4"/>
      <c r="K226" s="58"/>
      <c r="L226" s="5"/>
      <c r="M226" s="65"/>
      <c r="S226" s="4"/>
    </row>
    <row r="227" spans="1:19" s="3" customFormat="1" x14ac:dyDescent="0.3">
      <c r="B227" s="42"/>
      <c r="C227" s="3">
        <v>9</v>
      </c>
      <c r="D227" s="4"/>
      <c r="E227" s="4"/>
      <c r="F227" s="4"/>
      <c r="H227" s="4"/>
      <c r="I227" s="4"/>
      <c r="J227" s="4"/>
      <c r="K227" s="58"/>
      <c r="L227" s="5"/>
      <c r="M227" s="65"/>
      <c r="S227" s="4"/>
    </row>
    <row r="228" spans="1:19" s="3" customFormat="1" x14ac:dyDescent="0.3">
      <c r="B228" s="42"/>
      <c r="C228" s="3">
        <v>10</v>
      </c>
      <c r="D228" s="4"/>
      <c r="E228" s="4"/>
      <c r="F228" s="4"/>
      <c r="H228" s="4"/>
      <c r="I228" s="4"/>
      <c r="J228" s="4"/>
      <c r="K228" s="58"/>
      <c r="L228" s="5"/>
      <c r="M228" s="65"/>
      <c r="S228" s="4"/>
    </row>
    <row r="229" spans="1:19" s="3" customFormat="1" x14ac:dyDescent="0.3">
      <c r="B229" s="42"/>
      <c r="C229" s="3">
        <v>11</v>
      </c>
      <c r="D229" s="4"/>
      <c r="E229" s="4"/>
      <c r="F229" s="4"/>
      <c r="H229" s="4"/>
      <c r="I229" s="4"/>
      <c r="J229" s="4"/>
      <c r="K229" s="58"/>
      <c r="L229" s="5"/>
      <c r="M229" s="65"/>
      <c r="S229" s="4"/>
    </row>
    <row r="230" spans="1:19" s="3" customFormat="1" x14ac:dyDescent="0.3">
      <c r="B230" s="42"/>
      <c r="C230" s="3">
        <v>12</v>
      </c>
      <c r="D230" s="4"/>
      <c r="E230" s="4"/>
      <c r="F230" s="4"/>
      <c r="H230" s="4"/>
      <c r="I230" s="19"/>
      <c r="J230" s="19"/>
      <c r="K230" s="59"/>
      <c r="L230" s="17"/>
      <c r="M230" s="66"/>
      <c r="N230" s="9"/>
      <c r="P230" s="4"/>
      <c r="Q230" s="4"/>
      <c r="S230" s="4"/>
    </row>
    <row r="231" spans="1:19" s="3" customFormat="1" x14ac:dyDescent="0.3">
      <c r="A231" s="3">
        <v>20</v>
      </c>
      <c r="B231" s="42">
        <v>2041</v>
      </c>
      <c r="C231" s="3">
        <v>1</v>
      </c>
      <c r="D231" s="4"/>
      <c r="E231" s="4"/>
      <c r="F231" s="4"/>
      <c r="H231" s="4"/>
      <c r="I231" s="4"/>
      <c r="J231" s="4"/>
      <c r="K231" s="58"/>
      <c r="L231" s="5"/>
      <c r="M231" s="65"/>
      <c r="N231" s="6"/>
      <c r="P231" s="9"/>
      <c r="S231" s="4"/>
    </row>
    <row r="232" spans="1:19" s="3" customFormat="1" x14ac:dyDescent="0.3">
      <c r="B232" s="42"/>
      <c r="C232" s="3">
        <v>2</v>
      </c>
      <c r="D232" s="4"/>
      <c r="E232" s="4"/>
      <c r="F232" s="4"/>
      <c r="H232" s="4"/>
      <c r="I232" s="4"/>
      <c r="J232" s="4"/>
      <c r="K232" s="58"/>
      <c r="L232" s="5"/>
      <c r="M232" s="65"/>
      <c r="S232" s="4"/>
    </row>
    <row r="233" spans="1:19" s="3" customFormat="1" x14ac:dyDescent="0.3">
      <c r="B233" s="42"/>
      <c r="C233" s="3">
        <v>3</v>
      </c>
      <c r="D233" s="4"/>
      <c r="E233" s="4"/>
      <c r="F233" s="4"/>
      <c r="H233" s="4"/>
      <c r="I233" s="4"/>
      <c r="J233" s="4"/>
      <c r="K233" s="58"/>
      <c r="L233" s="5"/>
      <c r="M233" s="65"/>
      <c r="S233" s="4"/>
    </row>
    <row r="234" spans="1:19" s="3" customFormat="1" x14ac:dyDescent="0.3">
      <c r="B234" s="42"/>
      <c r="C234" s="3">
        <v>4</v>
      </c>
      <c r="D234" s="4"/>
      <c r="E234" s="4"/>
      <c r="F234" s="4"/>
      <c r="H234" s="4"/>
      <c r="I234" s="4"/>
      <c r="J234" s="4"/>
      <c r="K234" s="58"/>
      <c r="L234" s="5"/>
      <c r="M234" s="65"/>
      <c r="S234" s="4"/>
    </row>
    <row r="235" spans="1:19" s="3" customFormat="1" x14ac:dyDescent="0.3">
      <c r="B235" s="42"/>
      <c r="C235" s="3">
        <v>5</v>
      </c>
      <c r="D235" s="4"/>
      <c r="E235" s="4"/>
      <c r="F235" s="4"/>
      <c r="H235" s="4"/>
      <c r="I235" s="4"/>
      <c r="J235" s="4"/>
      <c r="K235" s="58"/>
      <c r="L235" s="5"/>
      <c r="M235" s="65"/>
      <c r="S235" s="4"/>
    </row>
    <row r="236" spans="1:19" s="3" customFormat="1" x14ac:dyDescent="0.3">
      <c r="B236" s="42"/>
      <c r="C236" s="3">
        <v>6</v>
      </c>
      <c r="D236" s="4"/>
      <c r="E236" s="4"/>
      <c r="F236" s="4"/>
      <c r="H236" s="4"/>
      <c r="I236" s="4"/>
      <c r="J236" s="4"/>
      <c r="K236" s="58"/>
      <c r="L236" s="5"/>
      <c r="M236" s="65"/>
      <c r="S236" s="4"/>
    </row>
    <row r="237" spans="1:19" s="3" customFormat="1" x14ac:dyDescent="0.3">
      <c r="B237" s="42"/>
      <c r="C237" s="3">
        <v>7</v>
      </c>
      <c r="D237" s="4"/>
      <c r="E237" s="4"/>
      <c r="F237" s="4"/>
      <c r="H237" s="4"/>
      <c r="I237" s="4"/>
      <c r="J237" s="4"/>
      <c r="K237" s="58"/>
      <c r="L237" s="5"/>
      <c r="M237" s="65"/>
      <c r="S237" s="4"/>
    </row>
    <row r="238" spans="1:19" s="3" customFormat="1" x14ac:dyDescent="0.3">
      <c r="B238" s="42"/>
      <c r="C238" s="3">
        <v>8</v>
      </c>
      <c r="D238" s="4"/>
      <c r="E238" s="4"/>
      <c r="F238" s="4"/>
      <c r="H238" s="4"/>
      <c r="I238" s="4"/>
      <c r="J238" s="4"/>
      <c r="K238" s="58"/>
      <c r="L238" s="5"/>
      <c r="M238" s="65"/>
      <c r="S238" s="4"/>
    </row>
    <row r="239" spans="1:19" s="3" customFormat="1" x14ac:dyDescent="0.3">
      <c r="B239" s="42"/>
      <c r="C239" s="3">
        <v>9</v>
      </c>
      <c r="D239" s="4"/>
      <c r="E239" s="4"/>
      <c r="F239" s="4"/>
      <c r="H239" s="4"/>
      <c r="I239" s="4"/>
      <c r="J239" s="4"/>
      <c r="K239" s="58"/>
      <c r="L239" s="5"/>
      <c r="M239" s="65"/>
      <c r="S239" s="4"/>
    </row>
    <row r="240" spans="1:19" s="3" customFormat="1" x14ac:dyDescent="0.3">
      <c r="B240" s="42"/>
      <c r="C240" s="3">
        <v>10</v>
      </c>
      <c r="D240" s="4"/>
      <c r="E240" s="4"/>
      <c r="F240" s="4"/>
      <c r="H240" s="4"/>
      <c r="I240" s="4"/>
      <c r="J240" s="4"/>
      <c r="K240" s="58"/>
      <c r="L240" s="5"/>
      <c r="M240" s="65"/>
      <c r="S240" s="4"/>
    </row>
    <row r="241" spans="1:19" s="3" customFormat="1" x14ac:dyDescent="0.3">
      <c r="B241" s="42"/>
      <c r="C241" s="3">
        <v>11</v>
      </c>
      <c r="D241" s="4"/>
      <c r="E241" s="4"/>
      <c r="F241" s="4"/>
      <c r="H241" s="4"/>
      <c r="I241" s="4"/>
      <c r="J241" s="4"/>
      <c r="K241" s="58"/>
      <c r="L241" s="5"/>
      <c r="M241" s="65"/>
      <c r="S241" s="4"/>
    </row>
    <row r="242" spans="1:19" s="3" customFormat="1" x14ac:dyDescent="0.3">
      <c r="B242" s="42"/>
      <c r="C242" s="3">
        <v>12</v>
      </c>
      <c r="D242" s="4"/>
      <c r="E242" s="4"/>
      <c r="F242" s="4"/>
      <c r="H242" s="4"/>
      <c r="I242" s="19"/>
      <c r="J242" s="19"/>
      <c r="K242" s="59"/>
      <c r="L242" s="17"/>
      <c r="M242" s="66"/>
      <c r="N242" s="9"/>
      <c r="P242" s="4"/>
      <c r="Q242" s="4"/>
      <c r="S242" s="4"/>
    </row>
    <row r="243" spans="1:19" s="3" customFormat="1" x14ac:dyDescent="0.3">
      <c r="A243" s="3">
        <v>21</v>
      </c>
      <c r="B243" s="42">
        <v>2042</v>
      </c>
      <c r="C243" s="3">
        <v>1</v>
      </c>
      <c r="D243" s="4"/>
      <c r="E243" s="4"/>
      <c r="F243" s="4"/>
      <c r="H243" s="4"/>
      <c r="I243" s="4"/>
      <c r="J243" s="4"/>
      <c r="K243" s="58"/>
      <c r="L243" s="5"/>
      <c r="M243" s="65"/>
      <c r="N243" s="6"/>
      <c r="P243" s="9"/>
      <c r="S243" s="4"/>
    </row>
    <row r="244" spans="1:19" x14ac:dyDescent="0.3">
      <c r="A244" s="3"/>
      <c r="B244" s="42"/>
      <c r="C244" s="3">
        <v>2</v>
      </c>
      <c r="D244" s="4"/>
      <c r="E244" s="4"/>
      <c r="F244" s="4"/>
      <c r="G244" s="3"/>
      <c r="H244" s="4"/>
      <c r="I244" s="4"/>
      <c r="J244" s="4"/>
      <c r="K244" s="58"/>
      <c r="L244" s="5"/>
      <c r="M244" s="65"/>
      <c r="N244" s="3"/>
      <c r="O244" s="3"/>
      <c r="P244" s="3"/>
      <c r="Q244" s="3"/>
      <c r="R244" s="3"/>
    </row>
    <row r="245" spans="1:19" x14ac:dyDescent="0.3">
      <c r="A245" s="3"/>
      <c r="B245" s="42"/>
      <c r="C245" s="3">
        <v>3</v>
      </c>
      <c r="D245" s="4"/>
      <c r="E245" s="4"/>
      <c r="F245" s="4"/>
      <c r="G245" s="3"/>
      <c r="H245" s="4"/>
      <c r="I245" s="4"/>
      <c r="J245" s="4"/>
      <c r="K245" s="58"/>
      <c r="L245" s="5"/>
      <c r="M245" s="65"/>
      <c r="N245" s="3"/>
      <c r="O245" s="3"/>
      <c r="P245" s="3"/>
      <c r="Q245" s="3"/>
      <c r="R245" s="3"/>
    </row>
    <row r="246" spans="1:19" x14ac:dyDescent="0.3">
      <c r="A246" s="3"/>
      <c r="B246" s="42"/>
      <c r="C246" s="3">
        <v>4</v>
      </c>
      <c r="D246" s="4"/>
      <c r="E246" s="4"/>
      <c r="F246" s="4"/>
      <c r="G246" s="3"/>
      <c r="H246" s="4"/>
      <c r="I246" s="4"/>
      <c r="J246" s="4"/>
      <c r="K246" s="58"/>
      <c r="L246" s="5"/>
      <c r="M246" s="65"/>
      <c r="N246" s="3"/>
      <c r="O246" s="3"/>
      <c r="P246" s="3"/>
      <c r="Q246" s="3"/>
      <c r="R246" s="3"/>
    </row>
    <row r="247" spans="1:19" x14ac:dyDescent="0.3">
      <c r="A247" s="3"/>
      <c r="B247" s="42"/>
      <c r="C247" s="3">
        <v>5</v>
      </c>
      <c r="D247" s="4"/>
      <c r="E247" s="4"/>
      <c r="F247" s="4"/>
      <c r="G247" s="3"/>
      <c r="H247" s="4"/>
      <c r="I247" s="4"/>
      <c r="J247" s="4"/>
      <c r="K247" s="58"/>
      <c r="L247" s="5"/>
      <c r="M247" s="65"/>
      <c r="N247" s="3"/>
      <c r="O247" s="3"/>
      <c r="P247" s="3"/>
      <c r="Q247" s="3"/>
      <c r="R247" s="3"/>
    </row>
    <row r="248" spans="1:19" x14ac:dyDescent="0.3">
      <c r="A248" s="3"/>
      <c r="B248" s="42"/>
      <c r="C248" s="3">
        <v>6</v>
      </c>
      <c r="D248" s="4"/>
      <c r="E248" s="4"/>
      <c r="F248" s="4"/>
      <c r="G248" s="3"/>
      <c r="H248" s="4"/>
      <c r="I248" s="4"/>
      <c r="J248" s="4"/>
      <c r="K248" s="58"/>
      <c r="L248" s="5"/>
      <c r="M248" s="65"/>
      <c r="N248" s="3"/>
      <c r="O248" s="3"/>
      <c r="P248" s="3"/>
      <c r="Q248" s="3"/>
      <c r="R248" s="3"/>
    </row>
    <row r="249" spans="1:19" x14ac:dyDescent="0.3">
      <c r="A249" s="3"/>
      <c r="B249" s="42"/>
      <c r="C249" s="3">
        <v>7</v>
      </c>
      <c r="D249" s="4"/>
      <c r="E249" s="4"/>
      <c r="F249" s="4"/>
      <c r="G249" s="3"/>
      <c r="H249" s="4"/>
      <c r="I249" s="4"/>
      <c r="J249" s="4"/>
      <c r="K249" s="58"/>
      <c r="L249" s="5"/>
      <c r="M249" s="65"/>
      <c r="N249" s="3"/>
      <c r="O249" s="3"/>
      <c r="P249" s="3"/>
      <c r="Q249" s="3"/>
      <c r="R249" s="3"/>
    </row>
    <row r="250" spans="1:19" x14ac:dyDescent="0.3">
      <c r="A250" s="3"/>
      <c r="B250" s="42"/>
      <c r="C250" s="3">
        <v>8</v>
      </c>
      <c r="D250" s="4"/>
      <c r="E250" s="4"/>
      <c r="F250" s="4"/>
      <c r="G250" s="3"/>
      <c r="H250" s="4"/>
      <c r="I250" s="4"/>
      <c r="J250" s="4"/>
      <c r="K250" s="58"/>
      <c r="L250" s="5"/>
      <c r="M250" s="65"/>
      <c r="N250" s="3"/>
      <c r="O250" s="3"/>
      <c r="P250" s="3"/>
      <c r="Q250" s="3"/>
      <c r="R250" s="3"/>
    </row>
    <row r="251" spans="1:19" x14ac:dyDescent="0.3">
      <c r="A251" s="3"/>
      <c r="B251" s="42"/>
      <c r="C251" s="3">
        <v>9</v>
      </c>
      <c r="D251" s="4"/>
      <c r="E251" s="4"/>
      <c r="F251" s="4"/>
      <c r="G251" s="3"/>
      <c r="H251" s="4"/>
      <c r="I251" s="4"/>
      <c r="J251" s="4"/>
      <c r="K251" s="58"/>
      <c r="L251" s="5"/>
      <c r="M251" s="65"/>
      <c r="N251" s="3"/>
      <c r="O251" s="3"/>
      <c r="P251" s="3"/>
      <c r="Q251" s="3"/>
      <c r="R251" s="3"/>
    </row>
    <row r="252" spans="1:19" x14ac:dyDescent="0.3">
      <c r="A252" s="3"/>
      <c r="B252" s="42"/>
      <c r="C252" s="3">
        <v>10</v>
      </c>
      <c r="D252" s="4"/>
      <c r="E252" s="4"/>
      <c r="F252" s="4"/>
      <c r="G252" s="3"/>
      <c r="H252" s="4"/>
      <c r="I252" s="4"/>
      <c r="J252" s="4"/>
      <c r="K252" s="58"/>
      <c r="L252" s="5"/>
      <c r="M252" s="65"/>
      <c r="N252" s="3"/>
      <c r="O252" s="3"/>
      <c r="P252" s="3"/>
      <c r="Q252" s="3"/>
      <c r="R252" s="3"/>
    </row>
    <row r="253" spans="1:19" x14ac:dyDescent="0.3">
      <c r="A253" s="3"/>
      <c r="B253" s="42"/>
      <c r="C253" s="3">
        <v>11</v>
      </c>
      <c r="D253" s="4"/>
      <c r="E253" s="4"/>
      <c r="F253" s="4"/>
      <c r="G253" s="3"/>
      <c r="H253" s="4"/>
      <c r="I253" s="4"/>
      <c r="J253" s="4"/>
      <c r="K253" s="58"/>
      <c r="L253" s="5"/>
      <c r="M253" s="65"/>
      <c r="N253" s="3"/>
      <c r="O253" s="3"/>
      <c r="P253" s="3"/>
      <c r="Q253" s="3"/>
      <c r="R253" s="3"/>
    </row>
    <row r="254" spans="1:19" x14ac:dyDescent="0.3">
      <c r="A254" s="3"/>
      <c r="B254" s="42"/>
      <c r="C254" s="3">
        <v>12</v>
      </c>
      <c r="D254" s="4"/>
      <c r="E254" s="4"/>
      <c r="F254" s="4"/>
      <c r="G254" s="3"/>
      <c r="H254" s="4"/>
      <c r="I254" s="19"/>
      <c r="J254" s="19"/>
      <c r="K254" s="58"/>
      <c r="L254" s="5"/>
      <c r="M254" s="66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</vt:lpstr>
      <vt:lpstr>생활패턴</vt:lpstr>
      <vt:lpstr>단타일지</vt:lpstr>
      <vt:lpstr>시나리오_샘플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2022-09-13T02:24:19Z</dcterms:modified>
</cp:coreProperties>
</file>