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9DBDD764-A27D-470A-9DA8-7EF0758C647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9" l="1"/>
  <c r="O17" i="9" s="1"/>
  <c r="L14" i="9"/>
  <c r="L17" i="9" s="1"/>
  <c r="Q12" i="5"/>
  <c r="R12" i="5" s="1"/>
  <c r="O16" i="9" l="1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G14" i="5"/>
  <c r="Q10" i="5"/>
  <c r="R10" i="5" s="1"/>
  <c r="F15" i="4" l="1"/>
  <c r="H15" i="4" s="1"/>
  <c r="J15" i="4" s="1"/>
  <c r="F14" i="9"/>
  <c r="F17" i="9" s="1"/>
  <c r="Q9" i="5"/>
  <c r="R9" i="5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Q8" i="5"/>
  <c r="R8" i="5" s="1"/>
  <c r="Q7" i="5"/>
  <c r="R7" i="5" s="1"/>
  <c r="F18" i="4" l="1"/>
  <c r="H18" i="4" s="1"/>
  <c r="J18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19" i="4" l="1"/>
  <c r="H19" i="4" s="1"/>
  <c r="J19" i="4" s="1"/>
  <c r="K15" i="7"/>
  <c r="M15" i="7"/>
  <c r="K14" i="7"/>
  <c r="Q5" i="5"/>
  <c r="R5" i="5" s="1"/>
  <c r="F20" i="4" l="1"/>
  <c r="H20" i="4" s="1"/>
  <c r="J20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1" i="4" l="1"/>
  <c r="H21" i="4" s="1"/>
  <c r="J21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2" i="4" l="1"/>
  <c r="H22" i="4" s="1"/>
  <c r="J22" i="4" s="1"/>
  <c r="M27" i="7"/>
  <c r="K26" i="7"/>
  <c r="K27" i="7"/>
  <c r="F23" i="4" l="1"/>
  <c r="H23" i="4" s="1"/>
  <c r="J23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4" i="4" l="1"/>
  <c r="H24" i="4" s="1"/>
  <c r="J24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5" i="4" l="1"/>
  <c r="H25" i="4" s="1"/>
  <c r="J25" i="4" s="1"/>
  <c r="K39" i="7"/>
  <c r="M39" i="7"/>
  <c r="K38" i="7"/>
  <c r="F26" i="4" l="1"/>
  <c r="H26" i="4" s="1"/>
  <c r="J26" i="4" s="1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N26" i="4" l="1"/>
  <c r="P27" i="4"/>
  <c r="I26" i="4"/>
  <c r="L26" i="4" s="1"/>
  <c r="N27" i="4" s="1"/>
  <c r="D29" i="4" s="1"/>
  <c r="P26" i="4"/>
  <c r="Q26" i="4" s="1"/>
  <c r="K31" i="4" s="1"/>
  <c r="R26" i="4"/>
  <c r="D27" i="4"/>
  <c r="D35" i="4"/>
  <c r="D28" i="4"/>
  <c r="D30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D36" i="4" l="1"/>
  <c r="D37" i="4"/>
  <c r="D38" i="4"/>
  <c r="D31" i="4"/>
  <c r="D34" i="4"/>
  <c r="D32" i="4"/>
  <c r="D33" i="4"/>
  <c r="F27" i="4"/>
  <c r="H27" i="4" s="1"/>
  <c r="J27" i="4" s="1"/>
  <c r="M51" i="7"/>
  <c r="K50" i="7"/>
  <c r="K51" i="7"/>
  <c r="M38" i="4" l="1"/>
  <c r="F28" i="4"/>
  <c r="H28" i="4" s="1"/>
  <c r="J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30" i="4" s="1"/>
  <c r="K63" i="7"/>
  <c r="M63" i="7"/>
  <c r="K62" i="7"/>
  <c r="F31" i="4" l="1"/>
  <c r="H31" i="4" s="1"/>
  <c r="J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3" i="4" s="1"/>
  <c r="M75" i="7"/>
  <c r="K74" i="7"/>
  <c r="K75" i="7"/>
  <c r="F34" i="4" l="1"/>
  <c r="H34" i="4" s="1"/>
  <c r="J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6" i="4" s="1"/>
  <c r="M87" i="7"/>
  <c r="K86" i="7"/>
  <c r="K87" i="7"/>
  <c r="F37" i="4" l="1"/>
  <c r="H37" i="4" s="1"/>
  <c r="J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F39" i="4" l="1"/>
  <c r="M50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H39" i="4" l="1"/>
  <c r="J39" i="4" s="1"/>
  <c r="M111" i="7"/>
  <c r="K110" i="7"/>
  <c r="K111" i="7"/>
  <c r="F40" i="4" l="1"/>
  <c r="H40" i="4" s="1"/>
  <c r="J40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1" i="4" l="1"/>
  <c r="H41" i="4" s="1"/>
  <c r="J41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2" i="4" l="1"/>
  <c r="H42" i="4" s="1"/>
  <c r="J42" i="4" s="1"/>
  <c r="M123" i="7"/>
  <c r="K122" i="7"/>
  <c r="K123" i="7"/>
  <c r="F43" i="4" l="1"/>
  <c r="H43" i="4" s="1"/>
  <c r="J43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4" i="4" l="1"/>
  <c r="H44" i="4" s="1"/>
  <c r="J44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5" i="4" l="1"/>
  <c r="H45" i="4" s="1"/>
  <c r="J45" i="4" s="1"/>
  <c r="M135" i="7"/>
  <c r="K134" i="7"/>
  <c r="K135" i="7"/>
  <c r="F46" i="4" l="1"/>
  <c r="H46" i="4" s="1"/>
  <c r="J46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7" i="4" l="1"/>
  <c r="H47" i="4" s="1"/>
  <c r="J47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8" i="4" l="1"/>
  <c r="H48" i="4" s="1"/>
  <c r="J48" i="4" s="1"/>
  <c r="M147" i="7"/>
  <c r="K146" i="7"/>
  <c r="K147" i="7"/>
  <c r="F49" i="4" l="1"/>
  <c r="H49" i="4" s="1"/>
  <c r="J49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F50" i="4" l="1"/>
  <c r="H50" i="4" s="1"/>
  <c r="J50" i="4" s="1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N50" i="4" l="1"/>
  <c r="P51" i="4"/>
  <c r="I50" i="4"/>
  <c r="L50" i="4"/>
  <c r="N51" i="4" s="1"/>
  <c r="D59" i="4" s="1"/>
  <c r="D62" i="4"/>
  <c r="D52" i="4"/>
  <c r="R50" i="4"/>
  <c r="P50" i="4"/>
  <c r="Q50" i="4" s="1"/>
  <c r="K55" i="4" s="1"/>
  <c r="M159" i="7"/>
  <c r="K158" i="7"/>
  <c r="K159" i="7"/>
  <c r="D60" i="4" l="1"/>
  <c r="D61" i="4"/>
  <c r="D58" i="4"/>
  <c r="D53" i="4"/>
  <c r="D55" i="4"/>
  <c r="D56" i="4"/>
  <c r="D54" i="4"/>
  <c r="D57" i="4"/>
  <c r="D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1" i="4" l="1"/>
  <c r="M6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H51" i="4" l="1"/>
  <c r="M171" i="7"/>
  <c r="K170" i="7"/>
  <c r="K171" i="7"/>
  <c r="F52" i="4" l="1"/>
  <c r="H52" i="4" s="1"/>
  <c r="J51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J52" i="4" l="1"/>
  <c r="F53" i="4"/>
  <c r="H53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J53" i="4" l="1"/>
  <c r="F54" i="4"/>
  <c r="H54" i="4" s="1"/>
  <c r="M183" i="7"/>
  <c r="K182" i="7"/>
  <c r="K183" i="7"/>
  <c r="J54" i="4" l="1"/>
  <c r="F55" i="4"/>
  <c r="H55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J55" i="4" l="1"/>
  <c r="F56" i="4"/>
  <c r="H56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J56" i="4" l="1"/>
  <c r="F57" i="4"/>
  <c r="H57" i="4" s="1"/>
  <c r="M195" i="7"/>
  <c r="K194" i="7"/>
  <c r="K195" i="7"/>
  <c r="J57" i="4" l="1"/>
  <c r="F58" i="4"/>
  <c r="H58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J58" i="4" l="1"/>
  <c r="F59" i="4"/>
  <c r="H59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J59" i="4" l="1"/>
  <c r="F60" i="4"/>
  <c r="H60" i="4" s="1"/>
  <c r="M207" i="7"/>
  <c r="K206" i="7"/>
  <c r="K207" i="7"/>
  <c r="J60" i="4" l="1"/>
  <c r="F61" i="4"/>
  <c r="H61" i="4" s="1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J61" i="4" l="1"/>
  <c r="F62" i="4"/>
  <c r="H62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J62" i="4" l="1"/>
  <c r="I62" i="4"/>
  <c r="L62" i="4" s="1"/>
  <c r="N63" i="4" s="1"/>
  <c r="D68" i="4" s="1"/>
  <c r="P63" i="4"/>
  <c r="N62" i="4"/>
  <c r="M219" i="7"/>
  <c r="K218" i="7"/>
  <c r="K219" i="7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3" i="4" l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H63" i="4" l="1"/>
  <c r="M74" i="4"/>
  <c r="M231" i="7"/>
  <c r="K230" i="7"/>
  <c r="K231" i="7"/>
  <c r="F64" i="4" l="1"/>
  <c r="H64" i="4" s="1"/>
  <c r="J63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5" i="4" l="1"/>
  <c r="H65" i="4" s="1"/>
  <c r="J64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J65" i="4" l="1"/>
  <c r="F66" i="4"/>
  <c r="H66" i="4" s="1"/>
  <c r="M243" i="7"/>
  <c r="K242" i="7"/>
  <c r="K243" i="7"/>
  <c r="J66" i="4" l="1"/>
  <c r="F67" i="4"/>
  <c r="H67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J67" i="4" l="1"/>
  <c r="F68" i="4"/>
  <c r="H68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J68" i="4" l="1"/>
  <c r="F69" i="4"/>
  <c r="H69" i="4" s="1"/>
  <c r="O254" i="7"/>
  <c r="M254" i="7"/>
  <c r="N254" i="7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<sst xmlns="http://schemas.openxmlformats.org/spreadsheetml/2006/main" count="221" uniqueCount="180">
  <si>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</si>
  <si>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</si>
  <si>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</si>
  <si>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</si>
  <si>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</si>
  <si>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</si>
  <si>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</si>
  <si>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</si>
  <si>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</si>
  <si>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</si>
  <si>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</si>
  <si>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</si>
  <si>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</si>
  <si>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</si>
  <si>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</si>
  <si>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</si>
  <si>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</si>
  <si>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</si>
  <si>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</si>
  <si>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</si>
  <si>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</si>
  <si>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</si>
  <si>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</si>
  <si>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</si>
  <si>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</si>
  <si>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</si>
  <si>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</si>
  <si>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</si>
  <si>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</si>
  <si>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</si>
  <si>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</si>
  <si>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</si>
  <si>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</si>
  <si>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</si>
  <si>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</si>
  <si>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</si>
  <si>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</si>
  <si>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</si>
  <si>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</si>
  <si>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</si>
  <si>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</si>
  <si>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</si>
  <si>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</si>
  <si>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</si>
  <si>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</si>
  <si>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</si>
  <si>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</si>
  <si>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</si>
  <si>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</si>
  <si>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</si>
  <si>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</si>
  <si>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</si>
  <si>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</si>
  <si>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</si>
  <si>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</si>
  <si>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</si>
  <si>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</si>
  <si>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</si>
  <si>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</si>
  <si>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</si>
  <si>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</si>
  <si>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</si>
  <si>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</si>
  <si>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</si>
  <si>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</si>
  <si>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</si>
  <si>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</si>
  <si>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</si>
  <si>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</si>
  <si>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</si>
  <si>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</si>
  <si>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</si>
  <si>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</si>
  <si>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</si>
  <si>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</si>
  <si>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</si>
  <si>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</si>
  <si>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</si>
  <si>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</si>
  <si>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</si>
  <si>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</si>
  <si>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</si>
  <si>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</si>
  <si>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</si>
  <si>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</si>
  <si>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</si>
  <si>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</si>
  <si>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</si>
  <si>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</si>
  <si>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</si>
  <si>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</si>
  <si>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</si>
  <si>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</si>
  <si>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</si>
  <si>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</si>
  <si>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</si>
  <si>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</si>
  <si>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</si>
  <si>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</si>
  <si>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</si>
  <si>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</si>
  <si>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</si>
  <si>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</si>
  <si>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</si>
  <si>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</si>
  <si>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</si>
  <si>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</si>
  <si>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</si>
  <si>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</si>
  <si>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</si>
  <si>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</si>
  <si>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</si>
  <si>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</si>
  <si>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</si>
  <si>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</si>
  <si>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</si>
  <si>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</si>
  <si>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</si>
  <si>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</si>
  <si>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</si>
  <si>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</si>
  <si>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</si>
  <si>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</si>
  <si>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</si>
  <si>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</si>
  <si>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</si>
  <si>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</si>
  <si>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</si>
  <si>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</si>
  <si>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</si>
  <si>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</si>
  <si>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</si>
  <si>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</si>
  <si>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</si>
  <si>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</si>
  <si>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</si>
  <si>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</si>
  <si>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</si>
  <si>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</si>
  <si>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</si>
  <si>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</si>
  <si>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</si>
  <si>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</si>
  <si>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</si>
  <si>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</si>
  <si>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</si>
  <si>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</si>
  <si>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</si>
  <si>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</si>
  <si>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</si>
  <si>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</si>
  <si>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</si>
  <si>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</si>
  <si>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</si>
  <si>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</si>
  <si>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</si>
  <si>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</si>
  <si>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</si>
  <si>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</si>
  <si>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</si>
  <si>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</si>
  <si>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</si>
  <si>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</si>
  <si>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</si>
  <si>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</si>
  <si>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</si>
  <si>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</si>
  <si>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</si>
  <si>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</si>
  <si>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</si>
  <si>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</si>
  <si>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</si>
  <si>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</si>
  <si>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</si>
  <si>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</si>
  <si>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</si>
  <si>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</si>
  <si>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</si>
  <si>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11월 현재 매매법</t>
    <phoneticPr fontId="1" type="noConversion"/>
  </si>
  <si>
    <t>12월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</si>
</sst>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80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80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80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80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80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80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80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80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80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80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80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80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80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80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80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80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80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80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80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80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80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80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80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80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80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80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80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80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80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80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80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80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80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80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80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80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80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80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80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80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80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80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80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80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80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80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80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80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80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80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80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80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80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80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80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80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80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80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80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80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80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80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80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80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80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80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80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80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80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80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80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80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80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80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80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80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80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80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80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80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80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80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80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80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80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80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80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80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80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80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80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80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80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80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80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80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80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80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80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80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80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80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80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80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80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80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80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80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80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80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80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80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80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80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80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80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80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80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80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80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80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80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80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80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80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80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80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80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80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80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80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80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79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79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79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79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79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79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79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79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79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79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79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79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79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79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79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79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79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79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79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79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79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79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79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79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79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79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79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79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79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79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79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79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79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79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79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79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79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79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79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79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79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79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79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79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79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79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79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79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79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79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79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79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79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79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79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79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79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79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79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79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78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78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78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78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78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78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78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78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78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78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78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78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78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78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78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78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78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78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78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78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78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78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78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78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78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78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78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78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78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78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78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78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78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78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78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78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78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78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78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78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78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78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78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78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78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78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78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78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78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78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78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78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78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78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78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78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78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78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78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78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opLeftCell="A4" workbookViewId="0">
      <selection activeCell="J12" sqref="J12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80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80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80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80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80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80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80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80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80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21" customFormat="1" x14ac:dyDescent="0.3">
      <c r="B12" s="80"/>
      <c r="C12" s="21">
        <v>10</v>
      </c>
      <c r="D12" s="22">
        <v>4500000</v>
      </c>
      <c r="E12" s="22">
        <f xml:space="preserve"> (E11 + 400000) + ((E11 + 400000) * G12 )</f>
        <v>4132820.51</v>
      </c>
      <c r="F12" s="22">
        <f t="shared" si="0"/>
        <v>15457825.786114551</v>
      </c>
      <c r="G12" s="21">
        <v>-0.09</v>
      </c>
      <c r="H12" s="22">
        <f t="shared" si="1"/>
        <v>14066621.465364242</v>
      </c>
      <c r="I12" s="22"/>
      <c r="J12" s="22"/>
      <c r="K12" s="46">
        <v>3700000</v>
      </c>
      <c r="L12" s="23"/>
      <c r="M12" s="54"/>
      <c r="S12" s="22"/>
    </row>
    <row r="13" spans="1:19" s="21" customFormat="1" x14ac:dyDescent="0.3">
      <c r="B13" s="80"/>
      <c r="C13" s="21">
        <v>11</v>
      </c>
      <c r="D13" s="22">
        <v>3500000</v>
      </c>
      <c r="E13" s="22">
        <f xml:space="preserve"> (E12 + 400000) + ((E12 + 400000) * G13 )</f>
        <v>4614411.2791799996</v>
      </c>
      <c r="F13" s="22">
        <f t="shared" si="0"/>
        <v>17566621.46536424</v>
      </c>
      <c r="G13" s="21">
        <v>1.7999999999999999E-2</v>
      </c>
      <c r="H13" s="22">
        <f t="shared" si="1"/>
        <v>17882820.651740797</v>
      </c>
      <c r="I13" s="22"/>
      <c r="J13" s="22"/>
      <c r="K13" s="46">
        <v>0</v>
      </c>
      <c r="L13" s="23"/>
      <c r="M13" s="54"/>
      <c r="S13" s="22"/>
    </row>
    <row r="14" spans="1:19" s="18" customFormat="1" x14ac:dyDescent="0.3">
      <c r="B14" s="80"/>
      <c r="C14" s="18">
        <v>12</v>
      </c>
      <c r="D14" s="19">
        <v>2500000</v>
      </c>
      <c r="E14" s="19">
        <f t="shared" ref="E14:E77" si="2" xml:space="preserve"> (E13 + 400000) + ((E13 + 400000) * G14 )</f>
        <v>5104670.6822052393</v>
      </c>
      <c r="F14" s="19">
        <f t="shared" si="0"/>
        <v>20382820.651740797</v>
      </c>
      <c r="G14" s="18">
        <v>1.7999999999999999E-2</v>
      </c>
      <c r="H14" s="19">
        <f t="shared" si="1"/>
        <v>20749711.423472133</v>
      </c>
      <c r="I14" s="19">
        <f xml:space="preserve"> H14 - E14</f>
        <v>15645040.741266893</v>
      </c>
      <c r="J14" s="19"/>
      <c r="K14" s="50">
        <v>0</v>
      </c>
      <c r="L14" s="20">
        <f xml:space="preserve"> I14 / 2</f>
        <v>7822520.3706334466</v>
      </c>
      <c r="M14" s="58">
        <f xml:space="preserve"> (H2 + SUM(D3:D14)) - SUM(K3:K14)</f>
        <v>20363456</v>
      </c>
      <c r="N14" s="19">
        <f xml:space="preserve"> H14 - M14</f>
        <v>386255.42347213253</v>
      </c>
      <c r="O14" s="18">
        <v>0.84</v>
      </c>
      <c r="P14" s="19">
        <f xml:space="preserve"> N14 * O14</f>
        <v>324454.55571659131</v>
      </c>
      <c r="Q14" s="19">
        <f xml:space="preserve"> N14 - P14</f>
        <v>61800.867755541229</v>
      </c>
      <c r="R14" s="18">
        <f xml:space="preserve"> N14 / M14 * 100</f>
        <v>1.8968068262682551</v>
      </c>
      <c r="S14" s="19"/>
    </row>
    <row r="15" spans="1:19" s="8" customFormat="1" x14ac:dyDescent="0.3">
      <c r="A15" s="8">
        <v>2</v>
      </c>
      <c r="B15" s="80">
        <v>2023</v>
      </c>
      <c r="C15" s="8">
        <v>1</v>
      </c>
      <c r="D15" s="9">
        <f xml:space="preserve"> N15</f>
        <v>3151876.6975527871</v>
      </c>
      <c r="E15" s="41">
        <f t="shared" si="2"/>
        <v>5603754.7544849338</v>
      </c>
      <c r="F15" s="11">
        <f xml:space="preserve"> (I14 / 2) + D15 - K15</f>
        <v>10974397.068186235</v>
      </c>
      <c r="G15" s="8">
        <v>1.7999999999999999E-2</v>
      </c>
      <c r="H15" s="9">
        <f xml:space="preserve"> (F15 * G15) + F15</f>
        <v>11171936.215413587</v>
      </c>
      <c r="I15" s="9"/>
      <c r="J15" s="9">
        <f xml:space="preserve"> D15 + H15</f>
        <v>14323812.912966374</v>
      </c>
      <c r="K15" s="47">
        <v>0</v>
      </c>
      <c r="L15" s="10"/>
      <c r="M15" s="55"/>
      <c r="N15" s="11">
        <f xml:space="preserve"> (L14 / 12) +2500000</f>
        <v>3151876.6975527871</v>
      </c>
      <c r="P15" s="9">
        <f xml:space="preserve"> (H14 / 2 )</f>
        <v>10374855.711736066</v>
      </c>
      <c r="S15" s="9"/>
    </row>
    <row r="16" spans="1:19" s="8" customFormat="1" x14ac:dyDescent="0.3">
      <c r="B16" s="80"/>
      <c r="C16" s="8">
        <v>2</v>
      </c>
      <c r="D16" s="9">
        <f xml:space="preserve"> N15</f>
        <v>3151876.6975527871</v>
      </c>
      <c r="E16" s="41">
        <f t="shared" si="2"/>
        <v>6111822.3400656627</v>
      </c>
      <c r="F16" s="9">
        <f t="shared" ref="F16:F26" si="3" xml:space="preserve"> H15 + D16 - K16</f>
        <v>14323812.912966374</v>
      </c>
      <c r="G16" s="8">
        <v>1.7999999999999999E-2</v>
      </c>
      <c r="H16" s="11">
        <f xml:space="preserve"> (F16 * G16) + F16</f>
        <v>14581641.545399768</v>
      </c>
      <c r="I16" s="9"/>
      <c r="J16" s="9">
        <f xml:space="preserve"> D16 + H16</f>
        <v>17733518.242952555</v>
      </c>
      <c r="K16" s="47">
        <v>0</v>
      </c>
      <c r="L16" s="10"/>
      <c r="M16" s="55"/>
      <c r="S16" s="9"/>
    </row>
    <row r="17" spans="1:19" s="8" customFormat="1" x14ac:dyDescent="0.3">
      <c r="B17" s="80"/>
      <c r="C17" s="8">
        <v>3</v>
      </c>
      <c r="D17" s="9">
        <f xml:space="preserve"> N15</f>
        <v>3151876.6975527871</v>
      </c>
      <c r="E17" s="41">
        <f t="shared" si="2"/>
        <v>6629035.1421868447</v>
      </c>
      <c r="F17" s="9">
        <f t="shared" si="3"/>
        <v>17733518.242952555</v>
      </c>
      <c r="G17" s="8">
        <v>1.7999999999999999E-2</v>
      </c>
      <c r="H17" s="9">
        <f xml:space="preserve"> (F17 * G17) + F17</f>
        <v>18052721.571325701</v>
      </c>
      <c r="I17" s="9"/>
      <c r="J17" s="9">
        <f t="shared" ref="J17:J80" si="4" xml:space="preserve"> D17 + H17</f>
        <v>21204598.26887849</v>
      </c>
      <c r="K17" s="47">
        <v>0</v>
      </c>
      <c r="L17" s="10"/>
      <c r="M17" s="55"/>
      <c r="S17" s="9"/>
    </row>
    <row r="18" spans="1:19" s="8" customFormat="1" x14ac:dyDescent="0.3">
      <c r="B18" s="80"/>
      <c r="C18" s="8">
        <v>4</v>
      </c>
      <c r="D18" s="9">
        <f xml:space="preserve"> N15</f>
        <v>3151876.6975527871</v>
      </c>
      <c r="E18" s="41">
        <f t="shared" si="2"/>
        <v>7155557.7747462075</v>
      </c>
      <c r="F18" s="9">
        <f t="shared" si="3"/>
        <v>21204598.26887849</v>
      </c>
      <c r="G18" s="8">
        <v>1.7999999999999999E-2</v>
      </c>
      <c r="H18" s="9">
        <f t="shared" ref="H18:H26" si="5" xml:space="preserve"> (F18 * G18) + F18</f>
        <v>21586281.037718304</v>
      </c>
      <c r="I18" s="9"/>
      <c r="J18" s="9">
        <f t="shared" si="4"/>
        <v>24738157.735271089</v>
      </c>
      <c r="K18" s="47">
        <v>0</v>
      </c>
      <c r="L18" s="10"/>
      <c r="M18" s="55"/>
      <c r="S18" s="9"/>
    </row>
    <row r="19" spans="1:19" s="8" customFormat="1" x14ac:dyDescent="0.3">
      <c r="B19" s="80"/>
      <c r="C19" s="8">
        <v>5</v>
      </c>
      <c r="D19" s="9">
        <f xml:space="preserve"> N15</f>
        <v>3151876.6975527871</v>
      </c>
      <c r="E19" s="41">
        <f t="shared" si="2"/>
        <v>7691557.8146916395</v>
      </c>
      <c r="F19" s="9">
        <f t="shared" si="3"/>
        <v>24676356.867515549</v>
      </c>
      <c r="G19" s="8">
        <v>1.7999999999999999E-2</v>
      </c>
      <c r="H19" s="9">
        <f t="shared" si="5"/>
        <v>25120531.29113083</v>
      </c>
      <c r="I19" s="9"/>
      <c r="J19" s="9">
        <f t="shared" si="4"/>
        <v>28272407.988683619</v>
      </c>
      <c r="K19" s="47">
        <f xml:space="preserve"> Q14</f>
        <v>61800.867755541229</v>
      </c>
      <c r="L19" s="10"/>
      <c r="M19" s="55"/>
      <c r="S19" s="9"/>
    </row>
    <row r="20" spans="1:19" s="8" customFormat="1" x14ac:dyDescent="0.3">
      <c r="B20" s="80"/>
      <c r="C20" s="8">
        <v>6</v>
      </c>
      <c r="D20" s="9">
        <f xml:space="preserve"> N15</f>
        <v>3151876.6975527871</v>
      </c>
      <c r="E20" s="41">
        <f t="shared" si="2"/>
        <v>8237205.8553560888</v>
      </c>
      <c r="F20" s="9">
        <f t="shared" si="3"/>
        <v>28272407.988683619</v>
      </c>
      <c r="G20" s="8">
        <v>1.7999999999999999E-2</v>
      </c>
      <c r="H20" s="9">
        <f t="shared" si="5"/>
        <v>28781311.332479924</v>
      </c>
      <c r="I20" s="9"/>
      <c r="J20" s="9">
        <f t="shared" si="4"/>
        <v>31933188.030032709</v>
      </c>
      <c r="K20" s="47">
        <v>0</v>
      </c>
      <c r="L20" s="10"/>
      <c r="M20" s="55"/>
      <c r="S20" s="9"/>
    </row>
    <row r="21" spans="1:19" s="8" customFormat="1" x14ac:dyDescent="0.3">
      <c r="B21" s="80"/>
      <c r="C21" s="8">
        <v>7</v>
      </c>
      <c r="D21" s="9">
        <f xml:space="preserve"> N15</f>
        <v>3151876.6975527871</v>
      </c>
      <c r="E21" s="41">
        <f t="shared" si="2"/>
        <v>8792675.5607524998</v>
      </c>
      <c r="F21" s="9">
        <f t="shared" si="3"/>
        <v>31933188.030032709</v>
      </c>
      <c r="G21" s="8">
        <v>1.7999999999999999E-2</v>
      </c>
      <c r="H21" s="9">
        <f t="shared" si="5"/>
        <v>32507985.414573297</v>
      </c>
      <c r="I21" s="9"/>
      <c r="J21" s="9">
        <f t="shared" si="4"/>
        <v>35659862.112126082</v>
      </c>
      <c r="K21" s="47">
        <v>0</v>
      </c>
      <c r="L21" s="10"/>
      <c r="M21" s="55"/>
      <c r="S21" s="9"/>
    </row>
    <row r="22" spans="1:19" s="8" customFormat="1" x14ac:dyDescent="0.3">
      <c r="B22" s="80"/>
      <c r="C22" s="8">
        <v>8</v>
      </c>
      <c r="D22" s="9">
        <f xml:space="preserve"> N15</f>
        <v>3151876.6975527871</v>
      </c>
      <c r="E22" s="41">
        <f t="shared" si="2"/>
        <v>9358143.7208460458</v>
      </c>
      <c r="F22" s="9">
        <f t="shared" si="3"/>
        <v>35659862.112126082</v>
      </c>
      <c r="G22" s="8">
        <v>1.7999999999999999E-2</v>
      </c>
      <c r="H22" s="9">
        <f t="shared" si="5"/>
        <v>36301739.63014435</v>
      </c>
      <c r="I22" s="9"/>
      <c r="J22" s="9">
        <f t="shared" si="4"/>
        <v>39453616.327697136</v>
      </c>
      <c r="K22" s="47">
        <v>0</v>
      </c>
      <c r="L22" s="10"/>
      <c r="M22" s="55"/>
      <c r="S22" s="9"/>
    </row>
    <row r="23" spans="1:19" s="8" customFormat="1" x14ac:dyDescent="0.3">
      <c r="B23" s="80"/>
      <c r="C23" s="8">
        <v>9</v>
      </c>
      <c r="D23" s="9">
        <f xml:space="preserve"> N15</f>
        <v>3151876.6975527871</v>
      </c>
      <c r="E23" s="41">
        <f t="shared" si="2"/>
        <v>9933790.3078212738</v>
      </c>
      <c r="F23" s="9">
        <f t="shared" si="3"/>
        <v>39453616.327697136</v>
      </c>
      <c r="G23" s="8">
        <v>1.7999999999999999E-2</v>
      </c>
      <c r="H23" s="9">
        <f t="shared" si="5"/>
        <v>40163781.421595685</v>
      </c>
      <c r="I23" s="9"/>
      <c r="J23" s="9">
        <f t="shared" si="4"/>
        <v>43315658.11914847</v>
      </c>
      <c r="K23" s="47">
        <v>0</v>
      </c>
      <c r="L23" s="10"/>
      <c r="M23" s="55"/>
      <c r="S23" s="9"/>
    </row>
    <row r="24" spans="1:19" s="8" customFormat="1" x14ac:dyDescent="0.3">
      <c r="B24" s="80"/>
      <c r="C24" s="8">
        <v>10</v>
      </c>
      <c r="D24" s="9">
        <f xml:space="preserve"> N15</f>
        <v>3151876.6975527871</v>
      </c>
      <c r="E24" s="41">
        <f t="shared" si="2"/>
        <v>10519798.533362057</v>
      </c>
      <c r="F24" s="9">
        <f t="shared" si="3"/>
        <v>43315658.11914847</v>
      </c>
      <c r="G24" s="8">
        <v>1.7999999999999999E-2</v>
      </c>
      <c r="H24" s="9">
        <f t="shared" si="5"/>
        <v>44095339.965293139</v>
      </c>
      <c r="I24" s="9"/>
      <c r="J24" s="9">
        <f t="shared" si="4"/>
        <v>47247216.662845924</v>
      </c>
      <c r="K24" s="47">
        <v>0</v>
      </c>
      <c r="L24" s="10"/>
      <c r="M24" s="55"/>
      <c r="S24" s="9"/>
    </row>
    <row r="25" spans="1:19" s="8" customFormat="1" x14ac:dyDescent="0.3">
      <c r="B25" s="80"/>
      <c r="C25" s="8">
        <v>11</v>
      </c>
      <c r="D25" s="9">
        <f xml:space="preserve"> N15</f>
        <v>3151876.6975527871</v>
      </c>
      <c r="E25" s="41">
        <f t="shared" si="2"/>
        <v>11116354.906962574</v>
      </c>
      <c r="F25" s="9">
        <f t="shared" si="3"/>
        <v>47247216.662845924</v>
      </c>
      <c r="G25" s="8">
        <v>1.7999999999999999E-2</v>
      </c>
      <c r="H25" s="9">
        <f t="shared" si="5"/>
        <v>48097666.562777154</v>
      </c>
      <c r="I25" s="9"/>
      <c r="J25" s="9">
        <f t="shared" si="4"/>
        <v>51249543.260329939</v>
      </c>
      <c r="K25" s="47">
        <v>0</v>
      </c>
      <c r="L25" s="10"/>
      <c r="M25" s="55"/>
      <c r="S25" s="9"/>
    </row>
    <row r="26" spans="1:19" s="18" customFormat="1" x14ac:dyDescent="0.3">
      <c r="B26" s="80"/>
      <c r="C26" s="18">
        <v>12</v>
      </c>
      <c r="D26" s="19">
        <f xml:space="preserve"> N15</f>
        <v>3151876.6975527871</v>
      </c>
      <c r="E26" s="19">
        <f t="shared" si="2"/>
        <v>11723649.2952879</v>
      </c>
      <c r="F26" s="19">
        <f t="shared" si="3"/>
        <v>51249543.260329939</v>
      </c>
      <c r="G26" s="18">
        <v>1.7999999999999999E-2</v>
      </c>
      <c r="H26" s="19">
        <f t="shared" si="5"/>
        <v>52172035.039015882</v>
      </c>
      <c r="I26" s="19">
        <f xml:space="preserve"> H26</f>
        <v>52172035.039015882</v>
      </c>
      <c r="J26" s="9">
        <f t="shared" si="4"/>
        <v>55323911.736568667</v>
      </c>
      <c r="K26" s="50">
        <v>0</v>
      </c>
      <c r="L26" s="20">
        <f xml:space="preserve"> I26 / 2</f>
        <v>26086017.519507941</v>
      </c>
      <c r="M26" s="58">
        <f xml:space="preserve"> (F15 + SUM(D16:D26)) - SUM(K15:K26)</f>
        <v>45583239.873511352</v>
      </c>
      <c r="N26" s="19">
        <f xml:space="preserve"> H26 - M26</f>
        <v>6588795.1655045301</v>
      </c>
      <c r="O26" s="18">
        <v>0.84</v>
      </c>
      <c r="P26" s="19">
        <f xml:space="preserve"> N26 * O26</f>
        <v>5534587.9390238049</v>
      </c>
      <c r="Q26" s="19">
        <f xml:space="preserve"> N26 - P26</f>
        <v>1054207.2264807252</v>
      </c>
      <c r="R26" s="18">
        <f xml:space="preserve"> N26 / M26 * 100</f>
        <v>14.454424880258044</v>
      </c>
      <c r="S26" s="19"/>
    </row>
    <row r="27" spans="1:19" s="8" customFormat="1" x14ac:dyDescent="0.3">
      <c r="A27" s="8">
        <v>3</v>
      </c>
      <c r="B27" s="80">
        <v>2024</v>
      </c>
      <c r="C27" s="8">
        <v>1</v>
      </c>
      <c r="D27" s="9">
        <f>N27</f>
        <v>4673834.7932923287</v>
      </c>
      <c r="E27" s="41">
        <f t="shared" si="2"/>
        <v>12341874.982603082</v>
      </c>
      <c r="F27" s="11">
        <f xml:space="preserve"> (I26 / 2) + D27 - K27</f>
        <v>30759852.31280027</v>
      </c>
      <c r="G27" s="8">
        <v>1.7999999999999999E-2</v>
      </c>
      <c r="H27" s="9">
        <f xml:space="preserve"> (F27 * G27) + F27</f>
        <v>31313529.654430673</v>
      </c>
      <c r="I27" s="9"/>
      <c r="J27" s="9">
        <f t="shared" si="4"/>
        <v>35987364.447723001</v>
      </c>
      <c r="K27" s="47">
        <v>0</v>
      </c>
      <c r="L27" s="10"/>
      <c r="M27" s="55"/>
      <c r="N27" s="11">
        <f xml:space="preserve"> (L26 / 12) +2500000</f>
        <v>4673834.7932923287</v>
      </c>
      <c r="P27" s="9">
        <f xml:space="preserve"> (H26 / 2 )</f>
        <v>26086017.519507941</v>
      </c>
      <c r="S27" s="9"/>
    </row>
    <row r="28" spans="1:19" s="42" customFormat="1" x14ac:dyDescent="0.3">
      <c r="B28" s="80"/>
      <c r="C28" s="42">
        <v>2</v>
      </c>
      <c r="D28" s="41">
        <f>N27</f>
        <v>4673834.7932923287</v>
      </c>
      <c r="E28" s="41">
        <f t="shared" si="2"/>
        <v>12971228.732289938</v>
      </c>
      <c r="F28" s="41">
        <f t="shared" ref="F28:F38" si="6" xml:space="preserve"> H27 + D28 - K28</f>
        <v>35987364.447723001</v>
      </c>
      <c r="G28" s="42">
        <v>1.7999999999999999E-2</v>
      </c>
      <c r="H28" s="41">
        <f xml:space="preserve"> (F28 * G28) + F28</f>
        <v>36635137.007782012</v>
      </c>
      <c r="I28" s="41"/>
      <c r="J28" s="9">
        <f t="shared" si="4"/>
        <v>41308971.801074341</v>
      </c>
      <c r="K28" s="49">
        <v>0</v>
      </c>
      <c r="L28" s="43"/>
      <c r="M28" s="57"/>
      <c r="S28" s="41"/>
    </row>
    <row r="29" spans="1:19" s="8" customFormat="1" x14ac:dyDescent="0.3">
      <c r="B29" s="80"/>
      <c r="C29" s="8">
        <v>3</v>
      </c>
      <c r="D29" s="9">
        <f>N27</f>
        <v>4673834.7932923287</v>
      </c>
      <c r="E29" s="41">
        <f t="shared" si="2"/>
        <v>13611910.849471157</v>
      </c>
      <c r="F29" s="9">
        <f t="shared" si="6"/>
        <v>41308971.801074341</v>
      </c>
      <c r="G29" s="8">
        <v>1.7999999999999999E-2</v>
      </c>
      <c r="H29" s="9">
        <f xml:space="preserve"> (F29 * G29) + F29</f>
        <v>42052533.293493681</v>
      </c>
      <c r="I29" s="9"/>
      <c r="J29" s="9">
        <f t="shared" si="4"/>
        <v>46726368.086786009</v>
      </c>
      <c r="K29" s="47">
        <v>0</v>
      </c>
      <c r="L29" s="10"/>
      <c r="M29" s="55"/>
      <c r="S29" s="9"/>
    </row>
    <row r="30" spans="1:19" s="8" customFormat="1" x14ac:dyDescent="0.3">
      <c r="B30" s="80"/>
      <c r="C30" s="8">
        <v>4</v>
      </c>
      <c r="D30" s="9">
        <f>N27</f>
        <v>4673834.7932923287</v>
      </c>
      <c r="E30" s="41">
        <f t="shared" si="2"/>
        <v>14264125.244761638</v>
      </c>
      <c r="F30" s="9">
        <f t="shared" si="6"/>
        <v>46726368.086786009</v>
      </c>
      <c r="G30" s="8">
        <v>1.7999999999999999E-2</v>
      </c>
      <c r="H30" s="9">
        <f t="shared" ref="H30:H93" si="7" xml:space="preserve"> (F30 * G30) + F30</f>
        <v>47567442.712348156</v>
      </c>
      <c r="I30" s="9"/>
      <c r="J30" s="9">
        <f t="shared" si="4"/>
        <v>52241277.505640484</v>
      </c>
      <c r="K30" s="47">
        <v>0</v>
      </c>
      <c r="L30" s="10"/>
      <c r="M30" s="55"/>
      <c r="S30" s="9"/>
    </row>
    <row r="31" spans="1:19" s="8" customFormat="1" x14ac:dyDescent="0.3">
      <c r="B31" s="80"/>
      <c r="C31" s="8">
        <v>5</v>
      </c>
      <c r="D31" s="9">
        <f>N27</f>
        <v>4673834.7932923287</v>
      </c>
      <c r="E31" s="41">
        <f t="shared" si="2"/>
        <v>14928079.499167347</v>
      </c>
      <c r="F31" s="9">
        <f t="shared" si="6"/>
        <v>51187070.279159762</v>
      </c>
      <c r="G31" s="8">
        <v>1.7999999999999999E-2</v>
      </c>
      <c r="H31" s="9">
        <f t="shared" si="7"/>
        <v>52108437.54418464</v>
      </c>
      <c r="I31" s="9"/>
      <c r="J31" s="9">
        <f t="shared" si="4"/>
        <v>56782272.337476969</v>
      </c>
      <c r="K31" s="47">
        <f xml:space="preserve"> Q26</f>
        <v>1054207.2264807252</v>
      </c>
      <c r="L31" s="10"/>
      <c r="M31" s="55"/>
      <c r="S31" s="9"/>
    </row>
    <row r="32" spans="1:19" s="8" customFormat="1" x14ac:dyDescent="0.3">
      <c r="B32" s="80"/>
      <c r="C32" s="8">
        <v>6</v>
      </c>
      <c r="D32" s="9">
        <f>N27</f>
        <v>4673834.7932923287</v>
      </c>
      <c r="E32" s="41">
        <f t="shared" si="2"/>
        <v>15603984.93015236</v>
      </c>
      <c r="F32" s="9">
        <f t="shared" si="6"/>
        <v>56782272.337476969</v>
      </c>
      <c r="G32" s="8">
        <v>1.7999999999999999E-2</v>
      </c>
      <c r="H32" s="9">
        <f t="shared" si="7"/>
        <v>57804353.239551552</v>
      </c>
      <c r="I32" s="9"/>
      <c r="J32" s="9">
        <f t="shared" si="4"/>
        <v>62478188.03284388</v>
      </c>
      <c r="K32" s="47">
        <v>0</v>
      </c>
      <c r="L32" s="10"/>
      <c r="M32" s="55"/>
      <c r="S32" s="9"/>
    </row>
    <row r="33" spans="1:19" s="8" customFormat="1" x14ac:dyDescent="0.3">
      <c r="B33" s="80"/>
      <c r="C33" s="8">
        <v>7</v>
      </c>
      <c r="D33" s="9">
        <f>N27</f>
        <v>4673834.7932923287</v>
      </c>
      <c r="E33" s="41">
        <f t="shared" si="2"/>
        <v>16292056.658895103</v>
      </c>
      <c r="F33" s="9">
        <f t="shared" si="6"/>
        <v>62478188.03284388</v>
      </c>
      <c r="G33" s="8">
        <v>1.7999999999999999E-2</v>
      </c>
      <c r="H33" s="9">
        <f t="shared" si="7"/>
        <v>63602795.417435072</v>
      </c>
      <c r="I33" s="9"/>
      <c r="J33" s="9">
        <f t="shared" si="4"/>
        <v>68276630.210727394</v>
      </c>
      <c r="K33" s="47">
        <v>0</v>
      </c>
      <c r="L33" s="10"/>
      <c r="M33" s="55"/>
      <c r="S33" s="9"/>
    </row>
    <row r="34" spans="1:19" s="8" customFormat="1" x14ac:dyDescent="0.3">
      <c r="B34" s="80"/>
      <c r="C34" s="8">
        <v>8</v>
      </c>
      <c r="D34" s="9">
        <f>N27</f>
        <v>4673834.7932923287</v>
      </c>
      <c r="E34" s="41">
        <f t="shared" si="2"/>
        <v>16992513.678755216</v>
      </c>
      <c r="F34" s="9">
        <f t="shared" si="6"/>
        <v>68276630.210727394</v>
      </c>
      <c r="G34" s="8">
        <v>1.7999999999999999E-2</v>
      </c>
      <c r="H34" s="9">
        <f t="shared" si="7"/>
        <v>69505609.554520488</v>
      </c>
      <c r="I34" s="9"/>
      <c r="J34" s="9">
        <f t="shared" si="4"/>
        <v>74179444.347812817</v>
      </c>
      <c r="K34" s="47">
        <v>0</v>
      </c>
      <c r="L34" s="10"/>
      <c r="M34" s="55"/>
      <c r="S34" s="9"/>
    </row>
    <row r="35" spans="1:19" s="8" customFormat="1" x14ac:dyDescent="0.3">
      <c r="B35" s="80"/>
      <c r="C35" s="8">
        <v>9</v>
      </c>
      <c r="D35" s="9">
        <f>N27</f>
        <v>4673834.7932923287</v>
      </c>
      <c r="E35" s="41">
        <f t="shared" si="2"/>
        <v>17705578.92497281</v>
      </c>
      <c r="F35" s="9">
        <f t="shared" si="6"/>
        <v>74179444.347812817</v>
      </c>
      <c r="G35" s="8">
        <v>1.7999999999999999E-2</v>
      </c>
      <c r="H35" s="9">
        <f t="shared" si="7"/>
        <v>75514674.346073449</v>
      </c>
      <c r="I35" s="9"/>
      <c r="J35" s="9">
        <f t="shared" si="4"/>
        <v>80188509.139365777</v>
      </c>
      <c r="K35" s="47">
        <v>0</v>
      </c>
      <c r="L35" s="10"/>
      <c r="M35" s="55"/>
      <c r="S35" s="9"/>
    </row>
    <row r="36" spans="1:19" s="8" customFormat="1" x14ac:dyDescent="0.3">
      <c r="B36" s="80"/>
      <c r="C36" s="8">
        <v>10</v>
      </c>
      <c r="D36" s="9">
        <f>N27</f>
        <v>4673834.7932923287</v>
      </c>
      <c r="E36" s="41">
        <f t="shared" si="2"/>
        <v>18431479.34562232</v>
      </c>
      <c r="F36" s="9">
        <f t="shared" si="6"/>
        <v>80188509.139365777</v>
      </c>
      <c r="G36" s="8">
        <v>1.7999999999999999E-2</v>
      </c>
      <c r="H36" s="9">
        <f t="shared" si="7"/>
        <v>81631902.303874359</v>
      </c>
      <c r="I36" s="9"/>
      <c r="J36" s="9">
        <f t="shared" si="4"/>
        <v>86305737.097166687</v>
      </c>
      <c r="K36" s="47">
        <v>0</v>
      </c>
      <c r="L36" s="10"/>
      <c r="M36" s="55"/>
      <c r="S36" s="9"/>
    </row>
    <row r="37" spans="1:19" s="8" customFormat="1" x14ac:dyDescent="0.3">
      <c r="B37" s="80"/>
      <c r="C37" s="8">
        <v>11</v>
      </c>
      <c r="D37" s="9">
        <f>N27</f>
        <v>4673834.7932923287</v>
      </c>
      <c r="E37" s="41">
        <f t="shared" si="2"/>
        <v>19170445.973843522</v>
      </c>
      <c r="F37" s="9">
        <f t="shared" si="6"/>
        <v>86305737.097166687</v>
      </c>
      <c r="G37" s="8">
        <v>1.7999999999999999E-2</v>
      </c>
      <c r="H37" s="9">
        <f t="shared" si="7"/>
        <v>87859240.364915684</v>
      </c>
      <c r="I37" s="9"/>
      <c r="J37" s="9">
        <f t="shared" si="4"/>
        <v>92533075.158208013</v>
      </c>
      <c r="K37" s="47">
        <v>0</v>
      </c>
      <c r="L37" s="10"/>
      <c r="M37" s="55"/>
      <c r="S37" s="9"/>
    </row>
    <row r="38" spans="1:19" s="18" customFormat="1" x14ac:dyDescent="0.3">
      <c r="B38" s="80"/>
      <c r="C38" s="18">
        <v>12</v>
      </c>
      <c r="D38" s="19">
        <f>N27</f>
        <v>4673834.7932923287</v>
      </c>
      <c r="E38" s="19">
        <f t="shared" si="2"/>
        <v>19922714.001372706</v>
      </c>
      <c r="F38" s="19">
        <f t="shared" si="6"/>
        <v>92533075.158208013</v>
      </c>
      <c r="G38" s="18">
        <v>1.7999999999999999E-2</v>
      </c>
      <c r="H38" s="19">
        <f t="shared" si="7"/>
        <v>94198670.511055753</v>
      </c>
      <c r="I38" s="19">
        <f xml:space="preserve"> H38</f>
        <v>94198670.511055753</v>
      </c>
      <c r="J38" s="9">
        <f t="shared" si="4"/>
        <v>98872505.304348081</v>
      </c>
      <c r="K38" s="50">
        <v>0</v>
      </c>
      <c r="L38" s="20">
        <f xml:space="preserve"> I38 / 2</f>
        <v>47099335.255527876</v>
      </c>
      <c r="M38" s="58">
        <f xml:space="preserve"> (F27 + SUM(D28:D38)) - SUM(K27:K38)</f>
        <v>81117827.812535167</v>
      </c>
      <c r="N38" s="19">
        <f xml:space="preserve"> H38 - M38</f>
        <v>13080842.698520586</v>
      </c>
      <c r="O38" s="18">
        <v>0.84</v>
      </c>
      <c r="P38" s="19">
        <f xml:space="preserve"> N38 * O38</f>
        <v>10987907.866757292</v>
      </c>
      <c r="Q38" s="19">
        <f xml:space="preserve"> N38 - P38</f>
        <v>2092934.8317632936</v>
      </c>
      <c r="R38" s="18">
        <f xml:space="preserve"> N38 / M38 * 100</f>
        <v>16.125730990665406</v>
      </c>
      <c r="S38" s="19"/>
    </row>
    <row r="39" spans="1:19" s="8" customFormat="1" x14ac:dyDescent="0.3">
      <c r="A39" s="8">
        <v>4</v>
      </c>
      <c r="B39" s="80">
        <v>2025</v>
      </c>
      <c r="C39" s="8">
        <v>1</v>
      </c>
      <c r="D39" s="9">
        <f>N39</f>
        <v>6424944.6046273224</v>
      </c>
      <c r="E39" s="41">
        <f t="shared" si="2"/>
        <v>20688522.853397414</v>
      </c>
      <c r="F39" s="9">
        <f xml:space="preserve"> (H38 / 2) + D39 - K39</f>
        <v>53524279.860155195</v>
      </c>
      <c r="G39" s="8">
        <v>1.7999999999999999E-2</v>
      </c>
      <c r="H39" s="9">
        <f t="shared" si="7"/>
        <v>54487716.897637986</v>
      </c>
      <c r="I39" s="9"/>
      <c r="J39" s="9">
        <f t="shared" si="4"/>
        <v>60912661.502265304</v>
      </c>
      <c r="K39" s="47">
        <v>0</v>
      </c>
      <c r="L39" s="10"/>
      <c r="M39" s="55"/>
      <c r="N39" s="11">
        <f xml:space="preserve"> (L38 / 12) +2500000</f>
        <v>6424944.6046273224</v>
      </c>
      <c r="P39" s="9">
        <f xml:space="preserve"> (H38 / 2 )</f>
        <v>47099335.255527876</v>
      </c>
      <c r="S39" s="9"/>
    </row>
    <row r="40" spans="1:19" s="8" customFormat="1" x14ac:dyDescent="0.3">
      <c r="B40" s="80"/>
      <c r="C40" s="8">
        <v>2</v>
      </c>
      <c r="D40" s="9">
        <f>N39</f>
        <v>6424944.6046273224</v>
      </c>
      <c r="E40" s="41">
        <f t="shared" si="2"/>
        <v>21468116.264758568</v>
      </c>
      <c r="F40" s="9">
        <f t="shared" ref="F40:F50" si="8" xml:space="preserve"> H39 + D40 - K40</f>
        <v>60912661.502265304</v>
      </c>
      <c r="G40" s="8">
        <v>1.7999999999999999E-2</v>
      </c>
      <c r="H40" s="9">
        <f t="shared" si="7"/>
        <v>62009089.409306079</v>
      </c>
      <c r="I40" s="9"/>
      <c r="J40" s="9">
        <f t="shared" si="4"/>
        <v>68434034.013933405</v>
      </c>
      <c r="K40" s="47">
        <v>0</v>
      </c>
      <c r="L40" s="10"/>
      <c r="M40" s="55"/>
      <c r="S40" s="9"/>
    </row>
    <row r="41" spans="1:19" s="8" customFormat="1" x14ac:dyDescent="0.3">
      <c r="B41" s="80"/>
      <c r="C41" s="8">
        <v>3</v>
      </c>
      <c r="D41" s="9">
        <f>N39</f>
        <v>6424944.6046273224</v>
      </c>
      <c r="E41" s="41">
        <f t="shared" si="2"/>
        <v>22261742.357524224</v>
      </c>
      <c r="F41" s="9">
        <f t="shared" si="8"/>
        <v>68434034.013933405</v>
      </c>
      <c r="G41" s="8">
        <v>1.7999999999999999E-2</v>
      </c>
      <c r="H41" s="9">
        <f t="shared" si="7"/>
        <v>69665846.62618421</v>
      </c>
      <c r="I41" s="9"/>
      <c r="J41" s="9">
        <f t="shared" si="4"/>
        <v>76090791.230811536</v>
      </c>
      <c r="K41" s="47">
        <v>0</v>
      </c>
      <c r="L41" s="10"/>
      <c r="M41" s="55"/>
      <c r="S41" s="9"/>
    </row>
    <row r="42" spans="1:19" s="8" customFormat="1" x14ac:dyDescent="0.3">
      <c r="B42" s="80"/>
      <c r="C42" s="8">
        <v>4</v>
      </c>
      <c r="D42" s="9">
        <f>N39</f>
        <v>6424944.6046273224</v>
      </c>
      <c r="E42" s="41">
        <f t="shared" si="2"/>
        <v>23069653.719959661</v>
      </c>
      <c r="F42" s="9">
        <f t="shared" si="8"/>
        <v>76090791.230811536</v>
      </c>
      <c r="G42" s="8">
        <v>1.7999999999999999E-2</v>
      </c>
      <c r="H42" s="9">
        <f t="shared" si="7"/>
        <v>77460425.472966149</v>
      </c>
      <c r="I42" s="9"/>
      <c r="J42" s="9">
        <f t="shared" si="4"/>
        <v>83885370.077593476</v>
      </c>
      <c r="K42" s="47">
        <v>0</v>
      </c>
      <c r="L42" s="10"/>
      <c r="M42" s="55"/>
      <c r="S42" s="9"/>
    </row>
    <row r="43" spans="1:19" s="8" customFormat="1" x14ac:dyDescent="0.3">
      <c r="B43" s="80"/>
      <c r="C43" s="8">
        <v>5</v>
      </c>
      <c r="D43" s="9">
        <f>N39</f>
        <v>6424944.6046273224</v>
      </c>
      <c r="E43" s="41">
        <f t="shared" si="2"/>
        <v>23892107.486918934</v>
      </c>
      <c r="F43" s="9">
        <f t="shared" si="8"/>
        <v>81792435.245830178</v>
      </c>
      <c r="G43" s="8">
        <v>1.7999999999999999E-2</v>
      </c>
      <c r="H43" s="9">
        <f t="shared" si="7"/>
        <v>83264699.080255121</v>
      </c>
      <c r="I43" s="9"/>
      <c r="J43" s="9">
        <f t="shared" si="4"/>
        <v>89689643.684882447</v>
      </c>
      <c r="K43" s="47">
        <f xml:space="preserve"> Q38</f>
        <v>2092934.8317632936</v>
      </c>
      <c r="L43" s="10"/>
      <c r="M43" s="55"/>
      <c r="S43" s="9"/>
    </row>
    <row r="44" spans="1:19" s="8" customFormat="1" x14ac:dyDescent="0.3">
      <c r="B44" s="80"/>
      <c r="C44" s="8">
        <v>6</v>
      </c>
      <c r="D44" s="9">
        <f>N39</f>
        <v>6424944.6046273224</v>
      </c>
      <c r="E44" s="41">
        <f t="shared" si="2"/>
        <v>24729365.421683475</v>
      </c>
      <c r="F44" s="9">
        <f t="shared" si="8"/>
        <v>89689643.684882447</v>
      </c>
      <c r="G44" s="8">
        <v>1.7999999999999999E-2</v>
      </c>
      <c r="H44" s="9">
        <f t="shared" si="7"/>
        <v>91304057.271210328</v>
      </c>
      <c r="I44" s="9"/>
      <c r="J44" s="9">
        <f t="shared" si="4"/>
        <v>97729001.875837654</v>
      </c>
      <c r="K44" s="47">
        <v>0</v>
      </c>
      <c r="L44" s="10"/>
      <c r="M44" s="55"/>
      <c r="S44" s="9"/>
    </row>
    <row r="45" spans="1:19" s="8" customFormat="1" x14ac:dyDescent="0.3">
      <c r="B45" s="80"/>
      <c r="C45" s="8">
        <v>7</v>
      </c>
      <c r="D45" s="9">
        <f>N39</f>
        <v>6424944.6046273224</v>
      </c>
      <c r="E45" s="41">
        <f t="shared" si="2"/>
        <v>25581693.999273777</v>
      </c>
      <c r="F45" s="9">
        <f t="shared" si="8"/>
        <v>97729001.875837654</v>
      </c>
      <c r="G45" s="8">
        <v>1.7999999999999999E-2</v>
      </c>
      <c r="H45" s="9">
        <f t="shared" si="7"/>
        <v>99488123.909602731</v>
      </c>
      <c r="I45" s="9"/>
      <c r="J45" s="9">
        <f t="shared" si="4"/>
        <v>105913068.51423006</v>
      </c>
      <c r="K45" s="47">
        <v>0</v>
      </c>
      <c r="L45" s="10"/>
      <c r="M45" s="55"/>
      <c r="S45" s="9"/>
    </row>
    <row r="46" spans="1:19" s="8" customFormat="1" x14ac:dyDescent="0.3">
      <c r="B46" s="80"/>
      <c r="C46" s="8">
        <v>8</v>
      </c>
      <c r="D46" s="9">
        <f>N39</f>
        <v>6424944.6046273224</v>
      </c>
      <c r="E46" s="41">
        <f t="shared" si="2"/>
        <v>26449364.491260704</v>
      </c>
      <c r="F46" s="9">
        <f t="shared" si="8"/>
        <v>105913068.51423006</v>
      </c>
      <c r="G46" s="8">
        <v>1.7999999999999999E-2</v>
      </c>
      <c r="H46" s="9">
        <f t="shared" si="7"/>
        <v>107819503.7474862</v>
      </c>
      <c r="I46" s="9"/>
      <c r="J46" s="9">
        <f t="shared" si="4"/>
        <v>114244448.35211353</v>
      </c>
      <c r="K46" s="47">
        <v>0</v>
      </c>
      <c r="L46" s="10"/>
      <c r="M46" s="55"/>
      <c r="S46" s="9"/>
    </row>
    <row r="47" spans="1:19" s="8" customFormat="1" x14ac:dyDescent="0.3">
      <c r="B47" s="80"/>
      <c r="C47" s="8">
        <v>9</v>
      </c>
      <c r="D47" s="9">
        <f>N39</f>
        <v>6424944.6046273224</v>
      </c>
      <c r="E47" s="41">
        <f t="shared" si="2"/>
        <v>27332653.052103397</v>
      </c>
      <c r="F47" s="9">
        <f t="shared" si="8"/>
        <v>114244448.35211353</v>
      </c>
      <c r="G47" s="8">
        <v>1.7999999999999999E-2</v>
      </c>
      <c r="H47" s="9">
        <f t="shared" si="7"/>
        <v>116300848.42245157</v>
      </c>
      <c r="I47" s="9"/>
      <c r="J47" s="9">
        <f t="shared" si="4"/>
        <v>122725793.0270789</v>
      </c>
      <c r="K47" s="47">
        <v>0</v>
      </c>
      <c r="L47" s="10"/>
      <c r="M47" s="55"/>
      <c r="S47" s="9"/>
    </row>
    <row r="48" spans="1:19" s="8" customFormat="1" x14ac:dyDescent="0.3">
      <c r="B48" s="80"/>
      <c r="C48" s="8">
        <v>10</v>
      </c>
      <c r="D48" s="9">
        <f>N39</f>
        <v>6424944.6046273224</v>
      </c>
      <c r="E48" s="41">
        <f t="shared" si="2"/>
        <v>28231840.807041258</v>
      </c>
      <c r="F48" s="9">
        <f t="shared" si="8"/>
        <v>122725793.0270789</v>
      </c>
      <c r="G48" s="8">
        <v>1.7999999999999999E-2</v>
      </c>
      <c r="H48" s="9">
        <f t="shared" si="7"/>
        <v>124934857.30156632</v>
      </c>
      <c r="I48" s="9"/>
      <c r="J48" s="9">
        <f t="shared" si="4"/>
        <v>131359801.90619364</v>
      </c>
      <c r="K48" s="47">
        <v>0</v>
      </c>
      <c r="L48" s="10"/>
      <c r="M48" s="55"/>
      <c r="S48" s="9"/>
    </row>
    <row r="49" spans="1:19" s="8" customFormat="1" x14ac:dyDescent="0.3">
      <c r="B49" s="80"/>
      <c r="C49" s="8">
        <v>11</v>
      </c>
      <c r="D49" s="9">
        <f>N39</f>
        <v>6424944.6046273224</v>
      </c>
      <c r="E49" s="41">
        <f t="shared" si="2"/>
        <v>29147213.941568002</v>
      </c>
      <c r="F49" s="9">
        <f t="shared" si="8"/>
        <v>131359801.90619364</v>
      </c>
      <c r="G49" s="8">
        <v>1.7999999999999999E-2</v>
      </c>
      <c r="H49" s="9">
        <f t="shared" si="7"/>
        <v>133724278.34050512</v>
      </c>
      <c r="I49" s="9"/>
      <c r="J49" s="9">
        <f t="shared" si="4"/>
        <v>140149222.94513243</v>
      </c>
      <c r="K49" s="47">
        <v>0</v>
      </c>
      <c r="L49" s="10"/>
      <c r="M49" s="55"/>
      <c r="S49" s="9"/>
    </row>
    <row r="50" spans="1:19" s="18" customFormat="1" x14ac:dyDescent="0.3">
      <c r="B50" s="80"/>
      <c r="C50" s="18">
        <v>12</v>
      </c>
      <c r="D50" s="19">
        <f>N39</f>
        <v>6424944.6046273224</v>
      </c>
      <c r="E50" s="19">
        <f t="shared" si="2"/>
        <v>30079063.792516228</v>
      </c>
      <c r="F50" s="19">
        <f t="shared" si="8"/>
        <v>140149222.94513243</v>
      </c>
      <c r="G50" s="18">
        <v>1.7999999999999999E-2</v>
      </c>
      <c r="H50" s="19">
        <f t="shared" si="7"/>
        <v>142671908.95814481</v>
      </c>
      <c r="I50" s="19">
        <f xml:space="preserve"> H50</f>
        <v>142671908.95814481</v>
      </c>
      <c r="J50" s="9">
        <f t="shared" si="4"/>
        <v>149096853.56277213</v>
      </c>
      <c r="K50" s="50">
        <v>0</v>
      </c>
      <c r="L50" s="20">
        <f xml:space="preserve"> I50 / 2</f>
        <v>71335954.479072407</v>
      </c>
      <c r="M50" s="58">
        <f xml:space="preserve"> (F39 + SUM(D40:D50)) - SUM(K40:K50)</f>
        <v>122105735.67929246</v>
      </c>
      <c r="N50" s="19">
        <f xml:space="preserve"> H50 - M50</f>
        <v>20566173.278852358</v>
      </c>
      <c r="O50" s="18">
        <v>0.84</v>
      </c>
      <c r="P50" s="19">
        <f xml:space="preserve"> N50 * O50</f>
        <v>17275585.55423598</v>
      </c>
      <c r="Q50" s="19">
        <f xml:space="preserve"> N50 - P50</f>
        <v>3290587.7246163785</v>
      </c>
      <c r="R50" s="18">
        <f xml:space="preserve"> N50 / M50 * 100</f>
        <v>16.842921558467065</v>
      </c>
      <c r="S50" s="19"/>
    </row>
    <row r="51" spans="1:19" s="8" customFormat="1" x14ac:dyDescent="0.3">
      <c r="A51" s="8">
        <v>5</v>
      </c>
      <c r="B51" s="80">
        <v>2026</v>
      </c>
      <c r="C51" s="8">
        <v>1</v>
      </c>
      <c r="D51" s="9">
        <f xml:space="preserve"> N51</f>
        <v>8444662.8732560351</v>
      </c>
      <c r="E51" s="41">
        <f t="shared" si="2"/>
        <v>31027686.940781519</v>
      </c>
      <c r="F51" s="9">
        <f xml:space="preserve"> (H50 / 2) + D51 - K51</f>
        <v>79780617.352328449</v>
      </c>
      <c r="G51" s="8">
        <v>1.7999999999999999E-2</v>
      </c>
      <c r="H51" s="9">
        <f t="shared" si="7"/>
        <v>81216668.46467036</v>
      </c>
      <c r="I51" s="9"/>
      <c r="J51" s="9">
        <f t="shared" si="4"/>
        <v>89661331.337926388</v>
      </c>
      <c r="K51" s="47">
        <v>0</v>
      </c>
      <c r="L51" s="10"/>
      <c r="M51" s="55"/>
      <c r="N51" s="11">
        <f xml:space="preserve"> (L50 / 12) +2500000</f>
        <v>8444662.8732560351</v>
      </c>
      <c r="P51" s="9">
        <f xml:space="preserve"> (H50 / 2 )</f>
        <v>71335954.479072407</v>
      </c>
      <c r="S51" s="9"/>
    </row>
    <row r="52" spans="1:19" s="8" customFormat="1" x14ac:dyDescent="0.3">
      <c r="B52" s="80"/>
      <c r="C52" s="8">
        <v>2</v>
      </c>
      <c r="D52" s="9">
        <f xml:space="preserve"> N51</f>
        <v>8444662.8732560351</v>
      </c>
      <c r="E52" s="41">
        <f t="shared" si="2"/>
        <v>31993385.305715587</v>
      </c>
      <c r="F52" s="9">
        <f t="shared" ref="F52:F62" si="9" xml:space="preserve"> H51 + D52 - K52</f>
        <v>89661331.337926388</v>
      </c>
      <c r="G52" s="8">
        <v>1.7999999999999999E-2</v>
      </c>
      <c r="H52" s="9">
        <f t="shared" si="7"/>
        <v>91275235.302009061</v>
      </c>
      <c r="I52" s="9"/>
      <c r="J52" s="9">
        <f t="shared" si="4"/>
        <v>99719898.175265104</v>
      </c>
      <c r="K52" s="47">
        <v>0</v>
      </c>
      <c r="L52" s="10"/>
      <c r="M52" s="55"/>
      <c r="S52" s="9"/>
    </row>
    <row r="53" spans="1:19" s="8" customFormat="1" x14ac:dyDescent="0.3">
      <c r="B53" s="80"/>
      <c r="C53" s="8">
        <v>3</v>
      </c>
      <c r="D53" s="9">
        <f xml:space="preserve"> N51</f>
        <v>8444662.8732560351</v>
      </c>
      <c r="E53" s="41">
        <f t="shared" si="2"/>
        <v>32976466.241218466</v>
      </c>
      <c r="F53" s="9">
        <f t="shared" si="9"/>
        <v>99719898.175265104</v>
      </c>
      <c r="G53" s="8">
        <v>1.7999999999999999E-2</v>
      </c>
      <c r="H53" s="9">
        <f t="shared" si="7"/>
        <v>101514856.34241988</v>
      </c>
      <c r="I53" s="9"/>
      <c r="J53" s="9">
        <f t="shared" si="4"/>
        <v>109959519.21567592</v>
      </c>
      <c r="K53" s="47">
        <v>0</v>
      </c>
      <c r="L53" s="10"/>
      <c r="M53" s="55"/>
      <c r="S53" s="9"/>
    </row>
    <row r="54" spans="1:19" s="8" customFormat="1" x14ac:dyDescent="0.3">
      <c r="B54" s="80"/>
      <c r="C54" s="8">
        <v>4</v>
      </c>
      <c r="D54" s="9">
        <f xml:space="preserve"> N51</f>
        <v>8444662.8732560351</v>
      </c>
      <c r="E54" s="41">
        <f t="shared" si="2"/>
        <v>33977242.633560397</v>
      </c>
      <c r="F54" s="9">
        <f t="shared" si="9"/>
        <v>109959519.21567592</v>
      </c>
      <c r="G54" s="8">
        <v>1.7999999999999999E-2</v>
      </c>
      <c r="H54" s="9">
        <f t="shared" si="7"/>
        <v>111938790.56155808</v>
      </c>
      <c r="I54" s="9"/>
      <c r="J54" s="9">
        <f t="shared" si="4"/>
        <v>120383453.43481413</v>
      </c>
      <c r="K54" s="47">
        <v>0</v>
      </c>
      <c r="L54" s="10"/>
      <c r="M54" s="55"/>
      <c r="S54" s="9"/>
    </row>
    <row r="55" spans="1:19" s="8" customFormat="1" x14ac:dyDescent="0.3">
      <c r="B55" s="80"/>
      <c r="C55" s="8">
        <v>5</v>
      </c>
      <c r="D55" s="9">
        <f xml:space="preserve"> N51</f>
        <v>8444662.8732560351</v>
      </c>
      <c r="E55" s="41">
        <f t="shared" si="2"/>
        <v>34996033.000964485</v>
      </c>
      <c r="F55" s="9">
        <f t="shared" si="9"/>
        <v>117092865.71019775</v>
      </c>
      <c r="G55" s="8">
        <v>1.7999999999999999E-2</v>
      </c>
      <c r="H55" s="9">
        <f t="shared" si="7"/>
        <v>119200537.29298131</v>
      </c>
      <c r="I55" s="9"/>
      <c r="J55" s="9">
        <f t="shared" si="4"/>
        <v>127645200.16623735</v>
      </c>
      <c r="K55" s="47">
        <f xml:space="preserve"> Q50</f>
        <v>3290587.7246163785</v>
      </c>
      <c r="L55" s="10"/>
      <c r="M55" s="55"/>
      <c r="S55" s="9"/>
    </row>
    <row r="56" spans="1:19" s="8" customFormat="1" x14ac:dyDescent="0.3">
      <c r="B56" s="80"/>
      <c r="C56" s="8">
        <v>6</v>
      </c>
      <c r="D56" s="9">
        <f xml:space="preserve"> N51</f>
        <v>8444662.8732560351</v>
      </c>
      <c r="E56" s="41">
        <f t="shared" si="2"/>
        <v>36033161.594981849</v>
      </c>
      <c r="F56" s="9">
        <f t="shared" si="9"/>
        <v>127645200.16623735</v>
      </c>
      <c r="G56" s="8">
        <v>1.7999999999999999E-2</v>
      </c>
      <c r="H56" s="9">
        <f t="shared" si="7"/>
        <v>129942813.76922962</v>
      </c>
      <c r="I56" s="9"/>
      <c r="J56" s="9">
        <f t="shared" si="4"/>
        <v>138387476.64248565</v>
      </c>
      <c r="K56" s="47">
        <v>0</v>
      </c>
      <c r="L56" s="10"/>
      <c r="M56" s="55"/>
      <c r="S56" s="9"/>
    </row>
    <row r="57" spans="1:19" s="8" customFormat="1" x14ac:dyDescent="0.3">
      <c r="B57" s="80"/>
      <c r="C57" s="8">
        <v>7</v>
      </c>
      <c r="D57" s="9">
        <f xml:space="preserve"> N51</f>
        <v>8444662.8732560351</v>
      </c>
      <c r="E57" s="41">
        <f t="shared" si="2"/>
        <v>37088958.503691524</v>
      </c>
      <c r="F57" s="9">
        <f t="shared" si="9"/>
        <v>138387476.64248565</v>
      </c>
      <c r="G57" s="8">
        <v>1.7999999999999999E-2</v>
      </c>
      <c r="H57" s="9">
        <f t="shared" si="7"/>
        <v>140878451.2220504</v>
      </c>
      <c r="I57" s="9"/>
      <c r="J57" s="9">
        <f t="shared" si="4"/>
        <v>149323114.09530643</v>
      </c>
      <c r="K57" s="47">
        <v>0</v>
      </c>
      <c r="L57" s="10"/>
      <c r="M57" s="55"/>
      <c r="S57" s="9"/>
    </row>
    <row r="58" spans="1:19" s="8" customFormat="1" x14ac:dyDescent="0.3">
      <c r="B58" s="80"/>
      <c r="C58" s="8">
        <v>8</v>
      </c>
      <c r="D58" s="9">
        <f xml:space="preserve"> N51</f>
        <v>8444662.8732560351</v>
      </c>
      <c r="E58" s="41">
        <f t="shared" si="2"/>
        <v>38163759.756757975</v>
      </c>
      <c r="F58" s="9">
        <f t="shared" si="9"/>
        <v>149323114.09530643</v>
      </c>
      <c r="G58" s="8">
        <v>1.7999999999999999E-2</v>
      </c>
      <c r="H58" s="9">
        <f t="shared" si="7"/>
        <v>152010930.14902195</v>
      </c>
      <c r="I58" s="9"/>
      <c r="J58" s="9">
        <f t="shared" si="4"/>
        <v>160455593.02227798</v>
      </c>
      <c r="K58" s="47">
        <v>0</v>
      </c>
      <c r="L58" s="10"/>
      <c r="M58" s="55"/>
      <c r="S58" s="9"/>
    </row>
    <row r="59" spans="1:19" s="8" customFormat="1" x14ac:dyDescent="0.3">
      <c r="B59" s="80"/>
      <c r="C59" s="8">
        <v>9</v>
      </c>
      <c r="D59" s="9">
        <f xml:space="preserve"> N51</f>
        <v>8444662.8732560351</v>
      </c>
      <c r="E59" s="41">
        <f t="shared" si="2"/>
        <v>39257907.432379618</v>
      </c>
      <c r="F59" s="9">
        <f t="shared" si="9"/>
        <v>160455593.02227798</v>
      </c>
      <c r="G59" s="8">
        <v>1.7999999999999999E-2</v>
      </c>
      <c r="H59" s="9">
        <f t="shared" si="7"/>
        <v>163343793.696679</v>
      </c>
      <c r="I59" s="9"/>
      <c r="J59" s="9">
        <f t="shared" si="4"/>
        <v>171788456.56993502</v>
      </c>
      <c r="K59" s="47">
        <v>0</v>
      </c>
      <c r="L59" s="10"/>
      <c r="M59" s="55"/>
      <c r="S59" s="9"/>
    </row>
    <row r="60" spans="1:19" s="8" customFormat="1" x14ac:dyDescent="0.3">
      <c r="B60" s="80"/>
      <c r="C60" s="8">
        <v>10</v>
      </c>
      <c r="D60" s="9">
        <f xml:space="preserve"> N51</f>
        <v>8444662.8732560351</v>
      </c>
      <c r="E60" s="41">
        <f t="shared" si="2"/>
        <v>40371749.766162455</v>
      </c>
      <c r="F60" s="9">
        <f t="shared" si="9"/>
        <v>171788456.56993502</v>
      </c>
      <c r="G60" s="8">
        <v>1.7999999999999999E-2</v>
      </c>
      <c r="H60" s="9">
        <f t="shared" si="7"/>
        <v>174880648.78819385</v>
      </c>
      <c r="I60" s="9"/>
      <c r="J60" s="9">
        <f t="shared" si="4"/>
        <v>183325311.66144988</v>
      </c>
      <c r="K60" s="47">
        <v>0</v>
      </c>
      <c r="L60" s="10"/>
      <c r="M60" s="55"/>
      <c r="S60" s="9"/>
    </row>
    <row r="61" spans="1:19" s="8" customFormat="1" x14ac:dyDescent="0.3">
      <c r="B61" s="80"/>
      <c r="C61" s="8">
        <v>11</v>
      </c>
      <c r="D61" s="9">
        <f xml:space="preserve"> N51</f>
        <v>8444662.8732560351</v>
      </c>
      <c r="E61" s="41">
        <f t="shared" si="2"/>
        <v>41505641.261953376</v>
      </c>
      <c r="F61" s="9">
        <f t="shared" si="9"/>
        <v>183325311.66144988</v>
      </c>
      <c r="G61" s="8">
        <v>1.7999999999999999E-2</v>
      </c>
      <c r="H61" s="9">
        <f t="shared" si="7"/>
        <v>186625167.27135599</v>
      </c>
      <c r="I61" s="9"/>
      <c r="J61" s="9">
        <f t="shared" si="4"/>
        <v>195069830.14461201</v>
      </c>
      <c r="K61" s="47">
        <v>0</v>
      </c>
      <c r="L61" s="10"/>
      <c r="M61" s="55"/>
      <c r="S61" s="9"/>
    </row>
    <row r="62" spans="1:19" s="18" customFormat="1" x14ac:dyDescent="0.3">
      <c r="B62" s="80"/>
      <c r="C62" s="18">
        <v>12</v>
      </c>
      <c r="D62" s="19">
        <f xml:space="preserve"> N51</f>
        <v>8444662.8732560351</v>
      </c>
      <c r="E62" s="19">
        <f t="shared" si="2"/>
        <v>42659942.804668538</v>
      </c>
      <c r="F62" s="19">
        <f t="shared" si="9"/>
        <v>195069830.14461201</v>
      </c>
      <c r="G62" s="18">
        <v>1.7999999999999999E-2</v>
      </c>
      <c r="H62" s="19">
        <f t="shared" si="7"/>
        <v>198581087.08721504</v>
      </c>
      <c r="I62" s="19">
        <f xml:space="preserve"> H62</f>
        <v>198581087.08721504</v>
      </c>
      <c r="J62" s="9">
        <f t="shared" si="4"/>
        <v>207025749.96047106</v>
      </c>
      <c r="K62" s="50">
        <v>0</v>
      </c>
      <c r="L62" s="20">
        <f xml:space="preserve"> I62 / 2</f>
        <v>99290543.543607518</v>
      </c>
      <c r="M62" s="58">
        <f xml:space="preserve"> (F51 + SUM(D52:D62)) - SUM(K52:K62)</f>
        <v>169381321.23352844</v>
      </c>
      <c r="N62" s="19">
        <f xml:space="preserve"> H62 - M62</f>
        <v>29199765.853686601</v>
      </c>
      <c r="O62" s="18">
        <v>0.84</v>
      </c>
      <c r="P62" s="19">
        <f xml:space="preserve"> N62 * O62</f>
        <v>24527803.317096744</v>
      </c>
      <c r="Q62" s="19">
        <f xml:space="preserve"> N62 - P62</f>
        <v>4671962.5365898572</v>
      </c>
      <c r="R62" s="18">
        <f xml:space="preserve"> N62 / M62 * 100</f>
        <v>17.239070778901571</v>
      </c>
      <c r="S62" s="19"/>
    </row>
    <row r="63" spans="1:19" s="8" customFormat="1" x14ac:dyDescent="0.3">
      <c r="A63" s="8">
        <v>6</v>
      </c>
      <c r="B63" s="80">
        <v>2027</v>
      </c>
      <c r="C63" s="8">
        <v>1</v>
      </c>
      <c r="D63" s="9">
        <f>N63</f>
        <v>10774211.961967293</v>
      </c>
      <c r="E63" s="41">
        <f t="shared" si="2"/>
        <v>43835021.775152571</v>
      </c>
      <c r="F63" s="9">
        <f xml:space="preserve"> (H62 / 2) + D63 - K63</f>
        <v>110064755.50557481</v>
      </c>
      <c r="G63" s="8">
        <v>1.7999999999999999E-2</v>
      </c>
      <c r="H63" s="9">
        <f t="shared" si="7"/>
        <v>112045921.10467516</v>
      </c>
      <c r="I63" s="9"/>
      <c r="J63" s="9">
        <f t="shared" si="4"/>
        <v>122820133.06664245</v>
      </c>
      <c r="K63" s="47">
        <v>0</v>
      </c>
      <c r="L63" s="10"/>
      <c r="M63" s="55"/>
      <c r="N63" s="11">
        <f xml:space="preserve"> (L62 / 12) +2500000</f>
        <v>10774211.961967293</v>
      </c>
      <c r="P63" s="9">
        <f xml:space="preserve"> (H62 / 2 )</f>
        <v>99290543.543607518</v>
      </c>
      <c r="S63" s="9"/>
    </row>
    <row r="64" spans="1:19" s="8" customFormat="1" x14ac:dyDescent="0.3">
      <c r="B64" s="80"/>
      <c r="C64" s="8">
        <v>2</v>
      </c>
      <c r="D64" s="9">
        <f>N63</f>
        <v>10774211.961967293</v>
      </c>
      <c r="E64" s="41">
        <f t="shared" si="2"/>
        <v>45031252.167105317</v>
      </c>
      <c r="F64" s="9">
        <f t="shared" ref="F64:F74" si="10" xml:space="preserve"> H63 + D64 - K64</f>
        <v>122820133.06664245</v>
      </c>
      <c r="G64" s="8">
        <v>1.7999999999999999E-2</v>
      </c>
      <c r="H64" s="9">
        <f t="shared" si="7"/>
        <v>125030895.46184202</v>
      </c>
      <c r="I64" s="9"/>
      <c r="J64" s="9">
        <f t="shared" si="4"/>
        <v>135805107.42380932</v>
      </c>
      <c r="K64" s="47">
        <v>0</v>
      </c>
      <c r="L64" s="10"/>
      <c r="M64" s="55"/>
      <c r="S64" s="9"/>
    </row>
    <row r="65" spans="1:19" s="8" customFormat="1" x14ac:dyDescent="0.3">
      <c r="B65" s="80"/>
      <c r="C65" s="8">
        <v>3</v>
      </c>
      <c r="D65" s="9">
        <f>N63</f>
        <v>10774211.961967293</v>
      </c>
      <c r="E65" s="41">
        <f t="shared" si="2"/>
        <v>46249014.706113212</v>
      </c>
      <c r="F65" s="9">
        <f t="shared" si="10"/>
        <v>135805107.42380932</v>
      </c>
      <c r="G65" s="8">
        <v>1.7999999999999999E-2</v>
      </c>
      <c r="H65" s="9">
        <f t="shared" si="7"/>
        <v>138249599.35743788</v>
      </c>
      <c r="I65" s="9"/>
      <c r="J65" s="9">
        <f t="shared" si="4"/>
        <v>149023811.31940517</v>
      </c>
      <c r="K65" s="47">
        <v>0</v>
      </c>
      <c r="L65" s="10"/>
      <c r="M65" s="55"/>
      <c r="S65" s="9"/>
    </row>
    <row r="66" spans="1:19" s="8" customFormat="1" x14ac:dyDescent="0.3">
      <c r="B66" s="80"/>
      <c r="C66" s="8">
        <v>4</v>
      </c>
      <c r="D66" s="9">
        <f>N63</f>
        <v>10774211.961967293</v>
      </c>
      <c r="E66" s="41">
        <f t="shared" si="2"/>
        <v>47488696.970823251</v>
      </c>
      <c r="F66" s="9">
        <f t="shared" si="10"/>
        <v>149023811.31940517</v>
      </c>
      <c r="G66" s="8">
        <v>1.7999999999999999E-2</v>
      </c>
      <c r="H66" s="9">
        <f t="shared" si="7"/>
        <v>151706239.92315447</v>
      </c>
      <c r="I66" s="9"/>
      <c r="J66" s="9">
        <f t="shared" si="4"/>
        <v>162480451.88512176</v>
      </c>
      <c r="K66" s="47">
        <v>0</v>
      </c>
      <c r="L66" s="10"/>
      <c r="M66" s="55"/>
      <c r="S66" s="9"/>
    </row>
    <row r="67" spans="1:19" s="8" customFormat="1" x14ac:dyDescent="0.3">
      <c r="B67" s="80"/>
      <c r="C67" s="8">
        <v>5</v>
      </c>
      <c r="D67" s="9">
        <f>N63</f>
        <v>10774211.961967293</v>
      </c>
      <c r="E67" s="41">
        <f t="shared" si="2"/>
        <v>48750693.516298071</v>
      </c>
      <c r="F67" s="9">
        <f t="shared" si="10"/>
        <v>157808489.3485319</v>
      </c>
      <c r="G67" s="8">
        <v>1.7999999999999999E-2</v>
      </c>
      <c r="H67" s="9">
        <f t="shared" si="7"/>
        <v>160649042.15680549</v>
      </c>
      <c r="I67" s="9"/>
      <c r="J67" s="9">
        <f t="shared" si="4"/>
        <v>171423254.11877277</v>
      </c>
      <c r="K67" s="47">
        <f xml:space="preserve"> Q62</f>
        <v>4671962.5365898572</v>
      </c>
      <c r="L67" s="10"/>
      <c r="M67" s="55"/>
      <c r="S67" s="9"/>
    </row>
    <row r="68" spans="1:19" s="8" customFormat="1" x14ac:dyDescent="0.3">
      <c r="B68" s="80"/>
      <c r="C68" s="8">
        <v>6</v>
      </c>
      <c r="D68" s="9">
        <f>N63</f>
        <v>10774211.961967293</v>
      </c>
      <c r="E68" s="41">
        <f t="shared" si="2"/>
        <v>50035405.999591433</v>
      </c>
      <c r="F68" s="9">
        <f t="shared" si="10"/>
        <v>171423254.11877277</v>
      </c>
      <c r="G68" s="8">
        <v>1.7999999999999999E-2</v>
      </c>
      <c r="H68" s="9">
        <f t="shared" si="7"/>
        <v>174508872.69291067</v>
      </c>
      <c r="I68" s="9"/>
      <c r="J68" s="9">
        <f t="shared" si="4"/>
        <v>185283084.65487796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80"/>
      <c r="C69" s="8">
        <v>7</v>
      </c>
      <c r="D69" s="9">
        <f>N63</f>
        <v>10774211.961967293</v>
      </c>
      <c r="E69" s="41">
        <f t="shared" si="2"/>
        <v>51343243.307584077</v>
      </c>
      <c r="F69" s="9">
        <f t="shared" si="10"/>
        <v>185283084.65487796</v>
      </c>
      <c r="G69" s="8">
        <v>1.7999999999999999E-2</v>
      </c>
      <c r="H69" s="9">
        <f t="shared" si="7"/>
        <v>188618180.17866576</v>
      </c>
      <c r="I69" s="9"/>
      <c r="J69" s="9">
        <f t="shared" si="4"/>
        <v>199392392.14063305</v>
      </c>
      <c r="K69" s="47">
        <v>0</v>
      </c>
      <c r="L69" s="10"/>
      <c r="M69" s="55"/>
      <c r="S69" s="9"/>
    </row>
    <row r="70" spans="1:19" s="8" customFormat="1" x14ac:dyDescent="0.3">
      <c r="B70" s="80"/>
      <c r="C70" s="8">
        <v>8</v>
      </c>
      <c r="D70" s="9">
        <f>N63</f>
        <v>10774211.961967293</v>
      </c>
      <c r="E70" s="41">
        <f t="shared" si="2"/>
        <v>52674621.687120594</v>
      </c>
      <c r="F70" s="9">
        <f t="shared" si="10"/>
        <v>199392392.14063305</v>
      </c>
      <c r="G70" s="8">
        <v>1.7999999999999999E-2</v>
      </c>
      <c r="H70" s="9">
        <f t="shared" si="7"/>
        <v>202981455.19916445</v>
      </c>
      <c r="I70" s="9"/>
      <c r="J70" s="9">
        <f t="shared" si="4"/>
        <v>213755667.16113174</v>
      </c>
      <c r="K70" s="47">
        <v>0</v>
      </c>
      <c r="L70" s="10"/>
      <c r="M70" s="55"/>
      <c r="S70" s="9"/>
    </row>
    <row r="71" spans="1:19" s="8" customFormat="1" x14ac:dyDescent="0.3">
      <c r="B71" s="80"/>
      <c r="C71" s="8">
        <v>9</v>
      </c>
      <c r="D71" s="9">
        <f>N63</f>
        <v>10774211.961967293</v>
      </c>
      <c r="E71" s="41">
        <f t="shared" si="2"/>
        <v>54029964.877488762</v>
      </c>
      <c r="F71" s="9">
        <f t="shared" si="10"/>
        <v>213755667.16113174</v>
      </c>
      <c r="G71" s="8">
        <v>1.7999999999999999E-2</v>
      </c>
      <c r="H71" s="9">
        <f t="shared" si="7"/>
        <v>217603269.17003211</v>
      </c>
      <c r="I71" s="9"/>
      <c r="J71" s="9">
        <f t="shared" si="4"/>
        <v>228377481.1319994</v>
      </c>
      <c r="K71" s="47">
        <v>0</v>
      </c>
      <c r="L71" s="10"/>
      <c r="M71" s="55"/>
      <c r="S71" s="9"/>
    </row>
    <row r="72" spans="1:19" s="8" customFormat="1" x14ac:dyDescent="0.3">
      <c r="B72" s="80"/>
      <c r="C72" s="8">
        <v>10</v>
      </c>
      <c r="D72" s="9">
        <f>N63</f>
        <v>10774211.961967293</v>
      </c>
      <c r="E72" s="41">
        <f t="shared" si="2"/>
        <v>55409704.245283559</v>
      </c>
      <c r="F72" s="9">
        <f t="shared" si="10"/>
        <v>228377481.1319994</v>
      </c>
      <c r="G72" s="8">
        <v>1.7999999999999999E-2</v>
      </c>
      <c r="H72" s="9">
        <f t="shared" si="7"/>
        <v>232488275.79237539</v>
      </c>
      <c r="I72" s="9"/>
      <c r="J72" s="9">
        <f t="shared" si="4"/>
        <v>243262487.75434268</v>
      </c>
      <c r="K72" s="47">
        <v>0</v>
      </c>
      <c r="L72" s="10"/>
      <c r="M72" s="55"/>
      <c r="S72" s="9"/>
    </row>
    <row r="73" spans="1:19" s="8" customFormat="1" x14ac:dyDescent="0.3">
      <c r="B73" s="80"/>
      <c r="C73" s="8">
        <v>11</v>
      </c>
      <c r="D73" s="9">
        <f>N63</f>
        <v>10774211.961967293</v>
      </c>
      <c r="E73" s="41">
        <f t="shared" si="2"/>
        <v>56814278.92169866</v>
      </c>
      <c r="F73" s="9">
        <f t="shared" si="10"/>
        <v>243262487.75434268</v>
      </c>
      <c r="G73" s="8">
        <v>1.7999999999999999E-2</v>
      </c>
      <c r="H73" s="9">
        <f t="shared" si="7"/>
        <v>247641212.53392085</v>
      </c>
      <c r="I73" s="9"/>
      <c r="J73" s="9">
        <f t="shared" si="4"/>
        <v>258415424.49588814</v>
      </c>
      <c r="K73" s="47">
        <v>0</v>
      </c>
      <c r="L73" s="10"/>
      <c r="M73" s="55"/>
      <c r="S73" s="9"/>
    </row>
    <row r="74" spans="1:19" s="18" customFormat="1" x14ac:dyDescent="0.3">
      <c r="B74" s="80"/>
      <c r="C74" s="18">
        <v>12</v>
      </c>
      <c r="D74" s="19">
        <f>N63</f>
        <v>10774211.961967293</v>
      </c>
      <c r="E74" s="19">
        <f t="shared" si="2"/>
        <v>58244135.942289233</v>
      </c>
      <c r="F74" s="19">
        <f t="shared" si="10"/>
        <v>258415424.49588814</v>
      </c>
      <c r="G74" s="18">
        <v>1.7999999999999999E-2</v>
      </c>
      <c r="H74" s="19">
        <f t="shared" si="7"/>
        <v>263066902.13681412</v>
      </c>
      <c r="I74" s="19">
        <f xml:space="preserve"> H74</f>
        <v>263066902.13681412</v>
      </c>
      <c r="J74" s="9">
        <f t="shared" si="4"/>
        <v>273841114.09878141</v>
      </c>
      <c r="K74" s="50">
        <v>0</v>
      </c>
      <c r="L74" s="20">
        <f xml:space="preserve"> I74 / 2</f>
        <v>131533451.06840706</v>
      </c>
      <c r="M74" s="58">
        <f xml:space="preserve"> (F63 + SUM(D64:D74)) - SUM(K64:K74)</f>
        <v>223909124.55062515</v>
      </c>
      <c r="N74" s="19">
        <f xml:space="preserve"> H74 - M74</f>
        <v>39157777.586188972</v>
      </c>
      <c r="O74" s="18">
        <v>0.84</v>
      </c>
      <c r="P74" s="19">
        <f xml:space="preserve"> N74 * O74</f>
        <v>32892533.172398735</v>
      </c>
      <c r="Q74" s="19">
        <f xml:space="preserve"> N74 - P74</f>
        <v>6265244.4137902372</v>
      </c>
      <c r="R74" s="18">
        <f xml:space="preserve"> N74 / M74 * 100</f>
        <v>17.488245583906753</v>
      </c>
      <c r="S74" s="19"/>
    </row>
    <row r="75" spans="1:19" s="8" customFormat="1" x14ac:dyDescent="0.3">
      <c r="A75" s="8">
        <v>7</v>
      </c>
      <c r="B75" s="80">
        <v>2028</v>
      </c>
      <c r="C75" s="8">
        <v>1</v>
      </c>
      <c r="D75" s="9">
        <f xml:space="preserve"> N75</f>
        <v>13461120.922367254</v>
      </c>
      <c r="E75" s="41">
        <f t="shared" si="2"/>
        <v>59699730.389250442</v>
      </c>
      <c r="F75" s="9">
        <f xml:space="preserve"> (H74 / 2) + D75 - K75</f>
        <v>144994571.9907743</v>
      </c>
      <c r="G75" s="8">
        <v>1.7999999999999999E-2</v>
      </c>
      <c r="H75" s="9">
        <f t="shared" si="7"/>
        <v>147604474.28660825</v>
      </c>
      <c r="I75" s="9"/>
      <c r="J75" s="9">
        <f t="shared" si="4"/>
        <v>161065595.20897549</v>
      </c>
      <c r="K75" s="47">
        <v>0</v>
      </c>
      <c r="L75" s="10"/>
      <c r="M75" s="55"/>
      <c r="N75" s="11">
        <f xml:space="preserve"> (L74 / 12) +2500000</f>
        <v>13461120.922367254</v>
      </c>
      <c r="P75" s="9">
        <f xml:space="preserve"> (H74 / 2 )</f>
        <v>131533451.06840706</v>
      </c>
      <c r="S75" s="9"/>
    </row>
    <row r="76" spans="1:19" s="8" customFormat="1" x14ac:dyDescent="0.3">
      <c r="B76" s="80"/>
      <c r="C76" s="8">
        <v>2</v>
      </c>
      <c r="D76" s="9">
        <f xml:space="preserve"> N75</f>
        <v>13461120.922367254</v>
      </c>
      <c r="E76" s="41">
        <f t="shared" si="2"/>
        <v>61181525.536256954</v>
      </c>
      <c r="F76" s="9">
        <f t="shared" ref="F76:F86" si="11" xml:space="preserve"> H75 + D76 - K76</f>
        <v>161065595.20897549</v>
      </c>
      <c r="G76" s="8">
        <v>1.7999999999999999E-2</v>
      </c>
      <c r="H76" s="9">
        <f t="shared" si="7"/>
        <v>163964775.92273706</v>
      </c>
      <c r="I76" s="9"/>
      <c r="J76" s="9">
        <f t="shared" si="4"/>
        <v>177425896.84510431</v>
      </c>
      <c r="K76" s="47">
        <v>0</v>
      </c>
      <c r="L76" s="10"/>
      <c r="M76" s="55"/>
      <c r="S76" s="9"/>
    </row>
    <row r="77" spans="1:19" s="8" customFormat="1" x14ac:dyDescent="0.3">
      <c r="B77" s="80"/>
      <c r="C77" s="8">
        <v>3</v>
      </c>
      <c r="D77" s="9">
        <f xml:space="preserve"> N75</f>
        <v>13461120.922367254</v>
      </c>
      <c r="E77" s="41">
        <f t="shared" si="2"/>
        <v>62689992.995909579</v>
      </c>
      <c r="F77" s="9">
        <f t="shared" si="11"/>
        <v>177425896.84510431</v>
      </c>
      <c r="G77" s="8">
        <v>1.7999999999999999E-2</v>
      </c>
      <c r="H77" s="9">
        <f t="shared" si="7"/>
        <v>180619562.98831618</v>
      </c>
      <c r="I77" s="9"/>
      <c r="J77" s="9">
        <f t="shared" si="4"/>
        <v>194080683.91068342</v>
      </c>
      <c r="K77" s="47">
        <v>0</v>
      </c>
      <c r="L77" s="10"/>
      <c r="M77" s="55"/>
      <c r="S77" s="9"/>
    </row>
    <row r="78" spans="1:19" s="8" customFormat="1" x14ac:dyDescent="0.3">
      <c r="B78" s="80"/>
      <c r="C78" s="8">
        <v>4</v>
      </c>
      <c r="D78" s="9">
        <f xml:space="preserve"> N75</f>
        <v>13461120.922367254</v>
      </c>
      <c r="E78" s="41">
        <f t="shared" ref="E78:E134" si="12" xml:space="preserve"> (E77 + 400000) + ((E77 + 400000) * G78 )</f>
        <v>64225612.86983595</v>
      </c>
      <c r="F78" s="9">
        <f t="shared" si="11"/>
        <v>194080683.91068342</v>
      </c>
      <c r="G78" s="8">
        <v>1.7999999999999999E-2</v>
      </c>
      <c r="H78" s="9">
        <f t="shared" si="7"/>
        <v>197574136.22107571</v>
      </c>
      <c r="I78" s="9"/>
      <c r="J78" s="9">
        <f t="shared" si="4"/>
        <v>211035257.14344296</v>
      </c>
      <c r="K78" s="47">
        <v>0</v>
      </c>
      <c r="L78" s="10"/>
      <c r="M78" s="55"/>
      <c r="S78" s="9"/>
    </row>
    <row r="79" spans="1:19" s="8" customFormat="1" x14ac:dyDescent="0.3">
      <c r="B79" s="80"/>
      <c r="C79" s="8">
        <v>5</v>
      </c>
      <c r="D79" s="9">
        <f xml:space="preserve"> N75</f>
        <v>13461120.922367254</v>
      </c>
      <c r="E79" s="41">
        <f t="shared" si="12"/>
        <v>65788873.901492998</v>
      </c>
      <c r="F79" s="9">
        <f t="shared" si="11"/>
        <v>204770012.72965273</v>
      </c>
      <c r="G79" s="8">
        <v>1.7999999999999999E-2</v>
      </c>
      <c r="H79" s="9">
        <f t="shared" si="7"/>
        <v>208455872.95878649</v>
      </c>
      <c r="I79" s="9"/>
      <c r="J79" s="9">
        <f t="shared" si="4"/>
        <v>221916993.88115373</v>
      </c>
      <c r="K79" s="47">
        <f xml:space="preserve"> Q74</f>
        <v>6265244.4137902372</v>
      </c>
      <c r="L79" s="10"/>
      <c r="M79" s="55"/>
      <c r="S79" s="9"/>
    </row>
    <row r="80" spans="1:19" s="8" customFormat="1" x14ac:dyDescent="0.3">
      <c r="B80" s="80"/>
      <c r="C80" s="8">
        <v>6</v>
      </c>
      <c r="D80" s="9">
        <f xml:space="preserve"> N75</f>
        <v>13461120.922367254</v>
      </c>
      <c r="E80" s="41">
        <f t="shared" si="12"/>
        <v>67380273.631719872</v>
      </c>
      <c r="F80" s="9">
        <f t="shared" si="11"/>
        <v>221916993.88115373</v>
      </c>
      <c r="G80" s="8">
        <v>1.7999999999999999E-2</v>
      </c>
      <c r="H80" s="9">
        <f t="shared" si="7"/>
        <v>225911499.77101451</v>
      </c>
      <c r="I80" s="9"/>
      <c r="J80" s="9">
        <f t="shared" si="4"/>
        <v>239372620.69338176</v>
      </c>
      <c r="K80" s="47">
        <v>0</v>
      </c>
      <c r="L80" s="10"/>
      <c r="M80" s="55"/>
      <c r="S80" s="9"/>
    </row>
    <row r="81" spans="1:19" s="8" customFormat="1" x14ac:dyDescent="0.3">
      <c r="B81" s="80"/>
      <c r="C81" s="8">
        <v>7</v>
      </c>
      <c r="D81" s="9">
        <f xml:space="preserve"> N75</f>
        <v>13461120.922367254</v>
      </c>
      <c r="E81" s="41">
        <f t="shared" si="12"/>
        <v>69000318.557090834</v>
      </c>
      <c r="F81" s="9">
        <f t="shared" si="11"/>
        <v>239372620.69338176</v>
      </c>
      <c r="G81" s="8">
        <v>1.7999999999999999E-2</v>
      </c>
      <c r="H81" s="9">
        <f t="shared" si="7"/>
        <v>243681327.86586264</v>
      </c>
      <c r="I81" s="9"/>
      <c r="J81" s="9">
        <f t="shared" ref="J81:J144" si="13" xml:space="preserve"> D81 + H81</f>
        <v>257142448.78822988</v>
      </c>
      <c r="K81" s="47">
        <v>0</v>
      </c>
      <c r="L81" s="10"/>
      <c r="M81" s="55"/>
      <c r="S81" s="9"/>
    </row>
    <row r="82" spans="1:19" s="8" customFormat="1" x14ac:dyDescent="0.3">
      <c r="B82" s="80"/>
      <c r="C82" s="8">
        <v>8</v>
      </c>
      <c r="D82" s="9">
        <f xml:space="preserve"> N75</f>
        <v>13461120.922367254</v>
      </c>
      <c r="E82" s="41">
        <f t="shared" si="12"/>
        <v>70649524.291118473</v>
      </c>
      <c r="F82" s="9">
        <f t="shared" si="11"/>
        <v>257142448.78822988</v>
      </c>
      <c r="G82" s="8">
        <v>1.7999999999999999E-2</v>
      </c>
      <c r="H82" s="9">
        <f t="shared" si="7"/>
        <v>261771012.86641803</v>
      </c>
      <c r="I82" s="9"/>
      <c r="J82" s="9">
        <f t="shared" si="13"/>
        <v>275232133.78878528</v>
      </c>
      <c r="K82" s="47">
        <v>0</v>
      </c>
      <c r="L82" s="10"/>
      <c r="M82" s="55"/>
      <c r="S82" s="9"/>
    </row>
    <row r="83" spans="1:19" s="8" customFormat="1" x14ac:dyDescent="0.3">
      <c r="B83" s="80"/>
      <c r="C83" s="8">
        <v>9</v>
      </c>
      <c r="D83" s="9">
        <f xml:space="preserve"> N75</f>
        <v>13461120.922367254</v>
      </c>
      <c r="E83" s="41">
        <f t="shared" si="12"/>
        <v>72328415.728358611</v>
      </c>
      <c r="F83" s="9">
        <f t="shared" si="11"/>
        <v>275232133.78878528</v>
      </c>
      <c r="G83" s="8">
        <v>1.7999999999999999E-2</v>
      </c>
      <c r="H83" s="9">
        <f t="shared" si="7"/>
        <v>280186312.1969834</v>
      </c>
      <c r="I83" s="9"/>
      <c r="J83" s="9">
        <f t="shared" si="13"/>
        <v>293647433.11935067</v>
      </c>
      <c r="K83" s="47">
        <v>0</v>
      </c>
      <c r="L83" s="10"/>
      <c r="M83" s="55"/>
      <c r="S83" s="9"/>
    </row>
    <row r="84" spans="1:19" s="8" customFormat="1" x14ac:dyDescent="0.3">
      <c r="B84" s="80"/>
      <c r="C84" s="8">
        <v>10</v>
      </c>
      <c r="D84" s="9">
        <f xml:space="preserve"> N75</f>
        <v>13461120.922367254</v>
      </c>
      <c r="E84" s="41">
        <f t="shared" si="12"/>
        <v>74037527.211469069</v>
      </c>
      <c r="F84" s="9">
        <f t="shared" si="11"/>
        <v>293647433.11935067</v>
      </c>
      <c r="G84" s="8">
        <v>1.7999999999999999E-2</v>
      </c>
      <c r="H84" s="9">
        <f t="shared" si="7"/>
        <v>298933086.91549897</v>
      </c>
      <c r="I84" s="9"/>
      <c r="J84" s="9">
        <f t="shared" si="13"/>
        <v>312394207.83786625</v>
      </c>
      <c r="K84" s="47">
        <v>0</v>
      </c>
      <c r="L84" s="10"/>
      <c r="M84" s="55"/>
      <c r="S84" s="9"/>
    </row>
    <row r="85" spans="1:19" s="8" customFormat="1" x14ac:dyDescent="0.3">
      <c r="B85" s="80"/>
      <c r="C85" s="8">
        <v>11</v>
      </c>
      <c r="D85" s="9">
        <f xml:space="preserve"> N75</f>
        <v>13461120.922367254</v>
      </c>
      <c r="E85" s="41">
        <f t="shared" si="12"/>
        <v>75777402.701275513</v>
      </c>
      <c r="F85" s="9">
        <f t="shared" si="11"/>
        <v>312394207.83786625</v>
      </c>
      <c r="G85" s="8">
        <v>1.7999999999999999E-2</v>
      </c>
      <c r="H85" s="9">
        <f t="shared" si="7"/>
        <v>318017303.57894784</v>
      </c>
      <c r="I85" s="9"/>
      <c r="J85" s="9">
        <f t="shared" si="13"/>
        <v>331478424.50131512</v>
      </c>
      <c r="K85" s="47">
        <v>0</v>
      </c>
      <c r="L85" s="10"/>
      <c r="M85" s="55"/>
      <c r="S85" s="9"/>
    </row>
    <row r="86" spans="1:19" s="18" customFormat="1" x14ac:dyDescent="0.3">
      <c r="B86" s="80"/>
      <c r="C86" s="18">
        <v>12</v>
      </c>
      <c r="D86" s="19">
        <f xml:space="preserve"> N75</f>
        <v>13461120.922367254</v>
      </c>
      <c r="E86" s="19">
        <f t="shared" si="12"/>
        <v>77548595.949898466</v>
      </c>
      <c r="F86" s="19">
        <f t="shared" si="11"/>
        <v>331478424.50131512</v>
      </c>
      <c r="G86" s="18">
        <v>1.7999999999999999E-2</v>
      </c>
      <c r="H86" s="19">
        <f t="shared" si="7"/>
        <v>337445036.14233881</v>
      </c>
      <c r="I86" s="19">
        <f xml:space="preserve"> H86</f>
        <v>337445036.14233881</v>
      </c>
      <c r="J86" s="9">
        <f t="shared" si="13"/>
        <v>350906157.06470609</v>
      </c>
      <c r="K86" s="50">
        <v>0</v>
      </c>
      <c r="L86" s="20">
        <f xml:space="preserve"> I86 / 2</f>
        <v>168722518.07116941</v>
      </c>
      <c r="M86" s="58">
        <f xml:space="preserve"> (F75 + SUM(D76:D86)) - SUM(K76:K86)</f>
        <v>286801657.72302389</v>
      </c>
      <c r="N86" s="19">
        <f xml:space="preserve"> H86 - M86</f>
        <v>50643378.419314921</v>
      </c>
      <c r="O86" s="18">
        <v>0.84</v>
      </c>
      <c r="P86" s="19">
        <f xml:space="preserve"> N86 * O86</f>
        <v>42540437.872224532</v>
      </c>
      <c r="Q86" s="19">
        <f xml:space="preserve"> N86 - P86</f>
        <v>8102940.5470903888</v>
      </c>
      <c r="R86" s="18">
        <f xml:space="preserve"> N86 / M86 * 100</f>
        <v>17.657979671869022</v>
      </c>
      <c r="S86" s="19"/>
    </row>
    <row r="87" spans="1:19" s="8" customFormat="1" x14ac:dyDescent="0.3">
      <c r="A87" s="8">
        <v>8</v>
      </c>
      <c r="B87" s="80">
        <v>2029</v>
      </c>
      <c r="C87" s="8">
        <v>1</v>
      </c>
      <c r="D87" s="9">
        <f xml:space="preserve"> N87</f>
        <v>16560209.839264117</v>
      </c>
      <c r="E87" s="41">
        <f t="shared" si="12"/>
        <v>79351670.676996633</v>
      </c>
      <c r="F87" s="9">
        <f xml:space="preserve"> (H86 / 2) + D87 - K87</f>
        <v>185282727.91043353</v>
      </c>
      <c r="G87" s="8">
        <v>1.7999999999999999E-2</v>
      </c>
      <c r="H87" s="9">
        <f t="shared" si="7"/>
        <v>188617817.01282135</v>
      </c>
      <c r="I87" s="9"/>
      <c r="J87" s="9">
        <f t="shared" si="13"/>
        <v>205178026.85208547</v>
      </c>
      <c r="K87" s="47">
        <v>0</v>
      </c>
      <c r="L87" s="10"/>
      <c r="M87" s="55"/>
      <c r="N87" s="11">
        <f xml:space="preserve"> (L86 / 12) +2500000</f>
        <v>16560209.839264117</v>
      </c>
      <c r="P87" s="9">
        <f xml:space="preserve"> (H86 / 2 )</f>
        <v>168722518.07116941</v>
      </c>
      <c r="S87" s="9"/>
    </row>
    <row r="88" spans="1:19" s="8" customFormat="1" x14ac:dyDescent="0.3">
      <c r="B88" s="80"/>
      <c r="C88" s="8">
        <v>2</v>
      </c>
      <c r="D88" s="9">
        <f xml:space="preserve"> N87</f>
        <v>16560209.839264117</v>
      </c>
      <c r="E88" s="41">
        <f t="shared" si="12"/>
        <v>81187200.749182567</v>
      </c>
      <c r="F88" s="9">
        <f t="shared" ref="F88:F98" si="14" xml:space="preserve"> H87 + D88 - K88</f>
        <v>205178026.85208547</v>
      </c>
      <c r="G88" s="8">
        <v>1.7999999999999999E-2</v>
      </c>
      <c r="H88" s="9">
        <f t="shared" si="7"/>
        <v>208871231.33542302</v>
      </c>
      <c r="I88" s="9"/>
      <c r="J88" s="9">
        <f t="shared" si="13"/>
        <v>225431441.17468715</v>
      </c>
      <c r="K88" s="47">
        <v>0</v>
      </c>
      <c r="L88" s="10"/>
      <c r="M88" s="55"/>
      <c r="S88" s="9"/>
    </row>
    <row r="89" spans="1:19" s="8" customFormat="1" x14ac:dyDescent="0.3">
      <c r="B89" s="80"/>
      <c r="C89" s="8">
        <v>3</v>
      </c>
      <c r="D89" s="9">
        <f xml:space="preserve"> N87</f>
        <v>16560209.839264117</v>
      </c>
      <c r="E89" s="41">
        <f t="shared" si="12"/>
        <v>83055770.362667859</v>
      </c>
      <c r="F89" s="9">
        <f t="shared" si="14"/>
        <v>225431441.17468715</v>
      </c>
      <c r="G89" s="8">
        <v>1.7999999999999999E-2</v>
      </c>
      <c r="H89" s="9">
        <f t="shared" si="7"/>
        <v>229489207.11583152</v>
      </c>
      <c r="I89" s="9"/>
      <c r="J89" s="9">
        <f t="shared" si="13"/>
        <v>246049416.95509565</v>
      </c>
      <c r="K89" s="47">
        <v>0</v>
      </c>
      <c r="L89" s="10"/>
      <c r="M89" s="55"/>
      <c r="S89" s="9"/>
    </row>
    <row r="90" spans="1:19" s="8" customFormat="1" x14ac:dyDescent="0.3">
      <c r="B90" s="80"/>
      <c r="C90" s="8">
        <v>4</v>
      </c>
      <c r="D90" s="9">
        <f xml:space="preserve"> N87</f>
        <v>16560209.839264117</v>
      </c>
      <c r="E90" s="41">
        <f t="shared" si="12"/>
        <v>84957974.229195878</v>
      </c>
      <c r="F90" s="9">
        <f t="shared" si="14"/>
        <v>246049416.95509565</v>
      </c>
      <c r="G90" s="8">
        <v>1.7999999999999999E-2</v>
      </c>
      <c r="H90" s="9">
        <f t="shared" si="7"/>
        <v>250478306.46028736</v>
      </c>
      <c r="I90" s="9"/>
      <c r="J90" s="9">
        <f t="shared" si="13"/>
        <v>267038516.29955149</v>
      </c>
      <c r="K90" s="47">
        <v>0</v>
      </c>
      <c r="L90" s="10"/>
      <c r="M90" s="55"/>
      <c r="S90" s="9"/>
    </row>
    <row r="91" spans="1:19" s="8" customFormat="1" x14ac:dyDescent="0.3">
      <c r="B91" s="80"/>
      <c r="C91" s="8">
        <v>5</v>
      </c>
      <c r="D91" s="9">
        <f xml:space="preserve"> N87</f>
        <v>16560209.839264117</v>
      </c>
      <c r="E91" s="41">
        <f t="shared" si="12"/>
        <v>86894417.765321404</v>
      </c>
      <c r="F91" s="9">
        <f t="shared" si="14"/>
        <v>258935575.75246111</v>
      </c>
      <c r="G91" s="8">
        <v>1.7999999999999999E-2</v>
      </c>
      <c r="H91" s="9">
        <f t="shared" si="7"/>
        <v>263596416.11600539</v>
      </c>
      <c r="I91" s="9"/>
      <c r="J91" s="9">
        <f t="shared" si="13"/>
        <v>280156625.95526952</v>
      </c>
      <c r="K91" s="47">
        <f xml:space="preserve"> Q86</f>
        <v>8102940.5470903888</v>
      </c>
      <c r="L91" s="10"/>
      <c r="M91" s="55"/>
      <c r="S91" s="9"/>
    </row>
    <row r="92" spans="1:19" s="8" customFormat="1" x14ac:dyDescent="0.3">
      <c r="B92" s="80"/>
      <c r="C92" s="8">
        <v>6</v>
      </c>
      <c r="D92" s="9">
        <f xml:space="preserve"> N87</f>
        <v>16560209.839264117</v>
      </c>
      <c r="E92" s="41">
        <f t="shared" si="12"/>
        <v>88865717.285097182</v>
      </c>
      <c r="F92" s="9">
        <f t="shared" si="14"/>
        <v>280156625.95526952</v>
      </c>
      <c r="G92" s="8">
        <v>1.7999999999999999E-2</v>
      </c>
      <c r="H92" s="9">
        <f t="shared" si="7"/>
        <v>285199445.22246438</v>
      </c>
      <c r="I92" s="9"/>
      <c r="J92" s="9">
        <f t="shared" si="13"/>
        <v>301759655.06172848</v>
      </c>
      <c r="K92" s="47">
        <v>0</v>
      </c>
      <c r="L92" s="10"/>
      <c r="M92" s="55"/>
      <c r="S92" s="9"/>
    </row>
    <row r="93" spans="1:19" s="8" customFormat="1" x14ac:dyDescent="0.3">
      <c r="B93" s="80"/>
      <c r="C93" s="8">
        <v>7</v>
      </c>
      <c r="D93" s="9">
        <f xml:space="preserve"> N87</f>
        <v>16560209.839264117</v>
      </c>
      <c r="E93" s="41">
        <f t="shared" si="12"/>
        <v>90872500.196228936</v>
      </c>
      <c r="F93" s="9">
        <f t="shared" si="14"/>
        <v>301759655.06172848</v>
      </c>
      <c r="G93" s="8">
        <v>1.7999999999999999E-2</v>
      </c>
      <c r="H93" s="9">
        <f t="shared" si="7"/>
        <v>307191328.85283959</v>
      </c>
      <c r="I93" s="9"/>
      <c r="J93" s="9">
        <f t="shared" si="13"/>
        <v>323751538.69210368</v>
      </c>
      <c r="K93" s="47">
        <v>0</v>
      </c>
      <c r="L93" s="10"/>
      <c r="M93" s="55"/>
      <c r="S93" s="9"/>
    </row>
    <row r="94" spans="1:19" s="8" customFormat="1" x14ac:dyDescent="0.3">
      <c r="B94" s="80"/>
      <c r="C94" s="8">
        <v>8</v>
      </c>
      <c r="D94" s="9">
        <f xml:space="preserve"> N87</f>
        <v>16560209.839264117</v>
      </c>
      <c r="E94" s="41">
        <f t="shared" si="12"/>
        <v>92915405.199761063</v>
      </c>
      <c r="F94" s="9">
        <f t="shared" si="14"/>
        <v>323751538.69210368</v>
      </c>
      <c r="G94" s="8">
        <v>1.7999999999999999E-2</v>
      </c>
      <c r="H94" s="9">
        <f t="shared" ref="H94:H157" si="15" xml:space="preserve"> (F94 * G94) + F94</f>
        <v>329579066.38856155</v>
      </c>
      <c r="I94" s="9"/>
      <c r="J94" s="9">
        <f t="shared" si="13"/>
        <v>346139276.22782564</v>
      </c>
      <c r="K94" s="47">
        <v>0</v>
      </c>
      <c r="L94" s="10"/>
      <c r="M94" s="55"/>
      <c r="S94" s="9"/>
    </row>
    <row r="95" spans="1:19" s="8" customFormat="1" x14ac:dyDescent="0.3">
      <c r="B95" s="80"/>
      <c r="C95" s="8">
        <v>9</v>
      </c>
      <c r="D95" s="9">
        <f xml:space="preserve"> N87</f>
        <v>16560209.839264117</v>
      </c>
      <c r="E95" s="41">
        <f t="shared" si="12"/>
        <v>94995082.493356764</v>
      </c>
      <c r="F95" s="9">
        <f t="shared" si="14"/>
        <v>346139276.22782564</v>
      </c>
      <c r="G95" s="8">
        <v>1.7999999999999999E-2</v>
      </c>
      <c r="H95" s="9">
        <f t="shared" si="15"/>
        <v>352369783.1999265</v>
      </c>
      <c r="I95" s="9"/>
      <c r="J95" s="9">
        <f t="shared" si="13"/>
        <v>368929993.03919059</v>
      </c>
      <c r="K95" s="47">
        <v>0</v>
      </c>
      <c r="L95" s="10"/>
      <c r="M95" s="55"/>
      <c r="S95" s="9"/>
    </row>
    <row r="96" spans="1:19" s="8" customFormat="1" x14ac:dyDescent="0.3">
      <c r="B96" s="80"/>
      <c r="C96" s="8">
        <v>10</v>
      </c>
      <c r="D96" s="9">
        <f xml:space="preserve"> N87</f>
        <v>16560209.839264117</v>
      </c>
      <c r="E96" s="41">
        <f t="shared" si="12"/>
        <v>97112193.978237182</v>
      </c>
      <c r="F96" s="9">
        <f t="shared" si="14"/>
        <v>368929993.03919059</v>
      </c>
      <c r="G96" s="8">
        <v>1.7999999999999999E-2</v>
      </c>
      <c r="H96" s="9">
        <f t="shared" si="15"/>
        <v>375570732.91389602</v>
      </c>
      <c r="I96" s="9"/>
      <c r="J96" s="9">
        <f t="shared" si="13"/>
        <v>392130942.75316012</v>
      </c>
      <c r="K96" s="47">
        <v>0</v>
      </c>
      <c r="L96" s="10"/>
      <c r="M96" s="55"/>
      <c r="S96" s="9"/>
    </row>
    <row r="97" spans="1:19" s="8" customFormat="1" x14ac:dyDescent="0.3">
      <c r="B97" s="80"/>
      <c r="C97" s="8">
        <v>11</v>
      </c>
      <c r="D97" s="9">
        <f xml:space="preserve"> N87</f>
        <v>16560209.839264117</v>
      </c>
      <c r="E97" s="41">
        <f t="shared" si="12"/>
        <v>99267413.469845444</v>
      </c>
      <c r="F97" s="9">
        <f t="shared" si="14"/>
        <v>392130942.75316012</v>
      </c>
      <c r="G97" s="8">
        <v>1.7999999999999999E-2</v>
      </c>
      <c r="H97" s="9">
        <f t="shared" si="15"/>
        <v>399189299.72271699</v>
      </c>
      <c r="I97" s="9"/>
      <c r="J97" s="9">
        <f t="shared" si="13"/>
        <v>415749509.56198108</v>
      </c>
      <c r="K97" s="47">
        <v>0</v>
      </c>
      <c r="L97" s="10"/>
      <c r="M97" s="55"/>
      <c r="S97" s="9"/>
    </row>
    <row r="98" spans="1:19" s="18" customFormat="1" x14ac:dyDescent="0.3">
      <c r="B98" s="80"/>
      <c r="C98" s="18">
        <v>12</v>
      </c>
      <c r="D98" s="19">
        <f xml:space="preserve"> N87</f>
        <v>16560209.839264117</v>
      </c>
      <c r="E98" s="19">
        <f t="shared" si="12"/>
        <v>101461426.91230266</v>
      </c>
      <c r="F98" s="19">
        <f t="shared" si="14"/>
        <v>415749509.56198108</v>
      </c>
      <c r="G98" s="18">
        <v>1.7999999999999999E-2</v>
      </c>
      <c r="H98" s="19">
        <f t="shared" si="15"/>
        <v>423233000.73409677</v>
      </c>
      <c r="I98" s="19">
        <f xml:space="preserve"> H98</f>
        <v>423233000.73409677</v>
      </c>
      <c r="J98" s="9">
        <f t="shared" si="13"/>
        <v>439793210.57336086</v>
      </c>
      <c r="K98" s="50">
        <v>0</v>
      </c>
      <c r="L98" s="20">
        <f xml:space="preserve"> I98 / 2</f>
        <v>211616500.36704838</v>
      </c>
      <c r="M98" s="58">
        <f xml:space="preserve"> (F87 + SUM(D88:D98)) - SUM(K88:K98)</f>
        <v>359342095.59524846</v>
      </c>
      <c r="N98" s="19">
        <f xml:space="preserve"> H98 - M98</f>
        <v>63890905.138848305</v>
      </c>
      <c r="O98" s="18">
        <v>0.84</v>
      </c>
      <c r="P98" s="19">
        <f xml:space="preserve"> N98 * O98</f>
        <v>53668360.316632576</v>
      </c>
      <c r="Q98" s="19">
        <f xml:space="preserve"> N98 - P98</f>
        <v>10222544.822215728</v>
      </c>
      <c r="R98" s="18">
        <f xml:space="preserve"> N98 / M98 * 100</f>
        <v>17.779966756472916</v>
      </c>
      <c r="S98" s="19"/>
    </row>
    <row r="99" spans="1:19" s="8" customFormat="1" x14ac:dyDescent="0.3">
      <c r="A99" s="8">
        <v>9</v>
      </c>
      <c r="B99" s="80">
        <v>2030</v>
      </c>
      <c r="C99" s="8">
        <v>1</v>
      </c>
      <c r="D99" s="9">
        <f>N99</f>
        <v>20134708.3639207</v>
      </c>
      <c r="E99" s="41">
        <f t="shared" si="12"/>
        <v>103694932.59672411</v>
      </c>
      <c r="F99" s="9">
        <f xml:space="preserve"> (H98 / 2) + D99 - K99</f>
        <v>231751208.73096907</v>
      </c>
      <c r="G99" s="8">
        <v>1.7999999999999999E-2</v>
      </c>
      <c r="H99" s="9">
        <f t="shared" si="15"/>
        <v>235922730.48812652</v>
      </c>
      <c r="I99" s="9"/>
      <c r="J99" s="9">
        <f t="shared" si="13"/>
        <v>256057438.8520472</v>
      </c>
      <c r="K99" s="47">
        <v>0</v>
      </c>
      <c r="L99" s="10"/>
      <c r="M99" s="55"/>
      <c r="N99" s="11">
        <f xml:space="preserve"> (L98 / 12) +2500000</f>
        <v>20134708.3639207</v>
      </c>
      <c r="P99" s="9">
        <f xml:space="preserve"> (H98 / 2 )</f>
        <v>211616500.36704838</v>
      </c>
      <c r="S99" s="9"/>
    </row>
    <row r="100" spans="1:19" s="8" customFormat="1" x14ac:dyDescent="0.3">
      <c r="B100" s="80"/>
      <c r="C100" s="8">
        <v>2</v>
      </c>
      <c r="D100" s="9">
        <f>N99</f>
        <v>20134708.3639207</v>
      </c>
      <c r="E100" s="41">
        <f t="shared" si="12"/>
        <v>105968641.38346514</v>
      </c>
      <c r="F100" s="9">
        <f t="shared" ref="F100:F110" si="16" xml:space="preserve"> H99 + D100 - K100</f>
        <v>256057438.8520472</v>
      </c>
      <c r="G100" s="8">
        <v>1.7999999999999999E-2</v>
      </c>
      <c r="H100" s="9">
        <f t="shared" si="15"/>
        <v>260666472.75138405</v>
      </c>
      <c r="I100" s="9"/>
      <c r="J100" s="9">
        <f t="shared" si="13"/>
        <v>280801181.11530477</v>
      </c>
      <c r="K100" s="47">
        <v>0</v>
      </c>
      <c r="L100" s="10"/>
      <c r="M100" s="55"/>
      <c r="S100" s="9"/>
    </row>
    <row r="101" spans="1:19" s="8" customFormat="1" x14ac:dyDescent="0.3">
      <c r="B101" s="80"/>
      <c r="C101" s="8">
        <v>3</v>
      </c>
      <c r="D101" s="9">
        <f>N99</f>
        <v>20134708.3639207</v>
      </c>
      <c r="E101" s="41">
        <f t="shared" si="12"/>
        <v>108283276.92836751</v>
      </c>
      <c r="F101" s="9">
        <f t="shared" si="16"/>
        <v>280801181.11530477</v>
      </c>
      <c r="G101" s="8">
        <v>1.7999999999999999E-2</v>
      </c>
      <c r="H101" s="9">
        <f t="shared" si="15"/>
        <v>285855602.37538028</v>
      </c>
      <c r="I101" s="9"/>
      <c r="J101" s="9">
        <f t="shared" si="13"/>
        <v>305990310.73930097</v>
      </c>
      <c r="K101" s="47">
        <v>0</v>
      </c>
      <c r="L101" s="10"/>
      <c r="M101" s="55"/>
      <c r="S101" s="9"/>
    </row>
    <row r="102" spans="1:19" s="8" customFormat="1" x14ac:dyDescent="0.3">
      <c r="B102" s="80"/>
      <c r="C102" s="8">
        <v>4</v>
      </c>
      <c r="D102" s="9">
        <f>N99</f>
        <v>20134708.3639207</v>
      </c>
      <c r="E102" s="41">
        <f t="shared" si="12"/>
        <v>110639575.91307813</v>
      </c>
      <c r="F102" s="9">
        <f t="shared" si="16"/>
        <v>305990310.73930097</v>
      </c>
      <c r="G102" s="8">
        <v>1.7999999999999999E-2</v>
      </c>
      <c r="H102" s="9">
        <f t="shared" si="15"/>
        <v>311498136.3326084</v>
      </c>
      <c r="I102" s="9"/>
      <c r="J102" s="9">
        <f t="shared" si="13"/>
        <v>331632844.69652909</v>
      </c>
      <c r="K102" s="47">
        <v>0</v>
      </c>
      <c r="L102" s="10"/>
      <c r="M102" s="55"/>
      <c r="S102" s="9"/>
    </row>
    <row r="103" spans="1:19" s="8" customFormat="1" x14ac:dyDescent="0.3">
      <c r="B103" s="80"/>
      <c r="C103" s="8">
        <v>5</v>
      </c>
      <c r="D103" s="9">
        <f>N99</f>
        <v>20134708.3639207</v>
      </c>
      <c r="E103" s="41">
        <f t="shared" si="12"/>
        <v>113038288.27951354</v>
      </c>
      <c r="F103" s="9">
        <f t="shared" si="16"/>
        <v>321410299.87431335</v>
      </c>
      <c r="G103" s="8">
        <v>1.7999999999999999E-2</v>
      </c>
      <c r="H103" s="9">
        <f t="shared" si="15"/>
        <v>327195685.27205098</v>
      </c>
      <c r="I103" s="9"/>
      <c r="J103" s="9">
        <f t="shared" si="13"/>
        <v>347330393.63597167</v>
      </c>
      <c r="K103" s="47">
        <f xml:space="preserve"> Q98</f>
        <v>10222544.822215728</v>
      </c>
      <c r="L103" s="10"/>
      <c r="M103" s="55"/>
      <c r="S103" s="9"/>
    </row>
    <row r="104" spans="1:19" s="8" customFormat="1" x14ac:dyDescent="0.3">
      <c r="B104" s="80"/>
      <c r="C104" s="8">
        <v>6</v>
      </c>
      <c r="D104" s="9">
        <f>N99</f>
        <v>20134708.3639207</v>
      </c>
      <c r="E104" s="41">
        <f t="shared" si="12"/>
        <v>115480177.46854478</v>
      </c>
      <c r="F104" s="9">
        <f t="shared" si="16"/>
        <v>347330393.63597167</v>
      </c>
      <c r="G104" s="8">
        <v>1.7999999999999999E-2</v>
      </c>
      <c r="H104" s="9">
        <f t="shared" si="15"/>
        <v>353582340.72141916</v>
      </c>
      <c r="I104" s="9"/>
      <c r="J104" s="9">
        <f t="shared" si="13"/>
        <v>373717049.08533984</v>
      </c>
      <c r="K104" s="47">
        <v>0</v>
      </c>
      <c r="L104" s="10"/>
      <c r="M104" s="55"/>
      <c r="S104" s="9"/>
    </row>
    <row r="105" spans="1:19" s="8" customFormat="1" x14ac:dyDescent="0.3">
      <c r="B105" s="80"/>
      <c r="C105" s="8">
        <v>7</v>
      </c>
      <c r="D105" s="9">
        <f>N99</f>
        <v>20134708.3639207</v>
      </c>
      <c r="E105" s="41">
        <f t="shared" si="12"/>
        <v>117966020.66297859</v>
      </c>
      <c r="F105" s="9">
        <f t="shared" si="16"/>
        <v>373717049.08533984</v>
      </c>
      <c r="G105" s="8">
        <v>1.7999999999999999E-2</v>
      </c>
      <c r="H105" s="9">
        <f t="shared" si="15"/>
        <v>380443955.96887594</v>
      </c>
      <c r="I105" s="9"/>
      <c r="J105" s="9">
        <f t="shared" si="13"/>
        <v>400578664.33279663</v>
      </c>
      <c r="K105" s="47">
        <v>0</v>
      </c>
      <c r="L105" s="10"/>
      <c r="M105" s="55"/>
      <c r="S105" s="9"/>
    </row>
    <row r="106" spans="1:19" s="8" customFormat="1" x14ac:dyDescent="0.3">
      <c r="B106" s="80"/>
      <c r="C106" s="8">
        <v>8</v>
      </c>
      <c r="D106" s="9">
        <f>N99</f>
        <v>20134708.3639207</v>
      </c>
      <c r="E106" s="41">
        <f t="shared" si="12"/>
        <v>120496609.0349122</v>
      </c>
      <c r="F106" s="9">
        <f t="shared" si="16"/>
        <v>400578664.33279663</v>
      </c>
      <c r="G106" s="8">
        <v>1.7999999999999999E-2</v>
      </c>
      <c r="H106" s="9">
        <f t="shared" si="15"/>
        <v>407789080.29078698</v>
      </c>
      <c r="I106" s="9"/>
      <c r="J106" s="9">
        <f t="shared" si="13"/>
        <v>427923788.65470767</v>
      </c>
      <c r="K106" s="47">
        <v>0</v>
      </c>
      <c r="L106" s="10"/>
      <c r="M106" s="55"/>
      <c r="S106" s="9"/>
    </row>
    <row r="107" spans="1:19" s="8" customFormat="1" x14ac:dyDescent="0.3">
      <c r="B107" s="80"/>
      <c r="C107" s="8">
        <v>9</v>
      </c>
      <c r="D107" s="9">
        <f>N99</f>
        <v>20134708.3639207</v>
      </c>
      <c r="E107" s="41">
        <f t="shared" si="12"/>
        <v>123072747.99754062</v>
      </c>
      <c r="F107" s="9">
        <f t="shared" si="16"/>
        <v>427923788.65470767</v>
      </c>
      <c r="G107" s="8">
        <v>1.7999999999999999E-2</v>
      </c>
      <c r="H107" s="9">
        <f t="shared" si="15"/>
        <v>435626416.85049242</v>
      </c>
      <c r="I107" s="9"/>
      <c r="J107" s="9">
        <f t="shared" si="13"/>
        <v>455761125.21441311</v>
      </c>
      <c r="K107" s="47">
        <v>0</v>
      </c>
      <c r="L107" s="10"/>
      <c r="M107" s="55"/>
      <c r="S107" s="9"/>
    </row>
    <row r="108" spans="1:19" s="8" customFormat="1" x14ac:dyDescent="0.3">
      <c r="B108" s="80"/>
      <c r="C108" s="8">
        <v>10</v>
      </c>
      <c r="D108" s="9">
        <f>N99</f>
        <v>20134708.3639207</v>
      </c>
      <c r="E108" s="41">
        <f t="shared" si="12"/>
        <v>125695257.46149635</v>
      </c>
      <c r="F108" s="9">
        <f t="shared" si="16"/>
        <v>455761125.21441311</v>
      </c>
      <c r="G108" s="8">
        <v>1.7999999999999999E-2</v>
      </c>
      <c r="H108" s="9">
        <f t="shared" si="15"/>
        <v>463964825.46827257</v>
      </c>
      <c r="I108" s="9"/>
      <c r="J108" s="9">
        <f t="shared" si="13"/>
        <v>484099533.83219326</v>
      </c>
      <c r="K108" s="47">
        <v>0</v>
      </c>
      <c r="L108" s="10"/>
      <c r="M108" s="55"/>
      <c r="S108" s="9"/>
    </row>
    <row r="109" spans="1:19" s="8" customFormat="1" x14ac:dyDescent="0.3">
      <c r="B109" s="80"/>
      <c r="C109" s="8">
        <v>11</v>
      </c>
      <c r="D109" s="9">
        <f>N99</f>
        <v>20134708.3639207</v>
      </c>
      <c r="E109" s="41">
        <f t="shared" si="12"/>
        <v>128364972.09580329</v>
      </c>
      <c r="F109" s="9">
        <f t="shared" si="16"/>
        <v>484099533.83219326</v>
      </c>
      <c r="G109" s="8">
        <v>1.7999999999999999E-2</v>
      </c>
      <c r="H109" s="9">
        <f t="shared" si="15"/>
        <v>492813325.44117272</v>
      </c>
      <c r="I109" s="9"/>
      <c r="J109" s="9">
        <f t="shared" si="13"/>
        <v>512948033.80509341</v>
      </c>
      <c r="K109" s="47">
        <v>0</v>
      </c>
      <c r="L109" s="10"/>
      <c r="M109" s="55"/>
      <c r="S109" s="9"/>
    </row>
    <row r="110" spans="1:19" s="18" customFormat="1" x14ac:dyDescent="0.3">
      <c r="B110" s="80"/>
      <c r="C110" s="18">
        <v>12</v>
      </c>
      <c r="D110" s="19">
        <f>N99</f>
        <v>20134708.3639207</v>
      </c>
      <c r="E110" s="19">
        <f t="shared" si="12"/>
        <v>131082741.59352775</v>
      </c>
      <c r="F110" s="19">
        <f t="shared" si="16"/>
        <v>512948033.80509341</v>
      </c>
      <c r="G110" s="18">
        <v>1.7999999999999999E-2</v>
      </c>
      <c r="H110" s="19">
        <f t="shared" si="15"/>
        <v>522181098.41358507</v>
      </c>
      <c r="I110" s="19">
        <f xml:space="preserve"> H110</f>
        <v>522181098.41358507</v>
      </c>
      <c r="J110" s="9">
        <f t="shared" si="13"/>
        <v>542315806.77750576</v>
      </c>
      <c r="K110" s="50">
        <v>0</v>
      </c>
      <c r="L110" s="20">
        <f xml:space="preserve"> I110 / 2</f>
        <v>261090549.20679253</v>
      </c>
      <c r="M110" s="58">
        <f xml:space="preserve"> (F99 + SUM(D100:D110)) - SUM(K100:K110)</f>
        <v>443010455.91188103</v>
      </c>
      <c r="N110" s="19">
        <f xml:space="preserve"> H110 - M110</f>
        <v>79170642.501704037</v>
      </c>
      <c r="O110" s="18">
        <v>0.84</v>
      </c>
      <c r="P110" s="19">
        <f xml:space="preserve"> N110 * O110</f>
        <v>66503339.701431386</v>
      </c>
      <c r="Q110" s="19">
        <f xml:space="preserve"> N110 - P110</f>
        <v>12667302.800272651</v>
      </c>
      <c r="R110" s="18">
        <f xml:space="preserve"> N110 / M110 * 100</f>
        <v>17.87105506093333</v>
      </c>
      <c r="S110" s="19"/>
    </row>
    <row r="111" spans="1:19" s="8" customFormat="1" x14ac:dyDescent="0.3">
      <c r="A111" s="8">
        <v>10</v>
      </c>
      <c r="B111" s="80">
        <v>2031</v>
      </c>
      <c r="C111" s="8">
        <v>1</v>
      </c>
      <c r="D111" s="9">
        <f>N111</f>
        <v>24257545.767232712</v>
      </c>
      <c r="E111" s="41">
        <f t="shared" si="12"/>
        <v>133849430.94221126</v>
      </c>
      <c r="F111" s="9">
        <f xml:space="preserve"> (H110 / 2) + D111 - K111</f>
        <v>285348094.97402525</v>
      </c>
      <c r="G111" s="8">
        <v>1.7999999999999999E-2</v>
      </c>
      <c r="H111" s="9">
        <f t="shared" si="15"/>
        <v>290484360.68355769</v>
      </c>
      <c r="I111" s="9"/>
      <c r="J111" s="9">
        <f t="shared" si="13"/>
        <v>314741906.45079041</v>
      </c>
      <c r="K111" s="47">
        <v>0</v>
      </c>
      <c r="L111" s="10"/>
      <c r="M111" s="55"/>
      <c r="N111" s="11">
        <f xml:space="preserve"> (L110 / 12) +2500000</f>
        <v>24257545.767232712</v>
      </c>
      <c r="P111" s="9">
        <f xml:space="preserve"> (H110 / 2 )</f>
        <v>261090549.20679253</v>
      </c>
      <c r="S111" s="9"/>
    </row>
    <row r="112" spans="1:19" s="8" customFormat="1" x14ac:dyDescent="0.3">
      <c r="B112" s="80"/>
      <c r="C112" s="8">
        <v>2</v>
      </c>
      <c r="D112" s="9">
        <f>N111</f>
        <v>24257545.767232712</v>
      </c>
      <c r="E112" s="41">
        <f t="shared" si="12"/>
        <v>136665920.69917107</v>
      </c>
      <c r="F112" s="9">
        <f t="shared" ref="F112:F122" si="17" xml:space="preserve"> H111 + D112 - K112</f>
        <v>314741906.45079041</v>
      </c>
      <c r="G112" s="8">
        <v>1.7999999999999999E-2</v>
      </c>
      <c r="H112" s="9">
        <f t="shared" si="15"/>
        <v>320407260.76690465</v>
      </c>
      <c r="I112" s="9"/>
      <c r="J112" s="9">
        <f t="shared" si="13"/>
        <v>344664806.53413737</v>
      </c>
      <c r="K112" s="47">
        <v>0</v>
      </c>
      <c r="L112" s="10"/>
      <c r="M112" s="55"/>
      <c r="S112" s="9"/>
    </row>
    <row r="113" spans="1:19" s="8" customFormat="1" x14ac:dyDescent="0.3">
      <c r="B113" s="80"/>
      <c r="C113" s="8">
        <v>3</v>
      </c>
      <c r="D113" s="9">
        <f>N111</f>
        <v>24257545.767232712</v>
      </c>
      <c r="E113" s="41">
        <f t="shared" si="12"/>
        <v>139533107.27175614</v>
      </c>
      <c r="F113" s="9">
        <f t="shared" si="17"/>
        <v>344664806.53413737</v>
      </c>
      <c r="G113" s="8">
        <v>1.7999999999999999E-2</v>
      </c>
      <c r="H113" s="9">
        <f t="shared" si="15"/>
        <v>350868773.05175185</v>
      </c>
      <c r="I113" s="9"/>
      <c r="J113" s="9">
        <f t="shared" si="13"/>
        <v>375126318.81898457</v>
      </c>
      <c r="K113" s="47">
        <v>0</v>
      </c>
      <c r="L113" s="10"/>
      <c r="M113" s="55"/>
      <c r="S113" s="9"/>
    </row>
    <row r="114" spans="1:19" s="8" customFormat="1" x14ac:dyDescent="0.3">
      <c r="B114" s="80"/>
      <c r="C114" s="8">
        <v>4</v>
      </c>
      <c r="D114" s="9">
        <f>N111</f>
        <v>24257545.767232712</v>
      </c>
      <c r="E114" s="41">
        <f t="shared" si="12"/>
        <v>142451903.20264775</v>
      </c>
      <c r="F114" s="9">
        <f t="shared" si="17"/>
        <v>375126318.81898457</v>
      </c>
      <c r="G114" s="8">
        <v>1.7999999999999999E-2</v>
      </c>
      <c r="H114" s="9">
        <f t="shared" si="15"/>
        <v>381878592.55772626</v>
      </c>
      <c r="I114" s="9"/>
      <c r="J114" s="9">
        <f t="shared" si="13"/>
        <v>406136138.32495898</v>
      </c>
      <c r="K114" s="47">
        <v>0</v>
      </c>
      <c r="L114" s="10"/>
      <c r="M114" s="55"/>
      <c r="S114" s="9"/>
    </row>
    <row r="115" spans="1:19" s="8" customFormat="1" x14ac:dyDescent="0.3">
      <c r="B115" s="80"/>
      <c r="C115" s="8">
        <v>5</v>
      </c>
      <c r="D115" s="9">
        <f>N111</f>
        <v>24257545.767232712</v>
      </c>
      <c r="E115" s="41">
        <f t="shared" si="12"/>
        <v>145423237.46029541</v>
      </c>
      <c r="F115" s="9">
        <f t="shared" si="17"/>
        <v>393468835.52468634</v>
      </c>
      <c r="G115" s="8">
        <v>1.7999999999999999E-2</v>
      </c>
      <c r="H115" s="9">
        <f t="shared" si="15"/>
        <v>400551274.56413066</v>
      </c>
      <c r="I115" s="9"/>
      <c r="J115" s="9">
        <f t="shared" si="13"/>
        <v>424808820.33136338</v>
      </c>
      <c r="K115" s="47">
        <f xml:space="preserve"> Q110</f>
        <v>12667302.800272651</v>
      </c>
      <c r="L115" s="10"/>
      <c r="M115" s="55"/>
      <c r="S115" s="9"/>
    </row>
    <row r="116" spans="1:19" s="8" customFormat="1" x14ac:dyDescent="0.3">
      <c r="B116" s="80"/>
      <c r="C116" s="8">
        <v>6</v>
      </c>
      <c r="D116" s="9">
        <f>N111</f>
        <v>24257545.767232712</v>
      </c>
      <c r="E116" s="41">
        <f t="shared" si="12"/>
        <v>148448055.73458073</v>
      </c>
      <c r="F116" s="9">
        <f t="shared" si="17"/>
        <v>424808820.33136338</v>
      </c>
      <c r="G116" s="8">
        <v>1.7999999999999999E-2</v>
      </c>
      <c r="H116" s="9">
        <f t="shared" si="15"/>
        <v>432455379.09732795</v>
      </c>
      <c r="I116" s="9"/>
      <c r="J116" s="9">
        <f t="shared" si="13"/>
        <v>456712924.86456066</v>
      </c>
      <c r="K116" s="47">
        <v>0</v>
      </c>
      <c r="L116" s="10"/>
      <c r="M116" s="55"/>
      <c r="S116" s="9"/>
    </row>
    <row r="117" spans="1:19" s="8" customFormat="1" x14ac:dyDescent="0.3">
      <c r="B117" s="80"/>
      <c r="C117" s="8">
        <v>7</v>
      </c>
      <c r="D117" s="9">
        <f>N111</f>
        <v>24257545.767232712</v>
      </c>
      <c r="E117" s="41">
        <f t="shared" si="12"/>
        <v>151527320.73780319</v>
      </c>
      <c r="F117" s="9">
        <f t="shared" si="17"/>
        <v>456712924.86456066</v>
      </c>
      <c r="G117" s="8">
        <v>1.7999999999999999E-2</v>
      </c>
      <c r="H117" s="9">
        <f t="shared" si="15"/>
        <v>464933757.51212275</v>
      </c>
      <c r="I117" s="9"/>
      <c r="J117" s="9">
        <f t="shared" si="13"/>
        <v>489191303.27935547</v>
      </c>
      <c r="K117" s="47">
        <v>0</v>
      </c>
      <c r="L117" s="10"/>
      <c r="M117" s="55"/>
      <c r="S117" s="9"/>
    </row>
    <row r="118" spans="1:19" s="8" customFormat="1" x14ac:dyDescent="0.3">
      <c r="B118" s="80"/>
      <c r="C118" s="8">
        <v>8</v>
      </c>
      <c r="D118" s="9">
        <f>N111</f>
        <v>24257545.767232712</v>
      </c>
      <c r="E118" s="41">
        <f t="shared" si="12"/>
        <v>154662012.51108366</v>
      </c>
      <c r="F118" s="9">
        <f t="shared" si="17"/>
        <v>489191303.27935547</v>
      </c>
      <c r="G118" s="8">
        <v>1.7999999999999999E-2</v>
      </c>
      <c r="H118" s="9">
        <f t="shared" si="15"/>
        <v>497996746.73838389</v>
      </c>
      <c r="I118" s="9"/>
      <c r="J118" s="9">
        <f t="shared" si="13"/>
        <v>522254292.50561661</v>
      </c>
      <c r="K118" s="47">
        <v>0</v>
      </c>
      <c r="L118" s="10"/>
      <c r="M118" s="55"/>
      <c r="S118" s="9"/>
    </row>
    <row r="119" spans="1:19" s="8" customFormat="1" x14ac:dyDescent="0.3">
      <c r="B119" s="80"/>
      <c r="C119" s="8">
        <v>9</v>
      </c>
      <c r="D119" s="9">
        <f>N111</f>
        <v>24257545.767232712</v>
      </c>
      <c r="E119" s="41">
        <f t="shared" si="12"/>
        <v>157853128.73628318</v>
      </c>
      <c r="F119" s="9">
        <f t="shared" si="17"/>
        <v>522254292.50561661</v>
      </c>
      <c r="G119" s="8">
        <v>1.7999999999999999E-2</v>
      </c>
      <c r="H119" s="9">
        <f t="shared" si="15"/>
        <v>531654869.77071768</v>
      </c>
      <c r="I119" s="9"/>
      <c r="J119" s="9">
        <f t="shared" si="13"/>
        <v>555912415.5379504</v>
      </c>
      <c r="K119" s="47">
        <v>0</v>
      </c>
      <c r="L119" s="10"/>
      <c r="M119" s="55"/>
      <c r="S119" s="9"/>
    </row>
    <row r="120" spans="1:19" s="8" customFormat="1" x14ac:dyDescent="0.3">
      <c r="B120" s="80"/>
      <c r="C120" s="8">
        <v>10</v>
      </c>
      <c r="D120" s="9">
        <f>N111</f>
        <v>24257545.767232712</v>
      </c>
      <c r="E120" s="41">
        <f t="shared" si="12"/>
        <v>161101685.05353627</v>
      </c>
      <c r="F120" s="9">
        <f t="shared" si="17"/>
        <v>555912415.5379504</v>
      </c>
      <c r="G120" s="8">
        <v>1.7999999999999999E-2</v>
      </c>
      <c r="H120" s="9">
        <f t="shared" si="15"/>
        <v>565918839.01763356</v>
      </c>
      <c r="I120" s="9"/>
      <c r="J120" s="9">
        <f t="shared" si="13"/>
        <v>590176384.78486621</v>
      </c>
      <c r="K120" s="47">
        <v>0</v>
      </c>
      <c r="L120" s="10"/>
      <c r="M120" s="55"/>
      <c r="S120" s="9"/>
    </row>
    <row r="121" spans="1:19" s="8" customFormat="1" x14ac:dyDescent="0.3">
      <c r="B121" s="80"/>
      <c r="C121" s="8">
        <v>11</v>
      </c>
      <c r="D121" s="9">
        <f>N111</f>
        <v>24257545.767232712</v>
      </c>
      <c r="E121" s="41">
        <f t="shared" si="12"/>
        <v>164408715.38449991</v>
      </c>
      <c r="F121" s="9">
        <f t="shared" si="17"/>
        <v>590176384.78486621</v>
      </c>
      <c r="G121" s="8">
        <v>1.7999999999999999E-2</v>
      </c>
      <c r="H121" s="9">
        <f t="shared" si="15"/>
        <v>600799559.71099377</v>
      </c>
      <c r="I121" s="9"/>
      <c r="J121" s="9">
        <f t="shared" si="13"/>
        <v>625057105.47822642</v>
      </c>
      <c r="K121" s="47">
        <v>0</v>
      </c>
      <c r="L121" s="10"/>
      <c r="M121" s="55"/>
      <c r="S121" s="9"/>
    </row>
    <row r="122" spans="1:19" s="18" customFormat="1" x14ac:dyDescent="0.3">
      <c r="B122" s="80"/>
      <c r="C122" s="18">
        <v>12</v>
      </c>
      <c r="D122" s="19">
        <f>N111</f>
        <v>24257545.767232712</v>
      </c>
      <c r="E122" s="19">
        <f t="shared" si="12"/>
        <v>167775272.26142091</v>
      </c>
      <c r="F122" s="19">
        <f t="shared" si="17"/>
        <v>625057105.47822642</v>
      </c>
      <c r="G122" s="18">
        <v>1.7999999999999999E-2</v>
      </c>
      <c r="H122" s="19">
        <f t="shared" si="15"/>
        <v>636308133.37683451</v>
      </c>
      <c r="I122" s="19">
        <f xml:space="preserve"> H122</f>
        <v>636308133.37683451</v>
      </c>
      <c r="J122" s="9">
        <f t="shared" si="13"/>
        <v>660565679.14406717</v>
      </c>
      <c r="K122" s="50">
        <v>0</v>
      </c>
      <c r="L122" s="20">
        <f xml:space="preserve"> I122 / 2</f>
        <v>318154066.68841726</v>
      </c>
      <c r="M122" s="58">
        <f xml:space="preserve"> (F111 + SUM(D112:D122)) - SUM(K112:K122)</f>
        <v>539513795.61331236</v>
      </c>
      <c r="N122" s="19">
        <f xml:space="preserve"> H122 - M122</f>
        <v>96794337.763522148</v>
      </c>
      <c r="O122" s="18">
        <v>0.84</v>
      </c>
      <c r="P122" s="19">
        <f xml:space="preserve"> N122 * O122</f>
        <v>81307243.721358597</v>
      </c>
      <c r="Q122" s="19">
        <f xml:space="preserve"> N122 - P122</f>
        <v>15487094.042163551</v>
      </c>
      <c r="R122" s="18">
        <f xml:space="preserve"> N122 / M122 * 100</f>
        <v>17.94103108215937</v>
      </c>
      <c r="S122" s="19"/>
    </row>
    <row r="123" spans="1:19" s="8" customFormat="1" x14ac:dyDescent="0.3">
      <c r="A123" s="8">
        <v>11</v>
      </c>
      <c r="B123" s="80">
        <v>2032</v>
      </c>
      <c r="C123" s="8">
        <v>1</v>
      </c>
      <c r="D123" s="9">
        <f>N123</f>
        <v>29012838.890701439</v>
      </c>
      <c r="E123" s="41">
        <f t="shared" si="12"/>
        <v>171202427.16212648</v>
      </c>
      <c r="F123" s="9">
        <f xml:space="preserve"> (H122 / 2) + D123 - K123</f>
        <v>347166905.57911867</v>
      </c>
      <c r="G123" s="8">
        <v>1.7999999999999999E-2</v>
      </c>
      <c r="H123" s="9">
        <f t="shared" si="15"/>
        <v>353415909.87954283</v>
      </c>
      <c r="I123" s="9"/>
      <c r="J123" s="9">
        <f t="shared" si="13"/>
        <v>382428748.77024424</v>
      </c>
      <c r="K123" s="47"/>
      <c r="L123" s="10"/>
      <c r="M123" s="55"/>
      <c r="N123" s="11">
        <f xml:space="preserve"> (L122 / 12) +2500000</f>
        <v>29012838.890701439</v>
      </c>
      <c r="P123" s="9">
        <f xml:space="preserve"> (H122 / 2 )</f>
        <v>318154066.68841726</v>
      </c>
      <c r="S123" s="9"/>
    </row>
    <row r="124" spans="1:19" s="8" customFormat="1" x14ac:dyDescent="0.3">
      <c r="B124" s="80"/>
      <c r="C124" s="8">
        <v>2</v>
      </c>
      <c r="D124" s="9">
        <f>N123</f>
        <v>29012838.890701439</v>
      </c>
      <c r="E124" s="41">
        <f t="shared" si="12"/>
        <v>174691270.85104474</v>
      </c>
      <c r="F124" s="9">
        <f t="shared" ref="F124:F134" si="18" xml:space="preserve"> H123 + D124 - K124</f>
        <v>382428748.77024424</v>
      </c>
      <c r="G124" s="8">
        <v>1.7999999999999999E-2</v>
      </c>
      <c r="H124" s="9">
        <f t="shared" si="15"/>
        <v>389312466.24810863</v>
      </c>
      <c r="I124" s="9"/>
      <c r="J124" s="9">
        <f t="shared" si="13"/>
        <v>418325305.13881004</v>
      </c>
      <c r="K124" s="47"/>
      <c r="L124" s="10"/>
      <c r="M124" s="55"/>
      <c r="S124" s="9"/>
    </row>
    <row r="125" spans="1:19" s="8" customFormat="1" x14ac:dyDescent="0.3">
      <c r="B125" s="80"/>
      <c r="C125" s="8">
        <v>3</v>
      </c>
      <c r="D125" s="9">
        <f>N123</f>
        <v>29012838.890701439</v>
      </c>
      <c r="E125" s="41">
        <f t="shared" si="12"/>
        <v>178242913.72636354</v>
      </c>
      <c r="F125" s="9">
        <f t="shared" si="18"/>
        <v>418325305.13881004</v>
      </c>
      <c r="G125" s="8">
        <v>1.7999999999999999E-2</v>
      </c>
      <c r="H125" s="9">
        <f t="shared" si="15"/>
        <v>425855160.63130862</v>
      </c>
      <c r="I125" s="9"/>
      <c r="J125" s="9">
        <f t="shared" si="13"/>
        <v>454867999.52201003</v>
      </c>
      <c r="K125" s="47"/>
      <c r="L125" s="10"/>
      <c r="M125" s="55"/>
      <c r="S125" s="9"/>
    </row>
    <row r="126" spans="1:19" s="8" customFormat="1" x14ac:dyDescent="0.3">
      <c r="B126" s="80"/>
      <c r="C126" s="8">
        <v>4</v>
      </c>
      <c r="D126" s="9">
        <f>N123</f>
        <v>29012838.890701439</v>
      </c>
      <c r="E126" s="41">
        <f t="shared" si="12"/>
        <v>181858486.17343807</v>
      </c>
      <c r="F126" s="9">
        <f t="shared" si="18"/>
        <v>454867999.52201003</v>
      </c>
      <c r="G126" s="8">
        <v>1.7999999999999999E-2</v>
      </c>
      <c r="H126" s="9">
        <f t="shared" si="15"/>
        <v>463055623.51340622</v>
      </c>
      <c r="I126" s="9"/>
      <c r="J126" s="9">
        <f t="shared" si="13"/>
        <v>492068462.40410763</v>
      </c>
      <c r="K126" s="47"/>
      <c r="L126" s="10"/>
      <c r="M126" s="55"/>
      <c r="S126" s="9"/>
    </row>
    <row r="127" spans="1:19" s="8" customFormat="1" x14ac:dyDescent="0.3">
      <c r="B127" s="80"/>
      <c r="C127" s="8">
        <v>5</v>
      </c>
      <c r="D127" s="9">
        <f>N123</f>
        <v>29012838.890701439</v>
      </c>
      <c r="E127" s="41">
        <f t="shared" si="12"/>
        <v>185539138.92455995</v>
      </c>
      <c r="F127" s="9">
        <f t="shared" si="18"/>
        <v>476581368.36194408</v>
      </c>
      <c r="G127" s="8">
        <v>1.7999999999999999E-2</v>
      </c>
      <c r="H127" s="9">
        <f t="shared" si="15"/>
        <v>485159832.99245906</v>
      </c>
      <c r="I127" s="9"/>
      <c r="J127" s="9">
        <f t="shared" si="13"/>
        <v>514172671.88316047</v>
      </c>
      <c r="K127" s="47">
        <f xml:space="preserve"> Q122</f>
        <v>15487094.042163551</v>
      </c>
      <c r="L127" s="10"/>
      <c r="M127" s="55"/>
      <c r="S127" s="9"/>
    </row>
    <row r="128" spans="1:19" s="8" customFormat="1" x14ac:dyDescent="0.3">
      <c r="B128" s="80"/>
      <c r="C128" s="8">
        <v>6</v>
      </c>
      <c r="D128" s="9">
        <f>N123</f>
        <v>29012838.890701439</v>
      </c>
      <c r="E128" s="41">
        <f t="shared" si="12"/>
        <v>189286043.42520204</v>
      </c>
      <c r="F128" s="9">
        <f t="shared" si="18"/>
        <v>514172671.88316047</v>
      </c>
      <c r="G128" s="8">
        <v>1.7999999999999999E-2</v>
      </c>
      <c r="H128" s="9">
        <f t="shared" si="15"/>
        <v>523427779.97705734</v>
      </c>
      <c r="I128" s="9"/>
      <c r="J128" s="9">
        <f t="shared" si="13"/>
        <v>552440618.86775875</v>
      </c>
      <c r="K128" s="47"/>
      <c r="L128" s="10"/>
      <c r="M128" s="55"/>
      <c r="S128" s="9"/>
    </row>
    <row r="129" spans="1:19" s="8" customFormat="1" x14ac:dyDescent="0.3">
      <c r="B129" s="80"/>
      <c r="C129" s="8">
        <v>7</v>
      </c>
      <c r="D129" s="9">
        <f>N123</f>
        <v>29012838.890701439</v>
      </c>
      <c r="E129" s="41">
        <f t="shared" si="12"/>
        <v>193100392.20685568</v>
      </c>
      <c r="F129" s="9">
        <f t="shared" si="18"/>
        <v>552440618.86775875</v>
      </c>
      <c r="G129" s="8">
        <v>1.7999999999999999E-2</v>
      </c>
      <c r="H129" s="9">
        <f t="shared" si="15"/>
        <v>562384550.00737846</v>
      </c>
      <c r="I129" s="9"/>
      <c r="J129" s="9">
        <f t="shared" si="13"/>
        <v>591397388.89807987</v>
      </c>
      <c r="K129" s="47"/>
      <c r="L129" s="10"/>
      <c r="M129" s="55"/>
      <c r="S129" s="9"/>
    </row>
    <row r="130" spans="1:19" s="8" customFormat="1" x14ac:dyDescent="0.3">
      <c r="B130" s="80"/>
      <c r="C130" s="8">
        <v>8</v>
      </c>
      <c r="D130" s="9">
        <f>N123</f>
        <v>29012838.890701439</v>
      </c>
      <c r="E130" s="41">
        <f t="shared" si="12"/>
        <v>196983399.26657909</v>
      </c>
      <c r="F130" s="9">
        <f t="shared" si="18"/>
        <v>591397388.89807987</v>
      </c>
      <c r="G130" s="8">
        <v>1.7999999999999999E-2</v>
      </c>
      <c r="H130" s="9">
        <f t="shared" si="15"/>
        <v>602042541.89824533</v>
      </c>
      <c r="I130" s="9"/>
      <c r="J130" s="9">
        <f t="shared" si="13"/>
        <v>631055380.78894675</v>
      </c>
      <c r="K130" s="47"/>
      <c r="L130" s="10"/>
      <c r="M130" s="55"/>
      <c r="S130" s="9"/>
    </row>
    <row r="131" spans="1:19" s="8" customFormat="1" x14ac:dyDescent="0.3">
      <c r="B131" s="80"/>
      <c r="C131" s="8">
        <v>9</v>
      </c>
      <c r="D131" s="9">
        <f>N123</f>
        <v>29012838.890701439</v>
      </c>
      <c r="E131" s="41">
        <f t="shared" si="12"/>
        <v>200936300.45337752</v>
      </c>
      <c r="F131" s="9">
        <f t="shared" si="18"/>
        <v>631055380.78894675</v>
      </c>
      <c r="G131" s="8">
        <v>1.7999999999999999E-2</v>
      </c>
      <c r="H131" s="9">
        <f t="shared" si="15"/>
        <v>642414377.64314783</v>
      </c>
      <c r="I131" s="9"/>
      <c r="J131" s="9">
        <f t="shared" si="13"/>
        <v>671427216.53384924</v>
      </c>
      <c r="K131" s="47"/>
      <c r="L131" s="10"/>
      <c r="M131" s="55"/>
      <c r="S131" s="9"/>
    </row>
    <row r="132" spans="1:19" s="8" customFormat="1" x14ac:dyDescent="0.3">
      <c r="B132" s="80"/>
      <c r="C132" s="8">
        <v>10</v>
      </c>
      <c r="D132" s="9">
        <f>N123</f>
        <v>29012838.890701439</v>
      </c>
      <c r="E132" s="41">
        <f t="shared" si="12"/>
        <v>204960353.86153832</v>
      </c>
      <c r="F132" s="9">
        <f t="shared" si="18"/>
        <v>671427216.53384924</v>
      </c>
      <c r="G132" s="8">
        <v>1.7999999999999999E-2</v>
      </c>
      <c r="H132" s="9">
        <f t="shared" si="15"/>
        <v>683512906.43145847</v>
      </c>
      <c r="I132" s="9"/>
      <c r="J132" s="9">
        <f t="shared" si="13"/>
        <v>712525745.32215989</v>
      </c>
      <c r="K132" s="47"/>
      <c r="L132" s="10"/>
      <c r="M132" s="55"/>
      <c r="S132" s="9"/>
    </row>
    <row r="133" spans="1:19" s="8" customFormat="1" x14ac:dyDescent="0.3">
      <c r="B133" s="80"/>
      <c r="C133" s="8">
        <v>11</v>
      </c>
      <c r="D133" s="9">
        <f>N123</f>
        <v>29012838.890701439</v>
      </c>
      <c r="E133" s="41">
        <f t="shared" si="12"/>
        <v>209056840.23104602</v>
      </c>
      <c r="F133" s="9">
        <f t="shared" si="18"/>
        <v>712525745.32215989</v>
      </c>
      <c r="G133" s="8">
        <v>1.7999999999999999E-2</v>
      </c>
      <c r="H133" s="9">
        <f t="shared" si="15"/>
        <v>725351208.73795879</v>
      </c>
      <c r="I133" s="9"/>
      <c r="J133" s="9">
        <f t="shared" si="13"/>
        <v>754364047.6286602</v>
      </c>
      <c r="K133" s="47"/>
      <c r="L133" s="10"/>
      <c r="M133" s="55"/>
      <c r="S133" s="9"/>
    </row>
    <row r="134" spans="1:19" s="18" customFormat="1" x14ac:dyDescent="0.3">
      <c r="B134" s="80"/>
      <c r="C134" s="18">
        <v>12</v>
      </c>
      <c r="D134" s="19">
        <f>N123</f>
        <v>29012838.890701439</v>
      </c>
      <c r="E134" s="19">
        <f t="shared" si="12"/>
        <v>213227063.35520485</v>
      </c>
      <c r="F134" s="19">
        <f t="shared" si="18"/>
        <v>718364047.6286602</v>
      </c>
      <c r="G134" s="18">
        <v>1.7999999999999999E-2</v>
      </c>
      <c r="H134" s="19">
        <f t="shared" si="15"/>
        <v>731294600.4859761</v>
      </c>
      <c r="I134" s="19">
        <f xml:space="preserve"> H134</f>
        <v>731294600.4859761</v>
      </c>
      <c r="J134" s="9">
        <f t="shared" si="13"/>
        <v>760307439.37667751</v>
      </c>
      <c r="K134" s="51">
        <v>36000000</v>
      </c>
      <c r="L134" s="20">
        <f xml:space="preserve"> (I134-K134) / 2</f>
        <v>347647300.24298805</v>
      </c>
      <c r="M134" s="58">
        <f xml:space="preserve"> (F123 + SUM(D124:D134)) - SUM(K124:K134)</f>
        <v>614821039.33467078</v>
      </c>
      <c r="N134" s="19">
        <f xml:space="preserve"> H134 - M134</f>
        <v>116473561.15130532</v>
      </c>
      <c r="O134" s="18">
        <v>0.84</v>
      </c>
      <c r="P134" s="19">
        <f xml:space="preserve"> N134 * O134</f>
        <v>97837791.367096469</v>
      </c>
      <c r="Q134" s="19">
        <f xml:space="preserve"> N134 - P134</f>
        <v>18635769.784208849</v>
      </c>
      <c r="R134" s="18">
        <f xml:space="preserve"> N134 / M134 * 100</f>
        <v>18.944303089781588</v>
      </c>
      <c r="S134" s="19"/>
    </row>
    <row r="135" spans="1:19" s="12" customFormat="1" x14ac:dyDescent="0.3">
      <c r="A135" s="12">
        <v>12</v>
      </c>
      <c r="B135" s="79">
        <v>2033</v>
      </c>
      <c r="C135" s="12">
        <v>1</v>
      </c>
      <c r="D135" s="13">
        <f>N135</f>
        <v>31470608.353582337</v>
      </c>
      <c r="E135" s="41">
        <f xml:space="preserve"> (E134) + ((E134) * G135 )</f>
        <v>217065150.49559852</v>
      </c>
      <c r="F135" s="13">
        <f xml:space="preserve"> (H134 / 2) + D135 - K135</f>
        <v>397117908.59657037</v>
      </c>
      <c r="G135" s="12">
        <v>1.7999999999999999E-2</v>
      </c>
      <c r="H135" s="13">
        <f t="shared" si="15"/>
        <v>404266030.95130867</v>
      </c>
      <c r="I135" s="13"/>
      <c r="J135" s="9">
        <f t="shared" si="13"/>
        <v>435736639.30489099</v>
      </c>
      <c r="K135" s="48">
        <v>0</v>
      </c>
      <c r="L135" s="14"/>
      <c r="M135" s="56"/>
      <c r="N135" s="11">
        <f xml:space="preserve"> (L134 / 12) +2500000</f>
        <v>31470608.353582337</v>
      </c>
      <c r="P135" s="13">
        <f xml:space="preserve"> (H134 - K135) / 2</f>
        <v>365647300.24298805</v>
      </c>
      <c r="Q135" s="16" t="s">
        <v>0</v>
      </c>
      <c r="S135" s="13"/>
    </row>
    <row r="136" spans="1:19" s="12" customFormat="1" x14ac:dyDescent="0.3">
      <c r="B136" s="79"/>
      <c r="C136" s="12">
        <v>2</v>
      </c>
      <c r="D136" s="13">
        <f>N135</f>
        <v>31470608.353582337</v>
      </c>
      <c r="E136" s="41">
        <f xml:space="preserve"> (E135) + ((E135) * G136 )</f>
        <v>220972323.2045193</v>
      </c>
      <c r="F136" s="13">
        <f t="shared" ref="F136:F146" si="19" xml:space="preserve"> H135 + D136 - K136</f>
        <v>435736639.30489099</v>
      </c>
      <c r="G136" s="12">
        <v>1.7999999999999999E-2</v>
      </c>
      <c r="H136" s="13">
        <f t="shared" si="15"/>
        <v>443579898.812379</v>
      </c>
      <c r="I136" s="13"/>
      <c r="J136" s="9">
        <f t="shared" si="13"/>
        <v>475050507.16596133</v>
      </c>
      <c r="K136" s="48"/>
      <c r="L136" s="14"/>
      <c r="M136" s="56"/>
      <c r="S136" s="13"/>
    </row>
    <row r="137" spans="1:19" s="12" customFormat="1" x14ac:dyDescent="0.3">
      <c r="B137" s="79"/>
      <c r="C137" s="12">
        <v>3</v>
      </c>
      <c r="D137" s="13">
        <f>N135</f>
        <v>31470608.353582337</v>
      </c>
      <c r="E137" s="41">
        <f t="shared" ref="E137:E194" si="20" xml:space="preserve"> (E136) + ((E136) * G137 )</f>
        <v>224949825.02220064</v>
      </c>
      <c r="F137" s="13">
        <f t="shared" si="19"/>
        <v>475050507.16596133</v>
      </c>
      <c r="G137" s="12">
        <v>1.7999999999999999E-2</v>
      </c>
      <c r="H137" s="13">
        <f t="shared" si="15"/>
        <v>483601416.29494864</v>
      </c>
      <c r="I137" s="13"/>
      <c r="J137" s="9">
        <f t="shared" si="13"/>
        <v>515072024.64853096</v>
      </c>
      <c r="K137" s="48"/>
      <c r="L137" s="14"/>
      <c r="M137" s="56"/>
      <c r="S137" s="13"/>
    </row>
    <row r="138" spans="1:19" s="12" customFormat="1" x14ac:dyDescent="0.3">
      <c r="B138" s="79"/>
      <c r="C138" s="12">
        <v>4</v>
      </c>
      <c r="D138" s="13">
        <f>N135</f>
        <v>31470608.353582337</v>
      </c>
      <c r="E138" s="41">
        <f t="shared" si="20"/>
        <v>228998921.87260026</v>
      </c>
      <c r="F138" s="13">
        <f t="shared" si="19"/>
        <v>515072024.64853096</v>
      </c>
      <c r="G138" s="12">
        <v>1.7999999999999999E-2</v>
      </c>
      <c r="H138" s="13">
        <f t="shared" si="15"/>
        <v>524343321.09220451</v>
      </c>
      <c r="I138" s="13"/>
      <c r="J138" s="9">
        <f t="shared" si="13"/>
        <v>555813929.44578683</v>
      </c>
      <c r="K138" s="48"/>
      <c r="L138" s="14"/>
      <c r="M138" s="56"/>
      <c r="S138" s="13"/>
    </row>
    <row r="139" spans="1:19" s="12" customFormat="1" x14ac:dyDescent="0.3">
      <c r="B139" s="79"/>
      <c r="C139" s="12">
        <v>5</v>
      </c>
      <c r="D139" s="13">
        <f>N135</f>
        <v>31470608.353582337</v>
      </c>
      <c r="E139" s="41">
        <f t="shared" si="20"/>
        <v>233120902.46630707</v>
      </c>
      <c r="F139" s="13">
        <f t="shared" si="19"/>
        <v>537178159.66157794</v>
      </c>
      <c r="G139" s="12">
        <v>1.7999999999999999E-2</v>
      </c>
      <c r="H139" s="13">
        <f t="shared" si="15"/>
        <v>546847366.53548634</v>
      </c>
      <c r="I139" s="13"/>
      <c r="J139" s="9">
        <f t="shared" si="13"/>
        <v>578317974.88906872</v>
      </c>
      <c r="K139" s="48">
        <f xml:space="preserve"> Q134</f>
        <v>18635769.784208849</v>
      </c>
      <c r="L139" s="14"/>
      <c r="M139" s="56"/>
      <c r="S139" s="13"/>
    </row>
    <row r="140" spans="1:19" s="12" customFormat="1" x14ac:dyDescent="0.3">
      <c r="B140" s="79"/>
      <c r="C140" s="12">
        <v>6</v>
      </c>
      <c r="D140" s="13">
        <f>N135</f>
        <v>31470608.353582337</v>
      </c>
      <c r="E140" s="41">
        <f t="shared" si="20"/>
        <v>237317078.7107006</v>
      </c>
      <c r="F140" s="13">
        <f t="shared" si="19"/>
        <v>578317974.88906872</v>
      </c>
      <c r="G140" s="12">
        <v>1.7999999999999999E-2</v>
      </c>
      <c r="H140" s="13">
        <f t="shared" si="15"/>
        <v>588727698.43707192</v>
      </c>
      <c r="I140" s="13"/>
      <c r="J140" s="9">
        <f t="shared" si="13"/>
        <v>620198306.7906543</v>
      </c>
      <c r="K140" s="48"/>
      <c r="L140" s="14"/>
      <c r="M140" s="56"/>
      <c r="S140" s="13"/>
    </row>
    <row r="141" spans="1:19" s="12" customFormat="1" x14ac:dyDescent="0.3">
      <c r="B141" s="79"/>
      <c r="C141" s="12">
        <v>7</v>
      </c>
      <c r="D141" s="13">
        <f>N135</f>
        <v>31470608.353582337</v>
      </c>
      <c r="E141" s="41">
        <f t="shared" si="20"/>
        <v>241588786.1274932</v>
      </c>
      <c r="F141" s="13">
        <f t="shared" si="19"/>
        <v>620198306.7906543</v>
      </c>
      <c r="G141" s="12">
        <v>1.7999999999999999E-2</v>
      </c>
      <c r="H141" s="13">
        <f t="shared" si="15"/>
        <v>631361876.31288612</v>
      </c>
      <c r="I141" s="13"/>
      <c r="J141" s="9">
        <f t="shared" si="13"/>
        <v>662832484.6664685</v>
      </c>
      <c r="K141" s="48"/>
      <c r="L141" s="14"/>
      <c r="M141" s="56"/>
      <c r="S141" s="13"/>
    </row>
    <row r="142" spans="1:19" s="12" customFormat="1" x14ac:dyDescent="0.3">
      <c r="B142" s="79"/>
      <c r="C142" s="12">
        <v>8</v>
      </c>
      <c r="D142" s="13">
        <f>N135</f>
        <v>31470608.353582337</v>
      </c>
      <c r="E142" s="41">
        <f t="shared" si="20"/>
        <v>245937384.27778807</v>
      </c>
      <c r="F142" s="13">
        <f t="shared" si="19"/>
        <v>662832484.6664685</v>
      </c>
      <c r="G142" s="12">
        <v>1.7999999999999999E-2</v>
      </c>
      <c r="H142" s="13">
        <f t="shared" si="15"/>
        <v>674763469.3904649</v>
      </c>
      <c r="I142" s="13"/>
      <c r="J142" s="9">
        <f t="shared" si="13"/>
        <v>706234077.74404728</v>
      </c>
      <c r="K142" s="48"/>
      <c r="L142" s="14"/>
      <c r="M142" s="56"/>
      <c r="S142" s="13"/>
    </row>
    <row r="143" spans="1:19" s="12" customFormat="1" x14ac:dyDescent="0.3">
      <c r="B143" s="79"/>
      <c r="C143" s="12">
        <v>9</v>
      </c>
      <c r="D143" s="13">
        <f>N135</f>
        <v>31470608.353582337</v>
      </c>
      <c r="E143" s="41">
        <f t="shared" si="20"/>
        <v>250364257.19478825</v>
      </c>
      <c r="F143" s="13">
        <f t="shared" si="19"/>
        <v>706234077.74404728</v>
      </c>
      <c r="G143" s="12">
        <v>1.7999999999999999E-2</v>
      </c>
      <c r="H143" s="13">
        <f t="shared" si="15"/>
        <v>718946291.14344013</v>
      </c>
      <c r="I143" s="13"/>
      <c r="J143" s="9">
        <f t="shared" si="13"/>
        <v>750416899.49702251</v>
      </c>
      <c r="K143" s="48"/>
      <c r="L143" s="14"/>
      <c r="M143" s="56"/>
      <c r="S143" s="13"/>
    </row>
    <row r="144" spans="1:19" s="12" customFormat="1" x14ac:dyDescent="0.3">
      <c r="B144" s="79"/>
      <c r="C144" s="12">
        <v>10</v>
      </c>
      <c r="D144" s="13">
        <f>N135</f>
        <v>31470608.353582337</v>
      </c>
      <c r="E144" s="41">
        <f t="shared" si="20"/>
        <v>254870813.82429445</v>
      </c>
      <c r="F144" s="13">
        <f t="shared" si="19"/>
        <v>750416899.49702251</v>
      </c>
      <c r="G144" s="12">
        <v>1.7999999999999999E-2</v>
      </c>
      <c r="H144" s="13">
        <f t="shared" si="15"/>
        <v>763924403.68796897</v>
      </c>
      <c r="I144" s="13"/>
      <c r="J144" s="9">
        <f t="shared" si="13"/>
        <v>795395012.04155135</v>
      </c>
      <c r="K144" s="48"/>
      <c r="L144" s="14"/>
      <c r="M144" s="56"/>
      <c r="S144" s="13"/>
    </row>
    <row r="145" spans="1:19" s="12" customFormat="1" x14ac:dyDescent="0.3">
      <c r="B145" s="79"/>
      <c r="C145" s="12">
        <v>11</v>
      </c>
      <c r="D145" s="13">
        <f>N135</f>
        <v>31470608.353582337</v>
      </c>
      <c r="E145" s="41">
        <f t="shared" si="20"/>
        <v>259458488.47313175</v>
      </c>
      <c r="F145" s="13">
        <f t="shared" si="19"/>
        <v>795395012.04155135</v>
      </c>
      <c r="G145" s="12">
        <v>1.7999999999999999E-2</v>
      </c>
      <c r="H145" s="13">
        <f t="shared" si="15"/>
        <v>809712122.25829923</v>
      </c>
      <c r="I145" s="13"/>
      <c r="J145" s="9">
        <f t="shared" ref="J145:J194" si="21" xml:space="preserve"> D145 + H145</f>
        <v>841182730.61188161</v>
      </c>
      <c r="K145" s="48"/>
      <c r="L145" s="14"/>
      <c r="M145" s="56"/>
      <c r="S145" s="13"/>
    </row>
    <row r="146" spans="1:19" s="18" customFormat="1" x14ac:dyDescent="0.3">
      <c r="B146" s="79"/>
      <c r="C146" s="18">
        <v>12</v>
      </c>
      <c r="D146" s="19">
        <f>N135</f>
        <v>31470608.353582337</v>
      </c>
      <c r="E146" s="19">
        <f t="shared" si="20"/>
        <v>264128741.26564813</v>
      </c>
      <c r="F146" s="19">
        <f t="shared" si="19"/>
        <v>805182730.61188161</v>
      </c>
      <c r="G146" s="18">
        <v>1.7999999999999999E-2</v>
      </c>
      <c r="H146" s="19">
        <f t="shared" si="15"/>
        <v>819676019.76289546</v>
      </c>
      <c r="I146" s="19">
        <f xml:space="preserve"> H146</f>
        <v>819676019.76289546</v>
      </c>
      <c r="J146" s="9">
        <f t="shared" si="21"/>
        <v>851146628.11647785</v>
      </c>
      <c r="K146" s="51">
        <v>36000000</v>
      </c>
      <c r="L146" s="20">
        <f xml:space="preserve"> (I146-K146) / 2</f>
        <v>391838009.88144773</v>
      </c>
      <c r="M146" s="58">
        <f xml:space="preserve"> (F135 + SUM(D136:D146)) - SUM(K136:K146)</f>
        <v>688658830.70176709</v>
      </c>
      <c r="N146" s="19">
        <f xml:space="preserve"> H146 - M146</f>
        <v>131017189.06112838</v>
      </c>
      <c r="O146" s="18">
        <v>0.84</v>
      </c>
      <c r="P146" s="19">
        <f xml:space="preserve"> N146 * O146</f>
        <v>110054438.81134783</v>
      </c>
      <c r="Q146" s="19">
        <f xml:space="preserve"> N146 - P146</f>
        <v>20962750.249780551</v>
      </c>
      <c r="R146" s="18">
        <f xml:space="preserve"> N146 / M146 * 100</f>
        <v>19.024977713219382</v>
      </c>
      <c r="S146" s="19"/>
    </row>
    <row r="147" spans="1:19" s="12" customFormat="1" x14ac:dyDescent="0.3">
      <c r="A147" s="12">
        <v>13</v>
      </c>
      <c r="B147" s="79">
        <v>2034</v>
      </c>
      <c r="C147" s="12">
        <v>1</v>
      </c>
      <c r="D147" s="13">
        <f>N147</f>
        <v>35153167.490120649</v>
      </c>
      <c r="E147" s="41">
        <f t="shared" si="20"/>
        <v>268883058.60842979</v>
      </c>
      <c r="F147" s="13">
        <f xml:space="preserve"> (H146 / 2) + D147 - K147</f>
        <v>444991177.37156838</v>
      </c>
      <c r="G147" s="12">
        <v>1.7999999999999999E-2</v>
      </c>
      <c r="H147" s="13">
        <f t="shared" si="15"/>
        <v>453001018.56425661</v>
      </c>
      <c r="I147" s="13"/>
      <c r="J147" s="9">
        <f t="shared" si="21"/>
        <v>488154186.05437726</v>
      </c>
      <c r="K147" s="48"/>
      <c r="L147" s="14"/>
      <c r="M147" s="56"/>
      <c r="N147" s="11">
        <f xml:space="preserve"> (L146 / 12) +2500000</f>
        <v>35153167.490120649</v>
      </c>
      <c r="P147" s="9">
        <f xml:space="preserve"> (H146 - K147) / 2</f>
        <v>409838009.88144773</v>
      </c>
      <c r="S147" s="13"/>
    </row>
    <row r="148" spans="1:19" s="12" customFormat="1" x14ac:dyDescent="0.3">
      <c r="B148" s="79"/>
      <c r="C148" s="12">
        <v>2</v>
      </c>
      <c r="D148" s="13">
        <f>N147</f>
        <v>35153167.490120649</v>
      </c>
      <c r="E148" s="41">
        <f t="shared" si="20"/>
        <v>273722953.66338152</v>
      </c>
      <c r="F148" s="13">
        <f t="shared" ref="F148:F158" si="22" xml:space="preserve"> H147 + D148 - K148</f>
        <v>488154186.05437726</v>
      </c>
      <c r="G148" s="12">
        <v>1.7999999999999999E-2</v>
      </c>
      <c r="H148" s="13">
        <f t="shared" si="15"/>
        <v>496940961.40335608</v>
      </c>
      <c r="I148" s="13"/>
      <c r="J148" s="9">
        <f t="shared" si="21"/>
        <v>532094128.89347672</v>
      </c>
      <c r="K148" s="48"/>
      <c r="L148" s="14"/>
      <c r="M148" s="56"/>
      <c r="S148" s="13"/>
    </row>
    <row r="149" spans="1:19" s="12" customFormat="1" x14ac:dyDescent="0.3">
      <c r="B149" s="79"/>
      <c r="C149" s="12">
        <v>3</v>
      </c>
      <c r="D149" s="13">
        <f>N147</f>
        <v>35153167.490120649</v>
      </c>
      <c r="E149" s="41">
        <f t="shared" si="20"/>
        <v>278649966.8293224</v>
      </c>
      <c r="F149" s="13">
        <f t="shared" si="22"/>
        <v>532094128.89347672</v>
      </c>
      <c r="G149" s="12">
        <v>1.7999999999999999E-2</v>
      </c>
      <c r="H149" s="13">
        <f t="shared" si="15"/>
        <v>541671823.21355927</v>
      </c>
      <c r="I149" s="13"/>
      <c r="J149" s="9">
        <f t="shared" si="21"/>
        <v>576824990.70367992</v>
      </c>
      <c r="K149" s="48"/>
      <c r="L149" s="14"/>
      <c r="M149" s="56"/>
      <c r="S149" s="13"/>
    </row>
    <row r="150" spans="1:19" s="12" customFormat="1" x14ac:dyDescent="0.3">
      <c r="B150" s="79"/>
      <c r="C150" s="12">
        <v>4</v>
      </c>
      <c r="D150" s="13">
        <f>N147</f>
        <v>35153167.490120649</v>
      </c>
      <c r="E150" s="41">
        <f t="shared" si="20"/>
        <v>283665666.23225021</v>
      </c>
      <c r="F150" s="13">
        <f t="shared" si="22"/>
        <v>576824990.70367992</v>
      </c>
      <c r="G150" s="12">
        <v>1.7999999999999999E-2</v>
      </c>
      <c r="H150" s="13">
        <f t="shared" si="15"/>
        <v>587207840.5363462</v>
      </c>
      <c r="I150" s="13"/>
      <c r="J150" s="9">
        <f t="shared" si="21"/>
        <v>622361008.02646685</v>
      </c>
      <c r="K150" s="48"/>
      <c r="L150" s="14"/>
      <c r="M150" s="56"/>
      <c r="S150" s="13"/>
    </row>
    <row r="151" spans="1:19" s="12" customFormat="1" x14ac:dyDescent="0.3">
      <c r="B151" s="79"/>
      <c r="C151" s="12">
        <v>5</v>
      </c>
      <c r="D151" s="13">
        <f>N147</f>
        <v>35153167.490120649</v>
      </c>
      <c r="E151" s="41">
        <f t="shared" si="20"/>
        <v>288771648.22443074</v>
      </c>
      <c r="F151" s="13">
        <f t="shared" si="22"/>
        <v>601398257.77668631</v>
      </c>
      <c r="G151" s="12">
        <v>1.7999999999999999E-2</v>
      </c>
      <c r="H151" s="13">
        <f t="shared" si="15"/>
        <v>612223426.41666663</v>
      </c>
      <c r="I151" s="13"/>
      <c r="J151" s="9">
        <f t="shared" si="21"/>
        <v>647376593.90678728</v>
      </c>
      <c r="K151" s="48">
        <f xml:space="preserve"> Q146</f>
        <v>20962750.249780551</v>
      </c>
      <c r="L151" s="14"/>
      <c r="M151" s="56"/>
      <c r="S151" s="13"/>
    </row>
    <row r="152" spans="1:19" s="12" customFormat="1" x14ac:dyDescent="0.3">
      <c r="B152" s="79"/>
      <c r="C152" s="12">
        <v>6</v>
      </c>
      <c r="D152" s="13">
        <f>N147</f>
        <v>35153167.490120649</v>
      </c>
      <c r="E152" s="41">
        <f t="shared" si="20"/>
        <v>293969537.89247048</v>
      </c>
      <c r="F152" s="13">
        <f t="shared" si="22"/>
        <v>647376593.90678728</v>
      </c>
      <c r="G152" s="12">
        <v>1.7999999999999999E-2</v>
      </c>
      <c r="H152" s="13">
        <f t="shared" si="15"/>
        <v>659029372.59710944</v>
      </c>
      <c r="I152" s="13"/>
      <c r="J152" s="9">
        <f t="shared" si="21"/>
        <v>694182540.08723009</v>
      </c>
      <c r="K152" s="48"/>
      <c r="L152" s="14"/>
      <c r="M152" s="56"/>
      <c r="S152" s="13"/>
    </row>
    <row r="153" spans="1:19" s="12" customFormat="1" x14ac:dyDescent="0.3">
      <c r="B153" s="79"/>
      <c r="C153" s="12">
        <v>7</v>
      </c>
      <c r="D153" s="13">
        <f>N147</f>
        <v>35153167.490120649</v>
      </c>
      <c r="E153" s="41">
        <f t="shared" si="20"/>
        <v>299260989.57453495</v>
      </c>
      <c r="F153" s="13">
        <f t="shared" si="22"/>
        <v>694182540.08723009</v>
      </c>
      <c r="G153" s="12">
        <v>1.7999999999999999E-2</v>
      </c>
      <c r="H153" s="13">
        <f t="shared" si="15"/>
        <v>706677825.80880022</v>
      </c>
      <c r="I153" s="13"/>
      <c r="J153" s="9">
        <f t="shared" si="21"/>
        <v>741830993.29892087</v>
      </c>
      <c r="K153" s="48"/>
      <c r="L153" s="14"/>
      <c r="M153" s="56"/>
      <c r="S153" s="13"/>
    </row>
    <row r="154" spans="1:19" s="12" customFormat="1" x14ac:dyDescent="0.3">
      <c r="B154" s="79"/>
      <c r="C154" s="12">
        <v>8</v>
      </c>
      <c r="D154" s="13">
        <f>N147</f>
        <v>35153167.490120649</v>
      </c>
      <c r="E154" s="41">
        <f t="shared" si="20"/>
        <v>304647687.38687658</v>
      </c>
      <c r="F154" s="13">
        <f t="shared" si="22"/>
        <v>741830993.29892087</v>
      </c>
      <c r="G154" s="12">
        <v>1.7999999999999999E-2</v>
      </c>
      <c r="H154" s="13">
        <f t="shared" si="15"/>
        <v>755183951.17830145</v>
      </c>
      <c r="I154" s="13"/>
      <c r="J154" s="9">
        <f t="shared" si="21"/>
        <v>790337118.6684221</v>
      </c>
      <c r="K154" s="48"/>
      <c r="L154" s="14"/>
      <c r="M154" s="56"/>
      <c r="S154" s="13"/>
    </row>
    <row r="155" spans="1:19" s="12" customFormat="1" x14ac:dyDescent="0.3">
      <c r="B155" s="79"/>
      <c r="C155" s="12">
        <v>9</v>
      </c>
      <c r="D155" s="13">
        <f>N147</f>
        <v>35153167.490120649</v>
      </c>
      <c r="E155" s="41">
        <f t="shared" si="20"/>
        <v>310131345.75984037</v>
      </c>
      <c r="F155" s="13">
        <f t="shared" si="22"/>
        <v>790337118.6684221</v>
      </c>
      <c r="G155" s="12">
        <v>1.7999999999999999E-2</v>
      </c>
      <c r="H155" s="13">
        <f t="shared" si="15"/>
        <v>804563186.80445373</v>
      </c>
      <c r="I155" s="13"/>
      <c r="J155" s="9">
        <f t="shared" si="21"/>
        <v>839716354.29457438</v>
      </c>
      <c r="K155" s="48"/>
      <c r="L155" s="14"/>
      <c r="M155" s="56"/>
      <c r="S155" s="13"/>
    </row>
    <row r="156" spans="1:19" s="12" customFormat="1" x14ac:dyDescent="0.3">
      <c r="B156" s="79"/>
      <c r="C156" s="12">
        <v>10</v>
      </c>
      <c r="D156" s="13">
        <f>N147</f>
        <v>35153167.490120649</v>
      </c>
      <c r="E156" s="41">
        <f t="shared" si="20"/>
        <v>315713709.98351747</v>
      </c>
      <c r="F156" s="13">
        <f t="shared" si="22"/>
        <v>839716354.29457438</v>
      </c>
      <c r="G156" s="12">
        <v>1.7999999999999999E-2</v>
      </c>
      <c r="H156" s="13">
        <f t="shared" si="15"/>
        <v>854831248.67187667</v>
      </c>
      <c r="I156" s="13"/>
      <c r="J156" s="9">
        <f t="shared" si="21"/>
        <v>889984416.16199732</v>
      </c>
      <c r="K156" s="48"/>
      <c r="L156" s="14"/>
      <c r="M156" s="56"/>
      <c r="S156" s="13"/>
    </row>
    <row r="157" spans="1:19" s="12" customFormat="1" x14ac:dyDescent="0.3">
      <c r="B157" s="79"/>
      <c r="C157" s="12">
        <v>11</v>
      </c>
      <c r="D157" s="13">
        <f>N147</f>
        <v>35153167.490120649</v>
      </c>
      <c r="E157" s="41">
        <f t="shared" si="20"/>
        <v>321396556.76322079</v>
      </c>
      <c r="F157" s="13">
        <f t="shared" si="22"/>
        <v>889984416.16199732</v>
      </c>
      <c r="G157" s="12">
        <v>1.7999999999999999E-2</v>
      </c>
      <c r="H157" s="13">
        <f t="shared" si="15"/>
        <v>906004135.65291321</v>
      </c>
      <c r="I157" s="13"/>
      <c r="J157" s="9">
        <f t="shared" si="21"/>
        <v>941157303.14303386</v>
      </c>
      <c r="K157" s="48"/>
      <c r="L157" s="14"/>
      <c r="M157" s="56"/>
      <c r="S157" s="13"/>
    </row>
    <row r="158" spans="1:19" s="18" customFormat="1" x14ac:dyDescent="0.3">
      <c r="B158" s="79"/>
      <c r="C158" s="18">
        <v>12</v>
      </c>
      <c r="D158" s="19">
        <f>N147</f>
        <v>35153167.490120649</v>
      </c>
      <c r="E158" s="19">
        <f t="shared" si="20"/>
        <v>327181694.78495878</v>
      </c>
      <c r="F158" s="19">
        <f t="shared" si="22"/>
        <v>905157303.14303386</v>
      </c>
      <c r="G158" s="18">
        <v>1.7999999999999999E-2</v>
      </c>
      <c r="H158" s="19">
        <f t="shared" ref="H158:H194" si="23" xml:space="preserve"> (F158 * G158) + F158</f>
        <v>921450134.59960842</v>
      </c>
      <c r="I158" s="19">
        <f xml:space="preserve"> H158</f>
        <v>921450134.59960842</v>
      </c>
      <c r="J158" s="9">
        <f t="shared" si="21"/>
        <v>956603302.08972907</v>
      </c>
      <c r="K158" s="51">
        <v>36000000</v>
      </c>
      <c r="L158" s="20">
        <f xml:space="preserve"> (I158-K158) / 2</f>
        <v>442725067.29980421</v>
      </c>
      <c r="M158" s="58">
        <f xml:space="preserve"> (F147 + SUM(D148:D158)) - SUM(K148:K158)</f>
        <v>774713269.51311505</v>
      </c>
      <c r="N158" s="19">
        <f xml:space="preserve"> H158 - M158</f>
        <v>146736865.08649337</v>
      </c>
      <c r="O158" s="18">
        <v>0.84</v>
      </c>
      <c r="P158" s="19">
        <f xml:space="preserve"> N158 * O158</f>
        <v>123258966.67265444</v>
      </c>
      <c r="Q158" s="19">
        <f xml:space="preserve"> N158 - P158</f>
        <v>23477898.413838938</v>
      </c>
      <c r="R158" s="18">
        <f xml:space="preserve"> N158 / M158 * 100</f>
        <v>18.940796661287767</v>
      </c>
      <c r="S158" s="19"/>
    </row>
    <row r="159" spans="1:19" s="12" customFormat="1" x14ac:dyDescent="0.3">
      <c r="A159" s="12">
        <v>14</v>
      </c>
      <c r="B159" s="79">
        <v>2035</v>
      </c>
      <c r="C159" s="12">
        <v>1</v>
      </c>
      <c r="D159" s="13">
        <f>N159</f>
        <v>39393755.608317018</v>
      </c>
      <c r="E159" s="41">
        <f t="shared" si="20"/>
        <v>333070965.29108804</v>
      </c>
      <c r="F159" s="13">
        <f xml:space="preserve"> (H158 / 2) + D159 - K159</f>
        <v>500118822.90812123</v>
      </c>
      <c r="G159" s="12">
        <v>1.7999999999999999E-2</v>
      </c>
      <c r="H159" s="13">
        <f t="shared" si="23"/>
        <v>509120961.72046739</v>
      </c>
      <c r="I159" s="13"/>
      <c r="J159" s="9">
        <f t="shared" si="21"/>
        <v>548514717.32878447</v>
      </c>
      <c r="K159" s="48"/>
      <c r="L159" s="14"/>
      <c r="M159" s="56"/>
      <c r="N159" s="11">
        <f xml:space="preserve"> (L158 / 12) +2500000</f>
        <v>39393755.608317018</v>
      </c>
      <c r="P159" s="9">
        <f xml:space="preserve"> (H158 - K159) / 2</f>
        <v>460725067.29980421</v>
      </c>
      <c r="S159" s="13"/>
    </row>
    <row r="160" spans="1:19" s="12" customFormat="1" x14ac:dyDescent="0.3">
      <c r="B160" s="79"/>
      <c r="C160" s="12">
        <v>2</v>
      </c>
      <c r="D160" s="13">
        <f>N159</f>
        <v>39393755.608317018</v>
      </c>
      <c r="E160" s="41">
        <f t="shared" si="20"/>
        <v>339066242.66632766</v>
      </c>
      <c r="F160" s="13">
        <f t="shared" ref="F160:F170" si="24" xml:space="preserve"> H159 + D160 - K160</f>
        <v>548514717.32878447</v>
      </c>
      <c r="G160" s="12">
        <v>1.7999999999999999E-2</v>
      </c>
      <c r="H160" s="13">
        <f t="shared" si="23"/>
        <v>558387982.24070263</v>
      </c>
      <c r="I160" s="13"/>
      <c r="J160" s="9">
        <f t="shared" si="21"/>
        <v>597781737.84901965</v>
      </c>
      <c r="K160" s="48"/>
      <c r="L160" s="14"/>
      <c r="M160" s="56"/>
      <c r="S160" s="13"/>
    </row>
    <row r="161" spans="1:19" s="12" customFormat="1" x14ac:dyDescent="0.3">
      <c r="B161" s="79"/>
      <c r="C161" s="12">
        <v>3</v>
      </c>
      <c r="D161" s="13">
        <f>N159</f>
        <v>39393755.608317018</v>
      </c>
      <c r="E161" s="41">
        <f t="shared" si="20"/>
        <v>345169435.03432155</v>
      </c>
      <c r="F161" s="13">
        <f t="shared" si="24"/>
        <v>597781737.84901965</v>
      </c>
      <c r="G161" s="12">
        <v>1.7999999999999999E-2</v>
      </c>
      <c r="H161" s="13">
        <f t="shared" si="23"/>
        <v>608541809.13030195</v>
      </c>
      <c r="I161" s="13"/>
      <c r="J161" s="9">
        <f t="shared" si="21"/>
        <v>647935564.73861897</v>
      </c>
      <c r="K161" s="48"/>
      <c r="L161" s="14"/>
      <c r="M161" s="56"/>
      <c r="S161" s="13"/>
    </row>
    <row r="162" spans="1:19" s="12" customFormat="1" x14ac:dyDescent="0.3">
      <c r="B162" s="79"/>
      <c r="C162" s="12">
        <v>4</v>
      </c>
      <c r="D162" s="13">
        <f>N159</f>
        <v>39393755.608317018</v>
      </c>
      <c r="E162" s="41">
        <f t="shared" si="20"/>
        <v>351382484.86493933</v>
      </c>
      <c r="F162" s="13">
        <f t="shared" si="24"/>
        <v>647935564.73861897</v>
      </c>
      <c r="G162" s="12">
        <v>1.7999999999999999E-2</v>
      </c>
      <c r="H162" s="13">
        <f t="shared" si="23"/>
        <v>659598404.90391409</v>
      </c>
      <c r="I162" s="13"/>
      <c r="J162" s="9">
        <f t="shared" si="21"/>
        <v>698992160.51223111</v>
      </c>
      <c r="K162" s="48"/>
      <c r="L162" s="14"/>
      <c r="M162" s="56"/>
      <c r="S162" s="13"/>
    </row>
    <row r="163" spans="1:19" s="12" customFormat="1" x14ac:dyDescent="0.3">
      <c r="B163" s="79"/>
      <c r="C163" s="12">
        <v>5</v>
      </c>
      <c r="D163" s="13">
        <f>N159</f>
        <v>39393755.608317018</v>
      </c>
      <c r="E163" s="41">
        <f t="shared" si="20"/>
        <v>357707369.59250826</v>
      </c>
      <c r="F163" s="13">
        <f t="shared" si="24"/>
        <v>675514262.09839213</v>
      </c>
      <c r="G163" s="12">
        <v>1.7999999999999999E-2</v>
      </c>
      <c r="H163" s="13">
        <f t="shared" si="23"/>
        <v>687673518.81616318</v>
      </c>
      <c r="I163" s="13"/>
      <c r="J163" s="9">
        <f t="shared" si="21"/>
        <v>727067274.4244802</v>
      </c>
      <c r="K163" s="48">
        <f xml:space="preserve"> Q158</f>
        <v>23477898.413838938</v>
      </c>
      <c r="L163" s="14"/>
      <c r="M163" s="56"/>
      <c r="S163" s="13"/>
    </row>
    <row r="164" spans="1:19" s="12" customFormat="1" x14ac:dyDescent="0.3">
      <c r="B164" s="79"/>
      <c r="C164" s="12">
        <v>6</v>
      </c>
      <c r="D164" s="13">
        <f>N159</f>
        <v>39393755.608317018</v>
      </c>
      <c r="E164" s="41">
        <f t="shared" si="20"/>
        <v>364146102.24517339</v>
      </c>
      <c r="F164" s="13">
        <f t="shared" si="24"/>
        <v>727067274.4244802</v>
      </c>
      <c r="G164" s="12">
        <v>1.7999999999999999E-2</v>
      </c>
      <c r="H164" s="13">
        <f t="shared" si="23"/>
        <v>740154485.36412084</v>
      </c>
      <c r="I164" s="13"/>
      <c r="J164" s="9">
        <f t="shared" si="21"/>
        <v>779548240.97243786</v>
      </c>
      <c r="K164" s="48"/>
      <c r="L164" s="14"/>
      <c r="M164" s="56"/>
      <c r="S164" s="13"/>
    </row>
    <row r="165" spans="1:19" s="12" customFormat="1" x14ac:dyDescent="0.3">
      <c r="B165" s="79"/>
      <c r="C165" s="12">
        <v>7</v>
      </c>
      <c r="D165" s="13">
        <f>N159</f>
        <v>39393755.608317018</v>
      </c>
      <c r="E165" s="41">
        <f t="shared" si="20"/>
        <v>370700732.08558649</v>
      </c>
      <c r="F165" s="13">
        <f t="shared" si="24"/>
        <v>779548240.97243786</v>
      </c>
      <c r="G165" s="12">
        <v>1.7999999999999999E-2</v>
      </c>
      <c r="H165" s="13">
        <f t="shared" si="23"/>
        <v>793580109.30994177</v>
      </c>
      <c r="I165" s="13"/>
      <c r="J165" s="9">
        <f t="shared" si="21"/>
        <v>832973864.91825879</v>
      </c>
      <c r="K165" s="48"/>
      <c r="L165" s="14"/>
      <c r="M165" s="56"/>
      <c r="S165" s="13"/>
    </row>
    <row r="166" spans="1:19" s="12" customFormat="1" x14ac:dyDescent="0.3">
      <c r="B166" s="79"/>
      <c r="C166" s="12">
        <v>8</v>
      </c>
      <c r="D166" s="13">
        <f>N159</f>
        <v>39393755.608317018</v>
      </c>
      <c r="E166" s="41">
        <f t="shared" si="20"/>
        <v>377373345.26312703</v>
      </c>
      <c r="F166" s="13">
        <f t="shared" si="24"/>
        <v>832973864.91825879</v>
      </c>
      <c r="G166" s="12">
        <v>1.7999999999999999E-2</v>
      </c>
      <c r="H166" s="13">
        <f t="shared" si="23"/>
        <v>847967394.48678744</v>
      </c>
      <c r="I166" s="13"/>
      <c r="J166" s="9">
        <f t="shared" si="21"/>
        <v>887361150.09510446</v>
      </c>
      <c r="K166" s="48"/>
      <c r="L166" s="14"/>
      <c r="M166" s="56"/>
      <c r="S166" s="13"/>
    </row>
    <row r="167" spans="1:19" s="12" customFormat="1" x14ac:dyDescent="0.3">
      <c r="B167" s="79"/>
      <c r="C167" s="12">
        <v>9</v>
      </c>
      <c r="D167" s="13">
        <f>N159</f>
        <v>39393755.608317018</v>
      </c>
      <c r="E167" s="41">
        <f t="shared" si="20"/>
        <v>384166065.47786331</v>
      </c>
      <c r="F167" s="13">
        <f t="shared" si="24"/>
        <v>887361150.09510446</v>
      </c>
      <c r="G167" s="12">
        <v>1.7999999999999999E-2</v>
      </c>
      <c r="H167" s="13">
        <f t="shared" si="23"/>
        <v>903333650.79681635</v>
      </c>
      <c r="I167" s="13"/>
      <c r="J167" s="9">
        <f t="shared" si="21"/>
        <v>942727406.40513337</v>
      </c>
      <c r="K167" s="48"/>
      <c r="L167" s="14"/>
      <c r="M167" s="56"/>
      <c r="S167" s="13"/>
    </row>
    <row r="168" spans="1:19" s="12" customFormat="1" x14ac:dyDescent="0.3">
      <c r="B168" s="79"/>
      <c r="C168" s="12">
        <v>10</v>
      </c>
      <c r="D168" s="13">
        <f>N159</f>
        <v>39393755.608317018</v>
      </c>
      <c r="E168" s="41">
        <f t="shared" si="20"/>
        <v>391081054.65646487</v>
      </c>
      <c r="F168" s="13">
        <f t="shared" si="24"/>
        <v>942727406.40513337</v>
      </c>
      <c r="G168" s="12">
        <v>1.7999999999999999E-2</v>
      </c>
      <c r="H168" s="13">
        <f t="shared" si="23"/>
        <v>959696499.72042572</v>
      </c>
      <c r="I168" s="13"/>
      <c r="J168" s="9">
        <f t="shared" si="21"/>
        <v>999090255.32874274</v>
      </c>
      <c r="K168" s="48"/>
      <c r="L168" s="14"/>
      <c r="M168" s="56"/>
      <c r="S168" s="13"/>
    </row>
    <row r="169" spans="1:19" s="12" customFormat="1" x14ac:dyDescent="0.3">
      <c r="B169" s="79"/>
      <c r="C169" s="12">
        <v>11</v>
      </c>
      <c r="D169" s="13">
        <f>N159</f>
        <v>39393755.608317018</v>
      </c>
      <c r="E169" s="41">
        <f t="shared" si="20"/>
        <v>398120513.64028126</v>
      </c>
      <c r="F169" s="13">
        <f t="shared" si="24"/>
        <v>999090255.32874274</v>
      </c>
      <c r="G169" s="12">
        <v>1.7999999999999999E-2</v>
      </c>
      <c r="H169" s="13">
        <f t="shared" si="23"/>
        <v>1017073879.9246601</v>
      </c>
      <c r="I169" s="13"/>
      <c r="J169" s="9">
        <f t="shared" si="21"/>
        <v>1056467635.5329771</v>
      </c>
      <c r="K169" s="48"/>
      <c r="L169" s="14"/>
      <c r="M169" s="56"/>
      <c r="S169" s="13"/>
    </row>
    <row r="170" spans="1:19" s="18" customFormat="1" x14ac:dyDescent="0.3">
      <c r="B170" s="79"/>
      <c r="C170" s="18">
        <v>12</v>
      </c>
      <c r="D170" s="19">
        <f>N159</f>
        <v>39393755.608317018</v>
      </c>
      <c r="E170" s="19">
        <f t="shared" si="20"/>
        <v>405286682.88580632</v>
      </c>
      <c r="F170" s="19">
        <f t="shared" si="24"/>
        <v>1020467635.5329771</v>
      </c>
      <c r="G170" s="18">
        <v>1.7999999999999999E-2</v>
      </c>
      <c r="H170" s="19">
        <f t="shared" si="23"/>
        <v>1038836052.9725707</v>
      </c>
      <c r="I170" s="19">
        <f xml:space="preserve"> H170</f>
        <v>1038836052.9725707</v>
      </c>
      <c r="J170" s="9">
        <f t="shared" si="21"/>
        <v>1078229808.5808878</v>
      </c>
      <c r="K170" s="51">
        <v>36000000</v>
      </c>
      <c r="L170" s="20">
        <f xml:space="preserve"> (I170-K170) / 2</f>
        <v>501418026.48628533</v>
      </c>
      <c r="M170" s="58">
        <f xml:space="preserve"> (F159 + SUM(D160:D170)) - SUM(K160:K170)</f>
        <v>873972236.18576944</v>
      </c>
      <c r="N170" s="19">
        <f xml:space="preserve"> H170 - M170</f>
        <v>164863816.78680122</v>
      </c>
      <c r="O170" s="18">
        <v>0.84</v>
      </c>
      <c r="P170" s="19">
        <f xml:space="preserve"> N170 * O170</f>
        <v>138485606.10091302</v>
      </c>
      <c r="Q170" s="19">
        <f xml:space="preserve"> N170 - P170</f>
        <v>26378210.685888201</v>
      </c>
      <c r="R170" s="18">
        <f xml:space="preserve"> N170 / M170 * 100</f>
        <v>18.863736164698732</v>
      </c>
      <c r="S170" s="19"/>
    </row>
    <row r="171" spans="1:19" s="12" customFormat="1" x14ac:dyDescent="0.3">
      <c r="A171" s="12">
        <v>15</v>
      </c>
      <c r="B171" s="79">
        <v>2036</v>
      </c>
      <c r="C171" s="12">
        <v>1</v>
      </c>
      <c r="D171" s="13">
        <f>N171</f>
        <v>44284835.540523775</v>
      </c>
      <c r="E171" s="41">
        <f t="shared" si="20"/>
        <v>412581843.17775083</v>
      </c>
      <c r="F171" s="13">
        <f xml:space="preserve"> (H170 / 2) + D171 - K171</f>
        <v>563702862.0268091</v>
      </c>
      <c r="G171" s="12">
        <v>1.7999999999999999E-2</v>
      </c>
      <c r="H171" s="13">
        <f t="shared" si="23"/>
        <v>573849513.54329169</v>
      </c>
      <c r="I171" s="13"/>
      <c r="J171" s="9">
        <f t="shared" si="21"/>
        <v>618134349.08381546</v>
      </c>
      <c r="K171" s="48"/>
      <c r="L171" s="14"/>
      <c r="M171" s="56"/>
      <c r="N171" s="11">
        <f xml:space="preserve"> (L170 / 12) +2500000</f>
        <v>44284835.540523775</v>
      </c>
      <c r="P171" s="9">
        <f xml:space="preserve"> (H170 - K171) / 2</f>
        <v>519418026.48628533</v>
      </c>
      <c r="S171" s="13"/>
    </row>
    <row r="172" spans="1:19" s="12" customFormat="1" x14ac:dyDescent="0.3">
      <c r="B172" s="79"/>
      <c r="C172" s="12">
        <v>2</v>
      </c>
      <c r="D172" s="13">
        <f>N171</f>
        <v>44284835.540523775</v>
      </c>
      <c r="E172" s="41">
        <f t="shared" si="20"/>
        <v>420008316.35495037</v>
      </c>
      <c r="F172" s="13">
        <f t="shared" ref="F172:F182" si="25" xml:space="preserve"> H171 + D172 - K172</f>
        <v>618134349.08381546</v>
      </c>
      <c r="G172" s="12">
        <v>1.7999999999999999E-2</v>
      </c>
      <c r="H172" s="13">
        <f t="shared" si="23"/>
        <v>629260767.36732411</v>
      </c>
      <c r="I172" s="13"/>
      <c r="J172" s="9">
        <f t="shared" si="21"/>
        <v>673545602.90784788</v>
      </c>
      <c r="K172" s="48"/>
      <c r="L172" s="14"/>
      <c r="M172" s="56"/>
      <c r="S172" s="13"/>
    </row>
    <row r="173" spans="1:19" s="12" customFormat="1" x14ac:dyDescent="0.3">
      <c r="B173" s="79"/>
      <c r="C173" s="12">
        <v>3</v>
      </c>
      <c r="D173" s="13">
        <f>N171</f>
        <v>44284835.540523775</v>
      </c>
      <c r="E173" s="41">
        <f t="shared" si="20"/>
        <v>427568466.04933947</v>
      </c>
      <c r="F173" s="13">
        <f t="shared" si="25"/>
        <v>673545602.90784788</v>
      </c>
      <c r="G173" s="12">
        <v>1.7999999999999999E-2</v>
      </c>
      <c r="H173" s="13">
        <f t="shared" si="23"/>
        <v>685669423.76018918</v>
      </c>
      <c r="I173" s="13"/>
      <c r="J173" s="9">
        <f t="shared" si="21"/>
        <v>729954259.30071294</v>
      </c>
      <c r="K173" s="48"/>
      <c r="L173" s="14"/>
      <c r="M173" s="56"/>
      <c r="S173" s="13"/>
    </row>
    <row r="174" spans="1:19" s="12" customFormat="1" x14ac:dyDescent="0.3">
      <c r="B174" s="79"/>
      <c r="C174" s="12">
        <v>4</v>
      </c>
      <c r="D174" s="13">
        <f>N171</f>
        <v>44284835.540523775</v>
      </c>
      <c r="E174" s="41">
        <f t="shared" si="20"/>
        <v>435264698.43822759</v>
      </c>
      <c r="F174" s="13">
        <f t="shared" si="25"/>
        <v>729954259.30071294</v>
      </c>
      <c r="G174" s="12">
        <v>1.7999999999999999E-2</v>
      </c>
      <c r="H174" s="13">
        <f t="shared" si="23"/>
        <v>743093435.96812582</v>
      </c>
      <c r="I174" s="13"/>
      <c r="J174" s="9">
        <f t="shared" si="21"/>
        <v>787378271.50864959</v>
      </c>
      <c r="K174" s="48"/>
      <c r="L174" s="14"/>
      <c r="M174" s="56"/>
      <c r="S174" s="13"/>
    </row>
    <row r="175" spans="1:19" s="12" customFormat="1" x14ac:dyDescent="0.3">
      <c r="B175" s="79"/>
      <c r="C175" s="12">
        <v>5</v>
      </c>
      <c r="D175" s="13">
        <f>N171</f>
        <v>44284835.540523775</v>
      </c>
      <c r="E175" s="41">
        <f t="shared" si="20"/>
        <v>443099463.01011568</v>
      </c>
      <c r="F175" s="13">
        <f t="shared" si="25"/>
        <v>761000060.82276142</v>
      </c>
      <c r="G175" s="12">
        <v>1.7999999999999999E-2</v>
      </c>
      <c r="H175" s="13">
        <f t="shared" si="23"/>
        <v>774698061.91757107</v>
      </c>
      <c r="I175" s="13"/>
      <c r="J175" s="9">
        <f t="shared" si="21"/>
        <v>818982897.45809484</v>
      </c>
      <c r="K175" s="48">
        <f xml:space="preserve"> Q170</f>
        <v>26378210.685888201</v>
      </c>
      <c r="L175" s="14"/>
      <c r="M175" s="56"/>
      <c r="S175" s="13"/>
    </row>
    <row r="176" spans="1:19" s="12" customFormat="1" x14ac:dyDescent="0.3">
      <c r="B176" s="79"/>
      <c r="C176" s="12">
        <v>6</v>
      </c>
      <c r="D176" s="13">
        <f>N171</f>
        <v>44284835.540523775</v>
      </c>
      <c r="E176" s="41">
        <f t="shared" si="20"/>
        <v>451075253.34429777</v>
      </c>
      <c r="F176" s="13">
        <f t="shared" si="25"/>
        <v>818982897.45809484</v>
      </c>
      <c r="G176" s="12">
        <v>1.7999999999999999E-2</v>
      </c>
      <c r="H176" s="13">
        <f t="shared" si="23"/>
        <v>833724589.61234057</v>
      </c>
      <c r="I176" s="13"/>
      <c r="J176" s="9">
        <f t="shared" si="21"/>
        <v>878009425.15286434</v>
      </c>
      <c r="K176" s="48"/>
      <c r="L176" s="14"/>
      <c r="M176" s="56"/>
      <c r="S176" s="13"/>
    </row>
    <row r="177" spans="1:19" s="12" customFormat="1" x14ac:dyDescent="0.3">
      <c r="B177" s="79"/>
      <c r="C177" s="12">
        <v>7</v>
      </c>
      <c r="D177" s="13">
        <f>N171</f>
        <v>44284835.540523775</v>
      </c>
      <c r="E177" s="41">
        <f t="shared" si="20"/>
        <v>459194607.90449512</v>
      </c>
      <c r="F177" s="13">
        <f t="shared" si="25"/>
        <v>878009425.15286434</v>
      </c>
      <c r="G177" s="12">
        <v>1.7999999999999999E-2</v>
      </c>
      <c r="H177" s="13">
        <f t="shared" si="23"/>
        <v>893813594.8056159</v>
      </c>
      <c r="I177" s="13"/>
      <c r="J177" s="9">
        <f t="shared" si="21"/>
        <v>938098430.34613967</v>
      </c>
      <c r="K177" s="48"/>
      <c r="L177" s="14"/>
      <c r="M177" s="56"/>
      <c r="S177" s="13"/>
    </row>
    <row r="178" spans="1:19" s="12" customFormat="1" x14ac:dyDescent="0.3">
      <c r="B178" s="79"/>
      <c r="C178" s="12">
        <v>8</v>
      </c>
      <c r="D178" s="13">
        <f>N171</f>
        <v>44284835.540523775</v>
      </c>
      <c r="E178" s="41">
        <f t="shared" si="20"/>
        <v>467460110.84677601</v>
      </c>
      <c r="F178" s="13">
        <f t="shared" si="25"/>
        <v>938098430.34613967</v>
      </c>
      <c r="G178" s="12">
        <v>1.7999999999999999E-2</v>
      </c>
      <c r="H178" s="13">
        <f t="shared" si="23"/>
        <v>954984202.09237015</v>
      </c>
      <c r="I178" s="13"/>
      <c r="J178" s="9">
        <f t="shared" si="21"/>
        <v>999269037.63289392</v>
      </c>
      <c r="K178" s="48"/>
      <c r="L178" s="14"/>
      <c r="M178" s="56"/>
      <c r="S178" s="13"/>
    </row>
    <row r="179" spans="1:19" s="12" customFormat="1" x14ac:dyDescent="0.3">
      <c r="B179" s="79"/>
      <c r="C179" s="12">
        <v>9</v>
      </c>
      <c r="D179" s="13">
        <f>N171</f>
        <v>44284835.540523775</v>
      </c>
      <c r="E179" s="41">
        <f t="shared" si="20"/>
        <v>475874392.84201795</v>
      </c>
      <c r="F179" s="13">
        <f t="shared" si="25"/>
        <v>999269037.63289392</v>
      </c>
      <c r="G179" s="12">
        <v>1.7999999999999999E-2</v>
      </c>
      <c r="H179" s="13">
        <f t="shared" si="23"/>
        <v>1017255880.310286</v>
      </c>
      <c r="I179" s="13"/>
      <c r="J179" s="9">
        <f t="shared" si="21"/>
        <v>1061540715.8508098</v>
      </c>
      <c r="K179" s="48"/>
      <c r="L179" s="14"/>
      <c r="M179" s="56"/>
      <c r="S179" s="13"/>
    </row>
    <row r="180" spans="1:19" s="12" customFormat="1" x14ac:dyDescent="0.3">
      <c r="B180" s="79"/>
      <c r="C180" s="12">
        <v>10</v>
      </c>
      <c r="D180" s="13">
        <f>N171</f>
        <v>44284835.540523775</v>
      </c>
      <c r="E180" s="41">
        <f t="shared" si="20"/>
        <v>484440131.91317427</v>
      </c>
      <c r="F180" s="13">
        <f t="shared" si="25"/>
        <v>1061540715.8508098</v>
      </c>
      <c r="G180" s="12">
        <v>1.7999999999999999E-2</v>
      </c>
      <c r="H180" s="13">
        <f t="shared" si="23"/>
        <v>1080648448.7361243</v>
      </c>
      <c r="I180" s="13"/>
      <c r="J180" s="9">
        <f t="shared" si="21"/>
        <v>1124933284.276648</v>
      </c>
      <c r="K180" s="48"/>
      <c r="L180" s="14"/>
      <c r="M180" s="56"/>
      <c r="S180" s="13"/>
    </row>
    <row r="181" spans="1:19" s="12" customFormat="1" x14ac:dyDescent="0.3">
      <c r="B181" s="79"/>
      <c r="C181" s="12">
        <v>11</v>
      </c>
      <c r="D181" s="13">
        <f>N171</f>
        <v>44284835.540523775</v>
      </c>
      <c r="E181" s="41">
        <f t="shared" si="20"/>
        <v>493160054.28761142</v>
      </c>
      <c r="F181" s="13">
        <f t="shared" si="25"/>
        <v>1124933284.276648</v>
      </c>
      <c r="G181" s="12">
        <v>1.7999999999999999E-2</v>
      </c>
      <c r="H181" s="13">
        <f t="shared" si="23"/>
        <v>1145182083.3936276</v>
      </c>
      <c r="I181" s="13"/>
      <c r="J181" s="9">
        <f t="shared" si="21"/>
        <v>1189466918.9341514</v>
      </c>
      <c r="K181" s="48"/>
      <c r="L181" s="14"/>
      <c r="M181" s="56"/>
      <c r="S181" s="13"/>
    </row>
    <row r="182" spans="1:19" s="18" customFormat="1" x14ac:dyDescent="0.3">
      <c r="B182" s="79"/>
      <c r="C182" s="18">
        <v>12</v>
      </c>
      <c r="D182" s="19">
        <f>N171</f>
        <v>44284835.540523775</v>
      </c>
      <c r="E182" s="19">
        <f t="shared" si="20"/>
        <v>502036935.26478845</v>
      </c>
      <c r="F182" s="19">
        <f t="shared" si="25"/>
        <v>1153466918.9341514</v>
      </c>
      <c r="G182" s="18">
        <v>1.7999999999999999E-2</v>
      </c>
      <c r="H182" s="19">
        <f t="shared" si="23"/>
        <v>1174229323.474966</v>
      </c>
      <c r="I182" s="19">
        <f xml:space="preserve"> H182</f>
        <v>1174229323.474966</v>
      </c>
      <c r="J182" s="9">
        <f t="shared" si="21"/>
        <v>1218514159.0154898</v>
      </c>
      <c r="K182" s="51">
        <v>36000000</v>
      </c>
      <c r="L182" s="20">
        <f xml:space="preserve"> (I182-K182) / 2</f>
        <v>569114661.73748302</v>
      </c>
      <c r="M182" s="58">
        <f xml:space="preserve"> (F171 + SUM(D172:D182)) - SUM(K172:K182)</f>
        <v>988457842.28668249</v>
      </c>
      <c r="N182" s="19">
        <f xml:space="preserve"> H182 - M182</f>
        <v>185771481.18828356</v>
      </c>
      <c r="O182" s="18">
        <v>0.84</v>
      </c>
      <c r="P182" s="19">
        <f xml:space="preserve"> N182 * O182</f>
        <v>156048044.19815817</v>
      </c>
      <c r="Q182" s="19">
        <f xml:space="preserve"> N182 - P182</f>
        <v>29723436.990125388</v>
      </c>
      <c r="R182" s="18">
        <f xml:space="preserve"> N182 / M182 * 100</f>
        <v>18.794072264986315</v>
      </c>
      <c r="S182" s="19"/>
    </row>
    <row r="183" spans="1:19" s="12" customFormat="1" x14ac:dyDescent="0.3">
      <c r="A183" s="12">
        <v>16</v>
      </c>
      <c r="B183" s="79">
        <v>2037</v>
      </c>
      <c r="C183" s="12">
        <v>1</v>
      </c>
      <c r="D183" s="13">
        <f>N183</f>
        <v>49926221.811456919</v>
      </c>
      <c r="E183" s="41">
        <f t="shared" si="20"/>
        <v>511073600.09955466</v>
      </c>
      <c r="F183" s="13">
        <f xml:space="preserve"> (H182 / 2) + D183 - K183</f>
        <v>637040883.54893994</v>
      </c>
      <c r="G183" s="12">
        <v>1.7999999999999999E-2</v>
      </c>
      <c r="H183" s="13">
        <f t="shared" si="23"/>
        <v>648507619.4528209</v>
      </c>
      <c r="I183" s="13"/>
      <c r="J183" s="9">
        <f t="shared" si="21"/>
        <v>698433841.26427782</v>
      </c>
      <c r="K183" s="48"/>
      <c r="L183" s="14"/>
      <c r="M183" s="56"/>
      <c r="N183" s="11">
        <f xml:space="preserve"> (L182 / 12) +2500000</f>
        <v>49926221.811456919</v>
      </c>
      <c r="P183" s="9">
        <f xml:space="preserve"> (H182 - K183) / 2</f>
        <v>587114661.73748302</v>
      </c>
      <c r="S183" s="13"/>
    </row>
    <row r="184" spans="1:19" s="12" customFormat="1" x14ac:dyDescent="0.3">
      <c r="B184" s="79"/>
      <c r="C184" s="12">
        <v>2</v>
      </c>
      <c r="D184" s="13">
        <f>N183</f>
        <v>49926221.811456919</v>
      </c>
      <c r="E184" s="41">
        <f t="shared" si="20"/>
        <v>520272924.90134662</v>
      </c>
      <c r="F184" s="13">
        <f t="shared" ref="F184:F194" si="26" xml:space="preserve"> H183 + D184 - K184</f>
        <v>698433841.26427782</v>
      </c>
      <c r="G184" s="12">
        <v>1.7999999999999999E-2</v>
      </c>
      <c r="H184" s="13">
        <f t="shared" si="23"/>
        <v>711005650.40703487</v>
      </c>
      <c r="I184" s="13"/>
      <c r="J184" s="9">
        <f t="shared" si="21"/>
        <v>760931872.21849179</v>
      </c>
      <c r="K184" s="48"/>
      <c r="L184" s="14"/>
      <c r="M184" s="56"/>
      <c r="S184" s="13"/>
    </row>
    <row r="185" spans="1:19" s="12" customFormat="1" x14ac:dyDescent="0.3">
      <c r="B185" s="79"/>
      <c r="C185" s="12">
        <v>3</v>
      </c>
      <c r="D185" s="13">
        <f>N183</f>
        <v>49926221.811456919</v>
      </c>
      <c r="E185" s="41">
        <f t="shared" si="20"/>
        <v>529637837.54957086</v>
      </c>
      <c r="F185" s="13">
        <f t="shared" si="26"/>
        <v>760931872.21849179</v>
      </c>
      <c r="G185" s="12">
        <v>1.7999999999999999E-2</v>
      </c>
      <c r="H185" s="13">
        <f t="shared" si="23"/>
        <v>774628645.91842461</v>
      </c>
      <c r="I185" s="13"/>
      <c r="J185" s="9">
        <f t="shared" si="21"/>
        <v>824554867.72988153</v>
      </c>
      <c r="K185" s="48"/>
      <c r="L185" s="14"/>
      <c r="M185" s="56"/>
      <c r="S185" s="13"/>
    </row>
    <row r="186" spans="1:19" s="12" customFormat="1" x14ac:dyDescent="0.3">
      <c r="B186" s="79"/>
      <c r="C186" s="12">
        <v>4</v>
      </c>
      <c r="D186" s="13">
        <f>N183</f>
        <v>49926221.811456919</v>
      </c>
      <c r="E186" s="41">
        <f t="shared" si="20"/>
        <v>539171318.62546313</v>
      </c>
      <c r="F186" s="13">
        <f t="shared" si="26"/>
        <v>824554867.72988153</v>
      </c>
      <c r="G186" s="12">
        <v>1.7999999999999999E-2</v>
      </c>
      <c r="H186" s="13">
        <f t="shared" si="23"/>
        <v>839396855.34901941</v>
      </c>
      <c r="I186" s="13"/>
      <c r="J186" s="9">
        <f t="shared" si="21"/>
        <v>889323077.16047633</v>
      </c>
      <c r="K186" s="48"/>
      <c r="L186" s="14"/>
      <c r="M186" s="56"/>
      <c r="S186" s="13"/>
    </row>
    <row r="187" spans="1:19" s="12" customFormat="1" x14ac:dyDescent="0.3">
      <c r="B187" s="79"/>
      <c r="C187" s="12">
        <v>5</v>
      </c>
      <c r="D187" s="13">
        <f>N183</f>
        <v>49926221.811456919</v>
      </c>
      <c r="E187" s="41">
        <f t="shared" si="20"/>
        <v>548876402.36072147</v>
      </c>
      <c r="F187" s="13">
        <f t="shared" si="26"/>
        <v>859599640.17035091</v>
      </c>
      <c r="G187" s="12">
        <v>1.7999999999999999E-2</v>
      </c>
      <c r="H187" s="13">
        <f t="shared" si="23"/>
        <v>875072433.69341719</v>
      </c>
      <c r="I187" s="13"/>
      <c r="J187" s="9">
        <f t="shared" si="21"/>
        <v>924998655.50487411</v>
      </c>
      <c r="K187" s="48">
        <f xml:space="preserve"> Q182</f>
        <v>29723436.990125388</v>
      </c>
      <c r="L187" s="14"/>
      <c r="M187" s="56"/>
      <c r="S187" s="13"/>
    </row>
    <row r="188" spans="1:19" s="12" customFormat="1" x14ac:dyDescent="0.3">
      <c r="B188" s="79"/>
      <c r="C188" s="12">
        <v>6</v>
      </c>
      <c r="D188" s="13">
        <f>N183</f>
        <v>49926221.811456919</v>
      </c>
      <c r="E188" s="41">
        <f t="shared" si="20"/>
        <v>558756177.6032145</v>
      </c>
      <c r="F188" s="13">
        <f t="shared" si="26"/>
        <v>924998655.50487411</v>
      </c>
      <c r="G188" s="12">
        <v>1.7999999999999999E-2</v>
      </c>
      <c r="H188" s="13">
        <f t="shared" si="23"/>
        <v>941648631.30396187</v>
      </c>
      <c r="I188" s="13"/>
      <c r="J188" s="9">
        <f t="shared" si="21"/>
        <v>991574853.11541879</v>
      </c>
      <c r="K188" s="48"/>
      <c r="L188" s="14"/>
      <c r="M188" s="56"/>
      <c r="S188" s="13"/>
    </row>
    <row r="189" spans="1:19" s="12" customFormat="1" x14ac:dyDescent="0.3">
      <c r="B189" s="79"/>
      <c r="C189" s="12">
        <v>7</v>
      </c>
      <c r="D189" s="13">
        <f>N183</f>
        <v>49926221.811456919</v>
      </c>
      <c r="E189" s="41">
        <f t="shared" si="20"/>
        <v>568813788.80007231</v>
      </c>
      <c r="F189" s="13">
        <f t="shared" si="26"/>
        <v>991574853.11541879</v>
      </c>
      <c r="G189" s="12">
        <v>1.7999999999999999E-2</v>
      </c>
      <c r="H189" s="13">
        <f t="shared" si="23"/>
        <v>1009423200.4714963</v>
      </c>
      <c r="I189" s="13"/>
      <c r="J189" s="9">
        <f t="shared" si="21"/>
        <v>1059349422.2829533</v>
      </c>
      <c r="K189" s="48"/>
      <c r="L189" s="14"/>
      <c r="M189" s="56"/>
      <c r="S189" s="13"/>
    </row>
    <row r="190" spans="1:19" s="12" customFormat="1" x14ac:dyDescent="0.3">
      <c r="B190" s="79"/>
      <c r="C190" s="12">
        <v>8</v>
      </c>
      <c r="D190" s="13">
        <f>N183</f>
        <v>49926221.811456919</v>
      </c>
      <c r="E190" s="41">
        <f t="shared" si="20"/>
        <v>579052436.99847364</v>
      </c>
      <c r="F190" s="13">
        <f t="shared" si="26"/>
        <v>1059349422.2829533</v>
      </c>
      <c r="G190" s="12">
        <v>1.7999999999999999E-2</v>
      </c>
      <c r="H190" s="13">
        <f t="shared" si="23"/>
        <v>1078417711.8840463</v>
      </c>
      <c r="I190" s="13"/>
      <c r="J190" s="9">
        <f t="shared" si="21"/>
        <v>1128343933.6955032</v>
      </c>
      <c r="K190" s="48"/>
      <c r="L190" s="14"/>
      <c r="M190" s="56"/>
      <c r="S190" s="13"/>
    </row>
    <row r="191" spans="1:19" s="12" customFormat="1" x14ac:dyDescent="0.3">
      <c r="B191" s="79"/>
      <c r="C191" s="12">
        <v>9</v>
      </c>
      <c r="D191" s="13">
        <f>N183</f>
        <v>49926221.811456919</v>
      </c>
      <c r="E191" s="41">
        <f t="shared" si="20"/>
        <v>589475380.86444616</v>
      </c>
      <c r="F191" s="13">
        <f t="shared" si="26"/>
        <v>1128343933.6955032</v>
      </c>
      <c r="G191" s="12">
        <v>1.7999999999999999E-2</v>
      </c>
      <c r="H191" s="13">
        <f t="shared" si="23"/>
        <v>1148654124.5020223</v>
      </c>
      <c r="I191" s="13"/>
      <c r="J191" s="9">
        <f t="shared" si="21"/>
        <v>1198580346.3134792</v>
      </c>
      <c r="K191" s="48"/>
      <c r="L191" s="14"/>
      <c r="M191" s="56"/>
      <c r="S191" s="13"/>
    </row>
    <row r="192" spans="1:19" s="12" customFormat="1" x14ac:dyDescent="0.3">
      <c r="B192" s="79"/>
      <c r="C192" s="12">
        <v>10</v>
      </c>
      <c r="D192" s="13">
        <f>N183</f>
        <v>49926221.811456919</v>
      </c>
      <c r="E192" s="41">
        <f t="shared" si="20"/>
        <v>600085937.72000623</v>
      </c>
      <c r="F192" s="13">
        <f t="shared" si="26"/>
        <v>1198580346.3134792</v>
      </c>
      <c r="G192" s="12">
        <v>1.7999999999999999E-2</v>
      </c>
      <c r="H192" s="13">
        <f t="shared" si="23"/>
        <v>1220154792.5471218</v>
      </c>
      <c r="I192" s="13"/>
      <c r="J192" s="9">
        <f t="shared" si="21"/>
        <v>1270081014.3585787</v>
      </c>
      <c r="K192" s="48"/>
      <c r="L192" s="14"/>
      <c r="M192" s="56"/>
      <c r="S192" s="13"/>
    </row>
    <row r="193" spans="1:19" s="12" customFormat="1" x14ac:dyDescent="0.3">
      <c r="B193" s="79"/>
      <c r="C193" s="12">
        <v>11</v>
      </c>
      <c r="D193" s="13">
        <f>N183</f>
        <v>49926221.811456919</v>
      </c>
      <c r="E193" s="41">
        <f t="shared" si="20"/>
        <v>610887484.59896636</v>
      </c>
      <c r="F193" s="13">
        <f t="shared" si="26"/>
        <v>1270081014.3585787</v>
      </c>
      <c r="G193" s="12">
        <v>1.7999999999999999E-2</v>
      </c>
      <c r="H193" s="13">
        <f t="shared" si="23"/>
        <v>1292942472.617033</v>
      </c>
      <c r="I193" s="13"/>
      <c r="J193" s="9">
        <f t="shared" si="21"/>
        <v>1342868694.4284899</v>
      </c>
      <c r="K193" s="48"/>
      <c r="L193" s="14"/>
      <c r="M193" s="56"/>
      <c r="S193" s="13"/>
    </row>
    <row r="194" spans="1:19" s="18" customFormat="1" x14ac:dyDescent="0.3">
      <c r="B194" s="79"/>
      <c r="C194" s="18">
        <v>12</v>
      </c>
      <c r="D194" s="19">
        <f>N183</f>
        <v>49926221.811456919</v>
      </c>
      <c r="E194" s="19">
        <f t="shared" si="20"/>
        <v>621883459.32174778</v>
      </c>
      <c r="F194" s="19">
        <f t="shared" si="26"/>
        <v>1306868694.4284899</v>
      </c>
      <c r="G194" s="18">
        <v>1.7999999999999999E-2</v>
      </c>
      <c r="H194" s="19">
        <f t="shared" si="23"/>
        <v>1330392330.9282026</v>
      </c>
      <c r="I194" s="19">
        <f xml:space="preserve"> H194</f>
        <v>1330392330.9282026</v>
      </c>
      <c r="J194" s="9">
        <f t="shared" si="21"/>
        <v>1380318552.7396595</v>
      </c>
      <c r="K194" s="51">
        <v>36000000</v>
      </c>
      <c r="L194" s="20">
        <f xml:space="preserve"> (I194-K194) / 2</f>
        <v>647196165.46410131</v>
      </c>
      <c r="M194" s="58">
        <f xml:space="preserve"> (F183 + SUM(D184:D194)) - SUM(K184:K194)</f>
        <v>1120505886.4848406</v>
      </c>
      <c r="N194" s="19">
        <f xml:space="preserve"> H194 - M194</f>
        <v>209886444.443362</v>
      </c>
      <c r="O194" s="18">
        <v>0.84</v>
      </c>
      <c r="P194" s="19">
        <f xml:space="preserve"> N194 * O194</f>
        <v>176304613.33242407</v>
      </c>
      <c r="Q194" s="19">
        <f xml:space="preserve"> N194 - P194</f>
        <v>33581831.110937923</v>
      </c>
      <c r="R194" s="18">
        <f xml:space="preserve"> N194 / M194 * 100</f>
        <v>18.731400430371728</v>
      </c>
      <c r="S194" s="19"/>
    </row>
    <row r="195" spans="1:19" s="3" customFormat="1" x14ac:dyDescent="0.3">
      <c r="A195" s="3">
        <v>17</v>
      </c>
      <c r="B195" s="78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78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78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78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78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78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78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78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78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78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78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78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78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78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78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78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78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78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78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78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78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78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78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78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78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78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78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78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78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78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78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78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78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78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78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78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78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78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78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78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78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78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78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78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78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78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78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78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78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78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78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78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78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78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78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78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78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78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78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78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F20" sqref="F20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J25" sqref="J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1" t="s">
        <v>64</v>
      </c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x14ac:dyDescent="0.3"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5" t="s">
        <v>68</v>
      </c>
    </row>
    <row r="8" spans="2:13" x14ac:dyDescent="0.3">
      <c r="B8" s="76" t="s">
        <v>69</v>
      </c>
      <c r="C8" s="76" t="s">
        <v>70</v>
      </c>
      <c r="D8" s="76" t="s">
        <v>71</v>
      </c>
      <c r="E8" s="76" t="s">
        <v>72</v>
      </c>
      <c r="F8" s="76" t="s">
        <v>73</v>
      </c>
      <c r="G8" s="76" t="s">
        <v>74</v>
      </c>
      <c r="H8" s="76" t="s">
        <v>75</v>
      </c>
      <c r="I8" s="76" t="s">
        <v>76</v>
      </c>
      <c r="J8" s="76" t="s">
        <v>77</v>
      </c>
    </row>
    <row r="9" spans="2:13" x14ac:dyDescent="0.3">
      <c r="B9" s="77" t="s">
        <v>78</v>
      </c>
      <c r="C9" s="77" t="s">
        <v>79</v>
      </c>
      <c r="D9" s="77" t="s">
        <v>80</v>
      </c>
      <c r="E9" s="77" t="s">
        <v>81</v>
      </c>
      <c r="F9" s="77" t="s">
        <v>82</v>
      </c>
      <c r="G9" s="77" t="s">
        <v>83</v>
      </c>
      <c r="H9" s="77" t="s">
        <v>84</v>
      </c>
      <c r="I9" s="77" t="s">
        <v>85</v>
      </c>
      <c r="J9" s="77" t="s">
        <v>86</v>
      </c>
    </row>
    <row r="10" spans="2:13" x14ac:dyDescent="0.3">
      <c r="B10" s="77" t="s">
        <v>87</v>
      </c>
      <c r="C10" s="77" t="s">
        <v>88</v>
      </c>
      <c r="D10" s="77" t="s">
        <v>89</v>
      </c>
      <c r="E10" s="77" t="s">
        <v>90</v>
      </c>
      <c r="F10" s="77" t="s">
        <v>91</v>
      </c>
      <c r="G10" s="77" t="s">
        <v>92</v>
      </c>
      <c r="H10" s="77" t="s">
        <v>93</v>
      </c>
      <c r="I10" s="77" t="s">
        <v>94</v>
      </c>
      <c r="J10" s="77" t="s">
        <v>95</v>
      </c>
    </row>
    <row r="11" spans="2:13" x14ac:dyDescent="0.3">
      <c r="B11" s="77" t="s">
        <v>96</v>
      </c>
      <c r="C11" s="77" t="s">
        <v>97</v>
      </c>
      <c r="D11" s="77" t="s">
        <v>98</v>
      </c>
      <c r="E11" s="77" t="s">
        <v>99</v>
      </c>
      <c r="F11" s="77" t="s">
        <v>100</v>
      </c>
      <c r="G11" s="77" t="s">
        <v>101</v>
      </c>
      <c r="H11" s="77" t="s">
        <v>102</v>
      </c>
      <c r="I11" s="77" t="s">
        <v>103</v>
      </c>
      <c r="J11" s="77" t="s">
        <v>104</v>
      </c>
    </row>
    <row r="12" spans="2:13" x14ac:dyDescent="0.3">
      <c r="B12" s="77" t="s">
        <v>105</v>
      </c>
      <c r="C12" s="77" t="s">
        <v>106</v>
      </c>
      <c r="D12" s="77" t="s">
        <v>107</v>
      </c>
      <c r="E12" s="77" t="s">
        <v>108</v>
      </c>
      <c r="F12" s="77" t="s">
        <v>109</v>
      </c>
      <c r="G12" s="77" t="s">
        <v>110</v>
      </c>
      <c r="H12" s="77" t="s">
        <v>111</v>
      </c>
      <c r="I12" s="77" t="s">
        <v>112</v>
      </c>
      <c r="J12" s="77" t="s">
        <v>113</v>
      </c>
    </row>
    <row r="13" spans="2:13" x14ac:dyDescent="0.3">
      <c r="B13" s="77" t="s">
        <v>114</v>
      </c>
      <c r="C13" s="77" t="s">
        <v>115</v>
      </c>
      <c r="D13" s="77" t="s">
        <v>116</v>
      </c>
      <c r="E13" s="77" t="s">
        <v>117</v>
      </c>
      <c r="F13" s="77" t="s">
        <v>118</v>
      </c>
      <c r="G13" s="77" t="s">
        <v>119</v>
      </c>
      <c r="H13" s="77" t="s">
        <v>120</v>
      </c>
      <c r="I13" s="77" t="s">
        <v>121</v>
      </c>
      <c r="J13" s="77" t="s">
        <v>122</v>
      </c>
    </row>
    <row r="14" spans="2:13" x14ac:dyDescent="0.3">
      <c r="B14" s="77" t="s">
        <v>123</v>
      </c>
      <c r="C14" s="77" t="s">
        <v>124</v>
      </c>
      <c r="D14" s="77" t="s">
        <v>125</v>
      </c>
      <c r="E14" s="77" t="s">
        <v>126</v>
      </c>
      <c r="F14" s="77" t="s">
        <v>127</v>
      </c>
      <c r="G14" s="77" t="s">
        <v>94</v>
      </c>
      <c r="H14" s="77" t="s">
        <v>113</v>
      </c>
      <c r="I14" s="77" t="s">
        <v>128</v>
      </c>
      <c r="J14" s="77" t="s">
        <v>129</v>
      </c>
    </row>
    <row r="15" spans="2:13" x14ac:dyDescent="0.3">
      <c r="B15" s="77" t="s">
        <v>130</v>
      </c>
      <c r="C15" s="77" t="s">
        <v>84</v>
      </c>
      <c r="D15" s="77" t="s">
        <v>131</v>
      </c>
      <c r="E15" s="77" t="s">
        <v>127</v>
      </c>
      <c r="F15" s="77" t="s">
        <v>132</v>
      </c>
      <c r="G15" s="77" t="s">
        <v>133</v>
      </c>
      <c r="H15" s="77" t="s">
        <v>134</v>
      </c>
      <c r="I15" s="77" t="s">
        <v>135</v>
      </c>
      <c r="J15" s="77" t="s">
        <v>136</v>
      </c>
    </row>
    <row r="16" spans="2:13" x14ac:dyDescent="0.3">
      <c r="B16" s="77" t="s">
        <v>137</v>
      </c>
      <c r="C16" s="77" t="s">
        <v>138</v>
      </c>
      <c r="D16" s="77" t="s">
        <v>109</v>
      </c>
      <c r="E16" s="77" t="s">
        <v>139</v>
      </c>
      <c r="F16" s="77" t="s">
        <v>140</v>
      </c>
      <c r="G16" s="77" t="s">
        <v>141</v>
      </c>
      <c r="H16" s="77" t="s">
        <v>142</v>
      </c>
      <c r="I16" s="77" t="s">
        <v>143</v>
      </c>
      <c r="J16" s="77" t="s">
        <v>144</v>
      </c>
    </row>
    <row r="17" spans="1:11" x14ac:dyDescent="0.3">
      <c r="B17" s="77" t="s">
        <v>145</v>
      </c>
      <c r="C17" s="77" t="s">
        <v>146</v>
      </c>
      <c r="D17" s="77" t="s">
        <v>147</v>
      </c>
      <c r="E17" s="77" t="s">
        <v>148</v>
      </c>
      <c r="F17" s="77" t="s">
        <v>149</v>
      </c>
      <c r="G17" s="77" t="s">
        <v>150</v>
      </c>
      <c r="H17" s="77" t="s">
        <v>151</v>
      </c>
      <c r="I17" s="77" t="s">
        <v>152</v>
      </c>
      <c r="J17" s="77" t="s">
        <v>153</v>
      </c>
    </row>
    <row r="18" spans="1:11" x14ac:dyDescent="0.3">
      <c r="B18" s="77" t="s">
        <v>154</v>
      </c>
      <c r="C18" s="77" t="s">
        <v>155</v>
      </c>
      <c r="D18" s="77" t="s">
        <v>156</v>
      </c>
      <c r="E18" s="77" t="s">
        <v>157</v>
      </c>
      <c r="F18" s="77" t="s">
        <v>158</v>
      </c>
      <c r="G18" s="77" t="s">
        <v>159</v>
      </c>
      <c r="H18" s="77" t="s">
        <v>160</v>
      </c>
      <c r="I18" s="77" t="s">
        <v>161</v>
      </c>
      <c r="J18" s="77" t="s">
        <v>162</v>
      </c>
    </row>
    <row r="19" spans="1:11" x14ac:dyDescent="0.3">
      <c r="B19" s="77" t="s">
        <v>163</v>
      </c>
      <c r="C19" s="77" t="s">
        <v>164</v>
      </c>
      <c r="D19" s="77" t="s">
        <v>165</v>
      </c>
      <c r="E19" s="77" t="s">
        <v>166</v>
      </c>
      <c r="F19" s="77" t="s">
        <v>167</v>
      </c>
      <c r="G19" s="77" t="s">
        <v>168</v>
      </c>
      <c r="H19" s="77" t="s">
        <v>169</v>
      </c>
      <c r="I19" s="77" t="s">
        <v>170</v>
      </c>
      <c r="J19" s="77" t="s">
        <v>171</v>
      </c>
      <c r="K19" s="69">
        <f xml:space="preserve"> J19 / 100</f>
        <v>0.1174</v>
      </c>
    </row>
    <row r="21" spans="1:11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1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27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1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27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1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</row>
    <row r="26" spans="1:11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</row>
    <row r="27" spans="1:11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18"/>
  <sheetViews>
    <sheetView tabSelected="1" workbookViewId="0">
      <selection activeCell="P4" sqref="P4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83"/>
      <c r="C1" s="83"/>
    </row>
    <row r="2" spans="2:15" x14ac:dyDescent="0.3">
      <c r="B2" s="82" t="s">
        <v>34</v>
      </c>
      <c r="C2" s="82"/>
      <c r="E2" s="82" t="s">
        <v>38</v>
      </c>
      <c r="F2" s="82"/>
      <c r="H2" s="82" t="s">
        <v>45</v>
      </c>
      <c r="I2" s="82"/>
      <c r="K2" s="82" t="s">
        <v>178</v>
      </c>
      <c r="L2" s="82"/>
      <c r="N2" s="82" t="s">
        <v>179</v>
      </c>
      <c r="O2" s="82"/>
    </row>
    <row r="3" spans="2:15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  <c r="K3" s="28" t="s">
        <v>31</v>
      </c>
      <c r="L3" s="28" t="s">
        <v>32</v>
      </c>
      <c r="N3" s="28" t="s">
        <v>31</v>
      </c>
      <c r="O3" s="28" t="s">
        <v>32</v>
      </c>
    </row>
    <row r="4" spans="2:15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  <c r="K4" s="27">
        <v>1</v>
      </c>
      <c r="L4" s="31">
        <v>39527</v>
      </c>
      <c r="N4" s="27">
        <v>1</v>
      </c>
      <c r="O4" s="31">
        <v>19976</v>
      </c>
    </row>
    <row r="5" spans="2:15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  <c r="K5" s="27">
        <v>2</v>
      </c>
      <c r="L5" s="31">
        <v>47051</v>
      </c>
      <c r="N5" s="27">
        <v>2</v>
      </c>
      <c r="O5" s="31">
        <v>35716</v>
      </c>
    </row>
    <row r="6" spans="2:15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  <c r="K6" s="27">
        <v>3</v>
      </c>
      <c r="L6" s="32">
        <v>-8281</v>
      </c>
      <c r="N6" s="27">
        <v>3</v>
      </c>
      <c r="O6" s="32">
        <v>0</v>
      </c>
    </row>
    <row r="7" spans="2:15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  <c r="K7" s="27">
        <v>4</v>
      </c>
      <c r="L7" s="31">
        <v>0</v>
      </c>
      <c r="N7" s="27">
        <v>4</v>
      </c>
      <c r="O7" s="31">
        <v>0</v>
      </c>
    </row>
    <row r="8" spans="2:15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  <c r="K8" s="27">
        <v>5</v>
      </c>
      <c r="L8" s="31">
        <v>0</v>
      </c>
      <c r="N8" s="27">
        <v>5</v>
      </c>
      <c r="O8" s="31">
        <v>0</v>
      </c>
    </row>
    <row r="9" spans="2:15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  <c r="K9" s="27">
        <v>6</v>
      </c>
      <c r="L9" s="32">
        <v>0</v>
      </c>
      <c r="N9" s="27">
        <v>6</v>
      </c>
      <c r="O9" s="32">
        <v>0</v>
      </c>
    </row>
    <row r="10" spans="2:15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  <c r="K10" s="27">
        <v>7</v>
      </c>
      <c r="L10" s="31">
        <v>0</v>
      </c>
      <c r="N10" s="27">
        <v>7</v>
      </c>
      <c r="O10" s="31">
        <v>0</v>
      </c>
    </row>
    <row r="11" spans="2:15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  <c r="K11" s="27">
        <v>8</v>
      </c>
      <c r="L11" s="31">
        <v>0</v>
      </c>
      <c r="N11" s="27">
        <v>8</v>
      </c>
      <c r="O11" s="31">
        <v>0</v>
      </c>
    </row>
    <row r="12" spans="2:15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  <c r="K12" s="30">
        <v>9</v>
      </c>
      <c r="L12" s="32">
        <v>0</v>
      </c>
      <c r="N12" s="30">
        <v>9</v>
      </c>
      <c r="O12" s="32">
        <v>0</v>
      </c>
    </row>
    <row r="13" spans="2:15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  <c r="K13" s="27">
        <v>10</v>
      </c>
      <c r="L13" s="31">
        <v>0</v>
      </c>
      <c r="N13" s="27">
        <v>10</v>
      </c>
      <c r="O13" s="31">
        <v>0</v>
      </c>
    </row>
    <row r="14" spans="2:15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  <c r="K14" s="28" t="s">
        <v>33</v>
      </c>
      <c r="L14" s="29">
        <f>SUM(L4:L13)</f>
        <v>78297</v>
      </c>
      <c r="N14" s="28" t="s">
        <v>33</v>
      </c>
      <c r="O14" s="29">
        <f>SUM(O4:O13)</f>
        <v>55692</v>
      </c>
    </row>
    <row r="15" spans="2:15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  <c r="K15" s="28" t="s">
        <v>21</v>
      </c>
      <c r="L15" s="29">
        <v>1200000</v>
      </c>
      <c r="N15" s="28" t="s">
        <v>21</v>
      </c>
      <c r="O15" s="29">
        <v>1223000</v>
      </c>
    </row>
    <row r="16" spans="2:15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  <c r="K16" s="28" t="s">
        <v>36</v>
      </c>
      <c r="L16" s="27">
        <f xml:space="preserve">  ROUND( (L14 / L15) * 100, 2 )</f>
        <v>6.52</v>
      </c>
      <c r="N16" s="28" t="s">
        <v>36</v>
      </c>
      <c r="O16" s="27">
        <f xml:space="preserve">  ROUND( (O14 / O15) * 100, 2 )</f>
        <v>4.55</v>
      </c>
    </row>
    <row r="17" spans="2:15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  <c r="K17" s="28" t="s">
        <v>37</v>
      </c>
      <c r="L17" s="9">
        <f xml:space="preserve"> L15 + L14</f>
        <v>1278297</v>
      </c>
      <c r="N17" s="28" t="s">
        <v>37</v>
      </c>
      <c r="O17" s="9">
        <f xml:space="preserve"> O15 + O14</f>
        <v>1278692</v>
      </c>
    </row>
    <row r="18" spans="2:15" x14ac:dyDescent="0.3">
      <c r="B18" s="25"/>
    </row>
  </sheetData>
  <mergeCells count="6"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opLeftCell="B1" workbookViewId="0">
      <selection activeCell="D17" sqref="D17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B12" s="1">
        <v>6930000</v>
      </c>
      <c r="C12" s="1">
        <v>630000</v>
      </c>
      <c r="D12" s="1">
        <v>2500000</v>
      </c>
      <c r="E12" s="1">
        <v>300000</v>
      </c>
      <c r="F12" s="1">
        <v>100000</v>
      </c>
      <c r="G12" s="1">
        <v>200000</v>
      </c>
      <c r="H12" s="1">
        <v>50000</v>
      </c>
      <c r="I12" s="1">
        <v>100000</v>
      </c>
      <c r="J12" s="1">
        <v>0</v>
      </c>
      <c r="K12" s="1">
        <v>100000</v>
      </c>
      <c r="L12" s="1">
        <v>0</v>
      </c>
      <c r="M12" s="1">
        <v>0</v>
      </c>
      <c r="N12" s="1">
        <v>0</v>
      </c>
      <c r="O12" s="1">
        <v>2000000</v>
      </c>
      <c r="P12" s="1">
        <v>600000</v>
      </c>
      <c r="Q12" s="1">
        <f t="shared" ref="Q12" si="7">SUM(C12:P12)</f>
        <v>6580000</v>
      </c>
      <c r="R12" s="1">
        <f t="shared" ref="R12" si="8" xml:space="preserve"> B12 - Q12</f>
        <v>350000</v>
      </c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2022-12-13T13:02:49Z</dcterms:modified>
</cp:coreProperties>
</file>