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7"/>
  <workbookPr/>
  <mc:AlternateContent xmlns:mc="http://schemas.openxmlformats.org/markup-compatibility/2006">
    <mc:Choice Requires="x15">
      <x15ac:absPath xmlns:x15ac="http://schemas.microsoft.com/office/spreadsheetml/2010/11/ac" url="D:\3.sbg\workspace\MyStock\"/>
    </mc:Choice>
  </mc:AlternateContent>
  <xr:revisionPtr revIDLastSave="0" documentId="13_ncr:1_{06A8C5FA-79B7-4380-B166-5A594130C3F5}" xr6:coauthVersionLast="36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시나리오" sheetId="18" r:id="rId1"/>
    <sheet name="생활패턴" sheetId="5" r:id="rId2"/>
    <sheet name="플러그파워" sheetId="11" r:id="rId3"/>
    <sheet name="리사이클" sheetId="16" r:id="rId4"/>
    <sheet name="금융사이클" sheetId="10" r:id="rId5"/>
    <sheet name="단타일지" sheetId="9" r:id="rId6"/>
    <sheet name="2022단타일지" sheetId="13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7" i="5" l="1"/>
  <c r="R13" i="5" l="1"/>
  <c r="C61" i="11" l="1"/>
  <c r="E47" i="11"/>
  <c r="G54" i="11"/>
  <c r="G53" i="11"/>
  <c r="G52" i="11"/>
  <c r="G51" i="11"/>
  <c r="F68" i="11"/>
  <c r="G61" i="11"/>
  <c r="F54" i="11"/>
  <c r="D61" i="11" s="1"/>
  <c r="E68" i="11" l="1"/>
  <c r="G68" i="11" s="1"/>
  <c r="H68" i="11" s="1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6" i="18"/>
  <c r="R25" i="18"/>
  <c r="H67" i="11" l="1"/>
  <c r="H66" i="11"/>
  <c r="F67" i="11"/>
  <c r="E67" i="11"/>
  <c r="G67" i="11" s="1"/>
  <c r="G60" i="11"/>
  <c r="D60" i="11"/>
  <c r="C60" i="11"/>
  <c r="F53" i="11"/>
  <c r="E46" i="11"/>
  <c r="N19" i="18" l="1"/>
  <c r="N20" i="18" s="1"/>
  <c r="P20" i="18" l="1"/>
  <c r="Q20" i="18" s="1"/>
  <c r="N21" i="18"/>
  <c r="G37" i="9"/>
  <c r="F37" i="9"/>
  <c r="H37" i="9" s="1"/>
  <c r="H36" i="9"/>
  <c r="H35" i="9"/>
  <c r="H34" i="9"/>
  <c r="H33" i="9"/>
  <c r="H32" i="9"/>
  <c r="H31" i="9"/>
  <c r="H30" i="9"/>
  <c r="H29" i="9"/>
  <c r="H28" i="9"/>
  <c r="H27" i="9"/>
  <c r="C27" i="9"/>
  <c r="C26" i="9"/>
  <c r="P21" i="18" l="1"/>
  <c r="Q21" i="18" s="1"/>
  <c r="N22" i="18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191" i="18" s="1"/>
  <c r="N192" i="18" s="1"/>
  <c r="N193" i="18" s="1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N204" i="18" s="1"/>
  <c r="N205" i="18" s="1"/>
  <c r="N206" i="18" s="1"/>
  <c r="N207" i="18" s="1"/>
  <c r="N208" i="18" s="1"/>
  <c r="N209" i="18" s="1"/>
  <c r="N210" i="18" s="1"/>
  <c r="N211" i="18" s="1"/>
  <c r="N212" i="18" s="1"/>
  <c r="N213" i="18" s="1"/>
  <c r="N214" i="18" s="1"/>
  <c r="N215" i="18" s="1"/>
  <c r="N216" i="18" s="1"/>
  <c r="N217" i="18" s="1"/>
  <c r="N218" i="18" s="1"/>
  <c r="N219" i="18" s="1"/>
  <c r="N220" i="18" s="1"/>
  <c r="N221" i="18" s="1"/>
  <c r="N222" i="18" s="1"/>
  <c r="N223" i="18" s="1"/>
  <c r="N224" i="18" s="1"/>
  <c r="N225" i="18" s="1"/>
  <c r="N226" i="18" s="1"/>
  <c r="N227" i="18" s="1"/>
  <c r="N228" i="18" s="1"/>
  <c r="N229" i="18" s="1"/>
  <c r="N230" i="18" s="1"/>
  <c r="N231" i="18" s="1"/>
  <c r="N232" i="18" s="1"/>
  <c r="N233" i="18" s="1"/>
  <c r="N234" i="18" s="1"/>
  <c r="N235" i="18" s="1"/>
  <c r="N236" i="18" s="1"/>
  <c r="N237" i="18" s="1"/>
  <c r="N238" i="18" s="1"/>
  <c r="N239" i="18" s="1"/>
  <c r="N240" i="18" s="1"/>
  <c r="N241" i="18" s="1"/>
  <c r="N242" i="18" s="1"/>
  <c r="N243" i="18" s="1"/>
  <c r="N244" i="18" s="1"/>
  <c r="N245" i="18" s="1"/>
  <c r="N246" i="18" s="1"/>
  <c r="N247" i="18" s="1"/>
  <c r="N248" i="18" s="1"/>
  <c r="N249" i="18" s="1"/>
  <c r="N250" i="18" s="1"/>
  <c r="N251" i="18" s="1"/>
  <c r="N252" i="18" s="1"/>
  <c r="N253" i="18" s="1"/>
  <c r="N254" i="18" s="1"/>
  <c r="N255" i="18" s="1"/>
  <c r="K4" i="18"/>
  <c r="K5" i="18" s="1"/>
  <c r="F123" i="5"/>
  <c r="G123" i="5"/>
  <c r="P22" i="18" l="1"/>
  <c r="K6" i="18"/>
  <c r="F66" i="11"/>
  <c r="G66" i="11" s="1"/>
  <c r="E66" i="11"/>
  <c r="C59" i="11"/>
  <c r="E45" i="11"/>
  <c r="G59" i="11"/>
  <c r="D59" i="11"/>
  <c r="F52" i="11"/>
  <c r="P23" i="18" l="1"/>
  <c r="K7" i="18"/>
  <c r="F13" i="16"/>
  <c r="G9" i="16"/>
  <c r="D9" i="16"/>
  <c r="E3" i="16"/>
  <c r="P24" i="18" l="1"/>
  <c r="K8" i="18"/>
  <c r="C9" i="16"/>
  <c r="E13" i="16" s="1"/>
  <c r="G13" i="16" s="1"/>
  <c r="P25" i="18" l="1"/>
  <c r="K9" i="18"/>
  <c r="G65" i="11"/>
  <c r="F65" i="11"/>
  <c r="E65" i="11"/>
  <c r="G57" i="11"/>
  <c r="G58" i="11"/>
  <c r="P26" i="18" l="1"/>
  <c r="K10" i="18"/>
  <c r="D58" i="11"/>
  <c r="C58" i="11"/>
  <c r="F51" i="11"/>
  <c r="E44" i="11"/>
  <c r="P27" i="18" l="1"/>
  <c r="K11" i="18"/>
  <c r="C20" i="9"/>
  <c r="P28" i="18" l="1"/>
  <c r="K12" i="18"/>
  <c r="D35" i="11"/>
  <c r="G34" i="11" s="1"/>
  <c r="I34" i="11" s="1"/>
  <c r="K34" i="11"/>
  <c r="P29" i="18" l="1"/>
  <c r="K13" i="18"/>
  <c r="C22" i="9"/>
  <c r="C23" i="9" s="1"/>
  <c r="C19" i="9"/>
  <c r="K32" i="11"/>
  <c r="K30" i="11"/>
  <c r="F50" i="11"/>
  <c r="D57" i="11" s="1"/>
  <c r="E43" i="11"/>
  <c r="D33" i="11"/>
  <c r="G32" i="11" s="1"/>
  <c r="I32" i="11" s="1"/>
  <c r="D31" i="11"/>
  <c r="G30" i="11" s="1"/>
  <c r="I30" i="11" s="1"/>
  <c r="P30" i="18" l="1"/>
  <c r="K14" i="18"/>
  <c r="C57" i="11"/>
  <c r="Q14" i="9"/>
  <c r="P14" i="9"/>
  <c r="R13" i="9"/>
  <c r="R12" i="9"/>
  <c r="R11" i="9"/>
  <c r="R10" i="9"/>
  <c r="R9" i="9"/>
  <c r="R8" i="9"/>
  <c r="R7" i="9"/>
  <c r="R6" i="9"/>
  <c r="R5" i="9"/>
  <c r="R4" i="9"/>
  <c r="C14" i="13"/>
  <c r="F14" i="13"/>
  <c r="F17" i="13" s="1"/>
  <c r="I14" i="13"/>
  <c r="I16" i="13" s="1"/>
  <c r="L14" i="13"/>
  <c r="L16" i="13" s="1"/>
  <c r="O14" i="13"/>
  <c r="O16" i="13" s="1"/>
  <c r="C16" i="13"/>
  <c r="F16" i="13"/>
  <c r="C17" i="13"/>
  <c r="L17" i="13"/>
  <c r="K14" i="9"/>
  <c r="M13" i="9"/>
  <c r="M12" i="9"/>
  <c r="M11" i="9"/>
  <c r="M10" i="9"/>
  <c r="M9" i="9"/>
  <c r="M8" i="9"/>
  <c r="M7" i="9"/>
  <c r="M6" i="9"/>
  <c r="M5" i="9"/>
  <c r="M4" i="9"/>
  <c r="H11" i="9"/>
  <c r="H12" i="9"/>
  <c r="H13" i="9"/>
  <c r="H10" i="9"/>
  <c r="H9" i="9"/>
  <c r="H8" i="9"/>
  <c r="H7" i="9"/>
  <c r="H6" i="9"/>
  <c r="H5" i="9"/>
  <c r="H4" i="9"/>
  <c r="F14" i="9"/>
  <c r="L14" i="9"/>
  <c r="G14" i="9"/>
  <c r="P31" i="18" l="1"/>
  <c r="K15" i="18"/>
  <c r="M14" i="9"/>
  <c r="I17" i="13"/>
  <c r="O17" i="13"/>
  <c r="R14" i="9"/>
  <c r="H14" i="9"/>
  <c r="I22" i="11"/>
  <c r="D23" i="11"/>
  <c r="E25" i="11" s="1"/>
  <c r="P32" i="18" l="1"/>
  <c r="K16" i="18"/>
  <c r="D25" i="11"/>
  <c r="F25" i="11"/>
  <c r="I23" i="11"/>
  <c r="H24" i="11" s="1"/>
  <c r="G25" i="11"/>
  <c r="P33" i="18" l="1"/>
  <c r="K17" i="18"/>
  <c r="D24" i="11"/>
  <c r="C24" i="11"/>
  <c r="P34" i="18" l="1"/>
  <c r="K18" i="18"/>
  <c r="I24" i="11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P35" i="18" l="1"/>
  <c r="K19" i="18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P36" i="18" l="1"/>
  <c r="K20" i="18"/>
  <c r="S13" i="5"/>
  <c r="S14" i="5"/>
  <c r="S12" i="5"/>
  <c r="S11" i="5"/>
  <c r="S10" i="5"/>
  <c r="S9" i="5"/>
  <c r="S8" i="5"/>
  <c r="S7" i="5"/>
  <c r="S6" i="5"/>
  <c r="S5" i="5"/>
  <c r="S4" i="5"/>
  <c r="S3" i="5"/>
  <c r="T3" i="5" s="1"/>
  <c r="C14" i="9"/>
  <c r="C16" i="9" s="1"/>
  <c r="P37" i="18" l="1"/>
  <c r="K21" i="18"/>
  <c r="C17" i="9"/>
  <c r="P38" i="18" l="1"/>
  <c r="K22" i="18"/>
  <c r="Q22" i="18" s="1"/>
  <c r="P39" i="18" l="1"/>
  <c r="K23" i="18"/>
  <c r="Q23" i="18" s="1"/>
  <c r="L19" i="11"/>
  <c r="P40" i="18" l="1"/>
  <c r="K24" i="18"/>
  <c r="Q24" i="18" s="1"/>
  <c r="P41" i="18" l="1"/>
  <c r="K25" i="18"/>
  <c r="Q25" i="18" s="1"/>
  <c r="S25" i="18" s="1"/>
  <c r="P42" i="18" l="1"/>
  <c r="K26" i="18"/>
  <c r="Q26" i="18" s="1"/>
  <c r="S26" i="18" s="1"/>
  <c r="P43" i="18" l="1"/>
  <c r="K27" i="18"/>
  <c r="Q27" i="18" s="1"/>
  <c r="S27" i="18" s="1"/>
  <c r="P44" i="18" l="1"/>
  <c r="K28" i="18"/>
  <c r="Q28" i="18" s="1"/>
  <c r="S28" i="18" s="1"/>
  <c r="P45" i="18" l="1"/>
  <c r="K29" i="18"/>
  <c r="Q29" i="18" s="1"/>
  <c r="S29" i="18" s="1"/>
  <c r="C13" i="5" l="1"/>
  <c r="T13" i="5" s="1"/>
  <c r="P46" i="18"/>
  <c r="K30" i="18"/>
  <c r="Q30" i="18" s="1"/>
  <c r="S30" i="18" s="1"/>
  <c r="C14" i="5" l="1"/>
  <c r="T14" i="5" s="1"/>
  <c r="C15" i="5" s="1"/>
  <c r="P47" i="18"/>
  <c r="K31" i="18"/>
  <c r="Q31" i="18" s="1"/>
  <c r="S31" i="18" s="1"/>
  <c r="T15" i="5" l="1"/>
  <c r="C16" i="5" s="1"/>
  <c r="P48" i="18"/>
  <c r="K32" i="18"/>
  <c r="Q32" i="18" s="1"/>
  <c r="S32" i="18" s="1"/>
  <c r="T16" i="5" l="1"/>
  <c r="C17" i="5" s="1"/>
  <c r="P49" i="18"/>
  <c r="K33" i="18"/>
  <c r="Q33" i="18" s="1"/>
  <c r="S33" i="18" s="1"/>
  <c r="T17" i="5" l="1"/>
  <c r="C18" i="5" s="1"/>
  <c r="P50" i="18"/>
  <c r="K34" i="18"/>
  <c r="Q34" i="18" s="1"/>
  <c r="S34" i="18" s="1"/>
  <c r="T18" i="5" l="1"/>
  <c r="P51" i="18"/>
  <c r="K35" i="18"/>
  <c r="Q35" i="18" s="1"/>
  <c r="S35" i="18" s="1"/>
  <c r="C19" i="5" l="1"/>
  <c r="T19" i="5" s="1"/>
  <c r="C20" i="5" s="1"/>
  <c r="P52" i="18"/>
  <c r="K36" i="18"/>
  <c r="Q36" i="18" s="1"/>
  <c r="S36" i="18" s="1"/>
  <c r="T20" i="5" l="1"/>
  <c r="C21" i="5" s="1"/>
  <c r="P53" i="18"/>
  <c r="K37" i="18"/>
  <c r="Q37" i="18" s="1"/>
  <c r="S37" i="18" s="1"/>
  <c r="T21" i="5" l="1"/>
  <c r="C22" i="5" s="1"/>
  <c r="P54" i="18"/>
  <c r="K38" i="18"/>
  <c r="Q38" i="18" s="1"/>
  <c r="S38" i="18" s="1"/>
  <c r="T22" i="5" l="1"/>
  <c r="C23" i="5" s="1"/>
  <c r="P55" i="18"/>
  <c r="K39" i="18"/>
  <c r="Q39" i="18" s="1"/>
  <c r="S39" i="18" s="1"/>
  <c r="T23" i="5" l="1"/>
  <c r="C24" i="5" s="1"/>
  <c r="P56" i="18"/>
  <c r="K40" i="18"/>
  <c r="Q40" i="18" s="1"/>
  <c r="S40" i="18" s="1"/>
  <c r="T24" i="5" l="1"/>
  <c r="C25" i="5" s="1"/>
  <c r="P57" i="18"/>
  <c r="K41" i="18"/>
  <c r="Q41" i="18" s="1"/>
  <c r="S41" i="18" s="1"/>
  <c r="T25" i="5" l="1"/>
  <c r="C26" i="5" s="1"/>
  <c r="P58" i="18"/>
  <c r="K42" i="18"/>
  <c r="Q42" i="18" s="1"/>
  <c r="S42" i="18" s="1"/>
  <c r="T26" i="5" l="1"/>
  <c r="C27" i="5" s="1"/>
  <c r="P59" i="18"/>
  <c r="K43" i="18"/>
  <c r="Q43" i="18" s="1"/>
  <c r="S43" i="18" s="1"/>
  <c r="T27" i="5" l="1"/>
  <c r="C28" i="5" s="1"/>
  <c r="P60" i="18"/>
  <c r="K44" i="18"/>
  <c r="Q44" i="18" s="1"/>
  <c r="S44" i="18" s="1"/>
  <c r="T28" i="5" l="1"/>
  <c r="C29" i="5" s="1"/>
  <c r="P61" i="18"/>
  <c r="K45" i="18"/>
  <c r="Q45" i="18" s="1"/>
  <c r="S45" i="18" s="1"/>
  <c r="T29" i="5" l="1"/>
  <c r="C30" i="5" s="1"/>
  <c r="P62" i="18"/>
  <c r="K46" i="18"/>
  <c r="Q46" i="18" s="1"/>
  <c r="S46" i="18" s="1"/>
  <c r="T30" i="5" l="1"/>
  <c r="C31" i="5" s="1"/>
  <c r="P63" i="18"/>
  <c r="K47" i="18"/>
  <c r="Q47" i="18" s="1"/>
  <c r="S47" i="18" s="1"/>
  <c r="T31" i="5" l="1"/>
  <c r="C32" i="5" s="1"/>
  <c r="P64" i="18"/>
  <c r="K48" i="18"/>
  <c r="Q48" i="18" s="1"/>
  <c r="S48" i="18" s="1"/>
  <c r="T32" i="5" l="1"/>
  <c r="C33" i="5" s="1"/>
  <c r="P65" i="18"/>
  <c r="K49" i="18"/>
  <c r="Q49" i="18" s="1"/>
  <c r="S49" i="18" s="1"/>
  <c r="T33" i="5" l="1"/>
  <c r="C34" i="5" s="1"/>
  <c r="P66" i="18"/>
  <c r="K50" i="18"/>
  <c r="Q50" i="18" s="1"/>
  <c r="S50" i="18" s="1"/>
  <c r="T34" i="5" l="1"/>
  <c r="C35" i="5" s="1"/>
  <c r="P67" i="18"/>
  <c r="K51" i="18"/>
  <c r="Q51" i="18" s="1"/>
  <c r="S51" i="18" s="1"/>
  <c r="T35" i="5" l="1"/>
  <c r="C36" i="5" s="1"/>
  <c r="P68" i="18"/>
  <c r="K52" i="18"/>
  <c r="Q52" i="18" s="1"/>
  <c r="S52" i="18" s="1"/>
  <c r="T36" i="5" l="1"/>
  <c r="C37" i="5" s="1"/>
  <c r="P69" i="18"/>
  <c r="K53" i="18"/>
  <c r="Q53" i="18" s="1"/>
  <c r="S53" i="18" s="1"/>
  <c r="T37" i="5" l="1"/>
  <c r="C38" i="5" s="1"/>
  <c r="P70" i="18"/>
  <c r="K54" i="18"/>
  <c r="Q54" i="18" s="1"/>
  <c r="S54" i="18" s="1"/>
  <c r="T38" i="5" l="1"/>
  <c r="C39" i="5" s="1"/>
  <c r="P71" i="18"/>
  <c r="K55" i="18"/>
  <c r="Q55" i="18" s="1"/>
  <c r="S55" i="18" s="1"/>
  <c r="T39" i="5" l="1"/>
  <c r="C40" i="5" s="1"/>
  <c r="P72" i="18"/>
  <c r="K56" i="18"/>
  <c r="Q56" i="18" s="1"/>
  <c r="S56" i="18" s="1"/>
  <c r="T40" i="5" l="1"/>
  <c r="C41" i="5" s="1"/>
  <c r="P73" i="18"/>
  <c r="K57" i="18"/>
  <c r="Q57" i="18" s="1"/>
  <c r="S57" i="18" s="1"/>
  <c r="T41" i="5" l="1"/>
  <c r="C42" i="5" s="1"/>
  <c r="P74" i="18"/>
  <c r="K58" i="18"/>
  <c r="Q58" i="18" s="1"/>
  <c r="S58" i="18" s="1"/>
  <c r="T42" i="5" l="1"/>
  <c r="C43" i="5" s="1"/>
  <c r="P75" i="18"/>
  <c r="K59" i="18"/>
  <c r="Q59" i="18" s="1"/>
  <c r="S59" i="18" s="1"/>
  <c r="T43" i="5" l="1"/>
  <c r="C44" i="5" s="1"/>
  <c r="P76" i="18"/>
  <c r="K60" i="18"/>
  <c r="Q60" i="18" s="1"/>
  <c r="S60" i="18" s="1"/>
  <c r="T44" i="5" l="1"/>
  <c r="C45" i="5" s="1"/>
  <c r="P77" i="18"/>
  <c r="K61" i="18"/>
  <c r="Q61" i="18" s="1"/>
  <c r="S61" i="18" s="1"/>
  <c r="T45" i="5" l="1"/>
  <c r="C46" i="5" s="1"/>
  <c r="P78" i="18"/>
  <c r="K62" i="18"/>
  <c r="Q62" i="18" s="1"/>
  <c r="S62" i="18" s="1"/>
  <c r="T46" i="5" l="1"/>
  <c r="C47" i="5" s="1"/>
  <c r="P79" i="18"/>
  <c r="K63" i="18"/>
  <c r="Q63" i="18" s="1"/>
  <c r="S63" i="18" s="1"/>
  <c r="T47" i="5" l="1"/>
  <c r="C48" i="5" s="1"/>
  <c r="P80" i="18"/>
  <c r="K64" i="18"/>
  <c r="Q64" i="18" s="1"/>
  <c r="S64" i="18" s="1"/>
  <c r="T48" i="5" l="1"/>
  <c r="C49" i="5" s="1"/>
  <c r="P81" i="18"/>
  <c r="K65" i="18"/>
  <c r="Q65" i="18" s="1"/>
  <c r="S65" i="18" s="1"/>
  <c r="T49" i="5" l="1"/>
  <c r="C50" i="5" s="1"/>
  <c r="P82" i="18"/>
  <c r="K66" i="18"/>
  <c r="Q66" i="18" s="1"/>
  <c r="S66" i="18" s="1"/>
  <c r="T50" i="5" l="1"/>
  <c r="C51" i="5" s="1"/>
  <c r="P83" i="18"/>
  <c r="K67" i="18"/>
  <c r="Q67" i="18" s="1"/>
  <c r="S67" i="18" s="1"/>
  <c r="T51" i="5" l="1"/>
  <c r="C52" i="5" s="1"/>
  <c r="P84" i="18"/>
  <c r="K68" i="18"/>
  <c r="Q68" i="18" s="1"/>
  <c r="S68" i="18" s="1"/>
  <c r="T52" i="5" l="1"/>
  <c r="C53" i="5" s="1"/>
  <c r="P85" i="18"/>
  <c r="K69" i="18"/>
  <c r="Q69" i="18" s="1"/>
  <c r="S69" i="18" s="1"/>
  <c r="T53" i="5" l="1"/>
  <c r="C54" i="5" s="1"/>
  <c r="P86" i="18"/>
  <c r="K70" i="18"/>
  <c r="Q70" i="18" s="1"/>
  <c r="S70" i="18" s="1"/>
  <c r="T54" i="5" l="1"/>
  <c r="C55" i="5" s="1"/>
  <c r="P87" i="18"/>
  <c r="K71" i="18"/>
  <c r="Q71" i="18" s="1"/>
  <c r="S71" i="18" s="1"/>
  <c r="T55" i="5" l="1"/>
  <c r="C56" i="5" s="1"/>
  <c r="P88" i="18"/>
  <c r="K72" i="18"/>
  <c r="Q72" i="18" s="1"/>
  <c r="S72" i="18" s="1"/>
  <c r="T56" i="5" l="1"/>
  <c r="C57" i="5" s="1"/>
  <c r="P89" i="18"/>
  <c r="K73" i="18"/>
  <c r="Q73" i="18" s="1"/>
  <c r="S73" i="18" s="1"/>
  <c r="T57" i="5" l="1"/>
  <c r="C58" i="5" s="1"/>
  <c r="P90" i="18"/>
  <c r="K74" i="18"/>
  <c r="Q74" i="18" s="1"/>
  <c r="S74" i="18" s="1"/>
  <c r="T58" i="5" l="1"/>
  <c r="C59" i="5" s="1"/>
  <c r="P91" i="18"/>
  <c r="K75" i="18"/>
  <c r="Q75" i="18" s="1"/>
  <c r="S75" i="18" s="1"/>
  <c r="T59" i="5" l="1"/>
  <c r="C60" i="5" s="1"/>
  <c r="P92" i="18"/>
  <c r="K76" i="18"/>
  <c r="Q76" i="18" s="1"/>
  <c r="S76" i="18" s="1"/>
  <c r="T60" i="5" l="1"/>
  <c r="C61" i="5" s="1"/>
  <c r="P93" i="18"/>
  <c r="K77" i="18"/>
  <c r="Q77" i="18" s="1"/>
  <c r="S77" i="18" s="1"/>
  <c r="T61" i="5" l="1"/>
  <c r="C62" i="5" s="1"/>
  <c r="P94" i="18"/>
  <c r="K78" i="18"/>
  <c r="Q78" i="18" s="1"/>
  <c r="S78" i="18" s="1"/>
  <c r="T62" i="5" l="1"/>
  <c r="C63" i="5" s="1"/>
  <c r="P95" i="18"/>
  <c r="K79" i="18"/>
  <c r="Q79" i="18" s="1"/>
  <c r="S79" i="18" s="1"/>
  <c r="T63" i="5" l="1"/>
  <c r="C64" i="5" s="1"/>
  <c r="P96" i="18"/>
  <c r="K80" i="18"/>
  <c r="Q80" i="18" s="1"/>
  <c r="S80" i="18" s="1"/>
  <c r="T64" i="5" l="1"/>
  <c r="C65" i="5" s="1"/>
  <c r="P97" i="18"/>
  <c r="K81" i="18"/>
  <c r="Q81" i="18" s="1"/>
  <c r="S81" i="18" s="1"/>
  <c r="T65" i="5" l="1"/>
  <c r="C66" i="5" s="1"/>
  <c r="P98" i="18"/>
  <c r="K82" i="18"/>
  <c r="Q82" i="18" s="1"/>
  <c r="S82" i="18" s="1"/>
  <c r="T66" i="5" l="1"/>
  <c r="C67" i="5" s="1"/>
  <c r="P99" i="18"/>
  <c r="K83" i="18"/>
  <c r="Q83" i="18" s="1"/>
  <c r="S83" i="18" s="1"/>
  <c r="T67" i="5" l="1"/>
  <c r="C68" i="5" s="1"/>
  <c r="P100" i="18"/>
  <c r="K84" i="18"/>
  <c r="Q84" i="18" s="1"/>
  <c r="S84" i="18" s="1"/>
  <c r="T68" i="5" l="1"/>
  <c r="C69" i="5" s="1"/>
  <c r="P101" i="18"/>
  <c r="K85" i="18"/>
  <c r="Q85" i="18" s="1"/>
  <c r="S85" i="18" s="1"/>
  <c r="T69" i="5" l="1"/>
  <c r="C70" i="5" s="1"/>
  <c r="P102" i="18"/>
  <c r="K86" i="18"/>
  <c r="Q86" i="18" s="1"/>
  <c r="S86" i="18" s="1"/>
  <c r="T70" i="5" l="1"/>
  <c r="C71" i="5" s="1"/>
  <c r="P103" i="18"/>
  <c r="K87" i="18"/>
  <c r="Q87" i="18" s="1"/>
  <c r="S87" i="18" s="1"/>
  <c r="T71" i="5" l="1"/>
  <c r="C72" i="5" s="1"/>
  <c r="P104" i="18"/>
  <c r="K88" i="18"/>
  <c r="Q88" i="18" s="1"/>
  <c r="S88" i="18" s="1"/>
  <c r="T72" i="5" l="1"/>
  <c r="C73" i="5" s="1"/>
  <c r="P105" i="18"/>
  <c r="K89" i="18"/>
  <c r="Q89" i="18" s="1"/>
  <c r="S89" i="18" s="1"/>
  <c r="T73" i="5" l="1"/>
  <c r="C74" i="5" s="1"/>
  <c r="P106" i="18"/>
  <c r="K90" i="18"/>
  <c r="Q90" i="18" s="1"/>
  <c r="S90" i="18" s="1"/>
  <c r="T74" i="5" l="1"/>
  <c r="C75" i="5" s="1"/>
  <c r="P107" i="18"/>
  <c r="K91" i="18"/>
  <c r="Q91" i="18" s="1"/>
  <c r="S91" i="18" s="1"/>
  <c r="T75" i="5" l="1"/>
  <c r="C76" i="5" s="1"/>
  <c r="P108" i="18"/>
  <c r="K92" i="18"/>
  <c r="Q92" i="18" s="1"/>
  <c r="S92" i="18" s="1"/>
  <c r="T76" i="5" l="1"/>
  <c r="C77" i="5" s="1"/>
  <c r="P109" i="18"/>
  <c r="K93" i="18"/>
  <c r="Q93" i="18" s="1"/>
  <c r="S93" i="18" s="1"/>
  <c r="T77" i="5" l="1"/>
  <c r="C78" i="5" s="1"/>
  <c r="P110" i="18"/>
  <c r="K94" i="18"/>
  <c r="Q94" i="18" s="1"/>
  <c r="S94" i="18" s="1"/>
  <c r="T78" i="5" l="1"/>
  <c r="C79" i="5" s="1"/>
  <c r="P111" i="18"/>
  <c r="K95" i="18"/>
  <c r="Q95" i="18" s="1"/>
  <c r="S95" i="18" s="1"/>
  <c r="T79" i="5" l="1"/>
  <c r="C80" i="5" s="1"/>
  <c r="P112" i="18"/>
  <c r="K96" i="18"/>
  <c r="Q96" i="18" s="1"/>
  <c r="S96" i="18" s="1"/>
  <c r="T80" i="5" l="1"/>
  <c r="C81" i="5" s="1"/>
  <c r="P113" i="18"/>
  <c r="K97" i="18"/>
  <c r="Q97" i="18" s="1"/>
  <c r="S97" i="18" s="1"/>
  <c r="T81" i="5" l="1"/>
  <c r="C82" i="5" s="1"/>
  <c r="P114" i="18"/>
  <c r="K98" i="18"/>
  <c r="Q98" i="18" s="1"/>
  <c r="S98" i="18" s="1"/>
  <c r="T82" i="5" l="1"/>
  <c r="C83" i="5" s="1"/>
  <c r="P115" i="18"/>
  <c r="K99" i="18"/>
  <c r="Q99" i="18" s="1"/>
  <c r="S99" i="18" s="1"/>
  <c r="T83" i="5" l="1"/>
  <c r="C84" i="5" s="1"/>
  <c r="P116" i="18"/>
  <c r="K100" i="18"/>
  <c r="Q100" i="18" s="1"/>
  <c r="S100" i="18" s="1"/>
  <c r="T84" i="5" l="1"/>
  <c r="C85" i="5" s="1"/>
  <c r="P117" i="18"/>
  <c r="K101" i="18"/>
  <c r="Q101" i="18" s="1"/>
  <c r="S101" i="18" s="1"/>
  <c r="T85" i="5" l="1"/>
  <c r="C86" i="5" s="1"/>
  <c r="P118" i="18"/>
  <c r="K102" i="18"/>
  <c r="Q102" i="18" s="1"/>
  <c r="S102" i="18" s="1"/>
  <c r="T86" i="5" l="1"/>
  <c r="C87" i="5" s="1"/>
  <c r="P119" i="18"/>
  <c r="K103" i="18"/>
  <c r="Q103" i="18" s="1"/>
  <c r="S103" i="18" s="1"/>
  <c r="T87" i="5" l="1"/>
  <c r="C88" i="5" s="1"/>
  <c r="P120" i="18"/>
  <c r="K104" i="18"/>
  <c r="Q104" i="18" s="1"/>
  <c r="S104" i="18" s="1"/>
  <c r="T88" i="5" l="1"/>
  <c r="C89" i="5" s="1"/>
  <c r="P121" i="18"/>
  <c r="K105" i="18"/>
  <c r="Q105" i="18" s="1"/>
  <c r="S105" i="18" s="1"/>
  <c r="T89" i="5" l="1"/>
  <c r="C90" i="5" s="1"/>
  <c r="P122" i="18"/>
  <c r="K106" i="18"/>
  <c r="Q106" i="18" s="1"/>
  <c r="S106" i="18" s="1"/>
  <c r="T90" i="5" l="1"/>
  <c r="C91" i="5" s="1"/>
  <c r="P123" i="18"/>
  <c r="K107" i="18"/>
  <c r="Q107" i="18" s="1"/>
  <c r="S107" i="18" s="1"/>
  <c r="T91" i="5" l="1"/>
  <c r="C92" i="5" s="1"/>
  <c r="P124" i="18"/>
  <c r="K108" i="18"/>
  <c r="Q108" i="18" s="1"/>
  <c r="S108" i="18" s="1"/>
  <c r="T92" i="5" l="1"/>
  <c r="C93" i="5" s="1"/>
  <c r="P125" i="18"/>
  <c r="K109" i="18"/>
  <c r="Q109" i="18" s="1"/>
  <c r="S109" i="18" s="1"/>
  <c r="T93" i="5" l="1"/>
  <c r="C94" i="5" s="1"/>
  <c r="P126" i="18"/>
  <c r="K110" i="18"/>
  <c r="Q110" i="18" s="1"/>
  <c r="S110" i="18" s="1"/>
  <c r="T94" i="5" l="1"/>
  <c r="C95" i="5" s="1"/>
  <c r="P127" i="18"/>
  <c r="K111" i="18"/>
  <c r="Q111" i="18" s="1"/>
  <c r="S111" i="18" s="1"/>
  <c r="T95" i="5" l="1"/>
  <c r="C96" i="5" s="1"/>
  <c r="P128" i="18"/>
  <c r="K112" i="18"/>
  <c r="Q112" i="18" s="1"/>
  <c r="S112" i="18" s="1"/>
  <c r="T96" i="5" l="1"/>
  <c r="C97" i="5" s="1"/>
  <c r="P129" i="18"/>
  <c r="K113" i="18"/>
  <c r="Q113" i="18" s="1"/>
  <c r="S113" i="18" s="1"/>
  <c r="T97" i="5" l="1"/>
  <c r="C98" i="5" s="1"/>
  <c r="P130" i="18"/>
  <c r="K114" i="18"/>
  <c r="Q114" i="18" s="1"/>
  <c r="S114" i="18" s="1"/>
  <c r="T98" i="5" l="1"/>
  <c r="C99" i="5" s="1"/>
  <c r="P131" i="18"/>
  <c r="K115" i="18"/>
  <c r="Q115" i="18" s="1"/>
  <c r="S115" i="18" s="1"/>
  <c r="T99" i="5" l="1"/>
  <c r="C100" i="5" s="1"/>
  <c r="P132" i="18"/>
  <c r="K116" i="18"/>
  <c r="Q116" i="18" s="1"/>
  <c r="S116" i="18" s="1"/>
  <c r="T100" i="5" l="1"/>
  <c r="C101" i="5" s="1"/>
  <c r="P133" i="18"/>
  <c r="K117" i="18"/>
  <c r="Q117" i="18" s="1"/>
  <c r="S117" i="18" s="1"/>
  <c r="T101" i="5" l="1"/>
  <c r="C102" i="5" s="1"/>
  <c r="P134" i="18"/>
  <c r="K118" i="18"/>
  <c r="Q118" i="18" s="1"/>
  <c r="S118" i="18" s="1"/>
  <c r="T102" i="5" l="1"/>
  <c r="C103" i="5" s="1"/>
  <c r="P135" i="18"/>
  <c r="K119" i="18"/>
  <c r="Q119" i="18" s="1"/>
  <c r="S119" i="18" s="1"/>
  <c r="T103" i="5" l="1"/>
  <c r="C104" i="5" s="1"/>
  <c r="P136" i="18"/>
  <c r="K120" i="18"/>
  <c r="Q120" i="18" s="1"/>
  <c r="S120" i="18" s="1"/>
  <c r="T104" i="5" l="1"/>
  <c r="C105" i="5" s="1"/>
  <c r="P137" i="18"/>
  <c r="K121" i="18"/>
  <c r="Q121" i="18" s="1"/>
  <c r="S121" i="18" s="1"/>
  <c r="T105" i="5" l="1"/>
  <c r="C106" i="5" s="1"/>
  <c r="P138" i="18"/>
  <c r="K122" i="18"/>
  <c r="Q122" i="18" s="1"/>
  <c r="S122" i="18" s="1"/>
  <c r="T106" i="5" l="1"/>
  <c r="C107" i="5" s="1"/>
  <c r="P139" i="18"/>
  <c r="K123" i="18"/>
  <c r="Q123" i="18" s="1"/>
  <c r="S123" i="18" s="1"/>
  <c r="T107" i="5" l="1"/>
  <c r="C108" i="5" s="1"/>
  <c r="P140" i="18"/>
  <c r="K124" i="18"/>
  <c r="Q124" i="18" s="1"/>
  <c r="S124" i="18" s="1"/>
  <c r="T108" i="5" l="1"/>
  <c r="C109" i="5" s="1"/>
  <c r="P141" i="18"/>
  <c r="K125" i="18"/>
  <c r="Q125" i="18" s="1"/>
  <c r="S125" i="18" s="1"/>
  <c r="T109" i="5" l="1"/>
  <c r="C110" i="5" s="1"/>
  <c r="P142" i="18"/>
  <c r="K126" i="18"/>
  <c r="Q126" i="18" s="1"/>
  <c r="S126" i="18" s="1"/>
  <c r="T110" i="5" l="1"/>
  <c r="C111" i="5" s="1"/>
  <c r="P143" i="18"/>
  <c r="K127" i="18"/>
  <c r="Q127" i="18" s="1"/>
  <c r="S127" i="18" s="1"/>
  <c r="T111" i="5" l="1"/>
  <c r="C112" i="5" s="1"/>
  <c r="P144" i="18"/>
  <c r="K128" i="18"/>
  <c r="Q128" i="18" s="1"/>
  <c r="S128" i="18" s="1"/>
  <c r="T112" i="5" l="1"/>
  <c r="C113" i="5" s="1"/>
  <c r="P145" i="18"/>
  <c r="K129" i="18"/>
  <c r="Q129" i="18" s="1"/>
  <c r="S129" i="18" s="1"/>
  <c r="T113" i="5" l="1"/>
  <c r="C114" i="5" s="1"/>
  <c r="P146" i="18"/>
  <c r="K130" i="18"/>
  <c r="Q130" i="18" s="1"/>
  <c r="S130" i="18" s="1"/>
  <c r="T114" i="5" l="1"/>
  <c r="C115" i="5" s="1"/>
  <c r="P147" i="18"/>
  <c r="K131" i="18"/>
  <c r="Q131" i="18" s="1"/>
  <c r="S131" i="18" s="1"/>
  <c r="T115" i="5" l="1"/>
  <c r="C116" i="5" s="1"/>
  <c r="P148" i="18"/>
  <c r="K132" i="18"/>
  <c r="Q132" i="18" s="1"/>
  <c r="S132" i="18" s="1"/>
  <c r="T116" i="5" l="1"/>
  <c r="C117" i="5" s="1"/>
  <c r="P149" i="18"/>
  <c r="K133" i="18"/>
  <c r="Q133" i="18" s="1"/>
  <c r="S133" i="18" s="1"/>
  <c r="T117" i="5" l="1"/>
  <c r="C118" i="5" s="1"/>
  <c r="P150" i="18"/>
  <c r="K134" i="18"/>
  <c r="Q134" i="18" s="1"/>
  <c r="S134" i="18" s="1"/>
  <c r="T118" i="5" l="1"/>
  <c r="C119" i="5" s="1"/>
  <c r="P151" i="18"/>
  <c r="K135" i="18"/>
  <c r="Q135" i="18" s="1"/>
  <c r="S135" i="18" s="1"/>
  <c r="T119" i="5" l="1"/>
  <c r="C120" i="5" s="1"/>
  <c r="P152" i="18"/>
  <c r="K136" i="18"/>
  <c r="Q136" i="18" s="1"/>
  <c r="S136" i="18" s="1"/>
  <c r="T120" i="5" l="1"/>
  <c r="C121" i="5" s="1"/>
  <c r="P153" i="18"/>
  <c r="K137" i="18"/>
  <c r="Q137" i="18" s="1"/>
  <c r="S137" i="18" s="1"/>
  <c r="T121" i="5" l="1"/>
  <c r="C122" i="5" s="1"/>
  <c r="P154" i="18"/>
  <c r="K138" i="18"/>
  <c r="Q138" i="18" s="1"/>
  <c r="S138" i="18" s="1"/>
  <c r="T122" i="5" l="1"/>
  <c r="P155" i="18"/>
  <c r="K139" i="18"/>
  <c r="Q139" i="18" s="1"/>
  <c r="S139" i="18" s="1"/>
  <c r="P156" i="18" l="1"/>
  <c r="K140" i="18"/>
  <c r="Q140" i="18" s="1"/>
  <c r="S140" i="18" s="1"/>
  <c r="P157" i="18" l="1"/>
  <c r="K141" i="18"/>
  <c r="Q141" i="18" s="1"/>
  <c r="S141" i="18" s="1"/>
  <c r="P158" i="18" l="1"/>
  <c r="K142" i="18"/>
  <c r="Q142" i="18" s="1"/>
  <c r="S142" i="18" s="1"/>
  <c r="P159" i="18" l="1"/>
  <c r="K143" i="18"/>
  <c r="Q143" i="18" s="1"/>
  <c r="S143" i="18" s="1"/>
  <c r="P160" i="18" l="1"/>
  <c r="K144" i="18"/>
  <c r="Q144" i="18" s="1"/>
  <c r="S144" i="18" s="1"/>
  <c r="P161" i="18" l="1"/>
  <c r="K145" i="18"/>
  <c r="Q145" i="18" s="1"/>
  <c r="S145" i="18" s="1"/>
  <c r="P162" i="18" l="1"/>
  <c r="K146" i="18"/>
  <c r="Q146" i="18" s="1"/>
  <c r="S146" i="18" s="1"/>
  <c r="P163" i="18" l="1"/>
  <c r="K147" i="18"/>
  <c r="Q147" i="18" s="1"/>
  <c r="S147" i="18" s="1"/>
  <c r="P164" i="18" l="1"/>
  <c r="K148" i="18"/>
  <c r="Q148" i="18" s="1"/>
  <c r="S148" i="18" s="1"/>
  <c r="P165" i="18" l="1"/>
  <c r="K149" i="18"/>
  <c r="Q149" i="18" s="1"/>
  <c r="S149" i="18" s="1"/>
  <c r="P166" i="18" l="1"/>
  <c r="K150" i="18"/>
  <c r="Q150" i="18" s="1"/>
  <c r="S150" i="18" s="1"/>
  <c r="P167" i="18" l="1"/>
  <c r="K151" i="18"/>
  <c r="Q151" i="18" s="1"/>
  <c r="S151" i="18" s="1"/>
  <c r="P168" i="18" l="1"/>
  <c r="K152" i="18"/>
  <c r="Q152" i="18" s="1"/>
  <c r="S152" i="18" s="1"/>
  <c r="P169" i="18" l="1"/>
  <c r="K153" i="18"/>
  <c r="Q153" i="18" s="1"/>
  <c r="S153" i="18" s="1"/>
  <c r="P170" i="18" l="1"/>
  <c r="K154" i="18"/>
  <c r="Q154" i="18" s="1"/>
  <c r="S154" i="18" s="1"/>
  <c r="P171" i="18" l="1"/>
  <c r="K155" i="18"/>
  <c r="Q155" i="18" s="1"/>
  <c r="S155" i="18" s="1"/>
  <c r="P172" i="18" l="1"/>
  <c r="K156" i="18"/>
  <c r="Q156" i="18" s="1"/>
  <c r="S156" i="18" s="1"/>
  <c r="P173" i="18" l="1"/>
  <c r="K157" i="18"/>
  <c r="Q157" i="18" s="1"/>
  <c r="S157" i="18" s="1"/>
  <c r="P174" i="18" l="1"/>
  <c r="K158" i="18"/>
  <c r="Q158" i="18" s="1"/>
  <c r="S158" i="18" s="1"/>
  <c r="P175" i="18" l="1"/>
  <c r="K159" i="18"/>
  <c r="Q159" i="18" s="1"/>
  <c r="S159" i="18" s="1"/>
  <c r="P176" i="18" l="1"/>
  <c r="K160" i="18"/>
  <c r="Q160" i="18" s="1"/>
  <c r="S160" i="18" s="1"/>
  <c r="P177" i="18" l="1"/>
  <c r="K161" i="18"/>
  <c r="Q161" i="18" s="1"/>
  <c r="S161" i="18" s="1"/>
  <c r="P178" i="18" l="1"/>
  <c r="K162" i="18"/>
  <c r="Q162" i="18" s="1"/>
  <c r="S162" i="18" s="1"/>
  <c r="P179" i="18" l="1"/>
  <c r="K163" i="18"/>
  <c r="Q163" i="18" s="1"/>
  <c r="S163" i="18" s="1"/>
  <c r="P180" i="18" l="1"/>
  <c r="K164" i="18"/>
  <c r="Q164" i="18" s="1"/>
  <c r="S164" i="18" s="1"/>
  <c r="P181" i="18" l="1"/>
  <c r="K165" i="18"/>
  <c r="Q165" i="18" s="1"/>
  <c r="S165" i="18" s="1"/>
  <c r="P182" i="18" l="1"/>
  <c r="K166" i="18"/>
  <c r="Q166" i="18" s="1"/>
  <c r="S166" i="18" s="1"/>
  <c r="P183" i="18" l="1"/>
  <c r="K167" i="18"/>
  <c r="Q167" i="18" s="1"/>
  <c r="S167" i="18" s="1"/>
  <c r="P184" i="18" l="1"/>
  <c r="K168" i="18"/>
  <c r="Q168" i="18" s="1"/>
  <c r="S168" i="18" s="1"/>
  <c r="P185" i="18" l="1"/>
  <c r="K169" i="18"/>
  <c r="Q169" i="18" s="1"/>
  <c r="S169" i="18" s="1"/>
  <c r="P186" i="18" l="1"/>
  <c r="K170" i="18"/>
  <c r="Q170" i="18" s="1"/>
  <c r="S170" i="18" s="1"/>
  <c r="P187" i="18" l="1"/>
  <c r="K171" i="18"/>
  <c r="Q171" i="18" s="1"/>
  <c r="S171" i="18" s="1"/>
  <c r="P188" i="18" l="1"/>
  <c r="K172" i="18"/>
  <c r="Q172" i="18" s="1"/>
  <c r="S172" i="18" s="1"/>
  <c r="P189" i="18" l="1"/>
  <c r="K173" i="18"/>
  <c r="Q173" i="18" s="1"/>
  <c r="S173" i="18" s="1"/>
  <c r="P190" i="18" l="1"/>
  <c r="K174" i="18"/>
  <c r="Q174" i="18" s="1"/>
  <c r="S174" i="18" s="1"/>
  <c r="P191" i="18" l="1"/>
  <c r="K175" i="18"/>
  <c r="Q175" i="18" s="1"/>
  <c r="S175" i="18" s="1"/>
  <c r="P192" i="18" l="1"/>
  <c r="K176" i="18"/>
  <c r="Q176" i="18" s="1"/>
  <c r="S176" i="18" s="1"/>
  <c r="P193" i="18" l="1"/>
  <c r="K177" i="18"/>
  <c r="Q177" i="18" s="1"/>
  <c r="S177" i="18" s="1"/>
  <c r="P194" i="18" l="1"/>
  <c r="K178" i="18"/>
  <c r="Q178" i="18" s="1"/>
  <c r="S178" i="18" s="1"/>
  <c r="P195" i="18" l="1"/>
  <c r="K179" i="18"/>
  <c r="Q179" i="18" s="1"/>
  <c r="S179" i="18" s="1"/>
  <c r="P196" i="18" l="1"/>
  <c r="K180" i="18"/>
  <c r="Q180" i="18" s="1"/>
  <c r="S180" i="18" s="1"/>
  <c r="P197" i="18" l="1"/>
  <c r="K181" i="18"/>
  <c r="Q181" i="18" s="1"/>
  <c r="S181" i="18" s="1"/>
  <c r="P198" i="18" l="1"/>
  <c r="K182" i="18"/>
  <c r="Q182" i="18" s="1"/>
  <c r="S182" i="18" s="1"/>
  <c r="P199" i="18" l="1"/>
  <c r="K183" i="18"/>
  <c r="Q183" i="18" s="1"/>
  <c r="S183" i="18" s="1"/>
  <c r="P200" i="18" l="1"/>
  <c r="K184" i="18"/>
  <c r="Q184" i="18" s="1"/>
  <c r="S184" i="18" s="1"/>
  <c r="P201" i="18" l="1"/>
  <c r="K185" i="18"/>
  <c r="Q185" i="18" s="1"/>
  <c r="S185" i="18" s="1"/>
  <c r="P202" i="18" l="1"/>
  <c r="K186" i="18"/>
  <c r="Q186" i="18" s="1"/>
  <c r="S186" i="18" s="1"/>
  <c r="P203" i="18" l="1"/>
  <c r="K187" i="18"/>
  <c r="Q187" i="18" s="1"/>
  <c r="S187" i="18" s="1"/>
  <c r="P204" i="18" l="1"/>
  <c r="K188" i="18"/>
  <c r="Q188" i="18" s="1"/>
  <c r="S188" i="18" s="1"/>
  <c r="P205" i="18" l="1"/>
  <c r="K189" i="18"/>
  <c r="Q189" i="18" s="1"/>
  <c r="S189" i="18" s="1"/>
  <c r="P206" i="18" l="1"/>
  <c r="K190" i="18"/>
  <c r="Q190" i="18" s="1"/>
  <c r="S190" i="18" s="1"/>
  <c r="P207" i="18" l="1"/>
  <c r="K191" i="18"/>
  <c r="Q191" i="18" s="1"/>
  <c r="S191" i="18" s="1"/>
  <c r="P208" i="18" l="1"/>
  <c r="K192" i="18"/>
  <c r="Q192" i="18" s="1"/>
  <c r="S192" i="18" s="1"/>
  <c r="P209" i="18" l="1"/>
  <c r="K193" i="18"/>
  <c r="Q193" i="18" s="1"/>
  <c r="S193" i="18" s="1"/>
  <c r="P210" i="18" l="1"/>
  <c r="K194" i="18"/>
  <c r="Q194" i="18" s="1"/>
  <c r="S194" i="18" s="1"/>
  <c r="P211" i="18" l="1"/>
  <c r="K195" i="18"/>
  <c r="Q195" i="18" s="1"/>
  <c r="S195" i="18" s="1"/>
  <c r="P212" i="18" l="1"/>
  <c r="K196" i="18"/>
  <c r="Q196" i="18" s="1"/>
  <c r="S196" i="18" s="1"/>
  <c r="P213" i="18" l="1"/>
  <c r="K197" i="18"/>
  <c r="Q197" i="18" s="1"/>
  <c r="S197" i="18" s="1"/>
  <c r="P214" i="18" l="1"/>
  <c r="K198" i="18"/>
  <c r="Q198" i="18" s="1"/>
  <c r="S198" i="18" s="1"/>
  <c r="P215" i="18" l="1"/>
  <c r="K199" i="18"/>
  <c r="Q199" i="18" s="1"/>
  <c r="S199" i="18" s="1"/>
  <c r="P216" i="18" l="1"/>
  <c r="K200" i="18"/>
  <c r="Q200" i="18" s="1"/>
  <c r="S200" i="18" s="1"/>
  <c r="P217" i="18" l="1"/>
  <c r="K201" i="18"/>
  <c r="Q201" i="18" s="1"/>
  <c r="S201" i="18" s="1"/>
  <c r="P218" i="18" l="1"/>
  <c r="K202" i="18"/>
  <c r="Q202" i="18" s="1"/>
  <c r="S202" i="18" s="1"/>
  <c r="P219" i="18" l="1"/>
  <c r="K203" i="18"/>
  <c r="Q203" i="18" s="1"/>
  <c r="S203" i="18" s="1"/>
  <c r="P220" i="18" l="1"/>
  <c r="K204" i="18"/>
  <c r="Q204" i="18" s="1"/>
  <c r="S204" i="18" s="1"/>
  <c r="P221" i="18" l="1"/>
  <c r="K205" i="18"/>
  <c r="Q205" i="18" s="1"/>
  <c r="S205" i="18" s="1"/>
  <c r="P222" i="18" l="1"/>
  <c r="K206" i="18"/>
  <c r="Q206" i="18" s="1"/>
  <c r="S206" i="18" s="1"/>
  <c r="P223" i="18" l="1"/>
  <c r="K207" i="18"/>
  <c r="Q207" i="18" s="1"/>
  <c r="S207" i="18" s="1"/>
  <c r="P224" i="18" l="1"/>
  <c r="K208" i="18"/>
  <c r="Q208" i="18" s="1"/>
  <c r="S208" i="18" s="1"/>
  <c r="P225" i="18" l="1"/>
  <c r="K209" i="18"/>
  <c r="Q209" i="18" s="1"/>
  <c r="S209" i="18" s="1"/>
  <c r="P226" i="18" l="1"/>
  <c r="K210" i="18"/>
  <c r="Q210" i="18" s="1"/>
  <c r="S210" i="18" s="1"/>
  <c r="P227" i="18" l="1"/>
  <c r="K211" i="18"/>
  <c r="Q211" i="18" s="1"/>
  <c r="S211" i="18" s="1"/>
  <c r="P228" i="18" l="1"/>
  <c r="K212" i="18"/>
  <c r="Q212" i="18" s="1"/>
  <c r="S212" i="18" s="1"/>
  <c r="P229" i="18" l="1"/>
  <c r="K213" i="18"/>
  <c r="Q213" i="18" s="1"/>
  <c r="S213" i="18" s="1"/>
  <c r="P230" i="18" l="1"/>
  <c r="K214" i="18"/>
  <c r="Q214" i="18" s="1"/>
  <c r="S214" i="18" s="1"/>
  <c r="P231" i="18" l="1"/>
  <c r="K215" i="18"/>
  <c r="Q215" i="18" s="1"/>
  <c r="S215" i="18" s="1"/>
  <c r="P232" i="18" l="1"/>
  <c r="K216" i="18"/>
  <c r="Q216" i="18" s="1"/>
  <c r="S216" i="18" s="1"/>
  <c r="P233" i="18" l="1"/>
  <c r="K217" i="18"/>
  <c r="Q217" i="18" s="1"/>
  <c r="S217" i="18" s="1"/>
  <c r="P234" i="18" l="1"/>
  <c r="K218" i="18"/>
  <c r="Q218" i="18" s="1"/>
  <c r="S218" i="18" s="1"/>
  <c r="P235" i="18" l="1"/>
  <c r="K219" i="18"/>
  <c r="Q219" i="18" s="1"/>
  <c r="S219" i="18" s="1"/>
  <c r="P236" i="18" l="1"/>
  <c r="K220" i="18"/>
  <c r="Q220" i="18" s="1"/>
  <c r="S220" i="18" s="1"/>
  <c r="P237" i="18" l="1"/>
  <c r="K221" i="18"/>
  <c r="Q221" i="18" s="1"/>
  <c r="S221" i="18" s="1"/>
  <c r="P238" i="18" l="1"/>
  <c r="K222" i="18"/>
  <c r="Q222" i="18" s="1"/>
  <c r="S222" i="18" s="1"/>
  <c r="P239" i="18" l="1"/>
  <c r="K223" i="18"/>
  <c r="Q223" i="18" s="1"/>
  <c r="S223" i="18" s="1"/>
  <c r="P240" i="18" l="1"/>
  <c r="K224" i="18"/>
  <c r="Q224" i="18" s="1"/>
  <c r="S224" i="18" s="1"/>
  <c r="P241" i="18" l="1"/>
  <c r="K225" i="18"/>
  <c r="Q225" i="18" s="1"/>
  <c r="S225" i="18" s="1"/>
  <c r="P242" i="18" l="1"/>
  <c r="K226" i="18"/>
  <c r="Q226" i="18" s="1"/>
  <c r="S226" i="18" s="1"/>
  <c r="P243" i="18" l="1"/>
  <c r="K227" i="18"/>
  <c r="Q227" i="18" s="1"/>
  <c r="S227" i="18" s="1"/>
  <c r="P244" i="18" l="1"/>
  <c r="K228" i="18"/>
  <c r="Q228" i="18" s="1"/>
  <c r="S228" i="18" s="1"/>
  <c r="P245" i="18" l="1"/>
  <c r="K229" i="18"/>
  <c r="Q229" i="18" s="1"/>
  <c r="S229" i="18" s="1"/>
  <c r="P246" i="18" l="1"/>
  <c r="K230" i="18"/>
  <c r="Q230" i="18" s="1"/>
  <c r="S230" i="18" s="1"/>
  <c r="P247" i="18" l="1"/>
  <c r="K231" i="18"/>
  <c r="Q231" i="18" s="1"/>
  <c r="S231" i="18" s="1"/>
  <c r="P248" i="18" l="1"/>
  <c r="K232" i="18"/>
  <c r="Q232" i="18" s="1"/>
  <c r="S232" i="18" s="1"/>
  <c r="P249" i="18" l="1"/>
  <c r="K233" i="18"/>
  <c r="Q233" i="18" s="1"/>
  <c r="S233" i="18" s="1"/>
  <c r="P250" i="18" l="1"/>
  <c r="K234" i="18"/>
  <c r="Q234" i="18" s="1"/>
  <c r="S234" i="18" s="1"/>
  <c r="P251" i="18" l="1"/>
  <c r="K235" i="18"/>
  <c r="Q235" i="18" s="1"/>
  <c r="S235" i="18" s="1"/>
  <c r="P252" i="18" l="1"/>
  <c r="K236" i="18"/>
  <c r="Q236" i="18" s="1"/>
  <c r="S236" i="18" s="1"/>
  <c r="P253" i="18" l="1"/>
  <c r="K237" i="18"/>
  <c r="Q237" i="18" s="1"/>
  <c r="S237" i="18" s="1"/>
  <c r="P255" i="18" l="1"/>
  <c r="P254" i="18"/>
  <c r="K238" i="18"/>
  <c r="Q238" i="18" s="1"/>
  <c r="S238" i="18" s="1"/>
  <c r="K239" i="18" l="1"/>
  <c r="Q239" i="18" s="1"/>
  <c r="S239" i="18" s="1"/>
  <c r="K240" i="18" l="1"/>
  <c r="Q240" i="18" s="1"/>
  <c r="S240" i="18" s="1"/>
  <c r="K241" i="18" l="1"/>
  <c r="Q241" i="18" s="1"/>
  <c r="S241" i="18" s="1"/>
  <c r="K242" i="18" l="1"/>
  <c r="Q242" i="18" s="1"/>
  <c r="S242" i="18" s="1"/>
  <c r="K243" i="18" l="1"/>
  <c r="Q243" i="18" s="1"/>
  <c r="S243" i="18" s="1"/>
  <c r="K244" i="18" l="1"/>
  <c r="Q244" i="18" s="1"/>
  <c r="S244" i="18" s="1"/>
  <c r="K245" i="18" l="1"/>
  <c r="Q245" i="18" s="1"/>
  <c r="S245" i="18" s="1"/>
  <c r="K246" i="18" l="1"/>
  <c r="Q246" i="18" s="1"/>
  <c r="S246" i="18" s="1"/>
  <c r="K247" i="18" l="1"/>
  <c r="Q247" i="18" s="1"/>
  <c r="S247" i="18" s="1"/>
  <c r="K248" i="18" l="1"/>
  <c r="Q248" i="18" s="1"/>
  <c r="S248" i="18" s="1"/>
  <c r="K249" i="18" l="1"/>
  <c r="Q249" i="18" s="1"/>
  <c r="S249" i="18" s="1"/>
  <c r="K250" i="18" l="1"/>
  <c r="Q250" i="18" s="1"/>
  <c r="S250" i="18" s="1"/>
  <c r="K251" i="18" l="1"/>
  <c r="Q251" i="18" s="1"/>
  <c r="S251" i="18" s="1"/>
  <c r="K252" i="18" l="1"/>
  <c r="Q252" i="18" s="1"/>
  <c r="S252" i="18" s="1"/>
  <c r="K253" i="18" l="1"/>
  <c r="Q253" i="18" s="1"/>
  <c r="S253" i="18" s="1"/>
  <c r="K254" i="18" l="1"/>
  <c r="Q254" i="18" s="1"/>
  <c r="S254" i="18" s="1"/>
  <c r="K255" i="18" l="1"/>
  <c r="Q255" i="18" s="1"/>
  <c r="S255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20E4F-FC13-4FEA-9FC7-458E814D7548}" keepAlive="1" name="쿼리 - Table 0" description="통합 문서의 'Table 0' 쿼리에 대한 연결입니다." type="5" refreshedVersion="6" background="1" saveData="1">
    <dbPr connection="Provider=Microsoft.Mashup.OleDb.1;Data Source=$Workbook$;Location=Table 0;Extended Properties=&quot;&quot;" command="SELECT * FROM [Table 0]"/>
  </connection>
  <connection id="2" xr16:uid="{DCB66228-0DFD-4D8A-9D37-3178F146F7A2}" keepAlive="1" name="쿼리 - Table 0 (2)" description="통합 문서의 'Table 0 (2)' 쿼리에 대한 연결입니다." type="5" refreshedVersion="6" background="1">
    <dbPr connection="Provider=Microsoft.Mashup.OleDb.1;Data Source=$Workbook$;Location=Table 0 (2);Extended Properties=&quot;&quot;" command="SELECT * FROM [Table 0 (2)]"/>
  </connection>
  <connection id="3" xr16:uid="{9F41F2F1-88F1-4BCA-815E-B0B869331CAD}" keepAlive="1" name="쿼리 - Table 0 (3)" description="통합 문서의 'Table 0 (3)' 쿼리에 대한 연결입니다." type="5" refreshedVersion="6" background="1" saveData="1">
    <dbPr connection="Provider=Microsoft.Mashup.OleDb.1;Data Source=$Workbook$;Location=Table 0 (3);Extended Properties=&quot;&quot;" command="SELECT * FROM [Table 0 (3)]"/>
  </connection>
  <connection id="4" xr16:uid="{9901B80D-DE63-4056-AAA3-C36390E586A0}" keepAlive="1" name="쿼리 - Table 0 (4)" description="통합 문서의 'Table 0 (4)' 쿼리에 대한 연결입니다." type="5" refreshedVersion="6" background="1" saveData="1">
    <dbPr connection="Provider=Microsoft.Mashup.OleDb.1;Data Source=$Workbook$;Location=Table 0 (4);Extended Properties=&quot;&quot;" command="SELECT * FROM [Table 0 (4)]"/>
  </connection>
  <connection id="5" xr16:uid="{906F888F-B7EB-40C3-AC49-A75936793077}" keepAlive="1" name="쿼리 - Table 1" description="통합 문서의 'Table 1' 쿼리에 대한 연결입니다." type="5" refreshedVersion="6" background="1" saveData="1">
    <dbPr connection="Provider=Microsoft.Mashup.OleDb.1;Data Source=$Workbook$;Location=Table 1;Extended Properties=&quot;&quot;" command="SELECT * FROM [Table 1]"/>
  </connection>
  <connection id="6" xr16:uid="{37A02E5A-993C-4503-B4D4-915D437B92AE}" keepAlive="1" name="쿼리 - Table 1 (2)" description="통합 문서의 'Table 1 (2)' 쿼리에 대한 연결입니다." type="5" refreshedVersion="6" background="1" saveData="1">
    <dbPr connection="Provider=Microsoft.Mashup.OleDb.1;Data Source=$Workbook$;Location=Table 1 (2);Extended Properties=&quot;&quot;" command="SELECT * FROM [Table 1 (2)]"/>
  </connection>
  <connection id="7" xr16:uid="{C0F4DA0F-9C28-4B38-9A3B-417BD12D70AE}" keepAlive="1" name="쿼리 - Table 1 (3)" description="통합 문서의 'Table 1 (3)' 쿼리에 대한 연결입니다." type="5" refreshedVersion="6" background="1" saveData="1">
    <dbPr connection="Provider=Microsoft.Mashup.OleDb.1;Data Source=$Workbook$;Location=Table 1 (3);Extended Properties=&quot;&quot;" command="SELECT * FROM [Table 1 (3)]"/>
  </connection>
  <connection id="8" xr16:uid="{CC974E18-010A-4C4F-8019-55FCC07C877B}" keepAlive="1" name="쿼리 - Table 2" description="통합 문서의 'Table 2' 쿼리에 대한 연결입니다." type="5" refreshedVersion="6" background="1" saveData="1">
    <dbPr connection="Provider=Microsoft.Mashup.OleDb.1;Data Source=$Workbook$;Location=Table 2;Extended Properties=&quot;&quot;" command="SELECT * FROM [Table 2]"/>
  </connection>
  <connection id="9" xr16:uid="{4A019320-0502-4FBA-9F8B-5A5ECB3DA8F9}" keepAlive="1" name="쿼리 - 일별시세" description="통합 문서의 '일별시세' 쿼리에 대한 연결입니다." type="5" refreshedVersion="6" background="1" saveData="1">
    <dbPr connection="Provider=Microsoft.Mashup.OleDb.1;Data Source=$Workbook$;Location=일별시세;Extended Properties=&quot;&quot;" command="SELECT * FROM [일별시세]"/>
  </connection>
</connections>
</file>

<file path=xl/sharedStrings.xml><?xml version="1.0" encoding="utf-8"?>
<sst xmlns="http://schemas.openxmlformats.org/spreadsheetml/2006/main" count="404" uniqueCount="190">
  <si>
    <t>세금</t>
    <phoneticPr fontId="1" type="noConversion"/>
  </si>
  <si>
    <t>투자</t>
    <phoneticPr fontId="1" type="noConversion"/>
  </si>
  <si>
    <t>임차료</t>
    <phoneticPr fontId="1" type="noConversion"/>
  </si>
  <si>
    <t>보험</t>
    <phoneticPr fontId="1" type="noConversion"/>
  </si>
  <si>
    <t>통신비</t>
    <phoneticPr fontId="1" type="noConversion"/>
  </si>
  <si>
    <t>병원비</t>
    <phoneticPr fontId="1" type="noConversion"/>
  </si>
  <si>
    <t>여행</t>
    <phoneticPr fontId="1" type="noConversion"/>
  </si>
  <si>
    <t>버퍼</t>
    <phoneticPr fontId="1" type="noConversion"/>
  </si>
  <si>
    <t>교통비</t>
    <phoneticPr fontId="1" type="noConversion"/>
  </si>
  <si>
    <t>합계</t>
    <phoneticPr fontId="1" type="noConversion"/>
  </si>
  <si>
    <t>원금</t>
    <phoneticPr fontId="1" type="noConversion"/>
  </si>
  <si>
    <t>목표수익율</t>
    <phoneticPr fontId="1" type="noConversion"/>
  </si>
  <si>
    <t>기준</t>
    <phoneticPr fontId="1" type="noConversion"/>
  </si>
  <si>
    <t>매매횟수</t>
    <phoneticPr fontId="1" type="noConversion"/>
  </si>
  <si>
    <t>수익</t>
    <phoneticPr fontId="1" type="noConversion"/>
  </si>
  <si>
    <t>합산</t>
    <phoneticPr fontId="1" type="noConversion"/>
  </si>
  <si>
    <t>원금</t>
    <phoneticPr fontId="1" type="noConversion"/>
  </si>
  <si>
    <t>수익율(%)</t>
    <phoneticPr fontId="1" type="noConversion"/>
  </si>
  <si>
    <t>총합산</t>
    <phoneticPr fontId="1" type="noConversion"/>
  </si>
  <si>
    <t>이전</t>
    <phoneticPr fontId="1" type="noConversion"/>
  </si>
  <si>
    <t>예측</t>
    <phoneticPr fontId="1" type="noConversion"/>
  </si>
  <si>
    <t>발표</t>
    <phoneticPr fontId="1" type="noConversion"/>
  </si>
  <si>
    <t>ISM 제조업구매자지수</t>
    <phoneticPr fontId="1" type="noConversion"/>
  </si>
  <si>
    <t>ISM 비제조업구매자지수</t>
    <phoneticPr fontId="1" type="noConversion"/>
  </si>
  <si>
    <t>생산자물가지수 YOY</t>
    <phoneticPr fontId="1" type="noConversion"/>
  </si>
  <si>
    <t>소비자물가지수 YOY</t>
    <phoneticPr fontId="1" type="noConversion"/>
  </si>
  <si>
    <t>근원소비자물가지수 YOY</t>
    <phoneticPr fontId="1" type="noConversion"/>
  </si>
  <si>
    <t xml:space="preserve">신규실업수당청구건수 </t>
    <phoneticPr fontId="1" type="noConversion"/>
  </si>
  <si>
    <t>219k</t>
    <phoneticPr fontId="1" type="noConversion"/>
  </si>
  <si>
    <t>225k</t>
    <phoneticPr fontId="1" type="noConversion"/>
  </si>
  <si>
    <t>원유재고</t>
    <phoneticPr fontId="1" type="noConversion"/>
  </si>
  <si>
    <t>건축승인건수</t>
    <phoneticPr fontId="1" type="noConversion"/>
  </si>
  <si>
    <t>유가선물(USOI) 10월 마감</t>
    <phoneticPr fontId="1" type="noConversion"/>
  </si>
  <si>
    <t>필라델피아제조업활동지수</t>
    <phoneticPr fontId="1" type="noConversion"/>
  </si>
  <si>
    <t>기존주택판매</t>
    <phoneticPr fontId="1" type="noConversion"/>
  </si>
  <si>
    <t>근원생산자물가지수 YOY</t>
    <phoneticPr fontId="1" type="noConversion"/>
  </si>
  <si>
    <t>기업가치 = 자기자본 + 초과이익/할인율 = B0 + (B0 * (ROE - ke)) / ke</t>
    <phoneticPr fontId="1" type="noConversion"/>
  </si>
  <si>
    <t>신용등급금리</t>
    <phoneticPr fontId="1" type="noConversion"/>
  </si>
  <si>
    <t>BBB- 기준</t>
    <phoneticPr fontId="1" type="noConversion"/>
  </si>
  <si>
    <t>https://www.kisrating.com/ratingsStatistics/statics_spread.do#</t>
    <phoneticPr fontId="1" type="noConversion"/>
  </si>
  <si>
    <t>등급분포 - 등급별 금리스프레드 - 수익률(2022.10.20)</t>
  </si>
  <si>
    <t>구분</t>
  </si>
  <si>
    <t>3월</t>
  </si>
  <si>
    <t>6월</t>
  </si>
  <si>
    <t>9월</t>
  </si>
  <si>
    <t>1년</t>
  </si>
  <si>
    <t>1년6월</t>
  </si>
  <si>
    <t>2년</t>
  </si>
  <si>
    <t>3년</t>
  </si>
  <si>
    <t>5년</t>
  </si>
  <si>
    <t>국고채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</si>
  <si>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</si>
  <si>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</si>
  <si>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</si>
  <si>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</si>
  <si>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</si>
  <si>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</si>
  <si>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</si>
  <si>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</si>
  <si>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</si>
  <si>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</si>
  <si>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주택구입부담지수</t>
    <phoneticPr fontId="1" type="noConversion"/>
  </si>
  <si>
    <t>ISM제조업지수(제조업 PMI)</t>
    <phoneticPr fontId="1" type="noConversion"/>
  </si>
  <si>
    <t>100이면 소득의 25프로 원리금상환의미</t>
    <phoneticPr fontId="1" type="noConversion"/>
  </si>
  <si>
    <t>50기준 51이면 1프로 정도 생산경기 활성화 49면 1프로정도 경기 침체</t>
    <phoneticPr fontId="1" type="noConversion"/>
  </si>
  <si>
    <t>https://houstat.hf.go.kr/research/portal/theme/indexStatPage.do</t>
    <phoneticPr fontId="1" type="noConversion"/>
  </si>
  <si>
    <t>22년 8월 현재 매매법</t>
    <phoneticPr fontId="1" type="noConversion"/>
  </si>
  <si>
    <t>22년 9월 현재 매매법</t>
    <phoneticPr fontId="1" type="noConversion"/>
  </si>
  <si>
    <t>22년 10월 현재 매매법</t>
    <phoneticPr fontId="1" type="noConversion"/>
  </si>
  <si>
    <t>22년 11월 현재 매매법</t>
    <phoneticPr fontId="1" type="noConversion"/>
  </si>
  <si>
    <t>22년 12월 현재 매매법</t>
    <phoneticPr fontId="1" type="noConversion"/>
  </si>
  <si>
    <t>23년 1월 현재 매매법</t>
    <phoneticPr fontId="1" type="noConversion"/>
  </si>
  <si>
    <t>생활패턴1</t>
    <phoneticPr fontId="1" type="noConversion"/>
  </si>
  <si>
    <t>생활패턴2</t>
    <phoneticPr fontId="1" type="noConversion"/>
  </si>
  <si>
    <t>생활패턴3</t>
  </si>
  <si>
    <t>생활패턴4</t>
  </si>
  <si>
    <t>생활패턴5</t>
  </si>
  <si>
    <t>생활패턴6</t>
  </si>
  <si>
    <t>생활패턴7</t>
  </si>
  <si>
    <t>생활패턴8</t>
  </si>
  <si>
    <t>생활패턴9</t>
  </si>
  <si>
    <t>생활패턴10</t>
  </si>
  <si>
    <t>생활패턴11</t>
  </si>
  <si>
    <t>생활패턴12</t>
  </si>
  <si>
    <t>현금흐름</t>
    <phoneticPr fontId="1" type="noConversion"/>
  </si>
  <si>
    <t>퇴직금(자산)*</t>
    <phoneticPr fontId="1" type="noConversion"/>
  </si>
  <si>
    <t>유동자산금액</t>
    <phoneticPr fontId="1" type="noConversion"/>
  </si>
  <si>
    <t>[연금] 17</t>
    <phoneticPr fontId="1" type="noConversion"/>
  </si>
  <si>
    <t>현금</t>
    <phoneticPr fontId="1" type="noConversion"/>
  </si>
  <si>
    <t>채권</t>
    <phoneticPr fontId="1" type="noConversion"/>
  </si>
  <si>
    <t>주식(배당) 수비</t>
    <phoneticPr fontId="1" type="noConversion"/>
  </si>
  <si>
    <t xml:space="preserve">주식(가치) 미드필더 </t>
    <phoneticPr fontId="1" type="noConversion"/>
  </si>
  <si>
    <t>주식(성장) 공격</t>
    <phoneticPr fontId="1" type="noConversion"/>
  </si>
  <si>
    <t xml:space="preserve">주식(공격적) 미드필더 </t>
    <phoneticPr fontId="1" type="noConversion"/>
  </si>
  <si>
    <t>합산</t>
    <phoneticPr fontId="1" type="noConversion"/>
  </si>
  <si>
    <t>23년 2월 현재 매매법</t>
    <phoneticPr fontId="1" type="noConversion"/>
  </si>
  <si>
    <t>23년 3월 현재 매매법</t>
    <phoneticPr fontId="1" type="noConversion"/>
  </si>
  <si>
    <t>S-RIM</t>
    <phoneticPr fontId="1" type="noConversion"/>
  </si>
  <si>
    <t>자기자본</t>
    <phoneticPr fontId="1" type="noConversion"/>
  </si>
  <si>
    <t>초과이익</t>
    <phoneticPr fontId="1" type="noConversion"/>
  </si>
  <si>
    <t>기업가치 = 자기자본 + 초과이익/할인율 
기업가치 = B + (B * (ROE - K) / K)</t>
    <phoneticPr fontId="1" type="noConversion"/>
  </si>
  <si>
    <t>기업</t>
    <phoneticPr fontId="1" type="noConversion"/>
  </si>
  <si>
    <t>두산퓨어셀</t>
    <phoneticPr fontId="1" type="noConversion"/>
  </si>
  <si>
    <t>ROE
(마지막)</t>
    <phoneticPr fontId="1" type="noConversion"/>
  </si>
  <si>
    <t>자기자본 + 초과이익</t>
    <phoneticPr fontId="1" type="noConversion"/>
  </si>
  <si>
    <t>2022년 4분기 예측</t>
    <phoneticPr fontId="1" type="noConversion"/>
  </si>
  <si>
    <t>할인율
(5년, BBB- 금리)</t>
    <phoneticPr fontId="1" type="noConversion"/>
  </si>
  <si>
    <t>비고</t>
    <phoneticPr fontId="1" type="noConversion"/>
  </si>
  <si>
    <t>총부채
Liabilities</t>
    <phoneticPr fontId="1" type="noConversion"/>
  </si>
  <si>
    <t>자기자본
Stockholders' Equity</t>
    <phoneticPr fontId="1" type="noConversion"/>
  </si>
  <si>
    <t>총자산
Assets
(총부채 + 자기자본)</t>
    <phoneticPr fontId="1" type="noConversion"/>
  </si>
  <si>
    <t>PLUG</t>
    <phoneticPr fontId="1" type="noConversion"/>
  </si>
  <si>
    <t>자본금</t>
    <phoneticPr fontId="1" type="noConversion"/>
  </si>
  <si>
    <t>자본잉여금
Additional paid-in capital</t>
    <phoneticPr fontId="1" type="noConversion"/>
  </si>
  <si>
    <t>결손금
Accumulated deficit</t>
    <phoneticPr fontId="1" type="noConversion"/>
  </si>
  <si>
    <t>자기자본율 = 자기자본 / 총자산 * 100
30%이상 안정적
20%미만 불안</t>
    <phoneticPr fontId="1" type="noConversion"/>
  </si>
  <si>
    <t>플러그파워</t>
    <phoneticPr fontId="1" type="noConversion"/>
  </si>
  <si>
    <t>자기자본
(국내-원, 해외-달라)</t>
    <phoneticPr fontId="1" type="noConversion"/>
  </si>
  <si>
    <t>자기자본 / 주식수</t>
    <phoneticPr fontId="1" type="noConversion"/>
  </si>
  <si>
    <t>해외 기업</t>
    <phoneticPr fontId="1" type="noConversion"/>
  </si>
  <si>
    <t>주식수
(구글파이낸스)</t>
    <phoneticPr fontId="1" type="noConversion"/>
  </si>
  <si>
    <t>x</t>
    <phoneticPr fontId="1" type="noConversion"/>
  </si>
  <si>
    <t>MO</t>
    <phoneticPr fontId="1" type="noConversion"/>
  </si>
  <si>
    <t>자본잠식율 
= ((자본금 - 자본총계) / 자본금) *100
마이너스가 정상 50퍼이상이면 상폐</t>
    <phoneticPr fontId="1" type="noConversion"/>
  </si>
  <si>
    <t>발표직후 주가(달라)</t>
    <phoneticPr fontId="1" type="noConversion"/>
  </si>
  <si>
    <t>시가총액</t>
    <phoneticPr fontId="1" type="noConversion"/>
  </si>
  <si>
    <t>주식수</t>
    <phoneticPr fontId="1" type="noConversion"/>
  </si>
  <si>
    <t>S&amp;P500지수</t>
    <phoneticPr fontId="1" type="noConversion"/>
  </si>
  <si>
    <t>주가</t>
    <phoneticPr fontId="1" type="noConversion"/>
  </si>
  <si>
    <t>직전실적대비 S&amp;P지수 증감률</t>
    <phoneticPr fontId="1" type="noConversion"/>
  </si>
  <si>
    <t>직전실적대비 자본증감률</t>
    <phoneticPr fontId="1" type="noConversion"/>
  </si>
  <si>
    <t>직전실적주가 적용 가격</t>
    <phoneticPr fontId="1" type="noConversion"/>
  </si>
  <si>
    <t>CPI</t>
    <phoneticPr fontId="1" type="noConversion"/>
  </si>
  <si>
    <t>PPI</t>
    <phoneticPr fontId="1" type="noConversion"/>
  </si>
  <si>
    <t>제조업PMI</t>
    <phoneticPr fontId="1" type="noConversion"/>
  </si>
  <si>
    <t>서비스PMI</t>
    <phoneticPr fontId="1" type="noConversion"/>
  </si>
  <si>
    <t>LICY</t>
    <phoneticPr fontId="1" type="noConversion"/>
  </si>
  <si>
    <t>시가총액/영업현금흐름</t>
    <phoneticPr fontId="1" type="noConversion"/>
  </si>
  <si>
    <t>OR</t>
    <phoneticPr fontId="1" type="noConversion"/>
  </si>
  <si>
    <t>주가/주당영업현금흐름</t>
    <phoneticPr fontId="1" type="noConversion"/>
  </si>
  <si>
    <t>EBIT(영업이익)/투자자본(고정자산+유동자산-유동부채)</t>
    <phoneticPr fontId="1" type="noConversion"/>
  </si>
  <si>
    <t>ROC(높을수록)</t>
    <phoneticPr fontId="1" type="noConversion"/>
  </si>
  <si>
    <t>GP/A(높을수록)</t>
    <phoneticPr fontId="1" type="noConversion"/>
  </si>
  <si>
    <t>PCR(낮을수록)</t>
    <phoneticPr fontId="1" type="noConversion"/>
  </si>
  <si>
    <t>PER(낮을수록)</t>
    <phoneticPr fontId="1" type="noConversion"/>
  </si>
  <si>
    <t>PBR(낮을수록)</t>
    <phoneticPr fontId="1" type="noConversion"/>
  </si>
  <si>
    <t>PSR(낮을수록)</t>
    <phoneticPr fontId="1" type="noConversion"/>
  </si>
  <si>
    <t>F스코어</t>
    <phoneticPr fontId="1" type="noConversion"/>
  </si>
  <si>
    <t>수익성</t>
    <phoneticPr fontId="1" type="noConversion"/>
  </si>
  <si>
    <t>전년 당기순이익 : 0이상</t>
    <phoneticPr fontId="1" type="noConversion"/>
  </si>
  <si>
    <t>전년 영업현금흐름 : 0이상</t>
    <phoneticPr fontId="1" type="noConversion"/>
  </si>
  <si>
    <t>ROA : 전년대비 증가</t>
    <phoneticPr fontId="1" type="noConversion"/>
  </si>
  <si>
    <t>전년 영업현금흐름 : 순이익보다 높음</t>
    <phoneticPr fontId="1" type="noConversion"/>
  </si>
  <si>
    <t>부채비율 : 전년 대비 감소</t>
    <phoneticPr fontId="1" type="noConversion"/>
  </si>
  <si>
    <t>유동비율 : 전년 대비 증가</t>
    <phoneticPr fontId="1" type="noConversion"/>
  </si>
  <si>
    <t>신규 주식 발행(유상증자):전년 없음</t>
    <phoneticPr fontId="1" type="noConversion"/>
  </si>
  <si>
    <t>재무 건전성</t>
    <phoneticPr fontId="1" type="noConversion"/>
  </si>
  <si>
    <t>효율성</t>
    <phoneticPr fontId="1" type="noConversion"/>
  </si>
  <si>
    <t>매출총이익률:전년 대비 증가</t>
    <phoneticPr fontId="1" type="noConversion"/>
  </si>
  <si>
    <t>자산회전율:전년 대비 증가</t>
    <phoneticPr fontId="1" type="noConversion"/>
  </si>
  <si>
    <t>https://brunch.co.kr/@carpediem7760/43</t>
  </si>
  <si>
    <t>2022-1</t>
    <phoneticPr fontId="1" type="noConversion"/>
  </si>
  <si>
    <t>개인연금</t>
    <phoneticPr fontId="1" type="noConversion"/>
  </si>
  <si>
    <t>투자</t>
    <phoneticPr fontId="1" type="noConversion"/>
  </si>
  <si>
    <t>회수금</t>
    <phoneticPr fontId="1" type="noConversion"/>
  </si>
  <si>
    <t>투자원금</t>
    <phoneticPr fontId="1" type="noConversion"/>
  </si>
  <si>
    <t>노란공제(사업해제)</t>
    <phoneticPr fontId="1" type="noConversion"/>
  </si>
  <si>
    <t>IRP(사업해제)</t>
    <phoneticPr fontId="1" type="noConversion"/>
  </si>
  <si>
    <t>비유동자산</t>
    <phoneticPr fontId="1" type="noConversion"/>
  </si>
  <si>
    <t>유동자산</t>
    <phoneticPr fontId="1" type="noConversion"/>
  </si>
  <si>
    <t>IRP 퇴직 
(사업해제)</t>
    <phoneticPr fontId="1" type="noConversion"/>
  </si>
  <si>
    <t>퇴직 연금 
(만55세)</t>
    <phoneticPr fontId="1" type="noConversion"/>
  </si>
  <si>
    <t>원금</t>
    <phoneticPr fontId="1" type="noConversion"/>
  </si>
  <si>
    <t>23년 5월 현재 매매법</t>
    <phoneticPr fontId="1" type="noConversion"/>
  </si>
  <si>
    <t>현금</t>
    <phoneticPr fontId="1" type="noConversion"/>
  </si>
  <si>
    <t>합계</t>
    <phoneticPr fontId="1" type="noConversion"/>
  </si>
  <si>
    <t>2022-2</t>
    <phoneticPr fontId="1" type="noConversion"/>
  </si>
  <si>
    <t>부동산</t>
    <phoneticPr fontId="1" type="noConversion"/>
  </si>
  <si>
    <t>대출</t>
    <phoneticPr fontId="1" type="noConversion"/>
  </si>
  <si>
    <t>유동대출</t>
    <phoneticPr fontId="1" type="noConversion"/>
  </si>
  <si>
    <t>비유동대출</t>
    <phoneticPr fontId="1" type="noConversion"/>
  </si>
  <si>
    <t>유동 합계</t>
    <phoneticPr fontId="1" type="noConversion"/>
  </si>
  <si>
    <t>대출합계</t>
    <phoneticPr fontId="1" type="noConversion"/>
  </si>
  <si>
    <t>순 자산 합계</t>
    <phoneticPr fontId="1" type="noConversion"/>
  </si>
  <si>
    <t>보유자금</t>
    <phoneticPr fontId="1" type="noConversion"/>
  </si>
  <si>
    <t>2022-3</t>
    <phoneticPr fontId="1" type="noConversion"/>
  </si>
  <si>
    <t>주택청약</t>
    <phoneticPr fontId="1" type="noConversion"/>
  </si>
  <si>
    <t>전기료+가스비</t>
    <phoneticPr fontId="1" type="noConversion"/>
  </si>
  <si>
    <t>생활비(카드 + 기타)</t>
    <phoneticPr fontId="1" type="noConversion"/>
  </si>
  <si>
    <t>세금 + 대출원금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</si>
</sst>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&quot;₩&quot;#,##0"/>
    <numFmt numFmtId="177" formatCode="&quot;₩&quot;#,##0_);[Red]\(&quot;₩&quot;#,##0\)"/>
    <numFmt numFmtId="178" formatCode="0.00000_ "/>
    <numFmt numFmtId="179" formatCode="#,##0_);[Red]\(#,##0\)"/>
    <numFmt numFmtId="180" formatCode="0.00_ "/>
    <numFmt numFmtId="181" formatCode="_-\$* #,##0_ ;_-\$* \-#,##0\ ;_-\$* &quot;-&quot;_ ;_-@_ "/>
    <numFmt numFmtId="182" formatCode="#,##0.000_ "/>
  </numFmts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202124"/>
      <name val="Arial"/>
      <family val="2"/>
    </font>
    <font>
      <b/>
      <sz val="11"/>
      <color rgb="FFFF0000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theme="1"/>
      <name val="맑은 고딕"/>
      <family val="3"/>
      <charset val="129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D0D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ADCE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rgb="FFCCCCCC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8" borderId="9" applyNumberFormat="0" applyAlignment="0" applyProtection="0">
      <alignment vertical="center"/>
    </xf>
    <xf numFmtId="0" fontId="11" fillId="9" borderId="10" applyNumberFormat="0" applyAlignment="0" applyProtection="0">
      <alignment vertical="center"/>
    </xf>
    <xf numFmtId="0" fontId="12" fillId="9" borderId="9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10" borderId="12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1" borderId="13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308">
    <xf numFmtId="0" fontId="0" fillId="0" borderId="0" xfId="0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1" xfId="0" applyNumberFormat="1" applyBorder="1" applyAlignment="1">
      <alignment horizontal="right" vertical="center"/>
    </xf>
    <xf numFmtId="176" fontId="0" fillId="0" borderId="2" xfId="0" applyNumberFormat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right"/>
    </xf>
    <xf numFmtId="0" fontId="19" fillId="0" borderId="0" xfId="35">
      <alignment vertical="center"/>
    </xf>
    <xf numFmtId="178" fontId="0" fillId="0" borderId="0" xfId="0" applyNumberFormat="1">
      <alignment vertical="center"/>
    </xf>
    <xf numFmtId="0" fontId="21" fillId="0" borderId="0" xfId="0" applyFont="1">
      <alignment vertical="center"/>
    </xf>
    <xf numFmtId="0" fontId="22" fillId="36" borderId="15" xfId="0" applyFont="1" applyFill="1" applyBorder="1" applyAlignment="1">
      <alignment horizontal="center" vertical="center" wrapText="1"/>
    </xf>
    <xf numFmtId="0" fontId="23" fillId="37" borderId="16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177" fontId="0" fillId="0" borderId="30" xfId="0" applyNumberFormat="1" applyBorder="1">
      <alignment vertical="center"/>
    </xf>
    <xf numFmtId="0" fontId="0" fillId="3" borderId="34" xfId="0" applyFill="1" applyBorder="1">
      <alignment vertical="center"/>
    </xf>
    <xf numFmtId="0" fontId="0" fillId="3" borderId="37" xfId="0" applyFill="1" applyBorder="1">
      <alignment vertical="center"/>
    </xf>
    <xf numFmtId="0" fontId="0" fillId="40" borderId="1" xfId="0" applyFill="1" applyBorder="1">
      <alignment vertical="center"/>
    </xf>
    <xf numFmtId="0" fontId="0" fillId="40" borderId="2" xfId="0" applyFill="1" applyBorder="1">
      <alignment vertical="center"/>
    </xf>
    <xf numFmtId="0" fontId="2" fillId="5" borderId="1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0" fillId="5" borderId="21" xfId="0" applyFill="1" applyBorder="1">
      <alignment vertical="center"/>
    </xf>
    <xf numFmtId="0" fontId="0" fillId="5" borderId="24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2" xfId="0" applyFill="1" applyBorder="1">
      <alignment vertical="center"/>
    </xf>
    <xf numFmtId="0" fontId="0" fillId="5" borderId="33" xfId="0" applyFill="1" applyBorder="1">
      <alignment vertical="center"/>
    </xf>
    <xf numFmtId="0" fontId="0" fillId="41" borderId="1" xfId="0" applyFill="1" applyBorder="1">
      <alignment vertical="center"/>
    </xf>
    <xf numFmtId="0" fontId="0" fillId="41" borderId="4" xfId="0" applyFill="1" applyBorder="1">
      <alignment vertical="center"/>
    </xf>
    <xf numFmtId="0" fontId="0" fillId="0" borderId="39" xfId="0" applyBorder="1">
      <alignment vertical="center"/>
    </xf>
    <xf numFmtId="0" fontId="0" fillId="40" borderId="21" xfId="0" applyFill="1" applyBorder="1">
      <alignment vertical="center"/>
    </xf>
    <xf numFmtId="0" fontId="0" fillId="41" borderId="24" xfId="0" applyFill="1" applyBorder="1">
      <alignment vertical="center"/>
    </xf>
    <xf numFmtId="0" fontId="0" fillId="41" borderId="0" xfId="0" applyFill="1">
      <alignment vertical="center"/>
    </xf>
    <xf numFmtId="0" fontId="0" fillId="3" borderId="38" xfId="0" applyFill="1" applyBorder="1">
      <alignment vertical="center"/>
    </xf>
    <xf numFmtId="177" fontId="2" fillId="5" borderId="1" xfId="0" applyNumberFormat="1" applyFont="1" applyFill="1" applyBorder="1">
      <alignment vertical="center"/>
    </xf>
    <xf numFmtId="0" fontId="0" fillId="3" borderId="1" xfId="0" applyFill="1" applyBorder="1">
      <alignment vertical="center"/>
    </xf>
    <xf numFmtId="0" fontId="25" fillId="37" borderId="44" xfId="0" applyFont="1" applyFill="1" applyBorder="1" applyAlignment="1">
      <alignment horizontal="center" vertical="center" wrapText="1"/>
    </xf>
    <xf numFmtId="180" fontId="0" fillId="0" borderId="1" xfId="0" applyNumberFormat="1" applyBorder="1">
      <alignment vertical="center"/>
    </xf>
    <xf numFmtId="0" fontId="2" fillId="42" borderId="1" xfId="0" applyFont="1" applyFill="1" applyBorder="1" applyAlignment="1">
      <alignment horizontal="center" vertical="center"/>
    </xf>
    <xf numFmtId="180" fontId="0" fillId="43" borderId="1" xfId="0" applyNumberFormat="1" applyFill="1" applyBorder="1">
      <alignment vertical="center"/>
    </xf>
    <xf numFmtId="180" fontId="0" fillId="39" borderId="1" xfId="0" applyNumberFormat="1" applyFill="1" applyBorder="1">
      <alignment vertical="center"/>
    </xf>
    <xf numFmtId="0" fontId="26" fillId="44" borderId="21" xfId="0" applyFont="1" applyFill="1" applyBorder="1">
      <alignment vertical="center"/>
    </xf>
    <xf numFmtId="0" fontId="26" fillId="44" borderId="24" xfId="0" applyFont="1" applyFill="1" applyBorder="1">
      <alignment vertical="center"/>
    </xf>
    <xf numFmtId="0" fontId="26" fillId="44" borderId="0" xfId="0" applyFont="1" applyFill="1">
      <alignment vertical="center"/>
    </xf>
    <xf numFmtId="0" fontId="26" fillId="44" borderId="1" xfId="0" applyFont="1" applyFill="1" applyBorder="1">
      <alignment vertical="center"/>
    </xf>
    <xf numFmtId="0" fontId="26" fillId="44" borderId="4" xfId="0" applyFont="1" applyFill="1" applyBorder="1">
      <alignment vertical="center"/>
    </xf>
    <xf numFmtId="0" fontId="26" fillId="44" borderId="2" xfId="0" applyFont="1" applyFill="1" applyBorder="1">
      <alignment vertical="center"/>
    </xf>
    <xf numFmtId="0" fontId="26" fillId="44" borderId="22" xfId="0" applyFont="1" applyFill="1" applyBorder="1">
      <alignment vertical="center"/>
    </xf>
    <xf numFmtId="0" fontId="26" fillId="44" borderId="33" xfId="0" applyFont="1" applyFill="1" applyBorder="1">
      <alignment vertical="center"/>
    </xf>
    <xf numFmtId="0" fontId="26" fillId="44" borderId="34" xfId="0" applyFont="1" applyFill="1" applyBorder="1">
      <alignment vertical="center"/>
    </xf>
    <xf numFmtId="0" fontId="26" fillId="44" borderId="39" xfId="0" applyFont="1" applyFill="1" applyBorder="1">
      <alignment vertical="center"/>
    </xf>
    <xf numFmtId="0" fontId="2" fillId="0" borderId="45" xfId="0" applyFont="1" applyBorder="1" applyAlignment="1">
      <alignment horizontal="center" vertical="center"/>
    </xf>
    <xf numFmtId="176" fontId="0" fillId="0" borderId="2" xfId="0" applyNumberFormat="1" applyBorder="1">
      <alignment vertical="center"/>
    </xf>
    <xf numFmtId="0" fontId="2" fillId="0" borderId="29" xfId="0" applyFont="1" applyBorder="1" applyAlignment="1">
      <alignment horizontal="left" vertical="center" wrapText="1"/>
    </xf>
    <xf numFmtId="3" fontId="0" fillId="0" borderId="21" xfId="0" applyNumberFormat="1" applyBorder="1" applyAlignment="1">
      <alignment horizontal="center" vertical="center"/>
    </xf>
    <xf numFmtId="0" fontId="0" fillId="0" borderId="31" xfId="0" applyBorder="1">
      <alignment vertical="center"/>
    </xf>
    <xf numFmtId="3" fontId="0" fillId="0" borderId="27" xfId="0" applyNumberFormat="1" applyBorder="1">
      <alignment vertical="center"/>
    </xf>
    <xf numFmtId="0" fontId="0" fillId="0" borderId="28" xfId="0" applyBorder="1">
      <alignment vertical="center"/>
    </xf>
    <xf numFmtId="0" fontId="2" fillId="0" borderId="21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 wrapText="1"/>
    </xf>
    <xf numFmtId="0" fontId="2" fillId="0" borderId="35" xfId="0" applyFont="1" applyBorder="1" applyAlignment="1">
      <alignment horizontal="left" vertical="center" wrapText="1"/>
    </xf>
    <xf numFmtId="0" fontId="2" fillId="0" borderId="37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0" fillId="42" borderId="0" xfId="0" applyFill="1">
      <alignment vertical="center"/>
    </xf>
    <xf numFmtId="180" fontId="0" fillId="0" borderId="21" xfId="0" applyNumberFormat="1" applyBorder="1">
      <alignment vertical="center"/>
    </xf>
    <xf numFmtId="3" fontId="0" fillId="0" borderId="21" xfId="0" applyNumberFormat="1" applyBorder="1">
      <alignment vertical="center"/>
    </xf>
    <xf numFmtId="0" fontId="2" fillId="0" borderId="39" xfId="0" applyFont="1" applyBorder="1" applyAlignment="1">
      <alignment vertical="center" wrapText="1"/>
    </xf>
    <xf numFmtId="0" fontId="2" fillId="0" borderId="26" xfId="0" applyFont="1" applyBorder="1" applyAlignment="1">
      <alignment vertical="center" wrapText="1"/>
    </xf>
    <xf numFmtId="0" fontId="2" fillId="0" borderId="0" xfId="0" applyFont="1">
      <alignment vertical="center"/>
    </xf>
    <xf numFmtId="0" fontId="2" fillId="0" borderId="17" xfId="0" applyFont="1" applyFill="1" applyBorder="1" applyAlignment="1">
      <alignment horizontal="left" vertical="center" wrapText="1"/>
    </xf>
    <xf numFmtId="3" fontId="0" fillId="0" borderId="1" xfId="0" applyNumberFormat="1" applyFill="1" applyBorder="1" applyAlignment="1">
      <alignment horizontal="center" vertical="center"/>
    </xf>
    <xf numFmtId="0" fontId="2" fillId="0" borderId="26" xfId="0" applyFont="1" applyBorder="1">
      <alignment vertical="center"/>
    </xf>
    <xf numFmtId="0" fontId="2" fillId="0" borderId="17" xfId="0" applyFont="1" applyBorder="1">
      <alignment vertical="center"/>
    </xf>
    <xf numFmtId="0" fontId="0" fillId="0" borderId="21" xfId="0" applyBorder="1">
      <alignment vertical="center"/>
    </xf>
    <xf numFmtId="3" fontId="0" fillId="0" borderId="1" xfId="0" applyNumberFormat="1" applyBorder="1">
      <alignment vertical="center"/>
    </xf>
    <xf numFmtId="181" fontId="0" fillId="0" borderId="1" xfId="0" applyNumberFormat="1" applyBorder="1">
      <alignment vertical="center"/>
    </xf>
    <xf numFmtId="0" fontId="2" fillId="0" borderId="43" xfId="0" applyFont="1" applyFill="1" applyBorder="1">
      <alignment vertical="center"/>
    </xf>
    <xf numFmtId="0" fontId="0" fillId="0" borderId="36" xfId="0" applyBorder="1">
      <alignment vertical="center"/>
    </xf>
    <xf numFmtId="0" fontId="0" fillId="0" borderId="43" xfId="0" applyBorder="1">
      <alignment vertical="center"/>
    </xf>
    <xf numFmtId="180" fontId="2" fillId="0" borderId="1" xfId="0" applyNumberFormat="1" applyFont="1" applyBorder="1">
      <alignment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82" fontId="2" fillId="2" borderId="3" xfId="0" applyNumberFormat="1" applyFont="1" applyFill="1" applyBorder="1">
      <alignment vertical="center"/>
    </xf>
    <xf numFmtId="0" fontId="0" fillId="2" borderId="1" xfId="0" applyFill="1" applyBorder="1">
      <alignment vertical="center"/>
    </xf>
    <xf numFmtId="177" fontId="0" fillId="2" borderId="30" xfId="0" applyNumberForma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5" borderId="24" xfId="0" applyFont="1" applyFill="1" applyBorder="1">
      <alignment vertical="center"/>
    </xf>
    <xf numFmtId="0" fontId="2" fillId="5" borderId="22" xfId="0" applyFont="1" applyFill="1" applyBorder="1">
      <alignment vertical="center"/>
    </xf>
    <xf numFmtId="0" fontId="2" fillId="5" borderId="34" xfId="0" applyFont="1" applyFill="1" applyBorder="1">
      <alignment vertical="center"/>
    </xf>
    <xf numFmtId="0" fontId="0" fillId="40" borderId="5" xfId="0" applyFill="1" applyBorder="1">
      <alignment vertical="center"/>
    </xf>
    <xf numFmtId="0" fontId="0" fillId="40" borderId="23" xfId="0" applyFill="1" applyBorder="1">
      <alignment vertical="center"/>
    </xf>
    <xf numFmtId="0" fontId="0" fillId="40" borderId="25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23" xfId="0" applyFill="1" applyBorder="1">
      <alignment vertical="center"/>
    </xf>
    <xf numFmtId="0" fontId="0" fillId="5" borderId="25" xfId="0" applyFill="1" applyBorder="1">
      <alignment vertical="center"/>
    </xf>
    <xf numFmtId="0" fontId="0" fillId="41" borderId="5" xfId="0" applyFill="1" applyBorder="1">
      <alignment vertical="center"/>
    </xf>
    <xf numFmtId="0" fontId="0" fillId="43" borderId="33" xfId="0" applyFill="1" applyBorder="1">
      <alignment vertical="center"/>
    </xf>
    <xf numFmtId="0" fontId="0" fillId="43" borderId="34" xfId="0" applyFill="1" applyBorder="1">
      <alignment vertical="center"/>
    </xf>
    <xf numFmtId="182" fontId="2" fillId="43" borderId="3" xfId="0" applyNumberFormat="1" applyFont="1" applyFill="1" applyBorder="1">
      <alignment vertical="center"/>
    </xf>
    <xf numFmtId="0" fontId="2" fillId="43" borderId="34" xfId="0" applyFont="1" applyFill="1" applyBorder="1">
      <alignment vertical="center"/>
    </xf>
    <xf numFmtId="0" fontId="0" fillId="43" borderId="38" xfId="0" applyFill="1" applyBorder="1">
      <alignment vertical="center"/>
    </xf>
    <xf numFmtId="0" fontId="0" fillId="43" borderId="37" xfId="0" applyFill="1" applyBorder="1">
      <alignment vertical="center"/>
    </xf>
    <xf numFmtId="0" fontId="0" fillId="43" borderId="1" xfId="0" applyFill="1" applyBorder="1">
      <alignment vertical="center"/>
    </xf>
    <xf numFmtId="177" fontId="2" fillId="2" borderId="2" xfId="0" applyNumberFormat="1" applyFont="1" applyFill="1" applyBorder="1" applyAlignment="1">
      <alignment horizontal="center" vertical="center" wrapText="1"/>
    </xf>
    <xf numFmtId="0" fontId="2" fillId="39" borderId="22" xfId="0" applyFont="1" applyFill="1" applyBorder="1" applyAlignment="1">
      <alignment horizontal="center" vertical="center"/>
    </xf>
    <xf numFmtId="177" fontId="2" fillId="2" borderId="1" xfId="0" applyNumberFormat="1" applyFont="1" applyFill="1" applyBorder="1">
      <alignment vertical="center"/>
    </xf>
    <xf numFmtId="177" fontId="0" fillId="40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82" fontId="2" fillId="5" borderId="3" xfId="0" applyNumberFormat="1" applyFont="1" applyFill="1" applyBorder="1">
      <alignment vertical="center"/>
    </xf>
    <xf numFmtId="0" fontId="2" fillId="5" borderId="29" xfId="0" applyFont="1" applyFill="1" applyBorder="1">
      <alignment vertical="center"/>
    </xf>
    <xf numFmtId="0" fontId="0" fillId="2" borderId="4" xfId="0" applyFill="1" applyBorder="1">
      <alignment vertical="center"/>
    </xf>
    <xf numFmtId="0" fontId="2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0" fillId="43" borderId="5" xfId="0" applyFill="1" applyBorder="1">
      <alignment vertical="center"/>
    </xf>
    <xf numFmtId="0" fontId="0" fillId="43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0" fillId="0" borderId="1" xfId="0" applyNumberFormat="1" applyBorder="1">
      <alignment vertical="center"/>
    </xf>
    <xf numFmtId="0" fontId="0" fillId="40" borderId="4" xfId="0" applyFill="1" applyBorder="1">
      <alignment vertical="center"/>
    </xf>
    <xf numFmtId="0" fontId="0" fillId="3" borderId="4" xfId="0" applyFill="1" applyBorder="1">
      <alignment vertical="center"/>
    </xf>
    <xf numFmtId="0" fontId="2" fillId="5" borderId="22" xfId="0" applyFont="1" applyFill="1" applyBorder="1" applyAlignment="1">
      <alignment horizontal="center" vertical="center"/>
    </xf>
    <xf numFmtId="176" fontId="2" fillId="5" borderId="4" xfId="0" applyNumberFormat="1" applyFont="1" applyFill="1" applyBorder="1">
      <alignment vertical="center"/>
    </xf>
    <xf numFmtId="179" fontId="2" fillId="3" borderId="23" xfId="0" applyNumberFormat="1" applyFont="1" applyFill="1" applyBorder="1" applyAlignment="1">
      <alignment horizontal="center" vertical="center"/>
    </xf>
    <xf numFmtId="176" fontId="2" fillId="3" borderId="5" xfId="0" applyNumberFormat="1" applyFont="1" applyFill="1" applyBorder="1">
      <alignment vertical="center"/>
    </xf>
    <xf numFmtId="179" fontId="2" fillId="3" borderId="0" xfId="0" applyNumberFormat="1" applyFont="1" applyFill="1" applyBorder="1">
      <alignment vertical="center"/>
    </xf>
    <xf numFmtId="0" fontId="2" fillId="5" borderId="52" xfId="0" applyFont="1" applyFill="1" applyBorder="1">
      <alignment vertical="center"/>
    </xf>
    <xf numFmtId="0" fontId="2" fillId="39" borderId="1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176" fontId="2" fillId="40" borderId="1" xfId="0" applyNumberFormat="1" applyFont="1" applyFill="1" applyBorder="1">
      <alignment vertical="center"/>
    </xf>
    <xf numFmtId="182" fontId="2" fillId="40" borderId="4" xfId="0" applyNumberFormat="1" applyFont="1" applyFill="1" applyBorder="1">
      <alignment vertical="center"/>
    </xf>
    <xf numFmtId="177" fontId="2" fillId="40" borderId="1" xfId="0" applyNumberFormat="1" applyFont="1" applyFill="1" applyBorder="1">
      <alignment vertical="center"/>
    </xf>
    <xf numFmtId="176" fontId="2" fillId="40" borderId="5" xfId="0" applyNumberFormat="1" applyFont="1" applyFill="1" applyBorder="1">
      <alignment vertical="center"/>
    </xf>
    <xf numFmtId="0" fontId="2" fillId="40" borderId="4" xfId="0" applyFont="1" applyFill="1" applyBorder="1">
      <alignment vertical="center"/>
    </xf>
    <xf numFmtId="176" fontId="2" fillId="40" borderId="4" xfId="0" applyNumberFormat="1" applyFont="1" applyFill="1" applyBorder="1">
      <alignment vertical="center"/>
    </xf>
    <xf numFmtId="0" fontId="2" fillId="40" borderId="1" xfId="0" applyFont="1" applyFill="1" applyBorder="1">
      <alignment vertical="center"/>
    </xf>
    <xf numFmtId="10" fontId="0" fillId="0" borderId="0" xfId="0" applyNumberFormat="1">
      <alignment vertical="center"/>
    </xf>
    <xf numFmtId="177" fontId="2" fillId="2" borderId="22" xfId="0" applyNumberFormat="1" applyFont="1" applyFill="1" applyBorder="1" applyAlignment="1">
      <alignment horizontal="center" vertical="center" wrapText="1"/>
    </xf>
    <xf numFmtId="177" fontId="2" fillId="2" borderId="4" xfId="0" applyNumberFormat="1" applyFont="1" applyFill="1" applyBorder="1">
      <alignment vertical="center"/>
    </xf>
    <xf numFmtId="177" fontId="0" fillId="2" borderId="4" xfId="0" applyNumberFormat="1" applyFill="1" applyBorder="1">
      <alignment vertical="center"/>
    </xf>
    <xf numFmtId="177" fontId="0" fillId="3" borderId="4" xfId="0" applyNumberFormat="1" applyFill="1" applyBorder="1">
      <alignment vertical="center"/>
    </xf>
    <xf numFmtId="177" fontId="0" fillId="40" borderId="4" xfId="0" applyNumberForma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24" fillId="2" borderId="23" xfId="0" applyFont="1" applyFill="1" applyBorder="1" applyAlignment="1">
      <alignment horizontal="center" vertical="center"/>
    </xf>
    <xf numFmtId="176" fontId="2" fillId="2" borderId="5" xfId="0" applyNumberFormat="1" applyFont="1" applyFill="1" applyBorder="1">
      <alignment vertical="center"/>
    </xf>
    <xf numFmtId="176" fontId="2" fillId="2" borderId="56" xfId="0" applyNumberFormat="1" applyFont="1" applyFill="1" applyBorder="1">
      <alignment vertical="center"/>
    </xf>
    <xf numFmtId="176" fontId="2" fillId="43" borderId="56" xfId="0" applyNumberFormat="1" applyFont="1" applyFill="1" applyBorder="1">
      <alignment vertical="center"/>
    </xf>
    <xf numFmtId="0" fontId="2" fillId="2" borderId="30" xfId="0" applyFont="1" applyFill="1" applyBorder="1">
      <alignment vertical="center"/>
    </xf>
    <xf numFmtId="177" fontId="2" fillId="2" borderId="1" xfId="0" applyNumberFormat="1" applyFont="1" applyFill="1" applyBorder="1" applyAlignment="1">
      <alignment horizontal="center" vertical="center" wrapText="1"/>
    </xf>
    <xf numFmtId="177" fontId="2" fillId="39" borderId="23" xfId="0" applyNumberFormat="1" applyFont="1" applyFill="1" applyBorder="1" applyAlignment="1">
      <alignment horizontal="center" vertical="center"/>
    </xf>
    <xf numFmtId="177" fontId="2" fillId="5" borderId="5" xfId="0" applyNumberFormat="1" applyFont="1" applyFill="1" applyBorder="1">
      <alignment vertical="center"/>
    </xf>
    <xf numFmtId="177" fontId="0" fillId="40" borderId="5" xfId="0" applyNumberFormat="1" applyFill="1" applyBorder="1">
      <alignment vertical="center"/>
    </xf>
    <xf numFmtId="177" fontId="0" fillId="3" borderId="5" xfId="0" applyNumberFormat="1" applyFill="1" applyBorder="1">
      <alignment vertical="center"/>
    </xf>
    <xf numFmtId="177" fontId="0" fillId="5" borderId="5" xfId="0" applyNumberFormat="1" applyFill="1" applyBorder="1">
      <alignment vertical="center"/>
    </xf>
    <xf numFmtId="177" fontId="0" fillId="43" borderId="5" xfId="0" applyNumberForma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176" fontId="0" fillId="3" borderId="1" xfId="0" applyNumberFormat="1" applyFill="1" applyBorder="1">
      <alignment vertical="center"/>
    </xf>
    <xf numFmtId="176" fontId="0" fillId="40" borderId="1" xfId="0" applyNumberFormat="1" applyFill="1" applyBorder="1">
      <alignment vertical="center"/>
    </xf>
    <xf numFmtId="0" fontId="2" fillId="41" borderId="1" xfId="0" applyFont="1" applyFill="1" applyBorder="1">
      <alignment vertical="center"/>
    </xf>
    <xf numFmtId="176" fontId="2" fillId="41" borderId="1" xfId="0" applyNumberFormat="1" applyFont="1" applyFill="1" applyBorder="1">
      <alignment vertical="center"/>
    </xf>
    <xf numFmtId="176" fontId="0" fillId="45" borderId="1" xfId="0" applyNumberFormat="1" applyFill="1" applyBorder="1">
      <alignment vertical="center"/>
    </xf>
    <xf numFmtId="177" fontId="0" fillId="45" borderId="5" xfId="0" applyNumberFormat="1" applyFill="1" applyBorder="1">
      <alignment vertical="center"/>
    </xf>
    <xf numFmtId="177" fontId="0" fillId="45" borderId="1" xfId="0" applyNumberFormat="1" applyFill="1" applyBorder="1">
      <alignment vertical="center"/>
    </xf>
    <xf numFmtId="177" fontId="0" fillId="45" borderId="4" xfId="0" applyNumberFormat="1" applyFill="1" applyBorder="1">
      <alignment vertical="center"/>
    </xf>
    <xf numFmtId="176" fontId="2" fillId="45" borderId="5" xfId="0" applyNumberFormat="1" applyFont="1" applyFill="1" applyBorder="1">
      <alignment vertical="center"/>
    </xf>
    <xf numFmtId="176" fontId="2" fillId="45" borderId="1" xfId="0" applyNumberFormat="1" applyFont="1" applyFill="1" applyBorder="1">
      <alignment vertical="center"/>
    </xf>
    <xf numFmtId="0" fontId="0" fillId="45" borderId="38" xfId="0" applyFill="1" applyBorder="1">
      <alignment vertical="center"/>
    </xf>
    <xf numFmtId="0" fontId="0" fillId="45" borderId="37" xfId="0" applyFill="1" applyBorder="1">
      <alignment vertical="center"/>
    </xf>
    <xf numFmtId="0" fontId="0" fillId="45" borderId="33" xfId="0" applyFill="1" applyBorder="1">
      <alignment vertical="center"/>
    </xf>
    <xf numFmtId="0" fontId="0" fillId="45" borderId="34" xfId="0" applyFill="1" applyBorder="1">
      <alignment vertical="center"/>
    </xf>
    <xf numFmtId="176" fontId="2" fillId="45" borderId="56" xfId="0" applyNumberFormat="1" applyFont="1" applyFill="1" applyBorder="1">
      <alignment vertical="center"/>
    </xf>
    <xf numFmtId="182" fontId="2" fillId="45" borderId="3" xfId="0" applyNumberFormat="1" applyFont="1" applyFill="1" applyBorder="1">
      <alignment vertical="center"/>
    </xf>
    <xf numFmtId="0" fontId="2" fillId="45" borderId="34" xfId="0" applyFont="1" applyFill="1" applyBorder="1">
      <alignment vertical="center"/>
    </xf>
    <xf numFmtId="180" fontId="0" fillId="0" borderId="0" xfId="0" applyNumberFormat="1">
      <alignment vertical="center"/>
    </xf>
    <xf numFmtId="0" fontId="0" fillId="38" borderId="1" xfId="0" applyFill="1" applyBorder="1">
      <alignment vertical="center"/>
    </xf>
    <xf numFmtId="0" fontId="0" fillId="42" borderId="1" xfId="0" applyFill="1" applyBorder="1">
      <alignment vertical="center"/>
    </xf>
    <xf numFmtId="176" fontId="0" fillId="42" borderId="1" xfId="0" applyNumberFormat="1" applyFill="1" applyBorder="1">
      <alignment vertical="center"/>
    </xf>
    <xf numFmtId="0" fontId="26" fillId="42" borderId="1" xfId="0" applyFont="1" applyFill="1" applyBorder="1">
      <alignment vertical="center"/>
    </xf>
    <xf numFmtId="176" fontId="26" fillId="42" borderId="1" xfId="0" applyNumberFormat="1" applyFont="1" applyFill="1" applyBorder="1">
      <alignment vertical="center"/>
    </xf>
    <xf numFmtId="176" fontId="0" fillId="41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6" fontId="0" fillId="2" borderId="1" xfId="0" applyNumberFormat="1" applyFill="1" applyBorder="1">
      <alignment vertical="center"/>
    </xf>
    <xf numFmtId="176" fontId="0" fillId="38" borderId="1" xfId="0" applyNumberFormat="1" applyFill="1" applyBorder="1">
      <alignment vertical="center"/>
    </xf>
    <xf numFmtId="176" fontId="0" fillId="39" borderId="1" xfId="0" applyNumberFormat="1" applyFill="1" applyBorder="1">
      <alignment vertical="center"/>
    </xf>
    <xf numFmtId="0" fontId="26" fillId="2" borderId="1" xfId="0" applyFont="1" applyFill="1" applyBorder="1">
      <alignment vertical="center"/>
    </xf>
    <xf numFmtId="176" fontId="26" fillId="2" borderId="1" xfId="0" applyNumberFormat="1" applyFont="1" applyFill="1" applyBorder="1">
      <alignment vertical="center"/>
    </xf>
    <xf numFmtId="0" fontId="0" fillId="39" borderId="1" xfId="0" applyFill="1" applyBorder="1">
      <alignment vertical="center"/>
    </xf>
    <xf numFmtId="176" fontId="0" fillId="41" borderId="21" xfId="0" applyNumberFormat="1" applyFill="1" applyBorder="1">
      <alignment vertical="center"/>
    </xf>
    <xf numFmtId="176" fontId="0" fillId="5" borderId="21" xfId="0" applyNumberFormat="1" applyFill="1" applyBorder="1">
      <alignment vertical="center"/>
    </xf>
    <xf numFmtId="176" fontId="0" fillId="2" borderId="21" xfId="0" applyNumberFormat="1" applyFill="1" applyBorder="1">
      <alignment vertical="center"/>
    </xf>
    <xf numFmtId="176" fontId="0" fillId="0" borderId="21" xfId="0" applyNumberFormat="1" applyBorder="1">
      <alignment vertical="center"/>
    </xf>
    <xf numFmtId="176" fontId="0" fillId="38" borderId="21" xfId="0" applyNumberFormat="1" applyFill="1" applyBorder="1">
      <alignment vertical="center"/>
    </xf>
    <xf numFmtId="176" fontId="0" fillId="39" borderId="21" xfId="0" applyNumberFormat="1" applyFill="1" applyBorder="1">
      <alignment vertical="center"/>
    </xf>
    <xf numFmtId="0" fontId="0" fillId="39" borderId="21" xfId="0" applyFill="1" applyBorder="1">
      <alignment vertical="center"/>
    </xf>
    <xf numFmtId="0" fontId="0" fillId="40" borderId="38" xfId="0" applyFill="1" applyBorder="1">
      <alignment vertical="center"/>
    </xf>
    <xf numFmtId="0" fontId="0" fillId="40" borderId="37" xfId="0" applyFill="1" applyBorder="1">
      <alignment vertical="center"/>
    </xf>
    <xf numFmtId="0" fontId="0" fillId="46" borderId="1" xfId="0" applyFill="1" applyBorder="1">
      <alignment vertical="center"/>
    </xf>
    <xf numFmtId="0" fontId="0" fillId="46" borderId="4" xfId="0" applyFill="1" applyBorder="1">
      <alignment vertical="center"/>
    </xf>
    <xf numFmtId="177" fontId="0" fillId="46" borderId="5" xfId="0" applyNumberFormat="1" applyFill="1" applyBorder="1">
      <alignment vertical="center"/>
    </xf>
    <xf numFmtId="177" fontId="0" fillId="46" borderId="1" xfId="0" applyNumberFormat="1" applyFill="1" applyBorder="1">
      <alignment vertical="center"/>
    </xf>
    <xf numFmtId="177" fontId="0" fillId="46" borderId="4" xfId="0" applyNumberFormat="1" applyFill="1" applyBorder="1">
      <alignment vertical="center"/>
    </xf>
    <xf numFmtId="176" fontId="2" fillId="46" borderId="56" xfId="0" applyNumberFormat="1" applyFont="1" applyFill="1" applyBorder="1">
      <alignment vertical="center"/>
    </xf>
    <xf numFmtId="182" fontId="2" fillId="46" borderId="3" xfId="0" applyNumberFormat="1" applyFont="1" applyFill="1" applyBorder="1">
      <alignment vertical="center"/>
    </xf>
    <xf numFmtId="177" fontId="2" fillId="46" borderId="1" xfId="0" applyNumberFormat="1" applyFont="1" applyFill="1" applyBorder="1">
      <alignment vertical="center"/>
    </xf>
    <xf numFmtId="176" fontId="2" fillId="46" borderId="5" xfId="0" applyNumberFormat="1" applyFont="1" applyFill="1" applyBorder="1">
      <alignment vertical="center"/>
    </xf>
    <xf numFmtId="0" fontId="2" fillId="46" borderId="4" xfId="0" applyFont="1" applyFill="1" applyBorder="1">
      <alignment vertical="center"/>
    </xf>
    <xf numFmtId="176" fontId="2" fillId="46" borderId="1" xfId="0" applyNumberFormat="1" applyFont="1" applyFill="1" applyBorder="1">
      <alignment vertical="center"/>
    </xf>
    <xf numFmtId="0" fontId="0" fillId="46" borderId="5" xfId="0" applyFill="1" applyBorder="1">
      <alignment vertical="center"/>
    </xf>
    <xf numFmtId="0" fontId="0" fillId="47" borderId="1" xfId="0" applyFill="1" applyBorder="1">
      <alignment vertical="center"/>
    </xf>
    <xf numFmtId="176" fontId="0" fillId="47" borderId="1" xfId="0" applyNumberFormat="1" applyFill="1" applyBorder="1">
      <alignment vertical="center"/>
    </xf>
    <xf numFmtId="176" fontId="0" fillId="47" borderId="21" xfId="0" applyNumberFormat="1" applyFill="1" applyBorder="1">
      <alignment vertical="center"/>
    </xf>
    <xf numFmtId="0" fontId="18" fillId="42" borderId="57" xfId="41" applyFill="1" applyBorder="1">
      <alignment vertical="center"/>
    </xf>
    <xf numFmtId="176" fontId="18" fillId="42" borderId="57" xfId="41" applyNumberFormat="1" applyFill="1" applyBorder="1">
      <alignment vertical="center"/>
    </xf>
    <xf numFmtId="0" fontId="0" fillId="42" borderId="21" xfId="0" applyFill="1" applyBorder="1">
      <alignment vertical="center"/>
    </xf>
    <xf numFmtId="176" fontId="0" fillId="42" borderId="21" xfId="0" applyNumberFormat="1" applyFill="1" applyBorder="1">
      <alignment vertical="center"/>
    </xf>
    <xf numFmtId="0" fontId="0" fillId="48" borderId="1" xfId="0" applyFill="1" applyBorder="1">
      <alignment vertical="center"/>
    </xf>
    <xf numFmtId="176" fontId="0" fillId="48" borderId="1" xfId="0" applyNumberFormat="1" applyFill="1" applyBorder="1">
      <alignment vertical="center"/>
    </xf>
    <xf numFmtId="176" fontId="0" fillId="48" borderId="21" xfId="0" applyNumberFormat="1" applyFill="1" applyBorder="1">
      <alignment vertical="center"/>
    </xf>
    <xf numFmtId="0" fontId="18" fillId="49" borderId="57" xfId="41" applyFill="1" applyBorder="1">
      <alignment vertical="center"/>
    </xf>
    <xf numFmtId="176" fontId="18" fillId="49" borderId="57" xfId="41" applyNumberFormat="1" applyFill="1" applyBorder="1">
      <alignment vertical="center"/>
    </xf>
    <xf numFmtId="176" fontId="0" fillId="49" borderId="21" xfId="0" applyNumberFormat="1" applyFill="1" applyBorder="1">
      <alignment vertical="center"/>
    </xf>
    <xf numFmtId="176" fontId="0" fillId="49" borderId="1" xfId="0" applyNumberFormat="1" applyFill="1" applyBorder="1">
      <alignment vertical="center"/>
    </xf>
    <xf numFmtId="0" fontId="0" fillId="49" borderId="1" xfId="0" applyFill="1" applyBorder="1">
      <alignment vertical="center"/>
    </xf>
    <xf numFmtId="0" fontId="0" fillId="40" borderId="24" xfId="0" applyFill="1" applyBorder="1">
      <alignment vertical="center"/>
    </xf>
    <xf numFmtId="176" fontId="2" fillId="40" borderId="55" xfId="0" applyNumberFormat="1" applyFont="1" applyFill="1" applyBorder="1">
      <alignment vertical="center"/>
    </xf>
    <xf numFmtId="182" fontId="2" fillId="40" borderId="3" xfId="0" applyNumberFormat="1" applyFont="1" applyFill="1" applyBorder="1">
      <alignment vertical="center"/>
    </xf>
    <xf numFmtId="176" fontId="2" fillId="40" borderId="56" xfId="0" applyNumberFormat="1" applyFont="1" applyFill="1" applyBorder="1">
      <alignment vertical="center"/>
    </xf>
    <xf numFmtId="176" fontId="2" fillId="3" borderId="56" xfId="0" applyNumberFormat="1" applyFont="1" applyFill="1" applyBorder="1">
      <alignment vertical="center"/>
    </xf>
    <xf numFmtId="182" fontId="2" fillId="3" borderId="3" xfId="0" applyNumberFormat="1" applyFont="1" applyFill="1" applyBorder="1">
      <alignment vertical="center"/>
    </xf>
    <xf numFmtId="177" fontId="2" fillId="3" borderId="1" xfId="0" applyNumberFormat="1" applyFont="1" applyFill="1" applyBorder="1">
      <alignment vertical="center"/>
    </xf>
    <xf numFmtId="0" fontId="2" fillId="3" borderId="34" xfId="0" applyFont="1" applyFill="1" applyBorder="1">
      <alignment vertical="center"/>
    </xf>
    <xf numFmtId="176" fontId="2" fillId="3" borderId="1" xfId="0" applyNumberFormat="1" applyFont="1" applyFill="1" applyBorder="1">
      <alignment vertical="center"/>
    </xf>
    <xf numFmtId="0" fontId="0" fillId="3" borderId="5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6" fillId="44" borderId="1" xfId="0" applyFont="1" applyFill="1" applyBorder="1" applyAlignment="1">
      <alignment horizontal="left" vertical="top"/>
    </xf>
    <xf numFmtId="0" fontId="2" fillId="41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top"/>
    </xf>
    <xf numFmtId="0" fontId="0" fillId="5" borderId="21" xfId="0" applyFill="1" applyBorder="1" applyAlignment="1">
      <alignment horizontal="left" vertical="top"/>
    </xf>
    <xf numFmtId="179" fontId="2" fillId="39" borderId="24" xfId="0" applyNumberFormat="1" applyFont="1" applyFill="1" applyBorder="1" applyAlignment="1">
      <alignment horizontal="center" vertical="center"/>
    </xf>
    <xf numFmtId="179" fontId="2" fillId="39" borderId="3" xfId="0" applyNumberFormat="1" applyFont="1" applyFill="1" applyBorder="1" applyAlignment="1">
      <alignment horizontal="center" vertical="center"/>
    </xf>
    <xf numFmtId="179" fontId="2" fillId="39" borderId="25" xfId="0" applyNumberFormat="1" applyFont="1" applyFill="1" applyBorder="1" applyAlignment="1">
      <alignment horizontal="center" vertical="center"/>
    </xf>
    <xf numFmtId="0" fontId="0" fillId="42" borderId="1" xfId="0" applyFill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39" borderId="27" xfId="0" applyFont="1" applyFill="1" applyBorder="1" applyAlignment="1">
      <alignment horizontal="center" vertical="center"/>
    </xf>
    <xf numFmtId="0" fontId="2" fillId="39" borderId="31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9" borderId="1" xfId="0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80" fontId="0" fillId="43" borderId="4" xfId="0" applyNumberFormat="1" applyFill="1" applyBorder="1" applyAlignment="1">
      <alignment horizontal="center" vertical="center"/>
    </xf>
    <xf numFmtId="180" fontId="0" fillId="43" borderId="32" xfId="0" applyNumberFormat="1" applyFill="1" applyBorder="1" applyAlignment="1">
      <alignment horizontal="center" vertical="center"/>
    </xf>
    <xf numFmtId="180" fontId="0" fillId="43" borderId="5" xfId="0" applyNumberForma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/>
    </xf>
    <xf numFmtId="3" fontId="0" fillId="0" borderId="47" xfId="0" applyNumberFormat="1" applyBorder="1" applyAlignment="1">
      <alignment horizontal="center" vertical="center"/>
    </xf>
    <xf numFmtId="3" fontId="0" fillId="0" borderId="50" xfId="0" applyNumberFormat="1" applyBorder="1" applyAlignment="1">
      <alignment horizontal="center" vertical="center"/>
    </xf>
    <xf numFmtId="3" fontId="0" fillId="0" borderId="48" xfId="0" applyNumberFormat="1" applyBorder="1" applyAlignment="1">
      <alignment horizontal="center" vertical="center"/>
    </xf>
    <xf numFmtId="3" fontId="0" fillId="0" borderId="41" xfId="0" applyNumberFormat="1" applyBorder="1" applyAlignment="1">
      <alignment horizontal="center" vertical="center"/>
    </xf>
    <xf numFmtId="3" fontId="0" fillId="0" borderId="20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80" fontId="0" fillId="0" borderId="17" xfId="0" applyNumberFormat="1" applyBorder="1" applyAlignment="1">
      <alignment horizontal="center" vertical="center"/>
    </xf>
    <xf numFmtId="180" fontId="0" fillId="0" borderId="19" xfId="0" applyNumberFormat="1" applyBorder="1" applyAlignment="1">
      <alignment horizontal="center" vertical="center"/>
    </xf>
    <xf numFmtId="3" fontId="0" fillId="0" borderId="19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50" borderId="1" xfId="0" applyFill="1" applyBorder="1">
      <alignment vertical="center"/>
    </xf>
    <xf numFmtId="176" fontId="0" fillId="50" borderId="1" xfId="0" applyNumberFormat="1" applyFill="1" applyBorder="1">
      <alignment vertical="center"/>
    </xf>
    <xf numFmtId="176" fontId="0" fillId="50" borderId="21" xfId="0" applyNumberFormat="1" applyFill="1" applyBorder="1">
      <alignment vertical="center"/>
    </xf>
    <xf numFmtId="0" fontId="18" fillId="51" borderId="57" xfId="41" applyFill="1" applyBorder="1">
      <alignment vertical="center"/>
    </xf>
    <xf numFmtId="176" fontId="0" fillId="51" borderId="1" xfId="0" applyNumberFormat="1" applyFill="1" applyBorder="1">
      <alignment vertical="center"/>
    </xf>
    <xf numFmtId="176" fontId="18" fillId="51" borderId="57" xfId="41" applyNumberFormat="1" applyFill="1" applyBorder="1">
      <alignment vertical="center"/>
    </xf>
    <xf numFmtId="176" fontId="0" fillId="51" borderId="21" xfId="0" applyNumberFormat="1" applyFill="1" applyBorder="1">
      <alignment vertical="center"/>
    </xf>
    <xf numFmtId="0" fontId="2" fillId="52" borderId="2" xfId="0" applyFont="1" applyFill="1" applyBorder="1" applyAlignment="1">
      <alignment horizontal="center" vertical="center"/>
    </xf>
    <xf numFmtId="177" fontId="2" fillId="52" borderId="1" xfId="0" applyNumberFormat="1" applyFont="1" applyFill="1" applyBorder="1">
      <alignment vertical="center"/>
    </xf>
    <xf numFmtId="0" fontId="2" fillId="52" borderId="1" xfId="0" applyFont="1" applyFill="1" applyBorder="1">
      <alignment vertical="center"/>
    </xf>
    <xf numFmtId="0" fontId="2" fillId="52" borderId="52" xfId="0" applyFont="1" applyFill="1" applyBorder="1">
      <alignment vertical="center"/>
    </xf>
  </cellXfs>
  <cellStyles count="43">
    <cellStyle name="20% - 강조색1" xfId="18" builtinId="30" customBuiltin="1"/>
    <cellStyle name="20% - 강조색2" xfId="21" builtinId="34" customBuiltin="1"/>
    <cellStyle name="20% - 강조색3" xfId="24" builtinId="38" customBuiltin="1"/>
    <cellStyle name="20% - 강조색4" xfId="27" builtinId="42" customBuiltin="1"/>
    <cellStyle name="20% - 강조색5" xfId="30" builtinId="46" customBuiltin="1"/>
    <cellStyle name="20% - 강조색6" xfId="33" builtinId="50" customBuiltin="1"/>
    <cellStyle name="40% - 강조색1" xfId="19" builtinId="31" customBuiltin="1"/>
    <cellStyle name="40% - 강조색2" xfId="22" builtinId="35" customBuiltin="1"/>
    <cellStyle name="40% - 강조색3" xfId="25" builtinId="39" customBuiltin="1"/>
    <cellStyle name="40% - 강조색4" xfId="28" builtinId="43" customBuiltin="1"/>
    <cellStyle name="40% - 강조색5" xfId="31" builtinId="47" customBuiltin="1"/>
    <cellStyle name="40% - 강조색6" xfId="34" builtinId="51" customBuiltin="1"/>
    <cellStyle name="60% - 강조색1 2" xfId="37" xr:uid="{00000000-0005-0000-0000-000030000000}"/>
    <cellStyle name="60% - 강조색2 2" xfId="38" xr:uid="{00000000-0005-0000-0000-000031000000}"/>
    <cellStyle name="60% - 강조색3 2" xfId="39" xr:uid="{00000000-0005-0000-0000-000032000000}"/>
    <cellStyle name="60% - 강조색4 2" xfId="40" xr:uid="{00000000-0005-0000-0000-000033000000}"/>
    <cellStyle name="60% - 강조색5 2" xfId="41" xr:uid="{00000000-0005-0000-0000-000034000000}"/>
    <cellStyle name="60% - 강조색6 2" xfId="42" xr:uid="{00000000-0005-0000-0000-000035000000}"/>
    <cellStyle name="강조색1" xfId="17" builtinId="29" customBuiltin="1"/>
    <cellStyle name="강조색2" xfId="20" builtinId="33" customBuiltin="1"/>
    <cellStyle name="강조색3" xfId="23" builtinId="37" customBuiltin="1"/>
    <cellStyle name="강조색4" xfId="26" builtinId="41" customBuiltin="1"/>
    <cellStyle name="강조색5" xfId="29" builtinId="45" customBuiltin="1"/>
    <cellStyle name="강조색6" xfId="32" builtinId="49" customBuiltin="1"/>
    <cellStyle name="경고문" xfId="13" builtinId="11" customBuiltin="1"/>
    <cellStyle name="계산" xfId="10" builtinId="22" customBuiltin="1"/>
    <cellStyle name="나쁨" xfId="1" builtinId="27" customBuiltin="1"/>
    <cellStyle name="메모" xfId="14" builtinId="10" customBuiltin="1"/>
    <cellStyle name="보통 2" xfId="36" xr:uid="{00000000-0005-0000-0000-000036000000}"/>
    <cellStyle name="설명 텍스트" xfId="15" builtinId="53" customBuiltin="1"/>
    <cellStyle name="셀 확인" xfId="12" builtinId="23" customBuiltin="1"/>
    <cellStyle name="연결된 셀" xfId="11" builtinId="24" customBuiltin="1"/>
    <cellStyle name="요약" xfId="16" builtinId="25" customBuiltin="1"/>
    <cellStyle name="입력" xfId="8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9" builtinId="21" customBuiltin="1"/>
    <cellStyle name="표준" xfId="0" builtinId="0"/>
    <cellStyle name="하이퍼링크" xfId="35" builtinId="8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1059180</xdr:colOff>
      <xdr:row>67</xdr:row>
      <xdr:rowOff>200025</xdr:rowOff>
    </xdr:from>
    <xdr:to>
      <xdr:col>13</xdr:col>
      <xdr:colOff>576164</xdr:colOff>
      <xdr:row>100</xdr:row>
      <xdr:rowOff>33441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A13B175-B5F4-474C-9F46-35D090D7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86260" y="14281785"/>
          <a:ext cx="8440004" cy="6874296"/>
        </a:xfrm>
        <a:prstGeom prst="rect">
          <a:avLst/>
        </a:prstGeom>
      </xdr:spPr>
    </xdr:pic>
    <xdr:clientData/>
  </xdr:twoCellAnchor>
  <xdr:twoCellAnchor editAs="oneCell">
    <xdr:from>
      <xdr:col>3</xdr:col>
      <xdr:colOff>363855</xdr:colOff>
      <xdr:row>70</xdr:row>
      <xdr:rowOff>11430</xdr:rowOff>
    </xdr:from>
    <xdr:to>
      <xdr:col>7</xdr:col>
      <xdr:colOff>917222</xdr:colOff>
      <xdr:row>99</xdr:row>
      <xdr:rowOff>193512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16211A1-8FBA-4ECA-A80E-5DB04A47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2395" y="14733270"/>
          <a:ext cx="7921907" cy="6377142"/>
        </a:xfrm>
        <a:prstGeom prst="rect">
          <a:avLst/>
        </a:prstGeom>
      </xdr:spPr>
    </xdr:pic>
    <xdr:clientData/>
  </xdr:twoCellAnchor>
  <xdr:twoCellAnchor editAs="oneCell">
    <xdr:from>
      <xdr:col>3</xdr:col>
      <xdr:colOff>369570</xdr:colOff>
      <xdr:row>100</xdr:row>
      <xdr:rowOff>49530</xdr:rowOff>
    </xdr:from>
    <xdr:to>
      <xdr:col>7</xdr:col>
      <xdr:colOff>1063887</xdr:colOff>
      <xdr:row>115</xdr:row>
      <xdr:rowOff>41511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08B4A74-4621-4A3D-AEAB-DA76867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8110" y="21172170"/>
          <a:ext cx="8062857" cy="319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116</xdr:row>
      <xdr:rowOff>198120</xdr:rowOff>
    </xdr:from>
    <xdr:to>
      <xdr:col>5</xdr:col>
      <xdr:colOff>1444896</xdr:colOff>
      <xdr:row>144</xdr:row>
      <xdr:rowOff>117373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0CD1C9E-B75F-4613-99E7-D662F2794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" y="24932640"/>
          <a:ext cx="7994286" cy="589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26</xdr:row>
      <xdr:rowOff>15240</xdr:rowOff>
    </xdr:from>
    <xdr:to>
      <xdr:col>10</xdr:col>
      <xdr:colOff>35478</xdr:colOff>
      <xdr:row>57</xdr:row>
      <xdr:rowOff>60128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A66A54-97B2-4468-B755-1B9B777A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6560" y="5570220"/>
          <a:ext cx="5735238" cy="665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7620</xdr:rowOff>
    </xdr:from>
    <xdr:to>
      <xdr:col>2</xdr:col>
      <xdr:colOff>2422384</xdr:colOff>
      <xdr:row>55</xdr:row>
      <xdr:rowOff>37696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F22F5A-1573-4D96-AC07-C09BC0287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49640"/>
          <a:ext cx="6213334" cy="323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</xdr:col>
      <xdr:colOff>1885240</xdr:colOff>
      <xdr:row>78</xdr:row>
      <xdr:rowOff>163303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A21E3FC-BF72-43B6-BF3F-09337CEFF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95860"/>
          <a:ext cx="5676190" cy="4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2110740</xdr:colOff>
      <xdr:row>58</xdr:row>
      <xdr:rowOff>175260</xdr:rowOff>
    </xdr:from>
    <xdr:to>
      <xdr:col>8</xdr:col>
      <xdr:colOff>250780</xdr:colOff>
      <xdr:row>73</xdr:row>
      <xdr:rowOff>41527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614FA4B-4023-4AEF-8A90-ADFD83D9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0" y="12557760"/>
          <a:ext cx="5436190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2026920</xdr:colOff>
      <xdr:row>73</xdr:row>
      <xdr:rowOff>190500</xdr:rowOff>
    </xdr:from>
    <xdr:to>
      <xdr:col>6</xdr:col>
      <xdr:colOff>117608</xdr:colOff>
      <xdr:row>84</xdr:row>
      <xdr:rowOff>18779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19EE76E-FD8D-41E7-A5D7-EE9734B8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1680" y="15773400"/>
          <a:ext cx="4020953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79</xdr:row>
      <xdr:rowOff>152400</xdr:rowOff>
    </xdr:from>
    <xdr:to>
      <xdr:col>2</xdr:col>
      <xdr:colOff>1938583</xdr:colOff>
      <xdr:row>91</xdr:row>
      <xdr:rowOff>41604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884AB0-7344-41B1-93BF-C458CC10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7015460"/>
          <a:ext cx="5657143" cy="244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2065020</xdr:colOff>
      <xdr:row>84</xdr:row>
      <xdr:rowOff>198120</xdr:rowOff>
    </xdr:from>
    <xdr:to>
      <xdr:col>8</xdr:col>
      <xdr:colOff>300298</xdr:colOff>
      <xdr:row>115</xdr:row>
      <xdr:rowOff>183960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79C339F-AC53-4691-A819-94EF5593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9780" y="18127980"/>
          <a:ext cx="5535238" cy="659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788670</xdr:colOff>
      <xdr:row>117</xdr:row>
      <xdr:rowOff>5715</xdr:rowOff>
    </xdr:from>
    <xdr:to>
      <xdr:col>5</xdr:col>
      <xdr:colOff>564684</xdr:colOff>
      <xdr:row>147</xdr:row>
      <xdr:rowOff>41106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585AAD9-BFD9-4352-8F95-EB2A5653D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670" y="24976455"/>
          <a:ext cx="8813334" cy="643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kisrating.com/ratingsStatistics/statics_spread.d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houstat.hf.go.kr/research/portal/theme/indexStatPage.do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AC06-64D1-4C19-A492-4A1709E48BF9}">
  <dimension ref="A1:T255"/>
  <sheetViews>
    <sheetView topLeftCell="F127" workbookViewId="0">
      <selection activeCell="O145" sqref="O145"/>
    </sheetView>
  </sheetViews>
  <sheetFormatPr defaultRowHeight="16.5" x14ac:dyDescent="0.3"/>
  <cols>
    <col min="1" max="1" width="10" bestFit="1" customWidth="1"/>
    <col min="2" max="2" width="5.625" bestFit="1" customWidth="1"/>
    <col min="3" max="3" width="3.625" bestFit="1" customWidth="1"/>
    <col min="4" max="4" width="14.125" style="40" customWidth="1"/>
    <col min="5" max="5" width="12.5" style="19" bestFit="1" customWidth="1"/>
    <col min="6" max="6" width="11.25" style="90" customWidth="1"/>
    <col min="7" max="7" width="14.25" style="150" customWidth="1"/>
    <col min="8" max="8" width="12.5" style="114" bestFit="1" customWidth="1"/>
    <col min="9" max="9" width="13.625" style="114" bestFit="1" customWidth="1"/>
    <col min="10" max="10" width="14.25" style="114" customWidth="1"/>
    <col min="11" max="11" width="14.875" style="155" bestFit="1" customWidth="1"/>
    <col min="12" max="12" width="11.25" style="118" bestFit="1" customWidth="1"/>
    <col min="13" max="13" width="14.25" style="134" bestFit="1" customWidth="1"/>
    <col min="14" max="14" width="16.625" style="133" bestFit="1" customWidth="1"/>
    <col min="15" max="15" width="9.125" style="92" bestFit="1" customWidth="1"/>
    <col min="16" max="16" width="14.25" style="307" bestFit="1" customWidth="1"/>
    <col min="17" max="17" width="16.625" style="166" bestFit="1" customWidth="1"/>
    <col min="18" max="18" width="12.5" style="1" bestFit="1" customWidth="1"/>
    <col min="19" max="19" width="15.125" style="1" bestFit="1" customWidth="1"/>
  </cols>
  <sheetData>
    <row r="1" spans="1:20" x14ac:dyDescent="0.3">
      <c r="A1" s="251"/>
      <c r="B1" s="251"/>
      <c r="C1" s="252"/>
      <c r="D1" s="253" t="s">
        <v>84</v>
      </c>
      <c r="E1" s="254"/>
      <c r="F1" s="254"/>
      <c r="G1" s="254"/>
      <c r="H1" s="258" t="s">
        <v>178</v>
      </c>
      <c r="I1" s="258"/>
      <c r="J1" s="255" t="s">
        <v>168</v>
      </c>
      <c r="K1" s="256"/>
      <c r="L1" s="257"/>
      <c r="M1" s="247" t="s">
        <v>169</v>
      </c>
      <c r="N1" s="248"/>
      <c r="O1" s="248"/>
      <c r="P1" s="249"/>
      <c r="Q1" s="244" t="s">
        <v>181</v>
      </c>
      <c r="R1" s="241" t="s">
        <v>182</v>
      </c>
      <c r="S1" s="242" t="s">
        <v>183</v>
      </c>
    </row>
    <row r="2" spans="1:20" ht="33" x14ac:dyDescent="0.3">
      <c r="A2" s="251"/>
      <c r="B2" s="251"/>
      <c r="C2" s="252"/>
      <c r="D2" s="163" t="s">
        <v>165</v>
      </c>
      <c r="E2" s="157" t="s">
        <v>164</v>
      </c>
      <c r="F2" s="110" t="s">
        <v>170</v>
      </c>
      <c r="G2" s="145" t="s">
        <v>171</v>
      </c>
      <c r="H2" s="156" t="s">
        <v>179</v>
      </c>
      <c r="I2" s="156" t="s">
        <v>180</v>
      </c>
      <c r="J2" s="156" t="s">
        <v>177</v>
      </c>
      <c r="K2" s="151" t="s">
        <v>85</v>
      </c>
      <c r="L2" s="129" t="s">
        <v>11</v>
      </c>
      <c r="M2" s="135" t="s">
        <v>174</v>
      </c>
      <c r="N2" s="131" t="s">
        <v>86</v>
      </c>
      <c r="O2" s="111" t="s">
        <v>11</v>
      </c>
      <c r="P2" s="304" t="s">
        <v>175</v>
      </c>
      <c r="Q2" s="244"/>
      <c r="R2" s="241"/>
      <c r="S2" s="242"/>
    </row>
    <row r="3" spans="1:20" s="17" customFormat="1" x14ac:dyDescent="0.3">
      <c r="A3" s="24" t="s">
        <v>12</v>
      </c>
      <c r="B3" s="24"/>
      <c r="C3" s="25"/>
      <c r="D3" s="91">
        <v>0</v>
      </c>
      <c r="E3" s="158"/>
      <c r="F3" s="112"/>
      <c r="G3" s="146"/>
      <c r="H3" s="112"/>
      <c r="I3" s="112"/>
      <c r="J3" s="112"/>
      <c r="K3" s="152">
        <v>800000</v>
      </c>
      <c r="L3" s="130"/>
      <c r="M3" s="39">
        <v>0</v>
      </c>
      <c r="N3" s="132">
        <v>0</v>
      </c>
      <c r="O3" s="25"/>
      <c r="P3" s="305">
        <v>0</v>
      </c>
      <c r="Q3" s="166"/>
      <c r="R3" s="18"/>
      <c r="S3" s="18"/>
    </row>
    <row r="4" spans="1:20" s="22" customFormat="1" hidden="1" x14ac:dyDescent="0.3">
      <c r="A4" s="22">
        <v>1</v>
      </c>
      <c r="B4" s="250">
        <v>2022</v>
      </c>
      <c r="C4" s="127">
        <v>1</v>
      </c>
      <c r="D4" s="164">
        <v>2500000</v>
      </c>
      <c r="E4" s="159">
        <v>0</v>
      </c>
      <c r="F4" s="114"/>
      <c r="G4" s="147">
        <v>400000</v>
      </c>
      <c r="H4" s="114"/>
      <c r="I4" s="114"/>
      <c r="J4" s="114"/>
      <c r="K4" s="152">
        <f t="shared" ref="K4:K15" si="0" xml:space="preserve"> (K3 + G4) + ((K3 + G4) * O4 )</f>
        <v>1212000</v>
      </c>
      <c r="L4" s="130"/>
      <c r="M4" s="39"/>
      <c r="N4" s="132">
        <v>0</v>
      </c>
      <c r="O4" s="25">
        <v>0.01</v>
      </c>
      <c r="P4" s="306"/>
      <c r="Q4" s="166"/>
      <c r="T4" s="96"/>
    </row>
    <row r="5" spans="1:20" s="22" customFormat="1" hidden="1" x14ac:dyDescent="0.3">
      <c r="B5" s="250"/>
      <c r="C5" s="127">
        <v>2</v>
      </c>
      <c r="D5" s="164">
        <v>2500000</v>
      </c>
      <c r="E5" s="159">
        <v>0</v>
      </c>
      <c r="F5" s="114"/>
      <c r="G5" s="147">
        <v>400000</v>
      </c>
      <c r="H5" s="114"/>
      <c r="I5" s="114"/>
      <c r="J5" s="114"/>
      <c r="K5" s="152">
        <f t="shared" si="0"/>
        <v>1628120</v>
      </c>
      <c r="L5" s="130"/>
      <c r="M5" s="39"/>
      <c r="N5" s="132">
        <v>0</v>
      </c>
      <c r="O5" s="25">
        <v>0.01</v>
      </c>
      <c r="P5" s="306"/>
      <c r="Q5" s="166"/>
      <c r="T5" s="96"/>
    </row>
    <row r="6" spans="1:20" s="22" customFormat="1" hidden="1" x14ac:dyDescent="0.3">
      <c r="B6" s="250"/>
      <c r="C6" s="127">
        <v>3</v>
      </c>
      <c r="D6" s="164">
        <v>2500000</v>
      </c>
      <c r="E6" s="159">
        <v>0</v>
      </c>
      <c r="F6" s="114"/>
      <c r="G6" s="147">
        <v>400000</v>
      </c>
      <c r="H6" s="114"/>
      <c r="I6" s="114"/>
      <c r="J6" s="114"/>
      <c r="K6" s="152">
        <f t="shared" si="0"/>
        <v>2048401.2</v>
      </c>
      <c r="L6" s="130"/>
      <c r="M6" s="39"/>
      <c r="N6" s="132">
        <v>0</v>
      </c>
      <c r="O6" s="25">
        <v>0.01</v>
      </c>
      <c r="P6" s="306"/>
      <c r="Q6" s="166"/>
      <c r="T6" s="96"/>
    </row>
    <row r="7" spans="1:20" s="22" customFormat="1" hidden="1" x14ac:dyDescent="0.3">
      <c r="B7" s="250"/>
      <c r="C7" s="127">
        <v>4</v>
      </c>
      <c r="D7" s="164">
        <v>2500000</v>
      </c>
      <c r="E7" s="159">
        <v>0</v>
      </c>
      <c r="F7" s="114"/>
      <c r="G7" s="147">
        <v>400000</v>
      </c>
      <c r="H7" s="114"/>
      <c r="I7" s="114"/>
      <c r="J7" s="114"/>
      <c r="K7" s="152">
        <f t="shared" si="0"/>
        <v>2472885.2120000003</v>
      </c>
      <c r="L7" s="130"/>
      <c r="M7" s="39"/>
      <c r="N7" s="132">
        <v>0</v>
      </c>
      <c r="O7" s="25">
        <v>0.01</v>
      </c>
      <c r="P7" s="306"/>
      <c r="Q7" s="166"/>
      <c r="T7" s="96"/>
    </row>
    <row r="8" spans="1:20" s="22" customFormat="1" hidden="1" x14ac:dyDescent="0.3">
      <c r="B8" s="250"/>
      <c r="C8" s="127">
        <v>5</v>
      </c>
      <c r="D8" s="164">
        <v>2500000</v>
      </c>
      <c r="E8" s="159">
        <v>1000000</v>
      </c>
      <c r="F8" s="114"/>
      <c r="G8" s="147">
        <v>400000</v>
      </c>
      <c r="H8" s="114"/>
      <c r="I8" s="114"/>
      <c r="J8" s="114"/>
      <c r="K8" s="152">
        <f t="shared" si="0"/>
        <v>2901614.0641200002</v>
      </c>
      <c r="L8" s="130"/>
      <c r="M8" s="39"/>
      <c r="N8" s="132">
        <v>0</v>
      </c>
      <c r="O8" s="25">
        <v>0.01</v>
      </c>
      <c r="P8" s="306"/>
      <c r="Q8" s="166"/>
      <c r="T8" s="96"/>
    </row>
    <row r="9" spans="1:20" s="22" customFormat="1" hidden="1" x14ac:dyDescent="0.3">
      <c r="B9" s="250"/>
      <c r="C9" s="127">
        <v>6</v>
      </c>
      <c r="D9" s="164">
        <v>2500000</v>
      </c>
      <c r="E9" s="159">
        <v>0</v>
      </c>
      <c r="F9" s="114"/>
      <c r="G9" s="147">
        <v>400000</v>
      </c>
      <c r="H9" s="114"/>
      <c r="I9" s="114"/>
      <c r="J9" s="114"/>
      <c r="K9" s="152">
        <f t="shared" si="0"/>
        <v>3334630.2047612001</v>
      </c>
      <c r="L9" s="130"/>
      <c r="M9" s="39"/>
      <c r="N9" s="132">
        <v>0</v>
      </c>
      <c r="O9" s="25">
        <v>0.01</v>
      </c>
      <c r="P9" s="306"/>
      <c r="Q9" s="166"/>
      <c r="T9" s="96"/>
    </row>
    <row r="10" spans="1:20" s="22" customFormat="1" hidden="1" x14ac:dyDescent="0.3">
      <c r="B10" s="250"/>
      <c r="C10" s="127">
        <v>7</v>
      </c>
      <c r="D10" s="164">
        <v>2500000</v>
      </c>
      <c r="E10" s="159">
        <v>600000</v>
      </c>
      <c r="F10" s="114"/>
      <c r="G10" s="147">
        <v>400000</v>
      </c>
      <c r="H10" s="114"/>
      <c r="I10" s="114"/>
      <c r="J10" s="114"/>
      <c r="K10" s="152">
        <f t="shared" si="0"/>
        <v>3771976.5068088123</v>
      </c>
      <c r="L10" s="130"/>
      <c r="M10" s="39"/>
      <c r="N10" s="132">
        <v>0</v>
      </c>
      <c r="O10" s="25">
        <v>0.01</v>
      </c>
      <c r="P10" s="306"/>
      <c r="Q10" s="166"/>
      <c r="T10" s="96"/>
    </row>
    <row r="11" spans="1:20" s="22" customFormat="1" hidden="1" x14ac:dyDescent="0.3">
      <c r="B11" s="250"/>
      <c r="C11" s="127">
        <v>8</v>
      </c>
      <c r="D11" s="164">
        <v>2500000</v>
      </c>
      <c r="E11" s="159">
        <v>5056544</v>
      </c>
      <c r="F11" s="114"/>
      <c r="G11" s="147">
        <v>400000</v>
      </c>
      <c r="H11" s="114"/>
      <c r="I11" s="114"/>
      <c r="J11" s="114"/>
      <c r="K11" s="152">
        <f t="shared" si="0"/>
        <v>4213696.2718769005</v>
      </c>
      <c r="L11" s="130"/>
      <c r="M11" s="39"/>
      <c r="N11" s="132">
        <v>0</v>
      </c>
      <c r="O11" s="25">
        <v>0.01</v>
      </c>
      <c r="P11" s="306"/>
      <c r="Q11" s="166"/>
      <c r="T11" s="96"/>
    </row>
    <row r="12" spans="1:20" s="22" customFormat="1" hidden="1" x14ac:dyDescent="0.3">
      <c r="B12" s="250"/>
      <c r="C12" s="127">
        <v>9</v>
      </c>
      <c r="D12" s="164">
        <v>1800000</v>
      </c>
      <c r="E12" s="159">
        <v>1600000</v>
      </c>
      <c r="F12" s="114"/>
      <c r="G12" s="147">
        <v>400000</v>
      </c>
      <c r="H12" s="114"/>
      <c r="I12" s="114"/>
      <c r="J12" s="114"/>
      <c r="K12" s="152">
        <f t="shared" si="0"/>
        <v>4696742.8047706848</v>
      </c>
      <c r="L12" s="130"/>
      <c r="M12" s="39"/>
      <c r="N12" s="132">
        <v>0</v>
      </c>
      <c r="O12" s="25">
        <v>1.7999999999999999E-2</v>
      </c>
      <c r="P12" s="306"/>
      <c r="Q12" s="166"/>
      <c r="T12" s="96"/>
    </row>
    <row r="13" spans="1:20" s="22" customFormat="1" hidden="1" x14ac:dyDescent="0.3">
      <c r="B13" s="250"/>
      <c r="C13" s="127">
        <v>10</v>
      </c>
      <c r="D13" s="164">
        <v>4500000</v>
      </c>
      <c r="E13" s="159">
        <v>3700000</v>
      </c>
      <c r="F13" s="114"/>
      <c r="G13" s="147">
        <v>400000</v>
      </c>
      <c r="H13" s="114"/>
      <c r="I13" s="114"/>
      <c r="J13" s="114"/>
      <c r="K13" s="152">
        <f t="shared" si="0"/>
        <v>4638035.9523413228</v>
      </c>
      <c r="L13" s="130"/>
      <c r="M13" s="39"/>
      <c r="N13" s="132">
        <v>0</v>
      </c>
      <c r="O13" s="25">
        <v>-0.09</v>
      </c>
      <c r="P13" s="306"/>
      <c r="Q13" s="166"/>
      <c r="T13" s="96"/>
    </row>
    <row r="14" spans="1:20" s="23" customFormat="1" ht="15.75" hidden="1" customHeight="1" thickBot="1" x14ac:dyDescent="0.3">
      <c r="A14" s="22"/>
      <c r="B14" s="250"/>
      <c r="C14" s="127">
        <v>11</v>
      </c>
      <c r="D14" s="164">
        <v>3500000</v>
      </c>
      <c r="E14" s="159">
        <v>0</v>
      </c>
      <c r="F14" s="114"/>
      <c r="G14" s="147">
        <v>400000</v>
      </c>
      <c r="H14" s="114"/>
      <c r="I14" s="114"/>
      <c r="J14" s="114"/>
      <c r="K14" s="152">
        <f t="shared" si="0"/>
        <v>5128720.5994834667</v>
      </c>
      <c r="L14" s="130"/>
      <c r="M14" s="39"/>
      <c r="N14" s="132">
        <v>0</v>
      </c>
      <c r="O14" s="25">
        <v>1.7999999999999999E-2</v>
      </c>
      <c r="P14" s="306"/>
      <c r="Q14" s="166"/>
      <c r="R14" s="22"/>
      <c r="S14" s="22"/>
      <c r="T14" s="97"/>
    </row>
    <row r="15" spans="1:20" s="21" customFormat="1" ht="17.25" hidden="1" thickBot="1" x14ac:dyDescent="0.35">
      <c r="A15" s="40"/>
      <c r="B15" s="250"/>
      <c r="C15" s="128">
        <v>12</v>
      </c>
      <c r="D15" s="164">
        <v>2500000</v>
      </c>
      <c r="E15" s="160">
        <v>1000000</v>
      </c>
      <c r="F15" s="115"/>
      <c r="G15" s="148">
        <v>400000</v>
      </c>
      <c r="H15" s="115"/>
      <c r="I15" s="115"/>
      <c r="J15" s="115"/>
      <c r="K15" s="132">
        <f t="shared" si="0"/>
        <v>5241227.1283103265</v>
      </c>
      <c r="L15" s="130"/>
      <c r="M15" s="39"/>
      <c r="N15" s="132">
        <v>0</v>
      </c>
      <c r="O15" s="136">
        <v>-5.1999999999999998E-2</v>
      </c>
      <c r="P15" s="306"/>
      <c r="Q15" s="166"/>
      <c r="R15" s="40"/>
      <c r="S15" s="40"/>
      <c r="T15" s="38"/>
    </row>
    <row r="16" spans="1:20" s="35" customFormat="1" x14ac:dyDescent="0.3">
      <c r="A16" s="22">
        <v>2</v>
      </c>
      <c r="B16" s="245">
        <v>2023</v>
      </c>
      <c r="C16" s="127">
        <v>1</v>
      </c>
      <c r="D16" s="165">
        <v>2500000</v>
      </c>
      <c r="E16" s="159">
        <v>0</v>
      </c>
      <c r="F16" s="113"/>
      <c r="G16" s="149">
        <v>400000</v>
      </c>
      <c r="H16" s="113"/>
      <c r="I16" s="113"/>
      <c r="J16" s="113"/>
      <c r="K16" s="140">
        <f xml:space="preserve"> (K15 + 400000) + ((K15 + 400000) * O16 )</f>
        <v>5906364.8033409119</v>
      </c>
      <c r="L16" s="142"/>
      <c r="M16" s="139">
        <v>0</v>
      </c>
      <c r="N16" s="140">
        <v>0</v>
      </c>
      <c r="O16" s="141">
        <v>4.7E-2</v>
      </c>
      <c r="P16" s="306"/>
      <c r="Q16" s="143"/>
      <c r="R16" s="22"/>
      <c r="S16" s="22"/>
      <c r="T16" s="98"/>
    </row>
    <row r="17" spans="1:20" s="22" customFormat="1" x14ac:dyDescent="0.3">
      <c r="B17" s="245"/>
      <c r="C17" s="127">
        <v>2</v>
      </c>
      <c r="D17" s="165">
        <v>2500000</v>
      </c>
      <c r="E17" s="159">
        <v>0</v>
      </c>
      <c r="F17" s="113"/>
      <c r="G17" s="149">
        <v>400000</v>
      </c>
      <c r="H17" s="113"/>
      <c r="I17" s="113"/>
      <c r="J17" s="113"/>
      <c r="K17" s="140">
        <f xml:space="preserve"> (K16 + 400000) + ((K16 + 400000) * O17 )</f>
        <v>6325283.8977509346</v>
      </c>
      <c r="L17" s="142"/>
      <c r="M17" s="139">
        <v>0</v>
      </c>
      <c r="N17" s="140">
        <v>0</v>
      </c>
      <c r="O17" s="141">
        <v>3.0000000000000001E-3</v>
      </c>
      <c r="P17" s="306"/>
      <c r="Q17" s="143"/>
      <c r="T17" s="96"/>
    </row>
    <row r="18" spans="1:20" s="22" customFormat="1" x14ac:dyDescent="0.3">
      <c r="B18" s="245"/>
      <c r="C18" s="127">
        <v>3</v>
      </c>
      <c r="D18" s="165">
        <v>2500000</v>
      </c>
      <c r="E18" s="159">
        <v>0</v>
      </c>
      <c r="F18" s="113"/>
      <c r="G18" s="149">
        <v>400000</v>
      </c>
      <c r="H18" s="113"/>
      <c r="I18" s="113"/>
      <c r="J18" s="113"/>
      <c r="K18" s="140">
        <f xml:space="preserve"> (K17 + 400000) + ((K17 + 400000) * O18 )</f>
        <v>6557151.8003071612</v>
      </c>
      <c r="L18" s="142"/>
      <c r="M18" s="139">
        <v>0</v>
      </c>
      <c r="N18" s="140">
        <v>7000000</v>
      </c>
      <c r="O18" s="141">
        <v>-2.5000000000000001E-2</v>
      </c>
      <c r="P18" s="306"/>
      <c r="Q18" s="143"/>
      <c r="T18" s="96"/>
    </row>
    <row r="19" spans="1:20" s="22" customFormat="1" x14ac:dyDescent="0.3">
      <c r="B19" s="245"/>
      <c r="C19" s="127">
        <v>4</v>
      </c>
      <c r="D19" s="165">
        <v>500000</v>
      </c>
      <c r="E19" s="159">
        <v>0</v>
      </c>
      <c r="F19" s="113"/>
      <c r="G19" s="149">
        <v>400000</v>
      </c>
      <c r="H19" s="113"/>
      <c r="I19" s="113"/>
      <c r="J19" s="113"/>
      <c r="K19" s="140">
        <f xml:space="preserve"> (K18 + 400000) + ((K18 + 400000) * O19 )</f>
        <v>6365793.8972810525</v>
      </c>
      <c r="L19" s="142"/>
      <c r="M19" s="139">
        <v>0</v>
      </c>
      <c r="N19" s="140">
        <f xml:space="preserve"> (N18 + D19 - E19 - M19) + ((N18 + D19 - E19 - M19) * O19)</f>
        <v>6862500</v>
      </c>
      <c r="O19" s="141">
        <v>-8.5000000000000006E-2</v>
      </c>
      <c r="P19" s="306"/>
      <c r="Q19" s="143"/>
      <c r="T19" s="96"/>
    </row>
    <row r="20" spans="1:20" s="22" customFormat="1" x14ac:dyDescent="0.3">
      <c r="B20" s="245"/>
      <c r="C20" s="127">
        <v>5</v>
      </c>
      <c r="D20" s="165">
        <v>100000</v>
      </c>
      <c r="E20" s="159">
        <v>0</v>
      </c>
      <c r="F20" s="113">
        <v>100000</v>
      </c>
      <c r="G20" s="149">
        <v>400000</v>
      </c>
      <c r="H20" s="113"/>
      <c r="I20" s="113"/>
      <c r="J20" s="113"/>
      <c r="K20" s="140">
        <f xml:space="preserve"> (K19 + G20 + F20) + ((K19 + G20 + F20) * L20 )</f>
        <v>7957455.1269487403</v>
      </c>
      <c r="L20" s="138">
        <v>0.159</v>
      </c>
      <c r="M20" s="139">
        <v>0</v>
      </c>
      <c r="N20" s="140">
        <f xml:space="preserve"> (N19 + D20 - E20 - M20) + ((N19 + D20 - E20 - M20) * O20)</f>
        <v>6266250</v>
      </c>
      <c r="O20" s="141">
        <v>-0.1</v>
      </c>
      <c r="P20" s="305">
        <f xml:space="preserve"> M20 + N20</f>
        <v>6266250</v>
      </c>
      <c r="Q20" s="137">
        <f xml:space="preserve"> K20 + P20</f>
        <v>14223705.12694874</v>
      </c>
      <c r="T20" s="96"/>
    </row>
    <row r="21" spans="1:20" s="22" customFormat="1" x14ac:dyDescent="0.3">
      <c r="B21" s="245"/>
      <c r="C21" s="127">
        <v>6</v>
      </c>
      <c r="D21" s="165">
        <v>15000000</v>
      </c>
      <c r="E21" s="159">
        <v>0</v>
      </c>
      <c r="F21" s="113">
        <v>750000</v>
      </c>
      <c r="G21" s="149">
        <v>500000</v>
      </c>
      <c r="H21" s="113"/>
      <c r="I21" s="113"/>
      <c r="J21" s="113"/>
      <c r="K21" s="140">
        <f xml:space="preserve"> (K20 + G21 + F21) + ((K20 + G21 + F21) * L21 )</f>
        <v>9373189.319233818</v>
      </c>
      <c r="L21" s="138">
        <v>1.7999999999999999E-2</v>
      </c>
      <c r="M21" s="139">
        <v>50000</v>
      </c>
      <c r="N21" s="140">
        <f xml:space="preserve"> (N20 + D21 - E21 - M21) + ((N20 + D21 - E21 - M21) * O21)</f>
        <v>24610850</v>
      </c>
      <c r="O21" s="141">
        <v>0.16</v>
      </c>
      <c r="P21" s="305">
        <f xml:space="preserve"> M21 + N21</f>
        <v>24660850</v>
      </c>
      <c r="Q21" s="137">
        <f xml:space="preserve"> K21 + P21</f>
        <v>34034039.31923382</v>
      </c>
      <c r="T21" s="96"/>
    </row>
    <row r="22" spans="1:20" s="22" customFormat="1" x14ac:dyDescent="0.3">
      <c r="B22" s="245"/>
      <c r="C22" s="127">
        <v>7</v>
      </c>
      <c r="D22" s="165">
        <v>700000</v>
      </c>
      <c r="E22" s="159">
        <v>0</v>
      </c>
      <c r="F22" s="113">
        <v>300000</v>
      </c>
      <c r="G22" s="149">
        <v>500000</v>
      </c>
      <c r="H22" s="113"/>
      <c r="I22" s="113"/>
      <c r="J22" s="113"/>
      <c r="K22" s="140">
        <f t="shared" ref="K22:K85" si="1" xml:space="preserve"> (K21 + G22 + F22) + ((K21 + G22 + F22) * L22 )</f>
        <v>10356306.726980027</v>
      </c>
      <c r="L22" s="138">
        <v>1.7999999999999999E-2</v>
      </c>
      <c r="M22" s="139">
        <v>100000</v>
      </c>
      <c r="N22" s="140">
        <f xml:space="preserve"> (N21 + D22 - E22 - M22) + ((N21 + D22 - E22 - M22) * O22)</f>
        <v>27227718</v>
      </c>
      <c r="O22" s="141">
        <v>0.08</v>
      </c>
      <c r="P22" s="305">
        <f t="shared" ref="P22:P85" si="2" xml:space="preserve"> M22 + N22</f>
        <v>27327718</v>
      </c>
      <c r="Q22" s="137">
        <f t="shared" ref="Q22:Q85" si="3" xml:space="preserve"> K22 + P22</f>
        <v>37684024.726980031</v>
      </c>
      <c r="T22" s="96"/>
    </row>
    <row r="23" spans="1:20" s="22" customFormat="1" x14ac:dyDescent="0.3">
      <c r="B23" s="245"/>
      <c r="C23" s="127">
        <v>8</v>
      </c>
      <c r="D23" s="165">
        <v>1100000</v>
      </c>
      <c r="E23" s="159">
        <v>17450000</v>
      </c>
      <c r="F23" s="113">
        <v>300000</v>
      </c>
      <c r="G23" s="149">
        <v>100000</v>
      </c>
      <c r="H23" s="113"/>
      <c r="I23" s="113"/>
      <c r="J23" s="113"/>
      <c r="K23" s="140">
        <f t="shared" si="1"/>
        <v>10853113.487522848</v>
      </c>
      <c r="L23" s="138">
        <v>8.9999999999999993E-3</v>
      </c>
      <c r="M23" s="139">
        <v>50000</v>
      </c>
      <c r="N23" s="140">
        <f xml:space="preserve"> (N22 + D23 - E23 - M23) + ((N22 + D23 - E23 - M23) * O23)</f>
        <v>9095283.1199999992</v>
      </c>
      <c r="O23" s="141">
        <v>-0.16</v>
      </c>
      <c r="P23" s="305">
        <f t="shared" si="2"/>
        <v>9145283.1199999992</v>
      </c>
      <c r="Q23" s="137">
        <f t="shared" si="3"/>
        <v>19998396.607522845</v>
      </c>
      <c r="T23" s="96"/>
    </row>
    <row r="24" spans="1:20" s="22" customFormat="1" x14ac:dyDescent="0.3">
      <c r="B24" s="245"/>
      <c r="C24" s="127">
        <v>9</v>
      </c>
      <c r="D24" s="165">
        <v>1100000</v>
      </c>
      <c r="E24" s="159">
        <v>0</v>
      </c>
      <c r="F24" s="113">
        <v>300000</v>
      </c>
      <c r="G24" s="149">
        <v>100000</v>
      </c>
      <c r="H24" s="113"/>
      <c r="I24" s="113"/>
      <c r="J24" s="113"/>
      <c r="K24" s="140">
        <f t="shared" si="1"/>
        <v>11050557.444747437</v>
      </c>
      <c r="L24" s="138">
        <v>-1.7999999999999999E-2</v>
      </c>
      <c r="M24" s="139">
        <v>50000</v>
      </c>
      <c r="N24" s="140">
        <f t="shared" ref="N24:N87" si="4" xml:space="preserve"> (N23 + D24 - E24 - M24) + ((N23 + D24 - E24 - M24) * O24)</f>
        <v>7507509.5088</v>
      </c>
      <c r="O24" s="141">
        <v>-0.26</v>
      </c>
      <c r="P24" s="305">
        <f t="shared" si="2"/>
        <v>7557509.5088</v>
      </c>
      <c r="Q24" s="137">
        <f t="shared" si="3"/>
        <v>18608066.953547437</v>
      </c>
      <c r="T24" s="96"/>
    </row>
    <row r="25" spans="1:20" s="22" customFormat="1" x14ac:dyDescent="0.3">
      <c r="B25" s="245"/>
      <c r="C25" s="127">
        <v>10</v>
      </c>
      <c r="D25" s="165">
        <v>7100000</v>
      </c>
      <c r="E25" s="159">
        <v>0</v>
      </c>
      <c r="F25" s="113">
        <v>300000</v>
      </c>
      <c r="G25" s="149">
        <v>100000</v>
      </c>
      <c r="H25" s="113">
        <v>16000000</v>
      </c>
      <c r="I25" s="113">
        <v>70000000</v>
      </c>
      <c r="J25" s="113">
        <v>54000000</v>
      </c>
      <c r="K25" s="140">
        <f t="shared" si="1"/>
        <v>11656667.478752891</v>
      </c>
      <c r="L25" s="138">
        <v>1.7999999999999999E-2</v>
      </c>
      <c r="M25" s="139">
        <v>50000</v>
      </c>
      <c r="N25" s="140">
        <f t="shared" si="4"/>
        <v>9316806.0856320001</v>
      </c>
      <c r="O25" s="141">
        <v>-0.36</v>
      </c>
      <c r="P25" s="305">
        <f t="shared" si="2"/>
        <v>9366806.0856320001</v>
      </c>
      <c r="Q25" s="137">
        <f t="shared" si="3"/>
        <v>21023473.564384893</v>
      </c>
      <c r="R25" s="113">
        <f xml:space="preserve"> H25 + I25</f>
        <v>86000000</v>
      </c>
      <c r="S25" s="113">
        <f xml:space="preserve"> J25 + Q25</f>
        <v>75023473.564384893</v>
      </c>
      <c r="T25" s="96"/>
    </row>
    <row r="26" spans="1:20" s="23" customFormat="1" ht="17.25" thickBot="1" x14ac:dyDescent="0.35">
      <c r="A26" s="22"/>
      <c r="B26" s="245"/>
      <c r="C26" s="127">
        <v>11</v>
      </c>
      <c r="D26" s="165">
        <v>4000000</v>
      </c>
      <c r="E26" s="159">
        <v>0</v>
      </c>
      <c r="F26" s="113">
        <v>300000</v>
      </c>
      <c r="G26" s="149">
        <v>100000</v>
      </c>
      <c r="H26" s="113">
        <v>10600000</v>
      </c>
      <c r="I26" s="113">
        <v>70000000</v>
      </c>
      <c r="J26" s="113">
        <v>54000000</v>
      </c>
      <c r="K26" s="140">
        <f t="shared" si="1"/>
        <v>11839647.464135339</v>
      </c>
      <c r="L26" s="138">
        <v>-1.7999999999999999E-2</v>
      </c>
      <c r="M26" s="139">
        <v>50000</v>
      </c>
      <c r="N26" s="140">
        <f t="shared" si="4"/>
        <v>8623423.9556608014</v>
      </c>
      <c r="O26" s="141">
        <v>-0.35</v>
      </c>
      <c r="P26" s="305">
        <f t="shared" si="2"/>
        <v>8673423.9556608014</v>
      </c>
      <c r="Q26" s="137">
        <f t="shared" si="3"/>
        <v>20513071.419796139</v>
      </c>
      <c r="R26" s="113">
        <f xml:space="preserve"> H26 + I26</f>
        <v>80600000</v>
      </c>
      <c r="S26" s="113">
        <f xml:space="preserve"> J26 + Q26</f>
        <v>74513071.419796139</v>
      </c>
      <c r="T26" s="97"/>
    </row>
    <row r="27" spans="1:20" s="203" customFormat="1" ht="17.25" thickBot="1" x14ac:dyDescent="0.35">
      <c r="A27" s="22"/>
      <c r="B27" s="245"/>
      <c r="C27" s="127">
        <v>12</v>
      </c>
      <c r="D27" s="165">
        <v>1400000</v>
      </c>
      <c r="E27" s="159">
        <v>0</v>
      </c>
      <c r="F27" s="113">
        <v>0</v>
      </c>
      <c r="G27" s="149">
        <v>100000</v>
      </c>
      <c r="H27" s="113">
        <v>10600000</v>
      </c>
      <c r="I27" s="113">
        <v>70000000</v>
      </c>
      <c r="J27" s="113">
        <v>54000000</v>
      </c>
      <c r="K27" s="140">
        <f t="shared" si="1"/>
        <v>12154561.118489776</v>
      </c>
      <c r="L27" s="138">
        <v>1.7999999999999999E-2</v>
      </c>
      <c r="M27" s="139">
        <v>50000</v>
      </c>
      <c r="N27" s="140">
        <f t="shared" si="4"/>
        <v>8377676.122755073</v>
      </c>
      <c r="O27" s="141">
        <v>-0.16</v>
      </c>
      <c r="P27" s="305">
        <f t="shared" si="2"/>
        <v>8427676.122755073</v>
      </c>
      <c r="Q27" s="137">
        <f t="shared" si="3"/>
        <v>20582237.241244849</v>
      </c>
      <c r="R27" s="113">
        <f t="shared" ref="R27:R90" si="5" xml:space="preserve"> H27 + I27</f>
        <v>80600000</v>
      </c>
      <c r="S27" s="113">
        <f t="shared" ref="S27:S90" si="6" xml:space="preserve"> J27 + Q27</f>
        <v>74582237.241244853</v>
      </c>
      <c r="T27" s="202"/>
    </row>
    <row r="28" spans="1:20" s="35" customFormat="1" x14ac:dyDescent="0.3">
      <c r="A28" s="35">
        <v>3</v>
      </c>
      <c r="B28" s="246">
        <v>2024</v>
      </c>
      <c r="C28" s="231">
        <v>1</v>
      </c>
      <c r="D28" s="159">
        <v>0</v>
      </c>
      <c r="E28" s="159">
        <v>8340000</v>
      </c>
      <c r="F28" s="159">
        <v>300000</v>
      </c>
      <c r="G28" s="149">
        <v>100000</v>
      </c>
      <c r="H28" s="113">
        <v>10600000</v>
      </c>
      <c r="I28" s="113">
        <v>70000000</v>
      </c>
      <c r="J28" s="113">
        <v>54000000</v>
      </c>
      <c r="K28" s="232">
        <f t="shared" si="1"/>
        <v>12680106.729674673</v>
      </c>
      <c r="L28" s="233">
        <v>0.01</v>
      </c>
      <c r="M28" s="139">
        <v>0</v>
      </c>
      <c r="N28" s="140">
        <f t="shared" si="4"/>
        <v>29387.375748956947</v>
      </c>
      <c r="O28" s="141">
        <v>-0.22</v>
      </c>
      <c r="P28" s="305">
        <f t="shared" si="2"/>
        <v>29387.375748956947</v>
      </c>
      <c r="Q28" s="137">
        <f t="shared" si="3"/>
        <v>12709494.105423629</v>
      </c>
      <c r="R28" s="113">
        <f t="shared" si="5"/>
        <v>80600000</v>
      </c>
      <c r="S28" s="113">
        <f t="shared" si="6"/>
        <v>66709494.105423629</v>
      </c>
      <c r="T28" s="98"/>
    </row>
    <row r="29" spans="1:20" s="22" customFormat="1" x14ac:dyDescent="0.3">
      <c r="B29" s="245"/>
      <c r="C29" s="127">
        <v>2</v>
      </c>
      <c r="D29" s="159">
        <v>0</v>
      </c>
      <c r="E29" s="159">
        <v>0</v>
      </c>
      <c r="F29" s="159">
        <v>0</v>
      </c>
      <c r="G29" s="149">
        <v>100000</v>
      </c>
      <c r="H29" s="113">
        <v>10600000</v>
      </c>
      <c r="I29" s="113">
        <v>70000000</v>
      </c>
      <c r="J29" s="113">
        <v>54000000</v>
      </c>
      <c r="K29" s="234">
        <f t="shared" si="1"/>
        <v>13010148.650808817</v>
      </c>
      <c r="L29" s="233">
        <v>1.7999999999999999E-2</v>
      </c>
      <c r="M29" s="139">
        <v>0</v>
      </c>
      <c r="N29" s="140">
        <f t="shared" si="4"/>
        <v>29916.348512438173</v>
      </c>
      <c r="O29" s="141">
        <v>1.7999999999999999E-2</v>
      </c>
      <c r="P29" s="305">
        <f t="shared" si="2"/>
        <v>29916.348512438173</v>
      </c>
      <c r="Q29" s="137">
        <f t="shared" si="3"/>
        <v>13040064.999321256</v>
      </c>
      <c r="R29" s="113">
        <f t="shared" si="5"/>
        <v>80600000</v>
      </c>
      <c r="S29" s="113">
        <f t="shared" si="6"/>
        <v>67040064.999321252</v>
      </c>
      <c r="T29" s="96"/>
    </row>
    <row r="30" spans="1:20" s="18" customFormat="1" x14ac:dyDescent="0.3">
      <c r="B30" s="245"/>
      <c r="C30" s="28">
        <v>3</v>
      </c>
      <c r="D30" s="161">
        <v>0</v>
      </c>
      <c r="E30" s="161">
        <v>0</v>
      </c>
      <c r="F30" s="161">
        <v>0</v>
      </c>
      <c r="G30" s="147">
        <v>100000</v>
      </c>
      <c r="H30" s="114">
        <v>10600000</v>
      </c>
      <c r="I30" s="114">
        <v>70000000</v>
      </c>
      <c r="J30" s="114">
        <v>54000000</v>
      </c>
      <c r="K30" s="153">
        <f t="shared" si="1"/>
        <v>13346131.326523375</v>
      </c>
      <c r="L30" s="117">
        <v>1.7999999999999999E-2</v>
      </c>
      <c r="M30" s="39">
        <v>0</v>
      </c>
      <c r="N30" s="132">
        <f t="shared" si="4"/>
        <v>30454.842785662062</v>
      </c>
      <c r="O30" s="25">
        <v>1.7999999999999999E-2</v>
      </c>
      <c r="P30" s="305">
        <f t="shared" si="2"/>
        <v>30454.842785662062</v>
      </c>
      <c r="Q30" s="167">
        <f t="shared" si="3"/>
        <v>13376586.169309037</v>
      </c>
      <c r="R30" s="116">
        <f t="shared" si="5"/>
        <v>80600000</v>
      </c>
      <c r="S30" s="116">
        <f t="shared" si="6"/>
        <v>67376586.169309035</v>
      </c>
      <c r="T30" s="99"/>
    </row>
    <row r="31" spans="1:20" s="18" customFormat="1" x14ac:dyDescent="0.3">
      <c r="B31" s="245"/>
      <c r="C31" s="28">
        <v>4</v>
      </c>
      <c r="D31" s="161">
        <v>0</v>
      </c>
      <c r="E31" s="161">
        <v>0</v>
      </c>
      <c r="F31" s="161">
        <v>0</v>
      </c>
      <c r="G31" s="147">
        <v>100000</v>
      </c>
      <c r="H31" s="114">
        <v>10600000</v>
      </c>
      <c r="I31" s="114">
        <v>70000000</v>
      </c>
      <c r="J31" s="114">
        <v>54000000</v>
      </c>
      <c r="K31" s="153">
        <f t="shared" si="1"/>
        <v>13688161.690400796</v>
      </c>
      <c r="L31" s="117">
        <v>1.7999999999999999E-2</v>
      </c>
      <c r="M31" s="39">
        <v>0</v>
      </c>
      <c r="N31" s="132">
        <f t="shared" si="4"/>
        <v>31003.029955803981</v>
      </c>
      <c r="O31" s="25">
        <v>1.7999999999999999E-2</v>
      </c>
      <c r="P31" s="305">
        <f t="shared" si="2"/>
        <v>31003.029955803981</v>
      </c>
      <c r="Q31" s="167">
        <f t="shared" si="3"/>
        <v>13719164.7203566</v>
      </c>
      <c r="R31" s="116">
        <f t="shared" si="5"/>
        <v>80600000</v>
      </c>
      <c r="S31" s="116">
        <f t="shared" si="6"/>
        <v>67719164.720356598</v>
      </c>
      <c r="T31" s="99"/>
    </row>
    <row r="32" spans="1:20" s="18" customFormat="1" x14ac:dyDescent="0.3">
      <c r="B32" s="245"/>
      <c r="C32" s="28">
        <v>5</v>
      </c>
      <c r="D32" s="161">
        <v>0</v>
      </c>
      <c r="E32" s="161">
        <v>0</v>
      </c>
      <c r="F32" s="161">
        <v>0</v>
      </c>
      <c r="G32" s="147">
        <v>100000</v>
      </c>
      <c r="H32" s="114">
        <v>0</v>
      </c>
      <c r="I32" s="114">
        <v>70000000</v>
      </c>
      <c r="J32" s="114">
        <v>54000000</v>
      </c>
      <c r="K32" s="153">
        <f t="shared" si="1"/>
        <v>14036348.600828011</v>
      </c>
      <c r="L32" s="117">
        <v>1.7999999999999999E-2</v>
      </c>
      <c r="M32" s="39">
        <v>0</v>
      </c>
      <c r="N32" s="132">
        <f t="shared" si="4"/>
        <v>31561.084495008454</v>
      </c>
      <c r="O32" s="25">
        <v>1.7999999999999999E-2</v>
      </c>
      <c r="P32" s="305">
        <f t="shared" si="2"/>
        <v>31561.084495008454</v>
      </c>
      <c r="Q32" s="167">
        <f t="shared" si="3"/>
        <v>14067909.685323019</v>
      </c>
      <c r="R32" s="116">
        <f t="shared" si="5"/>
        <v>70000000</v>
      </c>
      <c r="S32" s="116">
        <f t="shared" si="6"/>
        <v>68067909.685323015</v>
      </c>
      <c r="T32" s="99"/>
    </row>
    <row r="33" spans="1:20" s="18" customFormat="1" x14ac:dyDescent="0.3">
      <c r="B33" s="245"/>
      <c r="C33" s="28">
        <v>6</v>
      </c>
      <c r="D33" s="161">
        <v>0</v>
      </c>
      <c r="E33" s="161">
        <v>0</v>
      </c>
      <c r="F33" s="161">
        <v>300000</v>
      </c>
      <c r="G33" s="147">
        <v>100000</v>
      </c>
      <c r="H33" s="114">
        <v>0</v>
      </c>
      <c r="I33" s="114">
        <v>70000000</v>
      </c>
      <c r="J33" s="114">
        <v>54000000</v>
      </c>
      <c r="K33" s="153">
        <f t="shared" si="1"/>
        <v>14696202.875642914</v>
      </c>
      <c r="L33" s="117">
        <v>1.7999999999999999E-2</v>
      </c>
      <c r="M33" s="39">
        <v>0</v>
      </c>
      <c r="N33" s="132">
        <f t="shared" si="4"/>
        <v>32129.184015918607</v>
      </c>
      <c r="O33" s="25">
        <v>1.7999999999999999E-2</v>
      </c>
      <c r="P33" s="305">
        <f t="shared" si="2"/>
        <v>32129.184015918607</v>
      </c>
      <c r="Q33" s="167">
        <f t="shared" si="3"/>
        <v>14728332.059658833</v>
      </c>
      <c r="R33" s="116">
        <f t="shared" si="5"/>
        <v>70000000</v>
      </c>
      <c r="S33" s="116">
        <f t="shared" si="6"/>
        <v>68728332.059658825</v>
      </c>
      <c r="T33" s="99"/>
    </row>
    <row r="34" spans="1:20" s="18" customFormat="1" x14ac:dyDescent="0.3">
      <c r="B34" s="245"/>
      <c r="C34" s="28">
        <v>7</v>
      </c>
      <c r="D34" s="161">
        <v>0</v>
      </c>
      <c r="E34" s="161">
        <v>0</v>
      </c>
      <c r="F34" s="161">
        <v>300000</v>
      </c>
      <c r="G34" s="147">
        <v>100000</v>
      </c>
      <c r="H34" s="114">
        <v>0</v>
      </c>
      <c r="I34" s="114">
        <v>70000000</v>
      </c>
      <c r="J34" s="114">
        <v>54000000</v>
      </c>
      <c r="K34" s="153">
        <f t="shared" si="1"/>
        <v>15367934.527404487</v>
      </c>
      <c r="L34" s="117">
        <v>1.7999999999999999E-2</v>
      </c>
      <c r="M34" s="39">
        <v>0</v>
      </c>
      <c r="N34" s="132">
        <f t="shared" si="4"/>
        <v>32707.509328205142</v>
      </c>
      <c r="O34" s="25">
        <v>1.7999999999999999E-2</v>
      </c>
      <c r="P34" s="305">
        <f t="shared" si="2"/>
        <v>32707.509328205142</v>
      </c>
      <c r="Q34" s="167">
        <f t="shared" si="3"/>
        <v>15400642.036732692</v>
      </c>
      <c r="R34" s="116">
        <f t="shared" si="5"/>
        <v>70000000</v>
      </c>
      <c r="S34" s="116">
        <f t="shared" si="6"/>
        <v>69400642.036732689</v>
      </c>
      <c r="T34" s="99"/>
    </row>
    <row r="35" spans="1:20" s="18" customFormat="1" x14ac:dyDescent="0.3">
      <c r="B35" s="245"/>
      <c r="C35" s="28">
        <v>8</v>
      </c>
      <c r="D35" s="161">
        <v>0</v>
      </c>
      <c r="E35" s="161">
        <v>0</v>
      </c>
      <c r="F35" s="161">
        <v>300000</v>
      </c>
      <c r="G35" s="147">
        <v>100000</v>
      </c>
      <c r="H35" s="114">
        <v>0</v>
      </c>
      <c r="I35" s="114">
        <v>70000000</v>
      </c>
      <c r="J35" s="114">
        <v>54000000</v>
      </c>
      <c r="K35" s="153">
        <f t="shared" si="1"/>
        <v>16051757.348897768</v>
      </c>
      <c r="L35" s="117">
        <v>1.7999999999999999E-2</v>
      </c>
      <c r="M35" s="39">
        <v>0</v>
      </c>
      <c r="N35" s="132">
        <f t="shared" si="4"/>
        <v>33296.244496112835</v>
      </c>
      <c r="O35" s="25">
        <v>1.7999999999999999E-2</v>
      </c>
      <c r="P35" s="305">
        <f t="shared" si="2"/>
        <v>33296.244496112835</v>
      </c>
      <c r="Q35" s="167">
        <f t="shared" si="3"/>
        <v>16085053.593393881</v>
      </c>
      <c r="R35" s="116">
        <f t="shared" si="5"/>
        <v>70000000</v>
      </c>
      <c r="S35" s="116">
        <f t="shared" si="6"/>
        <v>70085053.593393877</v>
      </c>
      <c r="T35" s="99"/>
    </row>
    <row r="36" spans="1:20" s="18" customFormat="1" x14ac:dyDescent="0.3">
      <c r="B36" s="245"/>
      <c r="C36" s="28">
        <v>9</v>
      </c>
      <c r="D36" s="161">
        <v>0</v>
      </c>
      <c r="E36" s="161">
        <v>0</v>
      </c>
      <c r="F36" s="161">
        <v>300000</v>
      </c>
      <c r="G36" s="147">
        <v>100000</v>
      </c>
      <c r="H36" s="114">
        <v>0</v>
      </c>
      <c r="I36" s="114">
        <v>70000000</v>
      </c>
      <c r="J36" s="114">
        <v>54000000</v>
      </c>
      <c r="K36" s="153">
        <f t="shared" si="1"/>
        <v>16747888.981177928</v>
      </c>
      <c r="L36" s="117">
        <v>1.7999999999999999E-2</v>
      </c>
      <c r="M36" s="39">
        <v>0</v>
      </c>
      <c r="N36" s="132">
        <f t="shared" si="4"/>
        <v>33895.576897042869</v>
      </c>
      <c r="O36" s="25">
        <v>1.7999999999999999E-2</v>
      </c>
      <c r="P36" s="305">
        <f t="shared" si="2"/>
        <v>33895.576897042869</v>
      </c>
      <c r="Q36" s="167">
        <f t="shared" si="3"/>
        <v>16781784.55807497</v>
      </c>
      <c r="R36" s="116">
        <f t="shared" si="5"/>
        <v>70000000</v>
      </c>
      <c r="S36" s="116">
        <f t="shared" si="6"/>
        <v>70781784.558074966</v>
      </c>
      <c r="T36" s="99"/>
    </row>
    <row r="37" spans="1:20" s="18" customFormat="1" x14ac:dyDescent="0.3">
      <c r="B37" s="245"/>
      <c r="C37" s="28">
        <v>10</v>
      </c>
      <c r="D37" s="161">
        <v>0</v>
      </c>
      <c r="E37" s="161">
        <v>0</v>
      </c>
      <c r="F37" s="161">
        <v>300000</v>
      </c>
      <c r="G37" s="147">
        <v>100000</v>
      </c>
      <c r="H37" s="114">
        <v>0</v>
      </c>
      <c r="I37" s="114">
        <v>70000000</v>
      </c>
      <c r="J37" s="114">
        <v>54000000</v>
      </c>
      <c r="K37" s="153">
        <f t="shared" si="1"/>
        <v>17456550.98283913</v>
      </c>
      <c r="L37" s="117">
        <v>1.7999999999999999E-2</v>
      </c>
      <c r="M37" s="39">
        <v>0</v>
      </c>
      <c r="N37" s="132">
        <f t="shared" si="4"/>
        <v>34505.697281189641</v>
      </c>
      <c r="O37" s="25">
        <v>1.7999999999999999E-2</v>
      </c>
      <c r="P37" s="305">
        <f t="shared" si="2"/>
        <v>34505.697281189641</v>
      </c>
      <c r="Q37" s="167">
        <f t="shared" si="3"/>
        <v>17491056.680120319</v>
      </c>
      <c r="R37" s="116">
        <f t="shared" si="5"/>
        <v>70000000</v>
      </c>
      <c r="S37" s="116">
        <f t="shared" si="6"/>
        <v>71491056.680120319</v>
      </c>
      <c r="T37" s="99"/>
    </row>
    <row r="38" spans="1:20" s="29" customFormat="1" ht="17.25" thickBot="1" x14ac:dyDescent="0.35">
      <c r="B38" s="245"/>
      <c r="C38" s="30">
        <v>11</v>
      </c>
      <c r="D38" s="161">
        <v>0</v>
      </c>
      <c r="E38" s="161">
        <v>0</v>
      </c>
      <c r="F38" s="161">
        <v>300000</v>
      </c>
      <c r="G38" s="147">
        <v>100000</v>
      </c>
      <c r="H38" s="114">
        <v>0</v>
      </c>
      <c r="I38" s="114">
        <v>70000000</v>
      </c>
      <c r="J38" s="114">
        <v>54000000</v>
      </c>
      <c r="K38" s="153">
        <f t="shared" si="1"/>
        <v>18177968.900530234</v>
      </c>
      <c r="L38" s="117">
        <v>1.7999999999999999E-2</v>
      </c>
      <c r="M38" s="39">
        <v>0</v>
      </c>
      <c r="N38" s="132">
        <f t="shared" si="4"/>
        <v>35126.799832251054</v>
      </c>
      <c r="O38" s="94">
        <v>1.7999999999999999E-2</v>
      </c>
      <c r="P38" s="305">
        <f t="shared" si="2"/>
        <v>35126.799832251054</v>
      </c>
      <c r="Q38" s="167">
        <f t="shared" si="3"/>
        <v>18213095.700362485</v>
      </c>
      <c r="R38" s="116">
        <f t="shared" si="5"/>
        <v>70000000</v>
      </c>
      <c r="S38" s="116">
        <f t="shared" si="6"/>
        <v>72213095.700362489</v>
      </c>
      <c r="T38" s="100"/>
    </row>
    <row r="39" spans="1:20" s="175" customFormat="1" ht="17.25" thickBot="1" x14ac:dyDescent="0.35">
      <c r="A39" s="176"/>
      <c r="B39" s="245"/>
      <c r="C39" s="177">
        <v>12</v>
      </c>
      <c r="D39" s="169">
        <v>0</v>
      </c>
      <c r="E39" s="169">
        <v>0</v>
      </c>
      <c r="F39" s="161">
        <v>300000</v>
      </c>
      <c r="G39" s="171">
        <v>100000</v>
      </c>
      <c r="H39" s="114">
        <v>0</v>
      </c>
      <c r="I39" s="170">
        <v>70000000</v>
      </c>
      <c r="J39" s="170">
        <v>54000000</v>
      </c>
      <c r="K39" s="178">
        <f t="shared" si="1"/>
        <v>18912372.340739779</v>
      </c>
      <c r="L39" s="179">
        <v>1.7999999999999999E-2</v>
      </c>
      <c r="M39" s="39">
        <v>0</v>
      </c>
      <c r="N39" s="172">
        <f t="shared" si="4"/>
        <v>35759.082229231572</v>
      </c>
      <c r="O39" s="180">
        <v>1.7999999999999999E-2</v>
      </c>
      <c r="P39" s="305">
        <f t="shared" si="2"/>
        <v>35759.082229231572</v>
      </c>
      <c r="Q39" s="173">
        <f t="shared" si="3"/>
        <v>18948131.42296901</v>
      </c>
      <c r="R39" s="170">
        <f t="shared" si="5"/>
        <v>70000000</v>
      </c>
      <c r="S39" s="170">
        <f t="shared" si="6"/>
        <v>72948131.422969013</v>
      </c>
      <c r="T39" s="174"/>
    </row>
    <row r="40" spans="1:20" s="26" customFormat="1" x14ac:dyDescent="0.3">
      <c r="A40" s="26">
        <v>4</v>
      </c>
      <c r="B40" s="245">
        <v>2025</v>
      </c>
      <c r="C40" s="27">
        <v>1</v>
      </c>
      <c r="D40" s="161">
        <v>0</v>
      </c>
      <c r="E40" s="161">
        <v>0</v>
      </c>
      <c r="F40" s="114">
        <v>300000</v>
      </c>
      <c r="G40" s="147">
        <v>100000</v>
      </c>
      <c r="H40" s="114">
        <v>0</v>
      </c>
      <c r="I40" s="114">
        <v>70000000</v>
      </c>
      <c r="J40" s="114">
        <v>54000000</v>
      </c>
      <c r="K40" s="153">
        <f t="shared" si="1"/>
        <v>19659995.042873096</v>
      </c>
      <c r="L40" s="117">
        <v>1.7999999999999999E-2</v>
      </c>
      <c r="M40" s="39">
        <v>0</v>
      </c>
      <c r="N40" s="132">
        <f t="shared" si="4"/>
        <v>35902.118558148497</v>
      </c>
      <c r="O40" s="93">
        <v>4.0000000000000001E-3</v>
      </c>
      <c r="P40" s="305">
        <f t="shared" si="2"/>
        <v>35902.118558148497</v>
      </c>
      <c r="Q40" s="167">
        <f t="shared" si="3"/>
        <v>19695897.161431246</v>
      </c>
      <c r="R40" s="116">
        <f t="shared" si="5"/>
        <v>70000000</v>
      </c>
      <c r="S40" s="116">
        <f t="shared" si="6"/>
        <v>73695897.161431253</v>
      </c>
      <c r="T40" s="101"/>
    </row>
    <row r="41" spans="1:20" s="18" customFormat="1" x14ac:dyDescent="0.3">
      <c r="B41" s="245"/>
      <c r="C41" s="28">
        <v>2</v>
      </c>
      <c r="D41" s="161">
        <v>0</v>
      </c>
      <c r="E41" s="161">
        <v>0</v>
      </c>
      <c r="F41" s="114">
        <v>300000</v>
      </c>
      <c r="G41" s="147">
        <v>100000</v>
      </c>
      <c r="H41" s="114">
        <v>0</v>
      </c>
      <c r="I41" s="114">
        <v>70000000</v>
      </c>
      <c r="J41" s="114">
        <v>54000000</v>
      </c>
      <c r="K41" s="153">
        <f t="shared" si="1"/>
        <v>20421074.953644812</v>
      </c>
      <c r="L41" s="117">
        <v>1.7999999999999999E-2</v>
      </c>
      <c r="M41" s="39">
        <v>0</v>
      </c>
      <c r="N41" s="132">
        <f t="shared" si="4"/>
        <v>36548.356692195171</v>
      </c>
      <c r="O41" s="25">
        <v>1.7999999999999999E-2</v>
      </c>
      <c r="P41" s="305">
        <f t="shared" si="2"/>
        <v>36548.356692195171</v>
      </c>
      <c r="Q41" s="167">
        <f t="shared" si="3"/>
        <v>20457623.310337007</v>
      </c>
      <c r="R41" s="116">
        <f t="shared" si="5"/>
        <v>70000000</v>
      </c>
      <c r="S41" s="116">
        <f t="shared" si="6"/>
        <v>74457623.310337007</v>
      </c>
      <c r="T41" s="99"/>
    </row>
    <row r="42" spans="1:20" s="18" customFormat="1" x14ac:dyDescent="0.3">
      <c r="B42" s="245"/>
      <c r="C42" s="28">
        <v>3</v>
      </c>
      <c r="D42" s="161">
        <v>0</v>
      </c>
      <c r="E42" s="161">
        <v>0</v>
      </c>
      <c r="F42" s="114">
        <v>300000</v>
      </c>
      <c r="G42" s="147">
        <v>100000</v>
      </c>
      <c r="H42" s="114">
        <v>0</v>
      </c>
      <c r="I42" s="114">
        <v>70000000</v>
      </c>
      <c r="J42" s="114">
        <v>54000000</v>
      </c>
      <c r="K42" s="153">
        <f t="shared" si="1"/>
        <v>21195854.302810419</v>
      </c>
      <c r="L42" s="117">
        <v>1.7999999999999999E-2</v>
      </c>
      <c r="M42" s="39">
        <v>0</v>
      </c>
      <c r="N42" s="132">
        <f t="shared" si="4"/>
        <v>37206.227112654684</v>
      </c>
      <c r="O42" s="25">
        <v>1.7999999999999999E-2</v>
      </c>
      <c r="P42" s="305">
        <f t="shared" si="2"/>
        <v>37206.227112654684</v>
      </c>
      <c r="Q42" s="167">
        <f t="shared" si="3"/>
        <v>21233060.529923074</v>
      </c>
      <c r="R42" s="116">
        <f t="shared" si="5"/>
        <v>70000000</v>
      </c>
      <c r="S42" s="116">
        <f t="shared" si="6"/>
        <v>75233060.529923081</v>
      </c>
      <c r="T42" s="99"/>
    </row>
    <row r="43" spans="1:20" s="18" customFormat="1" x14ac:dyDescent="0.3">
      <c r="B43" s="245"/>
      <c r="C43" s="28">
        <v>4</v>
      </c>
      <c r="D43" s="161">
        <v>0</v>
      </c>
      <c r="E43" s="161">
        <v>0</v>
      </c>
      <c r="F43" s="114">
        <v>300000</v>
      </c>
      <c r="G43" s="147">
        <v>100000</v>
      </c>
      <c r="H43" s="114">
        <v>0</v>
      </c>
      <c r="I43" s="114">
        <v>70000000</v>
      </c>
      <c r="J43" s="114">
        <v>54000000</v>
      </c>
      <c r="K43" s="153">
        <f t="shared" si="1"/>
        <v>21984579.680261008</v>
      </c>
      <c r="L43" s="117">
        <v>1.7999999999999999E-2</v>
      </c>
      <c r="M43" s="39">
        <v>0</v>
      </c>
      <c r="N43" s="132">
        <f t="shared" si="4"/>
        <v>37875.939200682471</v>
      </c>
      <c r="O43" s="25">
        <v>1.7999999999999999E-2</v>
      </c>
      <c r="P43" s="305">
        <f t="shared" si="2"/>
        <v>37875.939200682471</v>
      </c>
      <c r="Q43" s="167">
        <f t="shared" si="3"/>
        <v>22022455.619461689</v>
      </c>
      <c r="R43" s="116">
        <f t="shared" si="5"/>
        <v>70000000</v>
      </c>
      <c r="S43" s="116">
        <f t="shared" si="6"/>
        <v>76022455.619461685</v>
      </c>
      <c r="T43" s="99"/>
    </row>
    <row r="44" spans="1:20" s="18" customFormat="1" x14ac:dyDescent="0.3">
      <c r="B44" s="245"/>
      <c r="C44" s="28">
        <v>5</v>
      </c>
      <c r="D44" s="161">
        <v>0</v>
      </c>
      <c r="E44" s="161">
        <v>0</v>
      </c>
      <c r="F44" s="114">
        <v>300000</v>
      </c>
      <c r="G44" s="147">
        <v>100000</v>
      </c>
      <c r="H44" s="114">
        <v>0</v>
      </c>
      <c r="I44" s="114">
        <v>70000000</v>
      </c>
      <c r="J44" s="114">
        <v>54000000</v>
      </c>
      <c r="K44" s="153">
        <f t="shared" si="1"/>
        <v>22787502.114505708</v>
      </c>
      <c r="L44" s="117">
        <v>1.7999999999999999E-2</v>
      </c>
      <c r="M44" s="39">
        <v>0</v>
      </c>
      <c r="N44" s="132">
        <f t="shared" si="4"/>
        <v>38557.706106294754</v>
      </c>
      <c r="O44" s="25">
        <v>1.7999999999999999E-2</v>
      </c>
      <c r="P44" s="305">
        <f t="shared" si="2"/>
        <v>38557.706106294754</v>
      </c>
      <c r="Q44" s="167">
        <f t="shared" si="3"/>
        <v>22826059.820612002</v>
      </c>
      <c r="R44" s="116">
        <f t="shared" si="5"/>
        <v>70000000</v>
      </c>
      <c r="S44" s="116">
        <f t="shared" si="6"/>
        <v>76826059.820611998</v>
      </c>
      <c r="T44" s="99"/>
    </row>
    <row r="45" spans="1:20" s="18" customFormat="1" x14ac:dyDescent="0.3">
      <c r="B45" s="245"/>
      <c r="C45" s="28">
        <v>6</v>
      </c>
      <c r="D45" s="161">
        <v>0</v>
      </c>
      <c r="E45" s="161">
        <v>0</v>
      </c>
      <c r="F45" s="114">
        <v>300000</v>
      </c>
      <c r="G45" s="147">
        <v>100000</v>
      </c>
      <c r="H45" s="114">
        <v>0</v>
      </c>
      <c r="I45" s="114">
        <v>70000000</v>
      </c>
      <c r="J45" s="114">
        <v>54000000</v>
      </c>
      <c r="K45" s="153">
        <f t="shared" si="1"/>
        <v>23604877.152566809</v>
      </c>
      <c r="L45" s="117">
        <v>1.7999999999999999E-2</v>
      </c>
      <c r="M45" s="39">
        <v>0</v>
      </c>
      <c r="N45" s="132">
        <f t="shared" si="4"/>
        <v>39251.744816208062</v>
      </c>
      <c r="O45" s="25">
        <v>1.7999999999999999E-2</v>
      </c>
      <c r="P45" s="305">
        <f t="shared" si="2"/>
        <v>39251.744816208062</v>
      </c>
      <c r="Q45" s="167">
        <f t="shared" si="3"/>
        <v>23644128.897383016</v>
      </c>
      <c r="R45" s="116">
        <f t="shared" si="5"/>
        <v>70000000</v>
      </c>
      <c r="S45" s="116">
        <f t="shared" si="6"/>
        <v>77644128.897383019</v>
      </c>
      <c r="T45" s="99"/>
    </row>
    <row r="46" spans="1:20" s="18" customFormat="1" x14ac:dyDescent="0.3">
      <c r="B46" s="245"/>
      <c r="C46" s="28">
        <v>7</v>
      </c>
      <c r="D46" s="161">
        <v>0</v>
      </c>
      <c r="E46" s="161">
        <v>0</v>
      </c>
      <c r="F46" s="114">
        <v>300000</v>
      </c>
      <c r="G46" s="147">
        <v>100000</v>
      </c>
      <c r="H46" s="114">
        <v>0</v>
      </c>
      <c r="I46" s="114">
        <v>70000000</v>
      </c>
      <c r="J46" s="114">
        <v>54000000</v>
      </c>
      <c r="K46" s="153">
        <f t="shared" si="1"/>
        <v>24436964.941313013</v>
      </c>
      <c r="L46" s="117">
        <v>1.7999999999999999E-2</v>
      </c>
      <c r="M46" s="39">
        <v>0</v>
      </c>
      <c r="N46" s="132">
        <f t="shared" si="4"/>
        <v>39958.276222899804</v>
      </c>
      <c r="O46" s="25">
        <v>1.7999999999999999E-2</v>
      </c>
      <c r="P46" s="305">
        <f t="shared" si="2"/>
        <v>39958.276222899804</v>
      </c>
      <c r="Q46" s="167">
        <f t="shared" si="3"/>
        <v>24476923.217535913</v>
      </c>
      <c r="R46" s="116">
        <f t="shared" si="5"/>
        <v>70000000</v>
      </c>
      <c r="S46" s="116">
        <f t="shared" si="6"/>
        <v>78476923.217535913</v>
      </c>
      <c r="T46" s="99"/>
    </row>
    <row r="47" spans="1:20" s="18" customFormat="1" x14ac:dyDescent="0.3">
      <c r="B47" s="245"/>
      <c r="C47" s="28">
        <v>8</v>
      </c>
      <c r="D47" s="161">
        <v>0</v>
      </c>
      <c r="E47" s="161">
        <v>0</v>
      </c>
      <c r="F47" s="114">
        <v>300000</v>
      </c>
      <c r="G47" s="147">
        <v>100000</v>
      </c>
      <c r="H47" s="114">
        <v>0</v>
      </c>
      <c r="I47" s="114">
        <v>70000000</v>
      </c>
      <c r="J47" s="114">
        <v>54000000</v>
      </c>
      <c r="K47" s="153">
        <f t="shared" si="1"/>
        <v>25284030.310256649</v>
      </c>
      <c r="L47" s="117">
        <v>1.7999999999999999E-2</v>
      </c>
      <c r="M47" s="39">
        <v>0</v>
      </c>
      <c r="N47" s="132">
        <f t="shared" si="4"/>
        <v>40677.525194911999</v>
      </c>
      <c r="O47" s="25">
        <v>1.7999999999999999E-2</v>
      </c>
      <c r="P47" s="305">
        <f t="shared" si="2"/>
        <v>40677.525194911999</v>
      </c>
      <c r="Q47" s="167">
        <f t="shared" si="3"/>
        <v>25324707.835451562</v>
      </c>
      <c r="R47" s="116">
        <f t="shared" si="5"/>
        <v>70000000</v>
      </c>
      <c r="S47" s="116">
        <f t="shared" si="6"/>
        <v>79324707.835451558</v>
      </c>
      <c r="T47" s="99"/>
    </row>
    <row r="48" spans="1:20" s="89" customFormat="1" x14ac:dyDescent="0.3">
      <c r="B48" s="245"/>
      <c r="C48" s="119">
        <v>9</v>
      </c>
      <c r="D48" s="161">
        <v>0</v>
      </c>
      <c r="E48" s="161">
        <v>0</v>
      </c>
      <c r="F48" s="114">
        <v>300000</v>
      </c>
      <c r="G48" s="147">
        <v>100000</v>
      </c>
      <c r="H48" s="114">
        <v>0</v>
      </c>
      <c r="I48" s="114">
        <v>70000000</v>
      </c>
      <c r="J48" s="114">
        <v>54000000</v>
      </c>
      <c r="K48" s="153">
        <f t="shared" si="1"/>
        <v>26146342.855841268</v>
      </c>
      <c r="L48" s="88">
        <v>1.7999999999999999E-2</v>
      </c>
      <c r="M48" s="39">
        <v>0</v>
      </c>
      <c r="N48" s="132">
        <f t="shared" si="4"/>
        <v>41409.720648420414</v>
      </c>
      <c r="O48" s="120">
        <v>1.7999999999999999E-2</v>
      </c>
      <c r="P48" s="305">
        <f t="shared" si="2"/>
        <v>41409.720648420414</v>
      </c>
      <c r="Q48" s="167">
        <f t="shared" si="3"/>
        <v>26187752.576489687</v>
      </c>
      <c r="R48" s="116">
        <f t="shared" si="5"/>
        <v>70000000</v>
      </c>
      <c r="S48" s="116">
        <f t="shared" si="6"/>
        <v>80187752.576489687</v>
      </c>
      <c r="T48" s="121"/>
    </row>
    <row r="49" spans="1:20" s="18" customFormat="1" x14ac:dyDescent="0.3">
      <c r="B49" s="245"/>
      <c r="C49" s="28">
        <v>10</v>
      </c>
      <c r="D49" s="161">
        <v>0</v>
      </c>
      <c r="E49" s="161">
        <v>0</v>
      </c>
      <c r="F49" s="114">
        <v>300000</v>
      </c>
      <c r="G49" s="147">
        <v>100000</v>
      </c>
      <c r="H49" s="114">
        <v>0</v>
      </c>
      <c r="I49" s="114">
        <v>230000000</v>
      </c>
      <c r="J49" s="114">
        <v>70000000</v>
      </c>
      <c r="K49" s="153">
        <f t="shared" si="1"/>
        <v>27024177.027246412</v>
      </c>
      <c r="L49" s="117">
        <v>1.7999999999999999E-2</v>
      </c>
      <c r="M49" s="39">
        <v>0</v>
      </c>
      <c r="N49" s="132">
        <f t="shared" si="4"/>
        <v>42155.095620091983</v>
      </c>
      <c r="O49" s="25">
        <v>1.7999999999999999E-2</v>
      </c>
      <c r="P49" s="305">
        <f t="shared" si="2"/>
        <v>42155.095620091983</v>
      </c>
      <c r="Q49" s="167">
        <f t="shared" si="3"/>
        <v>27066332.122866504</v>
      </c>
      <c r="R49" s="116">
        <f t="shared" si="5"/>
        <v>230000000</v>
      </c>
      <c r="S49" s="116">
        <f t="shared" si="6"/>
        <v>97066332.122866511</v>
      </c>
      <c r="T49" s="99"/>
    </row>
    <row r="50" spans="1:20" s="29" customFormat="1" ht="17.25" thickBot="1" x14ac:dyDescent="0.35">
      <c r="B50" s="245"/>
      <c r="C50" s="30">
        <v>11</v>
      </c>
      <c r="D50" s="168">
        <v>300000</v>
      </c>
      <c r="E50" s="161">
        <v>0</v>
      </c>
      <c r="F50" s="114">
        <v>300000</v>
      </c>
      <c r="G50" s="147">
        <v>100000</v>
      </c>
      <c r="H50" s="114">
        <v>0</v>
      </c>
      <c r="I50" s="114">
        <v>230000000</v>
      </c>
      <c r="J50" s="114">
        <v>70000000</v>
      </c>
      <c r="K50" s="153">
        <f t="shared" si="1"/>
        <v>27917812.213736847</v>
      </c>
      <c r="L50" s="117">
        <v>1.7999999999999999E-2</v>
      </c>
      <c r="M50" s="39">
        <v>0</v>
      </c>
      <c r="N50" s="132">
        <f t="shared" si="4"/>
        <v>348313.88734125363</v>
      </c>
      <c r="O50" s="94">
        <v>1.7999999999999999E-2</v>
      </c>
      <c r="P50" s="305">
        <f t="shared" si="2"/>
        <v>348313.88734125363</v>
      </c>
      <c r="Q50" s="167">
        <f t="shared" si="3"/>
        <v>28266126.101078101</v>
      </c>
      <c r="R50" s="116">
        <f t="shared" si="5"/>
        <v>230000000</v>
      </c>
      <c r="S50" s="116">
        <f t="shared" si="6"/>
        <v>98266126.101078093</v>
      </c>
      <c r="T50" s="100"/>
    </row>
    <row r="51" spans="1:20" s="108" customFormat="1" ht="17.25" thickBot="1" x14ac:dyDescent="0.35">
      <c r="A51" s="103"/>
      <c r="B51" s="245"/>
      <c r="C51" s="104">
        <v>12</v>
      </c>
      <c r="D51" s="168">
        <v>300000</v>
      </c>
      <c r="E51" s="162">
        <v>0</v>
      </c>
      <c r="F51" s="114">
        <v>300000</v>
      </c>
      <c r="G51" s="147">
        <v>100000</v>
      </c>
      <c r="H51" s="114">
        <v>0</v>
      </c>
      <c r="I51" s="114">
        <v>230000000</v>
      </c>
      <c r="J51" s="114">
        <v>70000000</v>
      </c>
      <c r="K51" s="154">
        <f t="shared" si="1"/>
        <v>28827532.833584111</v>
      </c>
      <c r="L51" s="105">
        <v>1.7999999999999999E-2</v>
      </c>
      <c r="M51" s="39">
        <v>0</v>
      </c>
      <c r="N51" s="132">
        <f t="shared" si="4"/>
        <v>659983.53731339623</v>
      </c>
      <c r="O51" s="106">
        <v>1.7999999999999999E-2</v>
      </c>
      <c r="P51" s="305">
        <f t="shared" si="2"/>
        <v>659983.53731339623</v>
      </c>
      <c r="Q51" s="167">
        <f t="shared" si="3"/>
        <v>29487516.370897509</v>
      </c>
      <c r="R51" s="116">
        <f t="shared" si="5"/>
        <v>230000000</v>
      </c>
      <c r="S51" s="116">
        <f t="shared" si="6"/>
        <v>99487516.370897502</v>
      </c>
      <c r="T51" s="107"/>
    </row>
    <row r="52" spans="1:20" s="26" customFormat="1" x14ac:dyDescent="0.3">
      <c r="A52" s="26">
        <v>4</v>
      </c>
      <c r="B52" s="245">
        <v>2026</v>
      </c>
      <c r="C52" s="27">
        <v>1</v>
      </c>
      <c r="D52" s="168">
        <v>300000</v>
      </c>
      <c r="E52" s="161">
        <v>0</v>
      </c>
      <c r="F52" s="114">
        <v>300000</v>
      </c>
      <c r="G52" s="147">
        <v>100000</v>
      </c>
      <c r="H52" s="114">
        <v>0</v>
      </c>
      <c r="I52" s="114">
        <v>230000000</v>
      </c>
      <c r="J52" s="114">
        <v>70000000</v>
      </c>
      <c r="K52" s="153">
        <f t="shared" si="1"/>
        <v>29753628.424588624</v>
      </c>
      <c r="L52" s="117">
        <v>1.7999999999999999E-2</v>
      </c>
      <c r="M52" s="39">
        <v>0</v>
      </c>
      <c r="N52" s="132">
        <f t="shared" si="4"/>
        <v>963823.47146264976</v>
      </c>
      <c r="O52" s="93">
        <v>4.0000000000000001E-3</v>
      </c>
      <c r="P52" s="305">
        <f t="shared" si="2"/>
        <v>963823.47146264976</v>
      </c>
      <c r="Q52" s="167">
        <f t="shared" si="3"/>
        <v>30717451.896051273</v>
      </c>
      <c r="R52" s="116">
        <f t="shared" si="5"/>
        <v>230000000</v>
      </c>
      <c r="S52" s="116">
        <f t="shared" si="6"/>
        <v>100717451.89605127</v>
      </c>
      <c r="T52" s="101"/>
    </row>
    <row r="53" spans="1:20" s="32" customFormat="1" x14ac:dyDescent="0.3">
      <c r="B53" s="245"/>
      <c r="C53" s="33">
        <v>2</v>
      </c>
      <c r="D53" s="168">
        <v>300000</v>
      </c>
      <c r="E53" s="161">
        <v>0</v>
      </c>
      <c r="F53" s="114">
        <v>300000</v>
      </c>
      <c r="G53" s="147">
        <v>100000</v>
      </c>
      <c r="H53" s="114">
        <v>0</v>
      </c>
      <c r="I53" s="114">
        <v>230000000</v>
      </c>
      <c r="J53" s="114">
        <v>70000000</v>
      </c>
      <c r="K53" s="153">
        <f t="shared" si="1"/>
        <v>30696393.736231219</v>
      </c>
      <c r="L53" s="117">
        <v>1.7999999999999999E-2</v>
      </c>
      <c r="M53" s="39">
        <v>0</v>
      </c>
      <c r="N53" s="132">
        <f t="shared" si="4"/>
        <v>1286572.2939489775</v>
      </c>
      <c r="O53" s="25">
        <v>1.7999999999999999E-2</v>
      </c>
      <c r="P53" s="305">
        <f t="shared" si="2"/>
        <v>1286572.2939489775</v>
      </c>
      <c r="Q53" s="167">
        <f t="shared" si="3"/>
        <v>31982966.030180197</v>
      </c>
      <c r="R53" s="116">
        <f t="shared" si="5"/>
        <v>230000000</v>
      </c>
      <c r="S53" s="116">
        <f t="shared" si="6"/>
        <v>101982966.0301802</v>
      </c>
      <c r="T53" s="102"/>
    </row>
    <row r="54" spans="1:20" s="18" customFormat="1" x14ac:dyDescent="0.3">
      <c r="B54" s="245"/>
      <c r="C54" s="28">
        <v>3</v>
      </c>
      <c r="D54" s="168">
        <v>300000</v>
      </c>
      <c r="E54" s="161">
        <v>0</v>
      </c>
      <c r="F54" s="114">
        <v>300000</v>
      </c>
      <c r="G54" s="147">
        <v>100000</v>
      </c>
      <c r="H54" s="114">
        <v>0</v>
      </c>
      <c r="I54" s="114">
        <v>230000000</v>
      </c>
      <c r="J54" s="114">
        <v>70000000</v>
      </c>
      <c r="K54" s="153">
        <f t="shared" si="1"/>
        <v>31656128.823483381</v>
      </c>
      <c r="L54" s="117">
        <v>1.7999999999999999E-2</v>
      </c>
      <c r="M54" s="39">
        <v>0</v>
      </c>
      <c r="N54" s="132">
        <f t="shared" si="4"/>
        <v>1615130.5952400591</v>
      </c>
      <c r="O54" s="25">
        <v>1.7999999999999999E-2</v>
      </c>
      <c r="P54" s="305">
        <f t="shared" si="2"/>
        <v>1615130.5952400591</v>
      </c>
      <c r="Q54" s="167">
        <f t="shared" si="3"/>
        <v>33271259.418723442</v>
      </c>
      <c r="R54" s="116">
        <f t="shared" si="5"/>
        <v>230000000</v>
      </c>
      <c r="S54" s="116">
        <f t="shared" si="6"/>
        <v>103271259.41872343</v>
      </c>
      <c r="T54" s="99"/>
    </row>
    <row r="55" spans="1:20" s="18" customFormat="1" x14ac:dyDescent="0.3">
      <c r="B55" s="245"/>
      <c r="C55" s="28">
        <v>4</v>
      </c>
      <c r="D55" s="168">
        <v>300000</v>
      </c>
      <c r="E55" s="161">
        <v>0</v>
      </c>
      <c r="F55" s="114">
        <v>300000</v>
      </c>
      <c r="G55" s="147">
        <v>100000</v>
      </c>
      <c r="H55" s="114">
        <v>0</v>
      </c>
      <c r="I55" s="114">
        <v>230000000</v>
      </c>
      <c r="J55" s="114">
        <v>70000000</v>
      </c>
      <c r="K55" s="153">
        <f t="shared" si="1"/>
        <v>32633139.142306082</v>
      </c>
      <c r="L55" s="117">
        <v>1.7999999999999999E-2</v>
      </c>
      <c r="M55" s="39">
        <v>0</v>
      </c>
      <c r="N55" s="132">
        <f t="shared" si="4"/>
        <v>1949602.9459543801</v>
      </c>
      <c r="O55" s="25">
        <v>1.7999999999999999E-2</v>
      </c>
      <c r="P55" s="305">
        <f t="shared" si="2"/>
        <v>1949602.9459543801</v>
      </c>
      <c r="Q55" s="167">
        <f t="shared" si="3"/>
        <v>34582742.088260464</v>
      </c>
      <c r="R55" s="116">
        <f t="shared" si="5"/>
        <v>230000000</v>
      </c>
      <c r="S55" s="116">
        <f t="shared" si="6"/>
        <v>104582742.08826047</v>
      </c>
      <c r="T55" s="99"/>
    </row>
    <row r="56" spans="1:20" s="18" customFormat="1" x14ac:dyDescent="0.3">
      <c r="B56" s="245"/>
      <c r="C56" s="28">
        <v>5</v>
      </c>
      <c r="D56" s="168">
        <v>300000</v>
      </c>
      <c r="E56" s="161">
        <v>0</v>
      </c>
      <c r="F56" s="114">
        <v>300000</v>
      </c>
      <c r="G56" s="147">
        <v>100000</v>
      </c>
      <c r="H56" s="114">
        <v>0</v>
      </c>
      <c r="I56" s="114">
        <v>230000000</v>
      </c>
      <c r="J56" s="114">
        <v>70000000</v>
      </c>
      <c r="K56" s="153">
        <f t="shared" si="1"/>
        <v>33627735.646867588</v>
      </c>
      <c r="L56" s="117">
        <v>1.7999999999999999E-2</v>
      </c>
      <c r="M56" s="39">
        <v>0</v>
      </c>
      <c r="N56" s="132">
        <f t="shared" si="4"/>
        <v>2290095.798981559</v>
      </c>
      <c r="O56" s="25">
        <v>1.7999999999999999E-2</v>
      </c>
      <c r="P56" s="305">
        <f t="shared" si="2"/>
        <v>2290095.798981559</v>
      </c>
      <c r="Q56" s="167">
        <f t="shared" si="3"/>
        <v>35917831.44584915</v>
      </c>
      <c r="R56" s="116">
        <f t="shared" si="5"/>
        <v>230000000</v>
      </c>
      <c r="S56" s="116">
        <f t="shared" si="6"/>
        <v>105917831.44584915</v>
      </c>
      <c r="T56" s="99"/>
    </row>
    <row r="57" spans="1:20" s="18" customFormat="1" x14ac:dyDescent="0.3">
      <c r="B57" s="245"/>
      <c r="C57" s="28">
        <v>6</v>
      </c>
      <c r="D57" s="168">
        <v>300000</v>
      </c>
      <c r="E57" s="161">
        <v>0</v>
      </c>
      <c r="F57" s="114">
        <v>300000</v>
      </c>
      <c r="G57" s="147">
        <v>100000</v>
      </c>
      <c r="H57" s="114">
        <v>0</v>
      </c>
      <c r="I57" s="114">
        <v>230000000</v>
      </c>
      <c r="J57" s="114">
        <v>70000000</v>
      </c>
      <c r="K57" s="153">
        <f t="shared" si="1"/>
        <v>34640234.888511203</v>
      </c>
      <c r="L57" s="117">
        <v>1.7999999999999999E-2</v>
      </c>
      <c r="M57" s="39">
        <v>0</v>
      </c>
      <c r="N57" s="132">
        <f t="shared" si="4"/>
        <v>2636717.523363227</v>
      </c>
      <c r="O57" s="25">
        <v>1.7999999999999999E-2</v>
      </c>
      <c r="P57" s="305">
        <f t="shared" si="2"/>
        <v>2636717.523363227</v>
      </c>
      <c r="Q57" s="167">
        <f t="shared" si="3"/>
        <v>37276952.411874428</v>
      </c>
      <c r="R57" s="116">
        <f t="shared" si="5"/>
        <v>230000000</v>
      </c>
      <c r="S57" s="116">
        <f t="shared" si="6"/>
        <v>107276952.41187443</v>
      </c>
      <c r="T57" s="99"/>
    </row>
    <row r="58" spans="1:20" s="18" customFormat="1" x14ac:dyDescent="0.3">
      <c r="B58" s="245"/>
      <c r="C58" s="28">
        <v>7</v>
      </c>
      <c r="D58" s="168">
        <v>300000</v>
      </c>
      <c r="E58" s="161">
        <v>0</v>
      </c>
      <c r="F58" s="114">
        <v>300000</v>
      </c>
      <c r="G58" s="147">
        <v>100000</v>
      </c>
      <c r="H58" s="114">
        <v>0</v>
      </c>
      <c r="I58" s="114">
        <v>230000000</v>
      </c>
      <c r="J58" s="114">
        <v>70000000</v>
      </c>
      <c r="K58" s="153">
        <f t="shared" si="1"/>
        <v>35670959.116504408</v>
      </c>
      <c r="L58" s="117">
        <v>1.7999999999999999E-2</v>
      </c>
      <c r="M58" s="39">
        <v>0</v>
      </c>
      <c r="N58" s="132">
        <f t="shared" si="4"/>
        <v>2989578.4387837653</v>
      </c>
      <c r="O58" s="25">
        <v>1.7999999999999999E-2</v>
      </c>
      <c r="P58" s="305">
        <f t="shared" si="2"/>
        <v>2989578.4387837653</v>
      </c>
      <c r="Q58" s="167">
        <f t="shared" si="3"/>
        <v>38660537.555288173</v>
      </c>
      <c r="R58" s="116">
        <f t="shared" si="5"/>
        <v>230000000</v>
      </c>
      <c r="S58" s="116">
        <f t="shared" si="6"/>
        <v>108660537.55528817</v>
      </c>
      <c r="T58" s="99"/>
    </row>
    <row r="59" spans="1:20" s="18" customFormat="1" x14ac:dyDescent="0.3">
      <c r="B59" s="245"/>
      <c r="C59" s="28">
        <v>8</v>
      </c>
      <c r="D59" s="168">
        <v>300000</v>
      </c>
      <c r="E59" s="161">
        <v>0</v>
      </c>
      <c r="F59" s="114">
        <v>300000</v>
      </c>
      <c r="G59" s="147">
        <v>100000</v>
      </c>
      <c r="H59" s="114">
        <v>0</v>
      </c>
      <c r="I59" s="114">
        <v>230000000</v>
      </c>
      <c r="J59" s="114">
        <v>70000000</v>
      </c>
      <c r="K59" s="153">
        <f t="shared" si="1"/>
        <v>36720236.380601488</v>
      </c>
      <c r="L59" s="117">
        <v>1.7999999999999999E-2</v>
      </c>
      <c r="M59" s="39">
        <v>0</v>
      </c>
      <c r="N59" s="132">
        <f t="shared" si="4"/>
        <v>3348790.850681873</v>
      </c>
      <c r="O59" s="25">
        <v>1.7999999999999999E-2</v>
      </c>
      <c r="P59" s="305">
        <f t="shared" si="2"/>
        <v>3348790.850681873</v>
      </c>
      <c r="Q59" s="167">
        <f t="shared" si="3"/>
        <v>40069027.231283359</v>
      </c>
      <c r="R59" s="116">
        <f t="shared" si="5"/>
        <v>230000000</v>
      </c>
      <c r="S59" s="116">
        <f t="shared" si="6"/>
        <v>110069027.23128337</v>
      </c>
      <c r="T59" s="99"/>
    </row>
    <row r="60" spans="1:20" s="18" customFormat="1" x14ac:dyDescent="0.3">
      <c r="B60" s="245"/>
      <c r="C60" s="28">
        <v>9</v>
      </c>
      <c r="D60" s="168">
        <v>300000</v>
      </c>
      <c r="E60" s="161">
        <v>0</v>
      </c>
      <c r="F60" s="114">
        <v>300000</v>
      </c>
      <c r="G60" s="147">
        <v>100000</v>
      </c>
      <c r="H60" s="114">
        <v>0</v>
      </c>
      <c r="I60" s="114">
        <v>230000000</v>
      </c>
      <c r="J60" s="114">
        <v>70000000</v>
      </c>
      <c r="K60" s="153">
        <f t="shared" si="1"/>
        <v>37788400.635452315</v>
      </c>
      <c r="L60" s="117">
        <v>1.7999999999999999E-2</v>
      </c>
      <c r="M60" s="39">
        <v>0</v>
      </c>
      <c r="N60" s="132">
        <f t="shared" si="4"/>
        <v>3714469.0859941468</v>
      </c>
      <c r="O60" s="25">
        <v>1.7999999999999999E-2</v>
      </c>
      <c r="P60" s="305">
        <f t="shared" si="2"/>
        <v>3714469.0859941468</v>
      </c>
      <c r="Q60" s="167">
        <f t="shared" si="3"/>
        <v>41502869.721446462</v>
      </c>
      <c r="R60" s="116">
        <f t="shared" si="5"/>
        <v>230000000</v>
      </c>
      <c r="S60" s="116">
        <f t="shared" si="6"/>
        <v>111502869.72144645</v>
      </c>
      <c r="T60" s="99"/>
    </row>
    <row r="61" spans="1:20" s="18" customFormat="1" x14ac:dyDescent="0.3">
      <c r="B61" s="245"/>
      <c r="C61" s="28">
        <v>10</v>
      </c>
      <c r="D61" s="168">
        <v>300000</v>
      </c>
      <c r="E61" s="161">
        <v>0</v>
      </c>
      <c r="F61" s="114">
        <v>300000</v>
      </c>
      <c r="G61" s="147">
        <v>100000</v>
      </c>
      <c r="H61" s="114">
        <v>0</v>
      </c>
      <c r="I61" s="114">
        <v>230000000</v>
      </c>
      <c r="J61" s="114">
        <v>70000000</v>
      </c>
      <c r="K61" s="153">
        <f t="shared" si="1"/>
        <v>38875791.846890457</v>
      </c>
      <c r="L61" s="117">
        <v>1.7999999999999999E-2</v>
      </c>
      <c r="M61" s="39">
        <v>0</v>
      </c>
      <c r="N61" s="132">
        <f t="shared" si="4"/>
        <v>4086729.5295420415</v>
      </c>
      <c r="O61" s="25">
        <v>1.7999999999999999E-2</v>
      </c>
      <c r="P61" s="305">
        <f t="shared" si="2"/>
        <v>4086729.5295420415</v>
      </c>
      <c r="Q61" s="167">
        <f t="shared" si="3"/>
        <v>42962521.376432501</v>
      </c>
      <c r="R61" s="116">
        <f t="shared" si="5"/>
        <v>230000000</v>
      </c>
      <c r="S61" s="116">
        <f t="shared" si="6"/>
        <v>112962521.37643251</v>
      </c>
      <c r="T61" s="99"/>
    </row>
    <row r="62" spans="1:20" s="29" customFormat="1" ht="17.25" thickBot="1" x14ac:dyDescent="0.35">
      <c r="B62" s="245"/>
      <c r="C62" s="30">
        <v>11</v>
      </c>
      <c r="D62" s="168">
        <v>300000</v>
      </c>
      <c r="E62" s="161">
        <v>0</v>
      </c>
      <c r="F62" s="114">
        <v>300000</v>
      </c>
      <c r="G62" s="147">
        <v>100000</v>
      </c>
      <c r="H62" s="114">
        <v>0</v>
      </c>
      <c r="I62" s="114">
        <v>230000000</v>
      </c>
      <c r="J62" s="114">
        <v>70000000</v>
      </c>
      <c r="K62" s="153">
        <f t="shared" si="1"/>
        <v>39982756.100134484</v>
      </c>
      <c r="L62" s="117">
        <v>1.7999999999999999E-2</v>
      </c>
      <c r="M62" s="39">
        <v>0</v>
      </c>
      <c r="N62" s="132">
        <f t="shared" si="4"/>
        <v>4465690.6610737983</v>
      </c>
      <c r="O62" s="94">
        <v>1.7999999999999999E-2</v>
      </c>
      <c r="P62" s="305">
        <f t="shared" si="2"/>
        <v>4465690.6610737983</v>
      </c>
      <c r="Q62" s="167">
        <f t="shared" si="3"/>
        <v>44448446.761208281</v>
      </c>
      <c r="R62" s="116">
        <f t="shared" si="5"/>
        <v>230000000</v>
      </c>
      <c r="S62" s="116">
        <f t="shared" si="6"/>
        <v>114448446.76120828</v>
      </c>
      <c r="T62" s="100"/>
    </row>
    <row r="63" spans="1:20" s="108" customFormat="1" ht="17.25" thickBot="1" x14ac:dyDescent="0.35">
      <c r="A63" s="103"/>
      <c r="B63" s="245"/>
      <c r="C63" s="104">
        <v>12</v>
      </c>
      <c r="D63" s="168">
        <v>300000</v>
      </c>
      <c r="E63" s="162">
        <v>0</v>
      </c>
      <c r="F63" s="114">
        <v>300000</v>
      </c>
      <c r="G63" s="147">
        <v>100000</v>
      </c>
      <c r="H63" s="114">
        <v>0</v>
      </c>
      <c r="I63" s="114">
        <v>230000000</v>
      </c>
      <c r="J63" s="114">
        <v>70000000</v>
      </c>
      <c r="K63" s="154">
        <f t="shared" si="1"/>
        <v>41109645.709936902</v>
      </c>
      <c r="L63" s="105">
        <v>1.7999999999999999E-2</v>
      </c>
      <c r="M63" s="39">
        <v>0</v>
      </c>
      <c r="N63" s="132">
        <f t="shared" si="4"/>
        <v>4851473.092973127</v>
      </c>
      <c r="O63" s="106">
        <v>1.7999999999999999E-2</v>
      </c>
      <c r="P63" s="305">
        <f t="shared" si="2"/>
        <v>4851473.092973127</v>
      </c>
      <c r="Q63" s="167">
        <f t="shared" si="3"/>
        <v>45961118.80291003</v>
      </c>
      <c r="R63" s="116">
        <f t="shared" si="5"/>
        <v>230000000</v>
      </c>
      <c r="S63" s="116">
        <f t="shared" si="6"/>
        <v>115961118.80291003</v>
      </c>
      <c r="T63" s="107"/>
    </row>
    <row r="64" spans="1:20" s="26" customFormat="1" x14ac:dyDescent="0.3">
      <c r="A64" s="26">
        <v>6</v>
      </c>
      <c r="B64" s="245">
        <v>2027</v>
      </c>
      <c r="C64" s="27">
        <v>1</v>
      </c>
      <c r="D64" s="168">
        <v>300000</v>
      </c>
      <c r="E64" s="161">
        <v>0</v>
      </c>
      <c r="F64" s="114">
        <v>300000</v>
      </c>
      <c r="G64" s="147">
        <v>100000</v>
      </c>
      <c r="H64" s="114">
        <v>0</v>
      </c>
      <c r="I64" s="114">
        <v>230000000</v>
      </c>
      <c r="J64" s="114">
        <v>70000000</v>
      </c>
      <c r="K64" s="153">
        <f t="shared" si="1"/>
        <v>42256819.332715765</v>
      </c>
      <c r="L64" s="117">
        <v>1.7999999999999999E-2</v>
      </c>
      <c r="M64" s="39">
        <v>0</v>
      </c>
      <c r="N64" s="132">
        <f t="shared" si="4"/>
        <v>5172078.98534502</v>
      </c>
      <c r="O64" s="93">
        <v>4.0000000000000001E-3</v>
      </c>
      <c r="P64" s="305">
        <f t="shared" si="2"/>
        <v>5172078.98534502</v>
      </c>
      <c r="Q64" s="167">
        <f t="shared" si="3"/>
        <v>47428898.318060786</v>
      </c>
      <c r="R64" s="116">
        <f t="shared" si="5"/>
        <v>230000000</v>
      </c>
      <c r="S64" s="116">
        <f t="shared" si="6"/>
        <v>117428898.31806079</v>
      </c>
      <c r="T64" s="101"/>
    </row>
    <row r="65" spans="1:20" s="18" customFormat="1" x14ac:dyDescent="0.3">
      <c r="B65" s="245"/>
      <c r="C65" s="28">
        <v>2</v>
      </c>
      <c r="D65" s="168">
        <v>300000</v>
      </c>
      <c r="E65" s="161">
        <v>0</v>
      </c>
      <c r="F65" s="114">
        <v>300000</v>
      </c>
      <c r="G65" s="147">
        <v>100000</v>
      </c>
      <c r="H65" s="114">
        <v>0</v>
      </c>
      <c r="I65" s="114">
        <v>230000000</v>
      </c>
      <c r="J65" s="114">
        <v>70000000</v>
      </c>
      <c r="K65" s="153">
        <f t="shared" si="1"/>
        <v>43424642.080704652</v>
      </c>
      <c r="L65" s="117">
        <v>1.7999999999999999E-2</v>
      </c>
      <c r="M65" s="39">
        <v>0</v>
      </c>
      <c r="N65" s="132">
        <f t="shared" si="4"/>
        <v>5570576.4070812305</v>
      </c>
      <c r="O65" s="25">
        <v>1.7999999999999999E-2</v>
      </c>
      <c r="P65" s="305">
        <f t="shared" si="2"/>
        <v>5570576.4070812305</v>
      </c>
      <c r="Q65" s="167">
        <f t="shared" si="3"/>
        <v>48995218.487785883</v>
      </c>
      <c r="R65" s="116">
        <f t="shared" si="5"/>
        <v>230000000</v>
      </c>
      <c r="S65" s="116">
        <f t="shared" si="6"/>
        <v>118995218.48778588</v>
      </c>
      <c r="T65" s="99"/>
    </row>
    <row r="66" spans="1:20" s="18" customFormat="1" x14ac:dyDescent="0.3">
      <c r="B66" s="245"/>
      <c r="C66" s="28">
        <v>3</v>
      </c>
      <c r="D66" s="168">
        <v>300000</v>
      </c>
      <c r="E66" s="161">
        <v>0</v>
      </c>
      <c r="F66" s="114">
        <v>300000</v>
      </c>
      <c r="G66" s="147">
        <v>100000</v>
      </c>
      <c r="H66" s="114">
        <v>0</v>
      </c>
      <c r="I66" s="114">
        <v>230000000</v>
      </c>
      <c r="J66" s="114">
        <v>70000000</v>
      </c>
      <c r="K66" s="153">
        <f t="shared" si="1"/>
        <v>44613485.638157338</v>
      </c>
      <c r="L66" s="117">
        <v>1.7999999999999999E-2</v>
      </c>
      <c r="M66" s="39">
        <v>0</v>
      </c>
      <c r="N66" s="132">
        <f t="shared" si="4"/>
        <v>5976246.7824086929</v>
      </c>
      <c r="O66" s="25">
        <v>1.7999999999999999E-2</v>
      </c>
      <c r="P66" s="305">
        <f t="shared" si="2"/>
        <v>5976246.7824086929</v>
      </c>
      <c r="Q66" s="167">
        <f t="shared" si="3"/>
        <v>50589732.42056603</v>
      </c>
      <c r="R66" s="116">
        <f t="shared" si="5"/>
        <v>230000000</v>
      </c>
      <c r="S66" s="116">
        <f t="shared" si="6"/>
        <v>120589732.42056602</v>
      </c>
      <c r="T66" s="99"/>
    </row>
    <row r="67" spans="1:20" s="18" customFormat="1" x14ac:dyDescent="0.3">
      <c r="B67" s="245"/>
      <c r="C67" s="28">
        <v>4</v>
      </c>
      <c r="D67" s="168">
        <v>300000</v>
      </c>
      <c r="E67" s="161">
        <v>0</v>
      </c>
      <c r="F67" s="114">
        <v>300000</v>
      </c>
      <c r="G67" s="147">
        <v>100000</v>
      </c>
      <c r="H67" s="114">
        <v>0</v>
      </c>
      <c r="I67" s="114">
        <v>230000000</v>
      </c>
      <c r="J67" s="114">
        <v>70000000</v>
      </c>
      <c r="K67" s="153">
        <f t="shared" si="1"/>
        <v>45823728.37964417</v>
      </c>
      <c r="L67" s="117">
        <v>1.7999999999999999E-2</v>
      </c>
      <c r="M67" s="39">
        <v>0</v>
      </c>
      <c r="N67" s="132">
        <f t="shared" si="4"/>
        <v>6389219.2244920498</v>
      </c>
      <c r="O67" s="25">
        <v>1.7999999999999999E-2</v>
      </c>
      <c r="P67" s="305">
        <f t="shared" si="2"/>
        <v>6389219.2244920498</v>
      </c>
      <c r="Q67" s="167">
        <f t="shared" si="3"/>
        <v>52212947.604136221</v>
      </c>
      <c r="R67" s="116">
        <f t="shared" si="5"/>
        <v>230000000</v>
      </c>
      <c r="S67" s="116">
        <f t="shared" si="6"/>
        <v>122212947.60413623</v>
      </c>
      <c r="T67" s="99"/>
    </row>
    <row r="68" spans="1:20" s="18" customFormat="1" x14ac:dyDescent="0.3">
      <c r="B68" s="245"/>
      <c r="C68" s="28">
        <v>5</v>
      </c>
      <c r="D68" s="168">
        <v>300000</v>
      </c>
      <c r="E68" s="161">
        <v>0</v>
      </c>
      <c r="F68" s="114">
        <v>300000</v>
      </c>
      <c r="G68" s="147">
        <v>100000</v>
      </c>
      <c r="H68" s="114">
        <v>0</v>
      </c>
      <c r="I68" s="114">
        <v>230000000</v>
      </c>
      <c r="J68" s="114">
        <v>70000000</v>
      </c>
      <c r="K68" s="153">
        <f t="shared" si="1"/>
        <v>47055755.490477763</v>
      </c>
      <c r="L68" s="117">
        <v>1.7999999999999999E-2</v>
      </c>
      <c r="M68" s="39">
        <v>0</v>
      </c>
      <c r="N68" s="132">
        <f t="shared" si="4"/>
        <v>6809625.1705329064</v>
      </c>
      <c r="O68" s="25">
        <v>1.7999999999999999E-2</v>
      </c>
      <c r="P68" s="305">
        <f t="shared" si="2"/>
        <v>6809625.1705329064</v>
      </c>
      <c r="Q68" s="167">
        <f t="shared" si="3"/>
        <v>53865380.661010668</v>
      </c>
      <c r="R68" s="116">
        <f t="shared" si="5"/>
        <v>230000000</v>
      </c>
      <c r="S68" s="116">
        <f t="shared" si="6"/>
        <v>123865380.66101067</v>
      </c>
      <c r="T68" s="99"/>
    </row>
    <row r="69" spans="1:20" s="18" customFormat="1" x14ac:dyDescent="0.3">
      <c r="B69" s="245"/>
      <c r="C69" s="28">
        <v>6</v>
      </c>
      <c r="D69" s="168">
        <v>300000</v>
      </c>
      <c r="E69" s="161">
        <v>0</v>
      </c>
      <c r="F69" s="114">
        <v>300000</v>
      </c>
      <c r="G69" s="147">
        <v>100000</v>
      </c>
      <c r="H69" s="114">
        <v>0</v>
      </c>
      <c r="I69" s="114">
        <v>230000000</v>
      </c>
      <c r="J69" s="114">
        <v>70000000</v>
      </c>
      <c r="K69" s="153">
        <f t="shared" si="1"/>
        <v>48309959.089306362</v>
      </c>
      <c r="L69" s="117">
        <v>1.7999999999999999E-2</v>
      </c>
      <c r="M69" s="39">
        <v>0</v>
      </c>
      <c r="N69" s="132">
        <f t="shared" si="4"/>
        <v>7237598.4236024991</v>
      </c>
      <c r="O69" s="25">
        <v>1.7999999999999999E-2</v>
      </c>
      <c r="P69" s="305">
        <f t="shared" si="2"/>
        <v>7237598.4236024991</v>
      </c>
      <c r="Q69" s="167">
        <f t="shared" si="3"/>
        <v>55547557.512908861</v>
      </c>
      <c r="R69" s="116">
        <f t="shared" si="5"/>
        <v>230000000</v>
      </c>
      <c r="S69" s="116">
        <f t="shared" si="6"/>
        <v>125547557.51290886</v>
      </c>
      <c r="T69" s="99"/>
    </row>
    <row r="70" spans="1:20" s="18" customFormat="1" x14ac:dyDescent="0.3">
      <c r="B70" s="245"/>
      <c r="C70" s="28">
        <v>7</v>
      </c>
      <c r="D70" s="168">
        <v>300000</v>
      </c>
      <c r="E70" s="161">
        <v>0</v>
      </c>
      <c r="F70" s="114">
        <v>300000</v>
      </c>
      <c r="G70" s="147">
        <v>100000</v>
      </c>
      <c r="H70" s="114">
        <v>0</v>
      </c>
      <c r="I70" s="114">
        <v>230000000</v>
      </c>
      <c r="J70" s="114">
        <v>70000000</v>
      </c>
      <c r="K70" s="153">
        <f t="shared" si="1"/>
        <v>49586738.352913879</v>
      </c>
      <c r="L70" s="117">
        <v>1.7999999999999999E-2</v>
      </c>
      <c r="M70" s="39">
        <v>0</v>
      </c>
      <c r="N70" s="132">
        <f t="shared" si="4"/>
        <v>7673275.1952273436</v>
      </c>
      <c r="O70" s="25">
        <v>1.7999999999999999E-2</v>
      </c>
      <c r="P70" s="305">
        <f t="shared" si="2"/>
        <v>7673275.1952273436</v>
      </c>
      <c r="Q70" s="167">
        <f t="shared" si="3"/>
        <v>57260013.548141226</v>
      </c>
      <c r="R70" s="116">
        <f t="shared" si="5"/>
        <v>230000000</v>
      </c>
      <c r="S70" s="116">
        <f t="shared" si="6"/>
        <v>127260013.54814123</v>
      </c>
      <c r="T70" s="99"/>
    </row>
    <row r="71" spans="1:20" s="18" customFormat="1" x14ac:dyDescent="0.3">
      <c r="B71" s="245"/>
      <c r="C71" s="28">
        <v>8</v>
      </c>
      <c r="D71" s="168">
        <v>300000</v>
      </c>
      <c r="E71" s="161">
        <v>0</v>
      </c>
      <c r="F71" s="114">
        <v>300000</v>
      </c>
      <c r="G71" s="147">
        <v>100000</v>
      </c>
      <c r="H71" s="114">
        <v>0</v>
      </c>
      <c r="I71" s="114">
        <v>230000000</v>
      </c>
      <c r="J71" s="114">
        <v>70000000</v>
      </c>
      <c r="K71" s="153">
        <f t="shared" si="1"/>
        <v>50886499.643266328</v>
      </c>
      <c r="L71" s="117">
        <v>1.7999999999999999E-2</v>
      </c>
      <c r="M71" s="39">
        <v>0</v>
      </c>
      <c r="N71" s="132">
        <f t="shared" si="4"/>
        <v>8116794.1487414362</v>
      </c>
      <c r="O71" s="25">
        <v>1.7999999999999999E-2</v>
      </c>
      <c r="P71" s="305">
        <f t="shared" si="2"/>
        <v>8116794.1487414362</v>
      </c>
      <c r="Q71" s="167">
        <f t="shared" si="3"/>
        <v>59003293.792007767</v>
      </c>
      <c r="R71" s="116">
        <f t="shared" si="5"/>
        <v>230000000</v>
      </c>
      <c r="S71" s="116">
        <f t="shared" si="6"/>
        <v>129003293.79200777</v>
      </c>
      <c r="T71" s="99"/>
    </row>
    <row r="72" spans="1:20" s="18" customFormat="1" x14ac:dyDescent="0.3">
      <c r="B72" s="245"/>
      <c r="C72" s="28">
        <v>9</v>
      </c>
      <c r="D72" s="168">
        <v>300000</v>
      </c>
      <c r="E72" s="161">
        <v>0</v>
      </c>
      <c r="F72" s="114">
        <v>300000</v>
      </c>
      <c r="G72" s="147">
        <v>100000</v>
      </c>
      <c r="H72" s="114">
        <v>0</v>
      </c>
      <c r="I72" s="114">
        <v>230000000</v>
      </c>
      <c r="J72" s="114">
        <v>70000000</v>
      </c>
      <c r="K72" s="153">
        <f t="shared" si="1"/>
        <v>52209656.636845119</v>
      </c>
      <c r="L72" s="117">
        <v>1.7999999999999999E-2</v>
      </c>
      <c r="M72" s="39">
        <v>0</v>
      </c>
      <c r="N72" s="132">
        <f t="shared" si="4"/>
        <v>8568296.4434187803</v>
      </c>
      <c r="O72" s="25">
        <v>1.7999999999999999E-2</v>
      </c>
      <c r="P72" s="305">
        <f t="shared" si="2"/>
        <v>8568296.4434187803</v>
      </c>
      <c r="Q72" s="167">
        <f t="shared" si="3"/>
        <v>60777953.080263898</v>
      </c>
      <c r="R72" s="116">
        <f t="shared" si="5"/>
        <v>230000000</v>
      </c>
      <c r="S72" s="116">
        <f t="shared" si="6"/>
        <v>130777953.0802639</v>
      </c>
      <c r="T72" s="99"/>
    </row>
    <row r="73" spans="1:20" s="204" customFormat="1" x14ac:dyDescent="0.3">
      <c r="B73" s="245"/>
      <c r="C73" s="205">
        <v>10</v>
      </c>
      <c r="D73" s="168">
        <v>300000</v>
      </c>
      <c r="E73" s="206">
        <v>0</v>
      </c>
      <c r="F73" s="207">
        <v>300000</v>
      </c>
      <c r="G73" s="208">
        <v>100000</v>
      </c>
      <c r="H73" s="114">
        <v>0</v>
      </c>
      <c r="I73" s="114">
        <v>230000000</v>
      </c>
      <c r="J73" s="114">
        <v>70000000</v>
      </c>
      <c r="K73" s="209">
        <f t="shared" si="1"/>
        <v>53556630.456308335</v>
      </c>
      <c r="L73" s="210">
        <v>1.7999999999999999E-2</v>
      </c>
      <c r="M73" s="211">
        <v>0</v>
      </c>
      <c r="N73" s="212">
        <f t="shared" si="4"/>
        <v>9027925.7794003189</v>
      </c>
      <c r="O73" s="213">
        <v>1.7999999999999999E-2</v>
      </c>
      <c r="P73" s="305">
        <f t="shared" si="2"/>
        <v>9027925.7794003189</v>
      </c>
      <c r="Q73" s="214">
        <f t="shared" si="3"/>
        <v>62584556.235708654</v>
      </c>
      <c r="R73" s="207">
        <f t="shared" si="5"/>
        <v>230000000</v>
      </c>
      <c r="S73" s="207">
        <f t="shared" si="6"/>
        <v>132584556.23570865</v>
      </c>
      <c r="T73" s="215"/>
    </row>
    <row r="74" spans="1:20" s="29" customFormat="1" ht="17.25" thickBot="1" x14ac:dyDescent="0.35">
      <c r="B74" s="245"/>
      <c r="C74" s="30">
        <v>11</v>
      </c>
      <c r="D74" s="168">
        <v>300000</v>
      </c>
      <c r="E74" s="161">
        <v>0</v>
      </c>
      <c r="F74" s="114">
        <v>300000</v>
      </c>
      <c r="G74" s="147">
        <v>100000</v>
      </c>
      <c r="H74" s="114">
        <v>0</v>
      </c>
      <c r="I74" s="114">
        <v>230000000</v>
      </c>
      <c r="J74" s="114">
        <v>70000000</v>
      </c>
      <c r="K74" s="153">
        <f t="shared" si="1"/>
        <v>54927849.804521888</v>
      </c>
      <c r="L74" s="117">
        <v>1.7999999999999999E-2</v>
      </c>
      <c r="M74" s="39">
        <v>0</v>
      </c>
      <c r="N74" s="132">
        <f t="shared" si="4"/>
        <v>9495828.4434295241</v>
      </c>
      <c r="O74" s="94">
        <v>1.7999999999999999E-2</v>
      </c>
      <c r="P74" s="305">
        <f t="shared" si="2"/>
        <v>9495828.4434295241</v>
      </c>
      <c r="Q74" s="167">
        <f t="shared" si="3"/>
        <v>64423678.247951411</v>
      </c>
      <c r="R74" s="116">
        <f t="shared" si="5"/>
        <v>230000000</v>
      </c>
      <c r="S74" s="116">
        <f t="shared" si="6"/>
        <v>134423678.24795142</v>
      </c>
      <c r="T74" s="100"/>
    </row>
    <row r="75" spans="1:20" s="108" customFormat="1" ht="17.25" thickBot="1" x14ac:dyDescent="0.35">
      <c r="A75" s="103"/>
      <c r="B75" s="245"/>
      <c r="C75" s="104">
        <v>12</v>
      </c>
      <c r="D75" s="168">
        <v>300000</v>
      </c>
      <c r="E75" s="162">
        <v>0</v>
      </c>
      <c r="F75" s="114">
        <v>300000</v>
      </c>
      <c r="G75" s="147">
        <v>100000</v>
      </c>
      <c r="H75" s="114">
        <v>0</v>
      </c>
      <c r="I75" s="114">
        <v>230000000</v>
      </c>
      <c r="J75" s="114">
        <v>70000000</v>
      </c>
      <c r="K75" s="154">
        <f t="shared" si="1"/>
        <v>56323751.101003282</v>
      </c>
      <c r="L75" s="105">
        <v>1.7999999999999999E-2</v>
      </c>
      <c r="M75" s="39">
        <v>0</v>
      </c>
      <c r="N75" s="132">
        <f t="shared" si="4"/>
        <v>9972153.3554112557</v>
      </c>
      <c r="O75" s="106">
        <v>1.7999999999999999E-2</v>
      </c>
      <c r="P75" s="305">
        <f t="shared" si="2"/>
        <v>9972153.3554112557</v>
      </c>
      <c r="Q75" s="167">
        <f t="shared" si="3"/>
        <v>66295904.456414536</v>
      </c>
      <c r="R75" s="116">
        <f t="shared" si="5"/>
        <v>230000000</v>
      </c>
      <c r="S75" s="116">
        <f t="shared" si="6"/>
        <v>136295904.45641452</v>
      </c>
      <c r="T75" s="107"/>
    </row>
    <row r="76" spans="1:20" s="26" customFormat="1" x14ac:dyDescent="0.3">
      <c r="A76" s="26">
        <v>7</v>
      </c>
      <c r="B76" s="245">
        <v>2028</v>
      </c>
      <c r="C76" s="27">
        <v>1</v>
      </c>
      <c r="D76" s="168">
        <v>300000</v>
      </c>
      <c r="E76" s="161">
        <v>0</v>
      </c>
      <c r="F76" s="114">
        <v>300000</v>
      </c>
      <c r="G76" s="147">
        <v>100000</v>
      </c>
      <c r="H76" s="114">
        <v>0</v>
      </c>
      <c r="I76" s="114">
        <v>230000000</v>
      </c>
      <c r="J76" s="114">
        <v>70000000</v>
      </c>
      <c r="K76" s="153">
        <f t="shared" si="1"/>
        <v>57744778.620821342</v>
      </c>
      <c r="L76" s="117">
        <v>1.7999999999999999E-2</v>
      </c>
      <c r="M76" s="39">
        <v>0</v>
      </c>
      <c r="N76" s="132">
        <f t="shared" si="4"/>
        <v>10313241.968832901</v>
      </c>
      <c r="O76" s="93">
        <v>4.0000000000000001E-3</v>
      </c>
      <c r="P76" s="305">
        <f t="shared" si="2"/>
        <v>10313241.968832901</v>
      </c>
      <c r="Q76" s="167">
        <f t="shared" si="3"/>
        <v>68058020.589654237</v>
      </c>
      <c r="R76" s="116">
        <f t="shared" si="5"/>
        <v>230000000</v>
      </c>
      <c r="S76" s="116">
        <f t="shared" si="6"/>
        <v>138058020.58965424</v>
      </c>
      <c r="T76" s="101"/>
    </row>
    <row r="77" spans="1:20" s="18" customFormat="1" x14ac:dyDescent="0.3">
      <c r="B77" s="245"/>
      <c r="C77" s="28">
        <v>2</v>
      </c>
      <c r="D77" s="168">
        <v>300000</v>
      </c>
      <c r="E77" s="161">
        <v>0</v>
      </c>
      <c r="F77" s="114">
        <v>300000</v>
      </c>
      <c r="G77" s="147">
        <v>100000</v>
      </c>
      <c r="H77" s="114">
        <v>0</v>
      </c>
      <c r="I77" s="114">
        <v>230000000</v>
      </c>
      <c r="J77" s="114">
        <v>70000000</v>
      </c>
      <c r="K77" s="153">
        <f t="shared" si="1"/>
        <v>59191384.635996126</v>
      </c>
      <c r="L77" s="117">
        <v>1.7999999999999999E-2</v>
      </c>
      <c r="M77" s="39">
        <v>0</v>
      </c>
      <c r="N77" s="132">
        <f t="shared" si="4"/>
        <v>10804280.324271893</v>
      </c>
      <c r="O77" s="25">
        <v>1.7999999999999999E-2</v>
      </c>
      <c r="P77" s="305">
        <f t="shared" si="2"/>
        <v>10804280.324271893</v>
      </c>
      <c r="Q77" s="167">
        <f t="shared" si="3"/>
        <v>69995664.960268021</v>
      </c>
      <c r="R77" s="116">
        <f t="shared" si="5"/>
        <v>230000000</v>
      </c>
      <c r="S77" s="116">
        <f t="shared" si="6"/>
        <v>139995664.96026802</v>
      </c>
      <c r="T77" s="99"/>
    </row>
    <row r="78" spans="1:20" s="18" customFormat="1" x14ac:dyDescent="0.3">
      <c r="B78" s="245"/>
      <c r="C78" s="28">
        <v>3</v>
      </c>
      <c r="D78" s="168">
        <v>300000</v>
      </c>
      <c r="E78" s="161">
        <v>0</v>
      </c>
      <c r="F78" s="114">
        <v>300000</v>
      </c>
      <c r="G78" s="147">
        <v>100000</v>
      </c>
      <c r="H78" s="114">
        <v>0</v>
      </c>
      <c r="I78" s="114">
        <v>230000000</v>
      </c>
      <c r="J78" s="114">
        <v>70000000</v>
      </c>
      <c r="K78" s="153">
        <f t="shared" si="1"/>
        <v>60664029.559444055</v>
      </c>
      <c r="L78" s="117">
        <v>1.7999999999999999E-2</v>
      </c>
      <c r="M78" s="39">
        <v>0</v>
      </c>
      <c r="N78" s="132">
        <f t="shared" si="4"/>
        <v>11304157.370108787</v>
      </c>
      <c r="O78" s="25">
        <v>1.7999999999999999E-2</v>
      </c>
      <c r="P78" s="305">
        <f t="shared" si="2"/>
        <v>11304157.370108787</v>
      </c>
      <c r="Q78" s="167">
        <f t="shared" si="3"/>
        <v>71968186.929552838</v>
      </c>
      <c r="R78" s="116">
        <f t="shared" si="5"/>
        <v>230000000</v>
      </c>
      <c r="S78" s="116">
        <f t="shared" si="6"/>
        <v>141968186.92955285</v>
      </c>
      <c r="T78" s="99"/>
    </row>
    <row r="79" spans="1:20" s="18" customFormat="1" x14ac:dyDescent="0.3">
      <c r="B79" s="245"/>
      <c r="C79" s="28">
        <v>4</v>
      </c>
      <c r="D79" s="168">
        <v>300000</v>
      </c>
      <c r="E79" s="161">
        <v>0</v>
      </c>
      <c r="F79" s="114">
        <v>300000</v>
      </c>
      <c r="G79" s="147">
        <v>100000</v>
      </c>
      <c r="H79" s="114">
        <v>0</v>
      </c>
      <c r="I79" s="114">
        <v>230000000</v>
      </c>
      <c r="J79" s="114">
        <v>70000000</v>
      </c>
      <c r="K79" s="153">
        <f t="shared" si="1"/>
        <v>62163182.091514051</v>
      </c>
      <c r="L79" s="117">
        <v>1.7999999999999999E-2</v>
      </c>
      <c r="M79" s="39">
        <v>0</v>
      </c>
      <c r="N79" s="132">
        <f t="shared" si="4"/>
        <v>11813032.202770745</v>
      </c>
      <c r="O79" s="25">
        <v>1.7999999999999999E-2</v>
      </c>
      <c r="P79" s="305">
        <f t="shared" si="2"/>
        <v>11813032.202770745</v>
      </c>
      <c r="Q79" s="167">
        <f t="shared" si="3"/>
        <v>73976214.294284791</v>
      </c>
      <c r="R79" s="116">
        <f t="shared" si="5"/>
        <v>230000000</v>
      </c>
      <c r="S79" s="116">
        <f t="shared" si="6"/>
        <v>143976214.29428479</v>
      </c>
      <c r="T79" s="99"/>
    </row>
    <row r="80" spans="1:20" s="18" customFormat="1" x14ac:dyDescent="0.3">
      <c r="B80" s="245"/>
      <c r="C80" s="28">
        <v>5</v>
      </c>
      <c r="D80" s="168">
        <v>300000</v>
      </c>
      <c r="E80" s="161">
        <v>0</v>
      </c>
      <c r="F80" s="114">
        <v>300000</v>
      </c>
      <c r="G80" s="147">
        <v>100000</v>
      </c>
      <c r="H80" s="114">
        <v>0</v>
      </c>
      <c r="I80" s="114">
        <v>230000000</v>
      </c>
      <c r="J80" s="114">
        <v>70000000</v>
      </c>
      <c r="K80" s="153">
        <f t="shared" si="1"/>
        <v>63689319.3691613</v>
      </c>
      <c r="L80" s="117">
        <v>1.7999999999999999E-2</v>
      </c>
      <c r="M80" s="39">
        <v>0</v>
      </c>
      <c r="N80" s="132">
        <f t="shared" si="4"/>
        <v>12331066.782420618</v>
      </c>
      <c r="O80" s="25">
        <v>1.7999999999999999E-2</v>
      </c>
      <c r="P80" s="305">
        <f t="shared" si="2"/>
        <v>12331066.782420618</v>
      </c>
      <c r="Q80" s="167">
        <f t="shared" si="3"/>
        <v>76020386.151581913</v>
      </c>
      <c r="R80" s="116">
        <f t="shared" si="5"/>
        <v>230000000</v>
      </c>
      <c r="S80" s="116">
        <f t="shared" si="6"/>
        <v>146020386.15158191</v>
      </c>
      <c r="T80" s="99"/>
    </row>
    <row r="81" spans="1:20" s="18" customFormat="1" x14ac:dyDescent="0.3">
      <c r="B81" s="245"/>
      <c r="C81" s="28">
        <v>6</v>
      </c>
      <c r="D81" s="168">
        <v>300000</v>
      </c>
      <c r="E81" s="161">
        <v>0</v>
      </c>
      <c r="F81" s="114">
        <v>300000</v>
      </c>
      <c r="G81" s="147">
        <v>100000</v>
      </c>
      <c r="H81" s="114">
        <v>0</v>
      </c>
      <c r="I81" s="114">
        <v>230000000</v>
      </c>
      <c r="J81" s="114">
        <v>70000000</v>
      </c>
      <c r="K81" s="153">
        <f t="shared" si="1"/>
        <v>65242927.117806204</v>
      </c>
      <c r="L81" s="117">
        <v>1.7999999999999999E-2</v>
      </c>
      <c r="M81" s="39">
        <v>0</v>
      </c>
      <c r="N81" s="132">
        <f t="shared" si="4"/>
        <v>12858425.984504189</v>
      </c>
      <c r="O81" s="25">
        <v>1.7999999999999999E-2</v>
      </c>
      <c r="P81" s="305">
        <f t="shared" si="2"/>
        <v>12858425.984504189</v>
      </c>
      <c r="Q81" s="167">
        <f t="shared" si="3"/>
        <v>78101353.102310389</v>
      </c>
      <c r="R81" s="116">
        <f t="shared" si="5"/>
        <v>230000000</v>
      </c>
      <c r="S81" s="116">
        <f t="shared" si="6"/>
        <v>148101353.10231039</v>
      </c>
      <c r="T81" s="99"/>
    </row>
    <row r="82" spans="1:20" s="18" customFormat="1" x14ac:dyDescent="0.3">
      <c r="B82" s="245"/>
      <c r="C82" s="28">
        <v>7</v>
      </c>
      <c r="D82" s="168">
        <v>300000</v>
      </c>
      <c r="E82" s="161">
        <v>0</v>
      </c>
      <c r="F82" s="114">
        <v>300000</v>
      </c>
      <c r="G82" s="147">
        <v>100000</v>
      </c>
      <c r="H82" s="114">
        <v>0</v>
      </c>
      <c r="I82" s="114">
        <v>230000000</v>
      </c>
      <c r="J82" s="114">
        <v>70000000</v>
      </c>
      <c r="K82" s="153">
        <f t="shared" si="1"/>
        <v>66824499.805926718</v>
      </c>
      <c r="L82" s="117">
        <v>1.7999999999999999E-2</v>
      </c>
      <c r="M82" s="39">
        <v>0</v>
      </c>
      <c r="N82" s="132">
        <f t="shared" si="4"/>
        <v>13395277.652225265</v>
      </c>
      <c r="O82" s="25">
        <v>1.7999999999999999E-2</v>
      </c>
      <c r="P82" s="305">
        <f t="shared" si="2"/>
        <v>13395277.652225265</v>
      </c>
      <c r="Q82" s="167">
        <f t="shared" si="3"/>
        <v>80219777.458151981</v>
      </c>
      <c r="R82" s="116">
        <f t="shared" si="5"/>
        <v>230000000</v>
      </c>
      <c r="S82" s="116">
        <f t="shared" si="6"/>
        <v>150219777.458152</v>
      </c>
      <c r="T82" s="99"/>
    </row>
    <row r="83" spans="1:20" s="18" customFormat="1" x14ac:dyDescent="0.3">
      <c r="B83" s="245"/>
      <c r="C83" s="28">
        <v>8</v>
      </c>
      <c r="D83" s="168">
        <v>300000</v>
      </c>
      <c r="E83" s="161">
        <v>0</v>
      </c>
      <c r="F83" s="114">
        <v>300000</v>
      </c>
      <c r="G83" s="147">
        <v>100000</v>
      </c>
      <c r="H83" s="114">
        <v>0</v>
      </c>
      <c r="I83" s="114">
        <v>230000000</v>
      </c>
      <c r="J83" s="114">
        <v>70000000</v>
      </c>
      <c r="K83" s="153">
        <f t="shared" si="1"/>
        <v>68434540.802433386</v>
      </c>
      <c r="L83" s="117">
        <v>1.7999999999999999E-2</v>
      </c>
      <c r="M83" s="39">
        <v>0</v>
      </c>
      <c r="N83" s="132">
        <f t="shared" si="4"/>
        <v>13941792.64996532</v>
      </c>
      <c r="O83" s="25">
        <v>1.7999999999999999E-2</v>
      </c>
      <c r="P83" s="305">
        <f t="shared" si="2"/>
        <v>13941792.64996532</v>
      </c>
      <c r="Q83" s="167">
        <f t="shared" si="3"/>
        <v>82376333.452398703</v>
      </c>
      <c r="R83" s="116">
        <f t="shared" si="5"/>
        <v>230000000</v>
      </c>
      <c r="S83" s="116">
        <f t="shared" si="6"/>
        <v>152376333.45239872</v>
      </c>
      <c r="T83" s="99"/>
    </row>
    <row r="84" spans="1:20" s="18" customFormat="1" x14ac:dyDescent="0.3">
      <c r="B84" s="245"/>
      <c r="C84" s="28">
        <v>9</v>
      </c>
      <c r="D84" s="168">
        <v>300000</v>
      </c>
      <c r="E84" s="161">
        <v>0</v>
      </c>
      <c r="F84" s="114">
        <v>300000</v>
      </c>
      <c r="G84" s="147">
        <v>100000</v>
      </c>
      <c r="H84" s="114">
        <v>0</v>
      </c>
      <c r="I84" s="114">
        <v>230000000</v>
      </c>
      <c r="J84" s="114">
        <v>70000000</v>
      </c>
      <c r="K84" s="153">
        <f t="shared" si="1"/>
        <v>70073562.536877185</v>
      </c>
      <c r="L84" s="117">
        <v>1.7999999999999999E-2</v>
      </c>
      <c r="M84" s="39">
        <v>0</v>
      </c>
      <c r="N84" s="132">
        <f t="shared" si="4"/>
        <v>14498144.917664696</v>
      </c>
      <c r="O84" s="25">
        <v>1.7999999999999999E-2</v>
      </c>
      <c r="P84" s="305">
        <f t="shared" si="2"/>
        <v>14498144.917664696</v>
      </c>
      <c r="Q84" s="167">
        <f t="shared" si="3"/>
        <v>84571707.454541877</v>
      </c>
      <c r="R84" s="116">
        <f t="shared" si="5"/>
        <v>230000000</v>
      </c>
      <c r="S84" s="116">
        <f t="shared" si="6"/>
        <v>154571707.45454186</v>
      </c>
      <c r="T84" s="99"/>
    </row>
    <row r="85" spans="1:20" s="18" customFormat="1" x14ac:dyDescent="0.3">
      <c r="B85" s="245"/>
      <c r="C85" s="28">
        <v>10</v>
      </c>
      <c r="D85" s="168">
        <v>300000</v>
      </c>
      <c r="E85" s="161">
        <v>0</v>
      </c>
      <c r="F85" s="114">
        <v>300000</v>
      </c>
      <c r="G85" s="147">
        <v>100000</v>
      </c>
      <c r="H85" s="114">
        <v>0</v>
      </c>
      <c r="I85" s="114">
        <v>230000000</v>
      </c>
      <c r="J85" s="114">
        <v>70000000</v>
      </c>
      <c r="K85" s="153">
        <f t="shared" si="1"/>
        <v>71742086.662540972</v>
      </c>
      <c r="L85" s="117">
        <v>1.7999999999999999E-2</v>
      </c>
      <c r="M85" s="39">
        <v>0</v>
      </c>
      <c r="N85" s="132">
        <f t="shared" si="4"/>
        <v>15064511.526182661</v>
      </c>
      <c r="O85" s="25">
        <v>1.7999999999999999E-2</v>
      </c>
      <c r="P85" s="305">
        <f t="shared" si="2"/>
        <v>15064511.526182661</v>
      </c>
      <c r="Q85" s="167">
        <f t="shared" si="3"/>
        <v>86806598.188723639</v>
      </c>
      <c r="R85" s="116">
        <f t="shared" si="5"/>
        <v>230000000</v>
      </c>
      <c r="S85" s="116">
        <f t="shared" si="6"/>
        <v>156806598.18872362</v>
      </c>
      <c r="T85" s="99"/>
    </row>
    <row r="86" spans="1:20" s="18" customFormat="1" ht="17.25" thickBot="1" x14ac:dyDescent="0.35">
      <c r="B86" s="245"/>
      <c r="C86" s="30">
        <v>11</v>
      </c>
      <c r="D86" s="168">
        <v>300000</v>
      </c>
      <c r="E86" s="161">
        <v>0</v>
      </c>
      <c r="F86" s="114">
        <v>300000</v>
      </c>
      <c r="G86" s="147">
        <v>100000</v>
      </c>
      <c r="H86" s="114">
        <v>0</v>
      </c>
      <c r="I86" s="114">
        <v>230000000</v>
      </c>
      <c r="J86" s="114">
        <v>70000000</v>
      </c>
      <c r="K86" s="153">
        <f t="shared" ref="K86:K149" si="7" xml:space="preserve"> (K85 + G86 + F86) + ((K85 + G86 + F86) * L86 )</f>
        <v>73440644.222466707</v>
      </c>
      <c r="L86" s="117">
        <v>1.7999999999999999E-2</v>
      </c>
      <c r="M86" s="39">
        <v>0</v>
      </c>
      <c r="N86" s="132">
        <f t="shared" si="4"/>
        <v>15641072.73365395</v>
      </c>
      <c r="O86" s="94">
        <v>1.7999999999999999E-2</v>
      </c>
      <c r="P86" s="305">
        <f t="shared" ref="P86:P149" si="8" xml:space="preserve"> M86 + N86</f>
        <v>15641072.73365395</v>
      </c>
      <c r="Q86" s="167">
        <f t="shared" ref="Q86:Q149" si="9" xml:space="preserve"> K86 + P86</f>
        <v>89081716.956120655</v>
      </c>
      <c r="R86" s="116">
        <f t="shared" si="5"/>
        <v>230000000</v>
      </c>
      <c r="S86" s="116">
        <f t="shared" si="6"/>
        <v>159081716.95612067</v>
      </c>
      <c r="T86" s="99"/>
    </row>
    <row r="87" spans="1:20" s="109" customFormat="1" ht="17.25" thickBot="1" x14ac:dyDescent="0.35">
      <c r="B87" s="245"/>
      <c r="C87" s="104">
        <v>12</v>
      </c>
      <c r="D87" s="168">
        <v>300000</v>
      </c>
      <c r="E87" s="162">
        <v>0</v>
      </c>
      <c r="F87" s="114">
        <v>300000</v>
      </c>
      <c r="G87" s="147">
        <v>100000</v>
      </c>
      <c r="H87" s="114">
        <v>0</v>
      </c>
      <c r="I87" s="114">
        <v>230000000</v>
      </c>
      <c r="J87" s="114">
        <v>70000000</v>
      </c>
      <c r="K87" s="154">
        <f t="shared" si="7"/>
        <v>75169775.818471104</v>
      </c>
      <c r="L87" s="105">
        <v>1.7999999999999999E-2</v>
      </c>
      <c r="M87" s="39">
        <v>0</v>
      </c>
      <c r="N87" s="132">
        <f t="shared" si="4"/>
        <v>16228012.04285972</v>
      </c>
      <c r="O87" s="106">
        <v>1.7999999999999999E-2</v>
      </c>
      <c r="P87" s="305">
        <f t="shared" si="8"/>
        <v>16228012.04285972</v>
      </c>
      <c r="Q87" s="167">
        <f t="shared" si="9"/>
        <v>91397787.861330822</v>
      </c>
      <c r="R87" s="116">
        <f t="shared" si="5"/>
        <v>230000000</v>
      </c>
      <c r="S87" s="116">
        <f t="shared" si="6"/>
        <v>161397787.86133081</v>
      </c>
      <c r="T87" s="122"/>
    </row>
    <row r="88" spans="1:20" s="18" customFormat="1" x14ac:dyDescent="0.3">
      <c r="A88" s="18">
        <v>8</v>
      </c>
      <c r="B88" s="245">
        <v>2029</v>
      </c>
      <c r="C88" s="27">
        <v>1</v>
      </c>
      <c r="D88" s="168">
        <v>300000</v>
      </c>
      <c r="E88" s="161">
        <v>0</v>
      </c>
      <c r="F88" s="114">
        <v>300000</v>
      </c>
      <c r="G88" s="147">
        <v>100000</v>
      </c>
      <c r="H88" s="114">
        <v>0</v>
      </c>
      <c r="I88" s="114">
        <v>230000000</v>
      </c>
      <c r="J88" s="114">
        <v>70000000</v>
      </c>
      <c r="K88" s="153">
        <f t="shared" si="7"/>
        <v>76930031.783203587</v>
      </c>
      <c r="L88" s="117">
        <v>1.7999999999999999E-2</v>
      </c>
      <c r="M88" s="39">
        <v>0</v>
      </c>
      <c r="N88" s="132">
        <f t="shared" ref="N88:N151" si="10" xml:space="preserve"> (N87 + D88 - E88 - M88) + ((N87 + D88 - E88 - M88) * O88)</f>
        <v>16594124.091031158</v>
      </c>
      <c r="O88" s="93">
        <v>4.0000000000000001E-3</v>
      </c>
      <c r="P88" s="305">
        <f t="shared" si="8"/>
        <v>16594124.091031158</v>
      </c>
      <c r="Q88" s="167">
        <f t="shared" si="9"/>
        <v>93524155.874234751</v>
      </c>
      <c r="R88" s="116">
        <f t="shared" si="5"/>
        <v>230000000</v>
      </c>
      <c r="S88" s="116">
        <f t="shared" si="6"/>
        <v>163524155.87423474</v>
      </c>
      <c r="T88" s="99"/>
    </row>
    <row r="89" spans="1:20" s="18" customFormat="1" x14ac:dyDescent="0.3">
      <c r="B89" s="245"/>
      <c r="C89" s="28">
        <v>2</v>
      </c>
      <c r="D89" s="168">
        <v>300000</v>
      </c>
      <c r="E89" s="161">
        <v>0</v>
      </c>
      <c r="F89" s="114">
        <v>300000</v>
      </c>
      <c r="G89" s="147">
        <v>100000</v>
      </c>
      <c r="H89" s="114">
        <v>0</v>
      </c>
      <c r="I89" s="114">
        <v>230000000</v>
      </c>
      <c r="J89" s="114">
        <v>70000000</v>
      </c>
      <c r="K89" s="153">
        <f t="shared" si="7"/>
        <v>78721972.355301246</v>
      </c>
      <c r="L89" s="117">
        <v>1.7999999999999999E-2</v>
      </c>
      <c r="M89" s="39">
        <v>0</v>
      </c>
      <c r="N89" s="132">
        <f t="shared" si="10"/>
        <v>17198218.324669719</v>
      </c>
      <c r="O89" s="25">
        <v>1.7999999999999999E-2</v>
      </c>
      <c r="P89" s="305">
        <f t="shared" si="8"/>
        <v>17198218.324669719</v>
      </c>
      <c r="Q89" s="167">
        <f t="shared" si="9"/>
        <v>95920190.679970965</v>
      </c>
      <c r="R89" s="116">
        <f t="shared" si="5"/>
        <v>230000000</v>
      </c>
      <c r="S89" s="116">
        <f t="shared" si="6"/>
        <v>165920190.67997098</v>
      </c>
      <c r="T89" s="99"/>
    </row>
    <row r="90" spans="1:20" s="18" customFormat="1" x14ac:dyDescent="0.3">
      <c r="B90" s="245"/>
      <c r="C90" s="28">
        <v>3</v>
      </c>
      <c r="D90" s="168">
        <v>300000</v>
      </c>
      <c r="E90" s="161">
        <v>0</v>
      </c>
      <c r="F90" s="114">
        <v>300000</v>
      </c>
      <c r="G90" s="147">
        <v>100000</v>
      </c>
      <c r="H90" s="114">
        <v>0</v>
      </c>
      <c r="I90" s="114">
        <v>230000000</v>
      </c>
      <c r="J90" s="114">
        <v>70000000</v>
      </c>
      <c r="K90" s="153">
        <f t="shared" si="7"/>
        <v>80546167.857696667</v>
      </c>
      <c r="L90" s="117">
        <v>1.7999999999999999E-2</v>
      </c>
      <c r="M90" s="39">
        <v>0</v>
      </c>
      <c r="N90" s="132">
        <f t="shared" si="10"/>
        <v>17813186.254513774</v>
      </c>
      <c r="O90" s="25">
        <v>1.7999999999999999E-2</v>
      </c>
      <c r="P90" s="305">
        <f t="shared" si="8"/>
        <v>17813186.254513774</v>
      </c>
      <c r="Q90" s="167">
        <f t="shared" si="9"/>
        <v>98359354.112210438</v>
      </c>
      <c r="R90" s="116">
        <f t="shared" si="5"/>
        <v>230000000</v>
      </c>
      <c r="S90" s="116">
        <f t="shared" si="6"/>
        <v>168359354.11221045</v>
      </c>
      <c r="T90" s="99"/>
    </row>
    <row r="91" spans="1:20" s="18" customFormat="1" x14ac:dyDescent="0.3">
      <c r="B91" s="245"/>
      <c r="C91" s="28">
        <v>4</v>
      </c>
      <c r="D91" s="168">
        <v>300000</v>
      </c>
      <c r="E91" s="161">
        <v>0</v>
      </c>
      <c r="F91" s="114">
        <v>300000</v>
      </c>
      <c r="G91" s="147">
        <v>100000</v>
      </c>
      <c r="H91" s="114">
        <v>0</v>
      </c>
      <c r="I91" s="114">
        <v>230000000</v>
      </c>
      <c r="J91" s="114">
        <v>70000000</v>
      </c>
      <c r="K91" s="153">
        <f t="shared" si="7"/>
        <v>82403198.879135206</v>
      </c>
      <c r="L91" s="117">
        <v>1.7999999999999999E-2</v>
      </c>
      <c r="M91" s="39">
        <v>0</v>
      </c>
      <c r="N91" s="132">
        <f t="shared" si="10"/>
        <v>18439223.607095022</v>
      </c>
      <c r="O91" s="25">
        <v>1.7999999999999999E-2</v>
      </c>
      <c r="P91" s="305">
        <f t="shared" si="8"/>
        <v>18439223.607095022</v>
      </c>
      <c r="Q91" s="167">
        <f t="shared" si="9"/>
        <v>100842422.48623022</v>
      </c>
      <c r="R91" s="116">
        <f t="shared" ref="R91:R154" si="11" xml:space="preserve"> H91 + I91</f>
        <v>230000000</v>
      </c>
      <c r="S91" s="116">
        <f t="shared" ref="S91:S154" si="12" xml:space="preserve"> J91 + Q91</f>
        <v>170842422.48623022</v>
      </c>
      <c r="T91" s="99"/>
    </row>
    <row r="92" spans="1:20" s="18" customFormat="1" x14ac:dyDescent="0.3">
      <c r="B92" s="245"/>
      <c r="C92" s="28">
        <v>5</v>
      </c>
      <c r="D92" s="168">
        <v>300000</v>
      </c>
      <c r="E92" s="161">
        <v>0</v>
      </c>
      <c r="F92" s="114">
        <v>300000</v>
      </c>
      <c r="G92" s="147">
        <v>100000</v>
      </c>
      <c r="H92" s="114">
        <v>0</v>
      </c>
      <c r="I92" s="114">
        <v>230000000</v>
      </c>
      <c r="J92" s="114">
        <v>70000000</v>
      </c>
      <c r="K92" s="153">
        <f t="shared" si="7"/>
        <v>84293656.458959639</v>
      </c>
      <c r="L92" s="117">
        <v>1.7999999999999999E-2</v>
      </c>
      <c r="M92" s="39">
        <v>0</v>
      </c>
      <c r="N92" s="132">
        <f t="shared" si="10"/>
        <v>19076529.632022731</v>
      </c>
      <c r="O92" s="25">
        <v>1.7999999999999999E-2</v>
      </c>
      <c r="P92" s="305">
        <f t="shared" si="8"/>
        <v>19076529.632022731</v>
      </c>
      <c r="Q92" s="167">
        <f t="shared" si="9"/>
        <v>103370186.09098238</v>
      </c>
      <c r="R92" s="116">
        <f t="shared" si="11"/>
        <v>230000000</v>
      </c>
      <c r="S92" s="116">
        <f t="shared" si="12"/>
        <v>173370186.09098238</v>
      </c>
      <c r="T92" s="99"/>
    </row>
    <row r="93" spans="1:20" s="18" customFormat="1" x14ac:dyDescent="0.3">
      <c r="B93" s="245"/>
      <c r="C93" s="28">
        <v>6</v>
      </c>
      <c r="D93" s="168">
        <v>300000</v>
      </c>
      <c r="E93" s="161">
        <v>0</v>
      </c>
      <c r="F93" s="114">
        <v>300000</v>
      </c>
      <c r="G93" s="147">
        <v>100000</v>
      </c>
      <c r="H93" s="114">
        <v>0</v>
      </c>
      <c r="I93" s="114">
        <v>230000000</v>
      </c>
      <c r="J93" s="114">
        <v>70000000</v>
      </c>
      <c r="K93" s="153">
        <f t="shared" si="7"/>
        <v>86218142.275220916</v>
      </c>
      <c r="L93" s="117">
        <v>1.7999999999999999E-2</v>
      </c>
      <c r="M93" s="39">
        <v>0</v>
      </c>
      <c r="N93" s="132">
        <f t="shared" si="10"/>
        <v>19725307.165399142</v>
      </c>
      <c r="O93" s="25">
        <v>1.7999999999999999E-2</v>
      </c>
      <c r="P93" s="305">
        <f t="shared" si="8"/>
        <v>19725307.165399142</v>
      </c>
      <c r="Q93" s="167">
        <f t="shared" si="9"/>
        <v>105943449.44062006</v>
      </c>
      <c r="R93" s="116">
        <f t="shared" si="11"/>
        <v>230000000</v>
      </c>
      <c r="S93" s="116">
        <f t="shared" si="12"/>
        <v>175943449.44062006</v>
      </c>
      <c r="T93" s="99"/>
    </row>
    <row r="94" spans="1:20" s="18" customFormat="1" x14ac:dyDescent="0.3">
      <c r="B94" s="245"/>
      <c r="C94" s="28">
        <v>7</v>
      </c>
      <c r="D94" s="168">
        <v>300000</v>
      </c>
      <c r="E94" s="161">
        <v>0</v>
      </c>
      <c r="F94" s="114">
        <v>300000</v>
      </c>
      <c r="G94" s="147">
        <v>100000</v>
      </c>
      <c r="H94" s="114">
        <v>0</v>
      </c>
      <c r="I94" s="114">
        <v>230000000</v>
      </c>
      <c r="J94" s="114">
        <v>70000000</v>
      </c>
      <c r="K94" s="153">
        <f t="shared" si="7"/>
        <v>88177268.83617489</v>
      </c>
      <c r="L94" s="117">
        <v>1.7999999999999999E-2</v>
      </c>
      <c r="M94" s="39">
        <v>0</v>
      </c>
      <c r="N94" s="132">
        <f t="shared" si="10"/>
        <v>20385762.694376327</v>
      </c>
      <c r="O94" s="25">
        <v>1.7999999999999999E-2</v>
      </c>
      <c r="P94" s="305">
        <f t="shared" si="8"/>
        <v>20385762.694376327</v>
      </c>
      <c r="Q94" s="167">
        <f t="shared" si="9"/>
        <v>108563031.53055122</v>
      </c>
      <c r="R94" s="116">
        <f t="shared" si="11"/>
        <v>230000000</v>
      </c>
      <c r="S94" s="116">
        <f t="shared" si="12"/>
        <v>178563031.53055122</v>
      </c>
      <c r="T94" s="99"/>
    </row>
    <row r="95" spans="1:20" s="18" customFormat="1" x14ac:dyDescent="0.3">
      <c r="B95" s="245"/>
      <c r="C95" s="28">
        <v>8</v>
      </c>
      <c r="D95" s="168">
        <v>300000</v>
      </c>
      <c r="E95" s="161">
        <v>0</v>
      </c>
      <c r="F95" s="114">
        <v>300000</v>
      </c>
      <c r="G95" s="147">
        <v>100000</v>
      </c>
      <c r="H95" s="114">
        <v>0</v>
      </c>
      <c r="I95" s="114">
        <v>230000000</v>
      </c>
      <c r="J95" s="114">
        <v>70000000</v>
      </c>
      <c r="K95" s="153">
        <f t="shared" si="7"/>
        <v>90171659.675226033</v>
      </c>
      <c r="L95" s="117">
        <v>1.7999999999999999E-2</v>
      </c>
      <c r="M95" s="39">
        <v>0</v>
      </c>
      <c r="N95" s="132">
        <f t="shared" si="10"/>
        <v>21058106.422875103</v>
      </c>
      <c r="O95" s="25">
        <v>1.7999999999999999E-2</v>
      </c>
      <c r="P95" s="305">
        <f t="shared" si="8"/>
        <v>21058106.422875103</v>
      </c>
      <c r="Q95" s="167">
        <f t="shared" si="9"/>
        <v>111229766.09810114</v>
      </c>
      <c r="R95" s="116">
        <f t="shared" si="11"/>
        <v>230000000</v>
      </c>
      <c r="S95" s="116">
        <f t="shared" si="12"/>
        <v>181229766.09810114</v>
      </c>
      <c r="T95" s="99"/>
    </row>
    <row r="96" spans="1:20" s="18" customFormat="1" x14ac:dyDescent="0.3">
      <c r="B96" s="245"/>
      <c r="C96" s="28">
        <v>9</v>
      </c>
      <c r="D96" s="168">
        <v>300000</v>
      </c>
      <c r="E96" s="161">
        <v>0</v>
      </c>
      <c r="F96" s="114">
        <v>300000</v>
      </c>
      <c r="G96" s="147">
        <v>100000</v>
      </c>
      <c r="H96" s="114">
        <v>0</v>
      </c>
      <c r="I96" s="114">
        <v>230000000</v>
      </c>
      <c r="J96" s="114">
        <v>70000000</v>
      </c>
      <c r="K96" s="153">
        <f t="shared" si="7"/>
        <v>92201949.549380094</v>
      </c>
      <c r="L96" s="117">
        <v>1.7999999999999999E-2</v>
      </c>
      <c r="M96" s="39">
        <v>0</v>
      </c>
      <c r="N96" s="132">
        <f t="shared" si="10"/>
        <v>21742552.338486854</v>
      </c>
      <c r="O96" s="25">
        <v>1.7999999999999999E-2</v>
      </c>
      <c r="P96" s="305">
        <f t="shared" si="8"/>
        <v>21742552.338486854</v>
      </c>
      <c r="Q96" s="167">
        <f t="shared" si="9"/>
        <v>113944501.88786694</v>
      </c>
      <c r="R96" s="116">
        <f t="shared" si="11"/>
        <v>230000000</v>
      </c>
      <c r="S96" s="116">
        <f t="shared" si="12"/>
        <v>183944501.88786694</v>
      </c>
      <c r="T96" s="99"/>
    </row>
    <row r="97" spans="1:20" s="18" customFormat="1" x14ac:dyDescent="0.3">
      <c r="B97" s="245"/>
      <c r="C97" s="28">
        <v>10</v>
      </c>
      <c r="D97" s="168">
        <v>300000</v>
      </c>
      <c r="E97" s="161">
        <v>0</v>
      </c>
      <c r="F97" s="114">
        <v>300000</v>
      </c>
      <c r="G97" s="147">
        <v>100000</v>
      </c>
      <c r="H97" s="114">
        <v>0</v>
      </c>
      <c r="I97" s="114">
        <v>230000000</v>
      </c>
      <c r="J97" s="114">
        <v>70000000</v>
      </c>
      <c r="K97" s="153">
        <f t="shared" si="7"/>
        <v>94268784.641268939</v>
      </c>
      <c r="L97" s="117">
        <v>1.7999999999999999E-2</v>
      </c>
      <c r="M97" s="39">
        <v>0</v>
      </c>
      <c r="N97" s="132">
        <f t="shared" si="10"/>
        <v>22439318.280579619</v>
      </c>
      <c r="O97" s="25">
        <v>1.7999999999999999E-2</v>
      </c>
      <c r="P97" s="305">
        <f t="shared" si="8"/>
        <v>22439318.280579619</v>
      </c>
      <c r="Q97" s="167">
        <f t="shared" si="9"/>
        <v>116708102.92184857</v>
      </c>
      <c r="R97" s="116">
        <f t="shared" si="11"/>
        <v>230000000</v>
      </c>
      <c r="S97" s="116">
        <f t="shared" si="12"/>
        <v>186708102.92184857</v>
      </c>
      <c r="T97" s="99"/>
    </row>
    <row r="98" spans="1:20" s="18" customFormat="1" ht="17.25" thickBot="1" x14ac:dyDescent="0.35">
      <c r="B98" s="245"/>
      <c r="C98" s="30">
        <v>11</v>
      </c>
      <c r="D98" s="168">
        <v>300000</v>
      </c>
      <c r="E98" s="161">
        <v>0</v>
      </c>
      <c r="F98" s="114">
        <v>300000</v>
      </c>
      <c r="G98" s="147">
        <v>100000</v>
      </c>
      <c r="H98" s="114">
        <v>0</v>
      </c>
      <c r="I98" s="114">
        <v>230000000</v>
      </c>
      <c r="J98" s="114">
        <v>70000000</v>
      </c>
      <c r="K98" s="153">
        <f t="shared" si="7"/>
        <v>96372822.764811784</v>
      </c>
      <c r="L98" s="117">
        <v>1.7999999999999999E-2</v>
      </c>
      <c r="M98" s="39">
        <v>0</v>
      </c>
      <c r="N98" s="132">
        <f t="shared" si="10"/>
        <v>23148626.009630051</v>
      </c>
      <c r="O98" s="94">
        <v>1.7999999999999999E-2</v>
      </c>
      <c r="P98" s="305">
        <f t="shared" si="8"/>
        <v>23148626.009630051</v>
      </c>
      <c r="Q98" s="167">
        <f t="shared" si="9"/>
        <v>119521448.77444184</v>
      </c>
      <c r="R98" s="116">
        <f t="shared" si="11"/>
        <v>230000000</v>
      </c>
      <c r="S98" s="116">
        <f t="shared" si="12"/>
        <v>189521448.77444184</v>
      </c>
      <c r="T98" s="99"/>
    </row>
    <row r="99" spans="1:20" s="109" customFormat="1" ht="17.25" thickBot="1" x14ac:dyDescent="0.35">
      <c r="B99" s="245"/>
      <c r="C99" s="104">
        <v>12</v>
      </c>
      <c r="D99" s="168">
        <v>300000</v>
      </c>
      <c r="E99" s="162">
        <v>0</v>
      </c>
      <c r="F99" s="114">
        <v>300000</v>
      </c>
      <c r="G99" s="147">
        <v>100000</v>
      </c>
      <c r="H99" s="114">
        <v>0</v>
      </c>
      <c r="I99" s="114">
        <v>230000000</v>
      </c>
      <c r="J99" s="114">
        <v>70000000</v>
      </c>
      <c r="K99" s="154">
        <f t="shared" si="7"/>
        <v>98514733.57457839</v>
      </c>
      <c r="L99" s="105">
        <v>1.7999999999999999E-2</v>
      </c>
      <c r="M99" s="39">
        <v>0</v>
      </c>
      <c r="N99" s="132">
        <f t="shared" si="10"/>
        <v>23870701.277803391</v>
      </c>
      <c r="O99" s="106">
        <v>1.7999999999999999E-2</v>
      </c>
      <c r="P99" s="305">
        <f t="shared" si="8"/>
        <v>23870701.277803391</v>
      </c>
      <c r="Q99" s="167">
        <f t="shared" si="9"/>
        <v>122385434.85238178</v>
      </c>
      <c r="R99" s="116">
        <f t="shared" si="11"/>
        <v>230000000</v>
      </c>
      <c r="S99" s="116">
        <f t="shared" si="12"/>
        <v>192385434.85238177</v>
      </c>
      <c r="T99" s="122"/>
    </row>
    <row r="100" spans="1:20" s="18" customFormat="1" x14ac:dyDescent="0.3">
      <c r="A100" s="18">
        <v>9</v>
      </c>
      <c r="B100" s="245">
        <v>2030</v>
      </c>
      <c r="C100" s="27">
        <v>1</v>
      </c>
      <c r="D100" s="168">
        <v>300000</v>
      </c>
      <c r="E100" s="161">
        <v>0</v>
      </c>
      <c r="F100" s="114">
        <v>300000</v>
      </c>
      <c r="G100" s="147">
        <v>100000</v>
      </c>
      <c r="H100" s="114">
        <v>0</v>
      </c>
      <c r="I100" s="114">
        <v>230000000</v>
      </c>
      <c r="J100" s="114">
        <v>70000000</v>
      </c>
      <c r="K100" s="153">
        <f t="shared" si="7"/>
        <v>100695198.7789208</v>
      </c>
      <c r="L100" s="117">
        <v>1.7999999999999999E-2</v>
      </c>
      <c r="M100" s="39">
        <v>0</v>
      </c>
      <c r="N100" s="132">
        <f t="shared" si="10"/>
        <v>24267384.082914606</v>
      </c>
      <c r="O100" s="93">
        <v>4.0000000000000001E-3</v>
      </c>
      <c r="P100" s="305">
        <f t="shared" si="8"/>
        <v>24267384.082914606</v>
      </c>
      <c r="Q100" s="167">
        <f t="shared" si="9"/>
        <v>124962582.86183541</v>
      </c>
      <c r="R100" s="116">
        <f t="shared" si="11"/>
        <v>230000000</v>
      </c>
      <c r="S100" s="116">
        <f t="shared" si="12"/>
        <v>194962582.86183542</v>
      </c>
      <c r="T100" s="99"/>
    </row>
    <row r="101" spans="1:20" s="18" customFormat="1" x14ac:dyDescent="0.3">
      <c r="B101" s="245"/>
      <c r="C101" s="28">
        <v>2</v>
      </c>
      <c r="D101" s="168">
        <v>300000</v>
      </c>
      <c r="E101" s="161">
        <v>0</v>
      </c>
      <c r="F101" s="114">
        <v>300000</v>
      </c>
      <c r="G101" s="147">
        <v>100000</v>
      </c>
      <c r="H101" s="114">
        <v>0</v>
      </c>
      <c r="I101" s="114">
        <v>230000000</v>
      </c>
      <c r="J101" s="114">
        <v>70000000</v>
      </c>
      <c r="K101" s="153">
        <f t="shared" si="7"/>
        <v>102914912.35694137</v>
      </c>
      <c r="L101" s="117">
        <v>1.7999999999999999E-2</v>
      </c>
      <c r="M101" s="39">
        <v>0</v>
      </c>
      <c r="N101" s="132">
        <f t="shared" si="10"/>
        <v>25009596.996407069</v>
      </c>
      <c r="O101" s="25">
        <v>1.7999999999999999E-2</v>
      </c>
      <c r="P101" s="305">
        <f t="shared" si="8"/>
        <v>25009596.996407069</v>
      </c>
      <c r="Q101" s="167">
        <f t="shared" si="9"/>
        <v>127924509.35334843</v>
      </c>
      <c r="R101" s="116">
        <f t="shared" si="11"/>
        <v>230000000</v>
      </c>
      <c r="S101" s="116">
        <f t="shared" si="12"/>
        <v>197924509.35334843</v>
      </c>
      <c r="T101" s="99"/>
    </row>
    <row r="102" spans="1:20" s="18" customFormat="1" x14ac:dyDescent="0.3">
      <c r="B102" s="245"/>
      <c r="C102" s="28">
        <v>3</v>
      </c>
      <c r="D102" s="168">
        <v>300000</v>
      </c>
      <c r="E102" s="161">
        <v>0</v>
      </c>
      <c r="F102" s="114">
        <v>300000</v>
      </c>
      <c r="G102" s="147">
        <v>100000</v>
      </c>
      <c r="H102" s="114">
        <v>0</v>
      </c>
      <c r="I102" s="114">
        <v>230000000</v>
      </c>
      <c r="J102" s="114">
        <v>70000000</v>
      </c>
      <c r="K102" s="153">
        <f t="shared" si="7"/>
        <v>105174580.77936631</v>
      </c>
      <c r="L102" s="117">
        <v>1.7999999999999999E-2</v>
      </c>
      <c r="M102" s="39">
        <v>0</v>
      </c>
      <c r="N102" s="132">
        <f t="shared" si="10"/>
        <v>25765169.742342398</v>
      </c>
      <c r="O102" s="25">
        <v>1.7999999999999999E-2</v>
      </c>
      <c r="P102" s="305">
        <f t="shared" si="8"/>
        <v>25765169.742342398</v>
      </c>
      <c r="Q102" s="167">
        <f t="shared" si="9"/>
        <v>130939750.52170871</v>
      </c>
      <c r="R102" s="116">
        <f t="shared" si="11"/>
        <v>230000000</v>
      </c>
      <c r="S102" s="116">
        <f t="shared" si="12"/>
        <v>200939750.52170873</v>
      </c>
      <c r="T102" s="99"/>
    </row>
    <row r="103" spans="1:20" s="18" customFormat="1" x14ac:dyDescent="0.3">
      <c r="B103" s="245"/>
      <c r="C103" s="28">
        <v>4</v>
      </c>
      <c r="D103" s="168">
        <v>300000</v>
      </c>
      <c r="E103" s="161">
        <v>0</v>
      </c>
      <c r="F103" s="114">
        <v>300000</v>
      </c>
      <c r="G103" s="147">
        <v>100000</v>
      </c>
      <c r="H103" s="114">
        <v>0</v>
      </c>
      <c r="I103" s="114">
        <v>230000000</v>
      </c>
      <c r="J103" s="114">
        <v>70000000</v>
      </c>
      <c r="K103" s="153">
        <f t="shared" si="7"/>
        <v>107474923.23339491</v>
      </c>
      <c r="L103" s="117">
        <v>1.7999999999999999E-2</v>
      </c>
      <c r="M103" s="39">
        <v>0</v>
      </c>
      <c r="N103" s="132">
        <f t="shared" si="10"/>
        <v>26534342.797704563</v>
      </c>
      <c r="O103" s="25">
        <v>1.7999999999999999E-2</v>
      </c>
      <c r="P103" s="305">
        <f t="shared" si="8"/>
        <v>26534342.797704563</v>
      </c>
      <c r="Q103" s="167">
        <f t="shared" si="9"/>
        <v>134009266.03109947</v>
      </c>
      <c r="R103" s="116">
        <f t="shared" si="11"/>
        <v>230000000</v>
      </c>
      <c r="S103" s="116">
        <f t="shared" si="12"/>
        <v>204009266.03109947</v>
      </c>
      <c r="T103" s="99"/>
    </row>
    <row r="104" spans="1:20" s="18" customFormat="1" x14ac:dyDescent="0.3">
      <c r="B104" s="245"/>
      <c r="C104" s="28">
        <v>5</v>
      </c>
      <c r="D104" s="168">
        <v>300000</v>
      </c>
      <c r="E104" s="161">
        <v>0</v>
      </c>
      <c r="F104" s="114">
        <v>300000</v>
      </c>
      <c r="G104" s="147">
        <v>100000</v>
      </c>
      <c r="H104" s="114">
        <v>0</v>
      </c>
      <c r="I104" s="114">
        <v>230000000</v>
      </c>
      <c r="J104" s="114">
        <v>70000000</v>
      </c>
      <c r="K104" s="153">
        <f t="shared" si="7"/>
        <v>109816671.85159601</v>
      </c>
      <c r="L104" s="117">
        <v>1.7999999999999999E-2</v>
      </c>
      <c r="M104" s="39">
        <v>0</v>
      </c>
      <c r="N104" s="132">
        <f t="shared" si="10"/>
        <v>27317360.968063246</v>
      </c>
      <c r="O104" s="25">
        <v>1.7999999999999999E-2</v>
      </c>
      <c r="P104" s="305">
        <f t="shared" si="8"/>
        <v>27317360.968063246</v>
      </c>
      <c r="Q104" s="167">
        <f t="shared" si="9"/>
        <v>137134032.81965926</v>
      </c>
      <c r="R104" s="116">
        <f t="shared" si="11"/>
        <v>230000000</v>
      </c>
      <c r="S104" s="116">
        <f t="shared" si="12"/>
        <v>207134032.81965926</v>
      </c>
      <c r="T104" s="99"/>
    </row>
    <row r="105" spans="1:20" s="18" customFormat="1" x14ac:dyDescent="0.3">
      <c r="B105" s="245"/>
      <c r="C105" s="28">
        <v>6</v>
      </c>
      <c r="D105" s="168">
        <v>300000</v>
      </c>
      <c r="E105" s="161">
        <v>0</v>
      </c>
      <c r="F105" s="114">
        <v>300000</v>
      </c>
      <c r="G105" s="147">
        <v>100000</v>
      </c>
      <c r="H105" s="114">
        <v>0</v>
      </c>
      <c r="I105" s="114">
        <v>230000000</v>
      </c>
      <c r="J105" s="114">
        <v>70000000</v>
      </c>
      <c r="K105" s="153">
        <f t="shared" si="7"/>
        <v>112200571.94492474</v>
      </c>
      <c r="L105" s="117">
        <v>1.7999999999999999E-2</v>
      </c>
      <c r="M105" s="39">
        <v>0</v>
      </c>
      <c r="N105" s="132">
        <f t="shared" si="10"/>
        <v>28114473.465488385</v>
      </c>
      <c r="O105" s="25">
        <v>1.7999999999999999E-2</v>
      </c>
      <c r="P105" s="305">
        <f t="shared" si="8"/>
        <v>28114473.465488385</v>
      </c>
      <c r="Q105" s="167">
        <f t="shared" si="9"/>
        <v>140315045.41041312</v>
      </c>
      <c r="R105" s="116">
        <f t="shared" si="11"/>
        <v>230000000</v>
      </c>
      <c r="S105" s="116">
        <f t="shared" si="12"/>
        <v>210315045.41041312</v>
      </c>
      <c r="T105" s="99"/>
    </row>
    <row r="106" spans="1:20" s="18" customFormat="1" x14ac:dyDescent="0.3">
      <c r="B106" s="245"/>
      <c r="C106" s="28">
        <v>7</v>
      </c>
      <c r="D106" s="168">
        <v>300000</v>
      </c>
      <c r="E106" s="161">
        <v>0</v>
      </c>
      <c r="F106" s="114">
        <v>300000</v>
      </c>
      <c r="G106" s="147">
        <v>100000</v>
      </c>
      <c r="H106" s="114">
        <v>0</v>
      </c>
      <c r="I106" s="114">
        <v>230000000</v>
      </c>
      <c r="J106" s="114">
        <v>70000000</v>
      </c>
      <c r="K106" s="153">
        <f t="shared" si="7"/>
        <v>114627382.23993339</v>
      </c>
      <c r="L106" s="117">
        <v>1.7999999999999999E-2</v>
      </c>
      <c r="M106" s="39">
        <v>0</v>
      </c>
      <c r="N106" s="132">
        <f t="shared" si="10"/>
        <v>28925933.987867177</v>
      </c>
      <c r="O106" s="25">
        <v>1.7999999999999999E-2</v>
      </c>
      <c r="P106" s="305">
        <f t="shared" si="8"/>
        <v>28925933.987867177</v>
      </c>
      <c r="Q106" s="167">
        <f t="shared" si="9"/>
        <v>143553316.22780055</v>
      </c>
      <c r="R106" s="116">
        <f t="shared" si="11"/>
        <v>230000000</v>
      </c>
      <c r="S106" s="116">
        <f t="shared" si="12"/>
        <v>213553316.22780055</v>
      </c>
      <c r="T106" s="99"/>
    </row>
    <row r="107" spans="1:20" s="18" customFormat="1" x14ac:dyDescent="0.3">
      <c r="B107" s="245"/>
      <c r="C107" s="28">
        <v>8</v>
      </c>
      <c r="D107" s="168">
        <v>300000</v>
      </c>
      <c r="E107" s="161">
        <v>0</v>
      </c>
      <c r="F107" s="114">
        <v>300000</v>
      </c>
      <c r="G107" s="147">
        <v>100000</v>
      </c>
      <c r="H107" s="114">
        <v>0</v>
      </c>
      <c r="I107" s="114">
        <v>230000000</v>
      </c>
      <c r="J107" s="114">
        <v>70000000</v>
      </c>
      <c r="K107" s="153">
        <f t="shared" si="7"/>
        <v>117097875.12025219</v>
      </c>
      <c r="L107" s="117">
        <v>1.7999999999999999E-2</v>
      </c>
      <c r="M107" s="39">
        <v>0</v>
      </c>
      <c r="N107" s="132">
        <f t="shared" si="10"/>
        <v>29752000.799648784</v>
      </c>
      <c r="O107" s="25">
        <v>1.7999999999999999E-2</v>
      </c>
      <c r="P107" s="305">
        <f t="shared" si="8"/>
        <v>29752000.799648784</v>
      </c>
      <c r="Q107" s="167">
        <f t="shared" si="9"/>
        <v>146849875.91990098</v>
      </c>
      <c r="R107" s="116">
        <f t="shared" si="11"/>
        <v>230000000</v>
      </c>
      <c r="S107" s="116">
        <f t="shared" si="12"/>
        <v>216849875.91990098</v>
      </c>
      <c r="T107" s="99"/>
    </row>
    <row r="108" spans="1:20" s="18" customFormat="1" x14ac:dyDescent="0.3">
      <c r="B108" s="245"/>
      <c r="C108" s="28">
        <v>9</v>
      </c>
      <c r="D108" s="168">
        <v>300000</v>
      </c>
      <c r="E108" s="161">
        <v>0</v>
      </c>
      <c r="F108" s="114">
        <v>300000</v>
      </c>
      <c r="G108" s="147">
        <v>100000</v>
      </c>
      <c r="H108" s="114">
        <v>0</v>
      </c>
      <c r="I108" s="114">
        <v>230000000</v>
      </c>
      <c r="J108" s="114">
        <v>70000000</v>
      </c>
      <c r="K108" s="153">
        <f t="shared" si="7"/>
        <v>119612836.87241673</v>
      </c>
      <c r="L108" s="117">
        <v>1.7999999999999999E-2</v>
      </c>
      <c r="M108" s="39">
        <v>0</v>
      </c>
      <c r="N108" s="132">
        <f t="shared" si="10"/>
        <v>30592936.814042464</v>
      </c>
      <c r="O108" s="25">
        <v>1.7999999999999999E-2</v>
      </c>
      <c r="P108" s="305">
        <f t="shared" si="8"/>
        <v>30592936.814042464</v>
      </c>
      <c r="Q108" s="167">
        <f t="shared" si="9"/>
        <v>150205773.68645918</v>
      </c>
      <c r="R108" s="116">
        <f t="shared" si="11"/>
        <v>230000000</v>
      </c>
      <c r="S108" s="116">
        <f t="shared" si="12"/>
        <v>220205773.68645918</v>
      </c>
      <c r="T108" s="99"/>
    </row>
    <row r="109" spans="1:20" s="18" customFormat="1" x14ac:dyDescent="0.3">
      <c r="B109" s="245"/>
      <c r="C109" s="28">
        <v>10</v>
      </c>
      <c r="D109" s="168">
        <v>300000</v>
      </c>
      <c r="E109" s="161">
        <v>0</v>
      </c>
      <c r="F109" s="114">
        <v>300000</v>
      </c>
      <c r="G109" s="147">
        <v>100000</v>
      </c>
      <c r="H109" s="114">
        <v>0</v>
      </c>
      <c r="I109" s="114">
        <v>230000000</v>
      </c>
      <c r="J109" s="114">
        <v>70000000</v>
      </c>
      <c r="K109" s="153">
        <f t="shared" si="7"/>
        <v>122173067.93612024</v>
      </c>
      <c r="L109" s="117">
        <v>1.7999999999999999E-2</v>
      </c>
      <c r="M109" s="39">
        <v>0</v>
      </c>
      <c r="N109" s="132">
        <f t="shared" si="10"/>
        <v>31449009.676695228</v>
      </c>
      <c r="O109" s="25">
        <v>1.7999999999999999E-2</v>
      </c>
      <c r="P109" s="305">
        <f t="shared" si="8"/>
        <v>31449009.676695228</v>
      </c>
      <c r="Q109" s="167">
        <f t="shared" si="9"/>
        <v>153622077.61281547</v>
      </c>
      <c r="R109" s="116">
        <f t="shared" si="11"/>
        <v>230000000</v>
      </c>
      <c r="S109" s="116">
        <f t="shared" si="12"/>
        <v>223622077.61281547</v>
      </c>
      <c r="T109" s="99"/>
    </row>
    <row r="110" spans="1:20" s="18" customFormat="1" ht="17.25" thickBot="1" x14ac:dyDescent="0.35">
      <c r="B110" s="245"/>
      <c r="C110" s="30">
        <v>11</v>
      </c>
      <c r="D110" s="168">
        <v>300000</v>
      </c>
      <c r="E110" s="161">
        <v>0</v>
      </c>
      <c r="F110" s="114">
        <v>300000</v>
      </c>
      <c r="G110" s="147">
        <v>100000</v>
      </c>
      <c r="H110" s="114">
        <v>0</v>
      </c>
      <c r="I110" s="114">
        <v>230000000</v>
      </c>
      <c r="J110" s="114">
        <v>70000000</v>
      </c>
      <c r="K110" s="153">
        <f t="shared" si="7"/>
        <v>124779383.1589704</v>
      </c>
      <c r="L110" s="117">
        <v>1.7999999999999999E-2</v>
      </c>
      <c r="M110" s="39">
        <v>0</v>
      </c>
      <c r="N110" s="132">
        <f t="shared" si="10"/>
        <v>32320491.850875743</v>
      </c>
      <c r="O110" s="94">
        <v>1.7999999999999999E-2</v>
      </c>
      <c r="P110" s="305">
        <f t="shared" si="8"/>
        <v>32320491.850875743</v>
      </c>
      <c r="Q110" s="167">
        <f t="shared" si="9"/>
        <v>157099875.00984615</v>
      </c>
      <c r="R110" s="116">
        <f t="shared" si="11"/>
        <v>230000000</v>
      </c>
      <c r="S110" s="116">
        <f t="shared" si="12"/>
        <v>227099875.00984615</v>
      </c>
      <c r="T110" s="99"/>
    </row>
    <row r="111" spans="1:20" s="109" customFormat="1" ht="17.25" thickBot="1" x14ac:dyDescent="0.35">
      <c r="B111" s="245"/>
      <c r="C111" s="104">
        <v>12</v>
      </c>
      <c r="D111" s="168">
        <v>300000</v>
      </c>
      <c r="E111" s="162">
        <v>0</v>
      </c>
      <c r="F111" s="114">
        <v>300000</v>
      </c>
      <c r="G111" s="147">
        <v>100000</v>
      </c>
      <c r="H111" s="114">
        <v>0</v>
      </c>
      <c r="I111" s="114">
        <v>230000000</v>
      </c>
      <c r="J111" s="114">
        <v>70000000</v>
      </c>
      <c r="K111" s="154">
        <f t="shared" si="7"/>
        <v>127432612.05583186</v>
      </c>
      <c r="L111" s="105">
        <v>1.7999999999999999E-2</v>
      </c>
      <c r="M111" s="39">
        <v>0</v>
      </c>
      <c r="N111" s="132">
        <f t="shared" si="10"/>
        <v>33207660.704191506</v>
      </c>
      <c r="O111" s="106">
        <v>1.7999999999999999E-2</v>
      </c>
      <c r="P111" s="305">
        <f t="shared" si="8"/>
        <v>33207660.704191506</v>
      </c>
      <c r="Q111" s="167">
        <f t="shared" si="9"/>
        <v>160640272.76002336</v>
      </c>
      <c r="R111" s="116">
        <f t="shared" si="11"/>
        <v>230000000</v>
      </c>
      <c r="S111" s="116">
        <f t="shared" si="12"/>
        <v>230640272.76002336</v>
      </c>
      <c r="T111" s="122"/>
    </row>
    <row r="112" spans="1:20" s="18" customFormat="1" x14ac:dyDescent="0.3">
      <c r="A112" s="18">
        <v>10</v>
      </c>
      <c r="B112" s="245">
        <v>2031</v>
      </c>
      <c r="C112" s="27">
        <v>1</v>
      </c>
      <c r="D112" s="168">
        <v>300000</v>
      </c>
      <c r="E112" s="161">
        <v>0</v>
      </c>
      <c r="F112" s="114">
        <v>300000</v>
      </c>
      <c r="G112" s="147">
        <v>100000</v>
      </c>
      <c r="H112" s="114">
        <v>0</v>
      </c>
      <c r="I112" s="114">
        <v>230000000</v>
      </c>
      <c r="J112" s="114">
        <v>70000000</v>
      </c>
      <c r="K112" s="153">
        <f t="shared" si="7"/>
        <v>130133599.07283683</v>
      </c>
      <c r="L112" s="117">
        <v>1.7999999999999999E-2</v>
      </c>
      <c r="M112" s="39">
        <v>0</v>
      </c>
      <c r="N112" s="132">
        <f t="shared" si="10"/>
        <v>33641691.347008273</v>
      </c>
      <c r="O112" s="93">
        <v>4.0000000000000001E-3</v>
      </c>
      <c r="P112" s="305">
        <f t="shared" si="8"/>
        <v>33641691.347008273</v>
      </c>
      <c r="Q112" s="167">
        <f t="shared" si="9"/>
        <v>163775290.4198451</v>
      </c>
      <c r="R112" s="116">
        <f t="shared" si="11"/>
        <v>230000000</v>
      </c>
      <c r="S112" s="116">
        <f t="shared" si="12"/>
        <v>233775290.4198451</v>
      </c>
      <c r="T112" s="99"/>
    </row>
    <row r="113" spans="1:20" s="18" customFormat="1" x14ac:dyDescent="0.3">
      <c r="B113" s="245"/>
      <c r="C113" s="28">
        <v>2</v>
      </c>
      <c r="D113" s="168">
        <v>300000</v>
      </c>
      <c r="E113" s="161">
        <v>0</v>
      </c>
      <c r="F113" s="114">
        <v>300000</v>
      </c>
      <c r="G113" s="147">
        <v>100000</v>
      </c>
      <c r="H113" s="114">
        <v>0</v>
      </c>
      <c r="I113" s="114">
        <v>230000000</v>
      </c>
      <c r="J113" s="114">
        <v>70000000</v>
      </c>
      <c r="K113" s="153">
        <f t="shared" si="7"/>
        <v>132883203.8561479</v>
      </c>
      <c r="L113" s="117">
        <v>1.7999999999999999E-2</v>
      </c>
      <c r="M113" s="39">
        <v>0</v>
      </c>
      <c r="N113" s="132">
        <f t="shared" si="10"/>
        <v>34552641.791254424</v>
      </c>
      <c r="O113" s="25">
        <v>1.7999999999999999E-2</v>
      </c>
      <c r="P113" s="305">
        <f t="shared" si="8"/>
        <v>34552641.791254424</v>
      </c>
      <c r="Q113" s="167">
        <f t="shared" si="9"/>
        <v>167435845.64740232</v>
      </c>
      <c r="R113" s="116">
        <f t="shared" si="11"/>
        <v>230000000</v>
      </c>
      <c r="S113" s="116">
        <f t="shared" si="12"/>
        <v>237435845.64740232</v>
      </c>
      <c r="T113" s="99"/>
    </row>
    <row r="114" spans="1:20" s="18" customFormat="1" x14ac:dyDescent="0.3">
      <c r="B114" s="245"/>
      <c r="C114" s="28">
        <v>3</v>
      </c>
      <c r="D114" s="168">
        <v>300000</v>
      </c>
      <c r="E114" s="161">
        <v>0</v>
      </c>
      <c r="F114" s="114">
        <v>300000</v>
      </c>
      <c r="G114" s="147">
        <v>100000</v>
      </c>
      <c r="H114" s="114">
        <v>0</v>
      </c>
      <c r="I114" s="114">
        <v>230000000</v>
      </c>
      <c r="J114" s="114">
        <v>70000000</v>
      </c>
      <c r="K114" s="153">
        <f t="shared" si="7"/>
        <v>135682301.52555856</v>
      </c>
      <c r="L114" s="117">
        <v>1.7999999999999999E-2</v>
      </c>
      <c r="M114" s="39">
        <v>0</v>
      </c>
      <c r="N114" s="132">
        <f t="shared" si="10"/>
        <v>35479989.343497001</v>
      </c>
      <c r="O114" s="25">
        <v>1.7999999999999999E-2</v>
      </c>
      <c r="P114" s="305">
        <f t="shared" si="8"/>
        <v>35479989.343497001</v>
      </c>
      <c r="Q114" s="167">
        <f t="shared" si="9"/>
        <v>171162290.86905557</v>
      </c>
      <c r="R114" s="116">
        <f t="shared" si="11"/>
        <v>230000000</v>
      </c>
      <c r="S114" s="116">
        <f t="shared" si="12"/>
        <v>241162290.86905557</v>
      </c>
      <c r="T114" s="99"/>
    </row>
    <row r="115" spans="1:20" s="18" customFormat="1" x14ac:dyDescent="0.3">
      <c r="B115" s="245"/>
      <c r="C115" s="28">
        <v>4</v>
      </c>
      <c r="D115" s="168">
        <v>300000</v>
      </c>
      <c r="E115" s="161">
        <v>0</v>
      </c>
      <c r="F115" s="114">
        <v>300000</v>
      </c>
      <c r="G115" s="147">
        <v>100000</v>
      </c>
      <c r="H115" s="114">
        <v>0</v>
      </c>
      <c r="I115" s="114">
        <v>230000000</v>
      </c>
      <c r="J115" s="114">
        <v>70000000</v>
      </c>
      <c r="K115" s="153">
        <f t="shared" si="7"/>
        <v>138531782.95301861</v>
      </c>
      <c r="L115" s="117">
        <v>1.7999999999999999E-2</v>
      </c>
      <c r="M115" s="39">
        <v>0</v>
      </c>
      <c r="N115" s="132">
        <f t="shared" si="10"/>
        <v>36424029.151679948</v>
      </c>
      <c r="O115" s="25">
        <v>1.7999999999999999E-2</v>
      </c>
      <c r="P115" s="305">
        <f t="shared" si="8"/>
        <v>36424029.151679948</v>
      </c>
      <c r="Q115" s="167">
        <f t="shared" si="9"/>
        <v>174955812.10469854</v>
      </c>
      <c r="R115" s="116">
        <f t="shared" si="11"/>
        <v>230000000</v>
      </c>
      <c r="S115" s="116">
        <f t="shared" si="12"/>
        <v>244955812.10469854</v>
      </c>
      <c r="T115" s="99"/>
    </row>
    <row r="116" spans="1:20" s="18" customFormat="1" x14ac:dyDescent="0.3">
      <c r="B116" s="245"/>
      <c r="C116" s="28">
        <v>5</v>
      </c>
      <c r="D116" s="168">
        <v>300000</v>
      </c>
      <c r="E116" s="161">
        <v>0</v>
      </c>
      <c r="F116" s="114">
        <v>300000</v>
      </c>
      <c r="G116" s="147">
        <v>100000</v>
      </c>
      <c r="H116" s="114">
        <v>0</v>
      </c>
      <c r="I116" s="114">
        <v>230000000</v>
      </c>
      <c r="J116" s="114">
        <v>70000000</v>
      </c>
      <c r="K116" s="153">
        <f t="shared" si="7"/>
        <v>141432555.04617295</v>
      </c>
      <c r="L116" s="117">
        <v>1.7999999999999999E-2</v>
      </c>
      <c r="M116" s="39">
        <v>0</v>
      </c>
      <c r="N116" s="132">
        <f t="shared" si="10"/>
        <v>37385061.676410183</v>
      </c>
      <c r="O116" s="25">
        <v>1.7999999999999999E-2</v>
      </c>
      <c r="P116" s="305">
        <f t="shared" si="8"/>
        <v>37385061.676410183</v>
      </c>
      <c r="Q116" s="167">
        <f t="shared" si="9"/>
        <v>178817616.72258312</v>
      </c>
      <c r="R116" s="116">
        <f t="shared" si="11"/>
        <v>230000000</v>
      </c>
      <c r="S116" s="116">
        <f t="shared" si="12"/>
        <v>248817616.72258312</v>
      </c>
      <c r="T116" s="99"/>
    </row>
    <row r="117" spans="1:20" s="18" customFormat="1" x14ac:dyDescent="0.3">
      <c r="B117" s="245"/>
      <c r="C117" s="28">
        <v>6</v>
      </c>
      <c r="D117" s="168">
        <v>300000</v>
      </c>
      <c r="E117" s="161">
        <v>0</v>
      </c>
      <c r="F117" s="114">
        <v>300000</v>
      </c>
      <c r="G117" s="147">
        <v>100000</v>
      </c>
      <c r="H117" s="114">
        <v>0</v>
      </c>
      <c r="I117" s="114">
        <v>230000000</v>
      </c>
      <c r="J117" s="114">
        <v>70000000</v>
      </c>
      <c r="K117" s="153">
        <f t="shared" si="7"/>
        <v>144385541.03700405</v>
      </c>
      <c r="L117" s="117">
        <v>1.7999999999999999E-2</v>
      </c>
      <c r="M117" s="39">
        <v>0</v>
      </c>
      <c r="N117" s="132">
        <f t="shared" si="10"/>
        <v>38363392.786585569</v>
      </c>
      <c r="O117" s="25">
        <v>1.7999999999999999E-2</v>
      </c>
      <c r="P117" s="305">
        <f t="shared" si="8"/>
        <v>38363392.786585569</v>
      </c>
      <c r="Q117" s="167">
        <f t="shared" si="9"/>
        <v>182748933.82358962</v>
      </c>
      <c r="R117" s="116">
        <f t="shared" si="11"/>
        <v>230000000</v>
      </c>
      <c r="S117" s="116">
        <f t="shared" si="12"/>
        <v>252748933.82358962</v>
      </c>
      <c r="T117" s="99"/>
    </row>
    <row r="118" spans="1:20" s="18" customFormat="1" x14ac:dyDescent="0.3">
      <c r="B118" s="245"/>
      <c r="C118" s="28">
        <v>7</v>
      </c>
      <c r="D118" s="168">
        <v>300000</v>
      </c>
      <c r="E118" s="161">
        <v>0</v>
      </c>
      <c r="F118" s="114">
        <v>300000</v>
      </c>
      <c r="G118" s="147">
        <v>100000</v>
      </c>
      <c r="H118" s="114">
        <v>0</v>
      </c>
      <c r="I118" s="114">
        <v>230000000</v>
      </c>
      <c r="J118" s="114">
        <v>70000000</v>
      </c>
      <c r="K118" s="153">
        <f t="shared" si="7"/>
        <v>147391680.77567014</v>
      </c>
      <c r="L118" s="117">
        <v>1.7999999999999999E-2</v>
      </c>
      <c r="M118" s="39">
        <v>0</v>
      </c>
      <c r="N118" s="132">
        <f t="shared" si="10"/>
        <v>39359333.856744111</v>
      </c>
      <c r="O118" s="25">
        <v>1.7999999999999999E-2</v>
      </c>
      <c r="P118" s="305">
        <f t="shared" si="8"/>
        <v>39359333.856744111</v>
      </c>
      <c r="Q118" s="167">
        <f t="shared" si="9"/>
        <v>186751014.63241425</v>
      </c>
      <c r="R118" s="116">
        <f t="shared" si="11"/>
        <v>230000000</v>
      </c>
      <c r="S118" s="116">
        <f t="shared" si="12"/>
        <v>256751014.63241425</v>
      </c>
      <c r="T118" s="99"/>
    </row>
    <row r="119" spans="1:20" s="18" customFormat="1" x14ac:dyDescent="0.3">
      <c r="B119" s="245"/>
      <c r="C119" s="28">
        <v>8</v>
      </c>
      <c r="D119" s="168">
        <v>300000</v>
      </c>
      <c r="E119" s="161">
        <v>0</v>
      </c>
      <c r="F119" s="114">
        <v>300000</v>
      </c>
      <c r="G119" s="147">
        <v>100000</v>
      </c>
      <c r="H119" s="114">
        <v>0</v>
      </c>
      <c r="I119" s="114">
        <v>230000000</v>
      </c>
      <c r="J119" s="114">
        <v>70000000</v>
      </c>
      <c r="K119" s="153">
        <f t="shared" si="7"/>
        <v>150451931.02963221</v>
      </c>
      <c r="L119" s="117">
        <v>1.7999999999999999E-2</v>
      </c>
      <c r="M119" s="39">
        <v>0</v>
      </c>
      <c r="N119" s="132">
        <f t="shared" si="10"/>
        <v>40373201.866165504</v>
      </c>
      <c r="O119" s="25">
        <v>1.7999999999999999E-2</v>
      </c>
      <c r="P119" s="305">
        <f t="shared" si="8"/>
        <v>40373201.866165504</v>
      </c>
      <c r="Q119" s="167">
        <f t="shared" si="9"/>
        <v>190825132.89579773</v>
      </c>
      <c r="R119" s="116">
        <f t="shared" si="11"/>
        <v>230000000</v>
      </c>
      <c r="S119" s="116">
        <f t="shared" si="12"/>
        <v>260825132.89579773</v>
      </c>
      <c r="T119" s="99"/>
    </row>
    <row r="120" spans="1:20" s="18" customFormat="1" x14ac:dyDescent="0.3">
      <c r="B120" s="245"/>
      <c r="C120" s="28">
        <v>9</v>
      </c>
      <c r="D120" s="168">
        <v>300000</v>
      </c>
      <c r="E120" s="161">
        <v>0</v>
      </c>
      <c r="F120" s="114">
        <v>300000</v>
      </c>
      <c r="G120" s="147">
        <v>100000</v>
      </c>
      <c r="H120" s="114">
        <v>0</v>
      </c>
      <c r="I120" s="114">
        <v>230000000</v>
      </c>
      <c r="J120" s="114">
        <v>70000000</v>
      </c>
      <c r="K120" s="153">
        <f t="shared" si="7"/>
        <v>153567265.7881656</v>
      </c>
      <c r="L120" s="117">
        <v>1.7999999999999999E-2</v>
      </c>
      <c r="M120" s="39">
        <v>0</v>
      </c>
      <c r="N120" s="132">
        <f t="shared" si="10"/>
        <v>41405319.499756485</v>
      </c>
      <c r="O120" s="25">
        <v>1.7999999999999999E-2</v>
      </c>
      <c r="P120" s="305">
        <f t="shared" si="8"/>
        <v>41405319.499756485</v>
      </c>
      <c r="Q120" s="167">
        <f t="shared" si="9"/>
        <v>194972585.28792208</v>
      </c>
      <c r="R120" s="116">
        <f t="shared" si="11"/>
        <v>230000000</v>
      </c>
      <c r="S120" s="116">
        <f t="shared" si="12"/>
        <v>264972585.28792208</v>
      </c>
      <c r="T120" s="99"/>
    </row>
    <row r="121" spans="1:20" s="18" customFormat="1" x14ac:dyDescent="0.3">
      <c r="B121" s="245"/>
      <c r="C121" s="28">
        <v>10</v>
      </c>
      <c r="D121" s="168">
        <v>300000</v>
      </c>
      <c r="E121" s="161">
        <v>0</v>
      </c>
      <c r="F121" s="114">
        <v>300000</v>
      </c>
      <c r="G121" s="147">
        <v>100000</v>
      </c>
      <c r="H121" s="114">
        <v>0</v>
      </c>
      <c r="I121" s="114">
        <v>230000000</v>
      </c>
      <c r="J121" s="114">
        <v>70000000</v>
      </c>
      <c r="K121" s="153">
        <f t="shared" si="7"/>
        <v>156738676.57235259</v>
      </c>
      <c r="L121" s="117">
        <v>1.7999999999999999E-2</v>
      </c>
      <c r="M121" s="39">
        <v>0</v>
      </c>
      <c r="N121" s="132">
        <f t="shared" si="10"/>
        <v>42456015.250752099</v>
      </c>
      <c r="O121" s="25">
        <v>1.7999999999999999E-2</v>
      </c>
      <c r="P121" s="305">
        <f t="shared" si="8"/>
        <v>42456015.250752099</v>
      </c>
      <c r="Q121" s="167">
        <f t="shared" si="9"/>
        <v>199194691.82310468</v>
      </c>
      <c r="R121" s="116">
        <f t="shared" si="11"/>
        <v>230000000</v>
      </c>
      <c r="S121" s="116">
        <f t="shared" si="12"/>
        <v>269194691.82310468</v>
      </c>
      <c r="T121" s="99"/>
    </row>
    <row r="122" spans="1:20" s="18" customFormat="1" ht="17.25" thickBot="1" x14ac:dyDescent="0.35">
      <c r="B122" s="245"/>
      <c r="C122" s="30">
        <v>11</v>
      </c>
      <c r="D122" s="168">
        <v>300000</v>
      </c>
      <c r="E122" s="161">
        <v>0</v>
      </c>
      <c r="F122" s="114">
        <v>300000</v>
      </c>
      <c r="G122" s="147">
        <v>100000</v>
      </c>
      <c r="H122" s="114">
        <v>0</v>
      </c>
      <c r="I122" s="114">
        <v>230000000</v>
      </c>
      <c r="J122" s="114">
        <v>70000000</v>
      </c>
      <c r="K122" s="153">
        <f t="shared" si="7"/>
        <v>159967172.75065494</v>
      </c>
      <c r="L122" s="117">
        <v>1.7999999999999999E-2</v>
      </c>
      <c r="M122" s="39">
        <v>0</v>
      </c>
      <c r="N122" s="132">
        <f t="shared" si="10"/>
        <v>43525623.525265634</v>
      </c>
      <c r="O122" s="94">
        <v>1.7999999999999999E-2</v>
      </c>
      <c r="P122" s="305">
        <f t="shared" si="8"/>
        <v>43525623.525265634</v>
      </c>
      <c r="Q122" s="167">
        <f t="shared" si="9"/>
        <v>203492796.27592057</v>
      </c>
      <c r="R122" s="116">
        <f t="shared" si="11"/>
        <v>230000000</v>
      </c>
      <c r="S122" s="116">
        <f t="shared" si="12"/>
        <v>273492796.27592057</v>
      </c>
      <c r="T122" s="99"/>
    </row>
    <row r="123" spans="1:20" s="109" customFormat="1" ht="17.25" thickBot="1" x14ac:dyDescent="0.35">
      <c r="B123" s="245"/>
      <c r="C123" s="104">
        <v>12</v>
      </c>
      <c r="D123" s="168">
        <v>300000</v>
      </c>
      <c r="E123" s="162">
        <v>0</v>
      </c>
      <c r="F123" s="114">
        <v>300000</v>
      </c>
      <c r="G123" s="147">
        <v>100000</v>
      </c>
      <c r="H123" s="114">
        <v>0</v>
      </c>
      <c r="I123" s="114">
        <v>230000000</v>
      </c>
      <c r="J123" s="114">
        <v>70000000</v>
      </c>
      <c r="K123" s="154">
        <f t="shared" si="7"/>
        <v>163253781.86016673</v>
      </c>
      <c r="L123" s="105">
        <v>1.7999999999999999E-2</v>
      </c>
      <c r="M123" s="39">
        <v>0</v>
      </c>
      <c r="N123" s="132">
        <f t="shared" si="10"/>
        <v>44614484.748720415</v>
      </c>
      <c r="O123" s="106">
        <v>1.7999999999999999E-2</v>
      </c>
      <c r="P123" s="305">
        <f t="shared" si="8"/>
        <v>44614484.748720415</v>
      </c>
      <c r="Q123" s="167">
        <f t="shared" si="9"/>
        <v>207868266.60888714</v>
      </c>
      <c r="R123" s="116">
        <f t="shared" si="11"/>
        <v>230000000</v>
      </c>
      <c r="S123" s="116">
        <f t="shared" si="12"/>
        <v>277868266.60888714</v>
      </c>
      <c r="T123" s="122"/>
    </row>
    <row r="124" spans="1:20" s="18" customFormat="1" x14ac:dyDescent="0.3">
      <c r="A124" s="18">
        <v>11</v>
      </c>
      <c r="B124" s="245">
        <v>2032</v>
      </c>
      <c r="C124" s="27">
        <v>1</v>
      </c>
      <c r="D124" s="168">
        <v>300000</v>
      </c>
      <c r="E124" s="161">
        <v>0</v>
      </c>
      <c r="F124" s="114">
        <v>300000</v>
      </c>
      <c r="G124" s="147">
        <v>100000</v>
      </c>
      <c r="H124" s="114">
        <v>0</v>
      </c>
      <c r="I124" s="114">
        <v>230000000</v>
      </c>
      <c r="J124" s="114">
        <v>70000000</v>
      </c>
      <c r="K124" s="153">
        <f t="shared" si="7"/>
        <v>166599549.93364972</v>
      </c>
      <c r="L124" s="117">
        <v>1.7999999999999999E-2</v>
      </c>
      <c r="M124" s="39">
        <v>0</v>
      </c>
      <c r="N124" s="132">
        <f t="shared" si="10"/>
        <v>45094142.687715299</v>
      </c>
      <c r="O124" s="93">
        <v>4.0000000000000001E-3</v>
      </c>
      <c r="P124" s="305">
        <f t="shared" si="8"/>
        <v>45094142.687715299</v>
      </c>
      <c r="Q124" s="167">
        <f t="shared" si="9"/>
        <v>211693692.62136501</v>
      </c>
      <c r="R124" s="116">
        <f t="shared" si="11"/>
        <v>230000000</v>
      </c>
      <c r="S124" s="116">
        <f t="shared" si="12"/>
        <v>281693692.62136501</v>
      </c>
      <c r="T124" s="99"/>
    </row>
    <row r="125" spans="1:20" s="18" customFormat="1" x14ac:dyDescent="0.3">
      <c r="B125" s="245"/>
      <c r="C125" s="28">
        <v>2</v>
      </c>
      <c r="D125" s="168">
        <v>300000</v>
      </c>
      <c r="E125" s="161">
        <v>0</v>
      </c>
      <c r="F125" s="114">
        <v>300000</v>
      </c>
      <c r="G125" s="147">
        <v>100000</v>
      </c>
      <c r="H125" s="114">
        <v>0</v>
      </c>
      <c r="I125" s="114">
        <v>230000000</v>
      </c>
      <c r="J125" s="114">
        <v>70000000</v>
      </c>
      <c r="K125" s="153">
        <f t="shared" si="7"/>
        <v>170005541.83245543</v>
      </c>
      <c r="L125" s="117">
        <v>1.7999999999999999E-2</v>
      </c>
      <c r="M125" s="39">
        <v>0</v>
      </c>
      <c r="N125" s="132">
        <f t="shared" si="10"/>
        <v>46211237.256094173</v>
      </c>
      <c r="O125" s="25">
        <v>1.7999999999999999E-2</v>
      </c>
      <c r="P125" s="305">
        <f t="shared" si="8"/>
        <v>46211237.256094173</v>
      </c>
      <c r="Q125" s="167">
        <f t="shared" si="9"/>
        <v>216216779.08854961</v>
      </c>
      <c r="R125" s="116">
        <f t="shared" si="11"/>
        <v>230000000</v>
      </c>
      <c r="S125" s="116">
        <f t="shared" si="12"/>
        <v>286216779.08854961</v>
      </c>
      <c r="T125" s="99"/>
    </row>
    <row r="126" spans="1:20" s="18" customFormat="1" x14ac:dyDescent="0.3">
      <c r="B126" s="245"/>
      <c r="C126" s="28">
        <v>3</v>
      </c>
      <c r="D126" s="168">
        <v>300000</v>
      </c>
      <c r="E126" s="161">
        <v>0</v>
      </c>
      <c r="F126" s="114">
        <v>300000</v>
      </c>
      <c r="G126" s="147">
        <v>100000</v>
      </c>
      <c r="H126" s="114">
        <v>0</v>
      </c>
      <c r="I126" s="114">
        <v>230000000</v>
      </c>
      <c r="J126" s="114">
        <v>70000000</v>
      </c>
      <c r="K126" s="153">
        <f t="shared" si="7"/>
        <v>173472841.58543962</v>
      </c>
      <c r="L126" s="117">
        <v>1.7999999999999999E-2</v>
      </c>
      <c r="M126" s="39">
        <v>0</v>
      </c>
      <c r="N126" s="132">
        <f t="shared" si="10"/>
        <v>47348439.526703864</v>
      </c>
      <c r="O126" s="25">
        <v>1.7999999999999999E-2</v>
      </c>
      <c r="P126" s="305">
        <f t="shared" si="8"/>
        <v>47348439.526703864</v>
      </c>
      <c r="Q126" s="167">
        <f t="shared" si="9"/>
        <v>220821281.11214349</v>
      </c>
      <c r="R126" s="116">
        <f t="shared" si="11"/>
        <v>230000000</v>
      </c>
      <c r="S126" s="116">
        <f t="shared" si="12"/>
        <v>290821281.11214352</v>
      </c>
      <c r="T126" s="99"/>
    </row>
    <row r="127" spans="1:20" s="18" customFormat="1" x14ac:dyDescent="0.3">
      <c r="B127" s="245"/>
      <c r="C127" s="28">
        <v>4</v>
      </c>
      <c r="D127" s="168">
        <v>300000</v>
      </c>
      <c r="E127" s="161">
        <v>0</v>
      </c>
      <c r="F127" s="114">
        <v>300000</v>
      </c>
      <c r="G127" s="147">
        <v>100000</v>
      </c>
      <c r="H127" s="114">
        <v>0</v>
      </c>
      <c r="I127" s="114">
        <v>230000000</v>
      </c>
      <c r="J127" s="114">
        <v>70000000</v>
      </c>
      <c r="K127" s="153">
        <f t="shared" si="7"/>
        <v>177002552.73397753</v>
      </c>
      <c r="L127" s="117">
        <v>1.7999999999999999E-2</v>
      </c>
      <c r="M127" s="39">
        <v>0</v>
      </c>
      <c r="N127" s="132">
        <f t="shared" si="10"/>
        <v>48506111.438184537</v>
      </c>
      <c r="O127" s="25">
        <v>1.7999999999999999E-2</v>
      </c>
      <c r="P127" s="305">
        <f t="shared" si="8"/>
        <v>48506111.438184537</v>
      </c>
      <c r="Q127" s="167">
        <f t="shared" si="9"/>
        <v>225508664.17216206</v>
      </c>
      <c r="R127" s="116">
        <f t="shared" si="11"/>
        <v>230000000</v>
      </c>
      <c r="S127" s="116">
        <f t="shared" si="12"/>
        <v>295508664.17216206</v>
      </c>
      <c r="T127" s="99"/>
    </row>
    <row r="128" spans="1:20" s="18" customFormat="1" x14ac:dyDescent="0.3">
      <c r="B128" s="245"/>
      <c r="C128" s="28">
        <v>5</v>
      </c>
      <c r="D128" s="168">
        <v>300000</v>
      </c>
      <c r="E128" s="161">
        <v>0</v>
      </c>
      <c r="F128" s="114">
        <v>300000</v>
      </c>
      <c r="G128" s="147">
        <v>100000</v>
      </c>
      <c r="H128" s="114">
        <v>0</v>
      </c>
      <c r="I128" s="114">
        <v>230000000</v>
      </c>
      <c r="J128" s="114">
        <v>70000000</v>
      </c>
      <c r="K128" s="153">
        <f t="shared" si="7"/>
        <v>180595798.68318912</v>
      </c>
      <c r="L128" s="117">
        <v>1.7999999999999999E-2</v>
      </c>
      <c r="M128" s="39">
        <v>0</v>
      </c>
      <c r="N128" s="132">
        <f t="shared" si="10"/>
        <v>49684621.444071859</v>
      </c>
      <c r="O128" s="25">
        <v>1.7999999999999999E-2</v>
      </c>
      <c r="P128" s="305">
        <f t="shared" si="8"/>
        <v>49684621.444071859</v>
      </c>
      <c r="Q128" s="167">
        <f t="shared" si="9"/>
        <v>230280420.12726098</v>
      </c>
      <c r="R128" s="116">
        <f t="shared" si="11"/>
        <v>230000000</v>
      </c>
      <c r="S128" s="116">
        <f t="shared" si="12"/>
        <v>300280420.12726098</v>
      </c>
      <c r="T128" s="99"/>
    </row>
    <row r="129" spans="1:20" s="18" customFormat="1" x14ac:dyDescent="0.3">
      <c r="B129" s="245"/>
      <c r="C129" s="28">
        <v>6</v>
      </c>
      <c r="D129" s="168">
        <v>300000</v>
      </c>
      <c r="E129" s="161">
        <v>0</v>
      </c>
      <c r="F129" s="114">
        <v>300000</v>
      </c>
      <c r="G129" s="147">
        <v>100000</v>
      </c>
      <c r="H129" s="114">
        <v>0</v>
      </c>
      <c r="I129" s="114">
        <v>230000000</v>
      </c>
      <c r="J129" s="114">
        <v>70000000</v>
      </c>
      <c r="K129" s="153">
        <f t="shared" si="7"/>
        <v>184253723.05948654</v>
      </c>
      <c r="L129" s="117">
        <v>1.7999999999999999E-2</v>
      </c>
      <c r="M129" s="39">
        <v>0</v>
      </c>
      <c r="N129" s="132">
        <f t="shared" si="10"/>
        <v>50884344.630065151</v>
      </c>
      <c r="O129" s="25">
        <v>1.7999999999999999E-2</v>
      </c>
      <c r="P129" s="305">
        <f t="shared" si="8"/>
        <v>50884344.630065151</v>
      </c>
      <c r="Q129" s="167">
        <f t="shared" si="9"/>
        <v>235138067.68955168</v>
      </c>
      <c r="R129" s="116">
        <f t="shared" si="11"/>
        <v>230000000</v>
      </c>
      <c r="S129" s="116">
        <f t="shared" si="12"/>
        <v>305138067.68955171</v>
      </c>
      <c r="T129" s="99"/>
    </row>
    <row r="130" spans="1:20" s="18" customFormat="1" x14ac:dyDescent="0.3">
      <c r="B130" s="245"/>
      <c r="C130" s="28">
        <v>7</v>
      </c>
      <c r="D130" s="168">
        <v>300000</v>
      </c>
      <c r="E130" s="161">
        <v>0</v>
      </c>
      <c r="F130" s="114">
        <v>300000</v>
      </c>
      <c r="G130" s="147">
        <v>100000</v>
      </c>
      <c r="H130" s="114">
        <v>0</v>
      </c>
      <c r="I130" s="114">
        <v>230000000</v>
      </c>
      <c r="J130" s="114">
        <v>70000000</v>
      </c>
      <c r="K130" s="153">
        <f t="shared" si="7"/>
        <v>187977490.0745573</v>
      </c>
      <c r="L130" s="117">
        <v>1.7999999999999999E-2</v>
      </c>
      <c r="M130" s="39">
        <v>0</v>
      </c>
      <c r="N130" s="132">
        <f t="shared" si="10"/>
        <v>52105662.833406322</v>
      </c>
      <c r="O130" s="25">
        <v>1.7999999999999999E-2</v>
      </c>
      <c r="P130" s="305">
        <f t="shared" si="8"/>
        <v>52105662.833406322</v>
      </c>
      <c r="Q130" s="167">
        <f t="shared" si="9"/>
        <v>240083152.90796363</v>
      </c>
      <c r="R130" s="116">
        <f t="shared" si="11"/>
        <v>230000000</v>
      </c>
      <c r="S130" s="116">
        <f t="shared" si="12"/>
        <v>310083152.90796363</v>
      </c>
      <c r="T130" s="99"/>
    </row>
    <row r="131" spans="1:20" s="18" customFormat="1" x14ac:dyDescent="0.3">
      <c r="B131" s="245"/>
      <c r="C131" s="28">
        <v>8</v>
      </c>
      <c r="D131" s="168">
        <v>300000</v>
      </c>
      <c r="E131" s="161">
        <v>0</v>
      </c>
      <c r="F131" s="114">
        <v>300000</v>
      </c>
      <c r="G131" s="147">
        <v>100000</v>
      </c>
      <c r="H131" s="114">
        <v>0</v>
      </c>
      <c r="I131" s="114">
        <v>230000000</v>
      </c>
      <c r="J131" s="114">
        <v>70000000</v>
      </c>
      <c r="K131" s="153">
        <f t="shared" si="7"/>
        <v>191768284.89589933</v>
      </c>
      <c r="L131" s="117">
        <v>1.7999999999999999E-2</v>
      </c>
      <c r="M131" s="39">
        <v>0</v>
      </c>
      <c r="N131" s="132">
        <f t="shared" si="10"/>
        <v>53348964.764407635</v>
      </c>
      <c r="O131" s="25">
        <v>1.7999999999999999E-2</v>
      </c>
      <c r="P131" s="305">
        <f t="shared" si="8"/>
        <v>53348964.764407635</v>
      </c>
      <c r="Q131" s="167">
        <f t="shared" si="9"/>
        <v>245117249.66030696</v>
      </c>
      <c r="R131" s="116">
        <f t="shared" si="11"/>
        <v>230000000</v>
      </c>
      <c r="S131" s="116">
        <f t="shared" si="12"/>
        <v>315117249.66030693</v>
      </c>
      <c r="T131" s="99"/>
    </row>
    <row r="132" spans="1:20" s="18" customFormat="1" x14ac:dyDescent="0.3">
      <c r="B132" s="245"/>
      <c r="C132" s="28">
        <v>9</v>
      </c>
      <c r="D132" s="168">
        <v>300000</v>
      </c>
      <c r="E132" s="161">
        <v>0</v>
      </c>
      <c r="F132" s="114">
        <v>300000</v>
      </c>
      <c r="G132" s="147">
        <v>100000</v>
      </c>
      <c r="H132" s="114">
        <v>0</v>
      </c>
      <c r="I132" s="114">
        <v>230000000</v>
      </c>
      <c r="J132" s="114">
        <v>70000000</v>
      </c>
      <c r="K132" s="153">
        <f t="shared" si="7"/>
        <v>195627314.0240255</v>
      </c>
      <c r="L132" s="117">
        <v>1.7999999999999999E-2</v>
      </c>
      <c r="M132" s="39">
        <v>0</v>
      </c>
      <c r="N132" s="132">
        <f t="shared" si="10"/>
        <v>54614646.13016697</v>
      </c>
      <c r="O132" s="25">
        <v>1.7999999999999999E-2</v>
      </c>
      <c r="P132" s="305">
        <f t="shared" si="8"/>
        <v>54614646.13016697</v>
      </c>
      <c r="Q132" s="167">
        <f t="shared" si="9"/>
        <v>250241960.15419248</v>
      </c>
      <c r="R132" s="116">
        <f t="shared" si="11"/>
        <v>230000000</v>
      </c>
      <c r="S132" s="116">
        <f t="shared" si="12"/>
        <v>320241960.15419245</v>
      </c>
      <c r="T132" s="99"/>
    </row>
    <row r="133" spans="1:20" s="18" customFormat="1" x14ac:dyDescent="0.3">
      <c r="B133" s="245"/>
      <c r="C133" s="28">
        <v>10</v>
      </c>
      <c r="D133" s="168">
        <v>300000</v>
      </c>
      <c r="E133" s="161">
        <v>0</v>
      </c>
      <c r="F133" s="114">
        <v>300000</v>
      </c>
      <c r="G133" s="147">
        <v>100000</v>
      </c>
      <c r="H133" s="114">
        <v>0</v>
      </c>
      <c r="I133" s="114">
        <v>230000000</v>
      </c>
      <c r="J133" s="114">
        <v>70000000</v>
      </c>
      <c r="K133" s="153">
        <f t="shared" si="7"/>
        <v>199555805.67645797</v>
      </c>
      <c r="L133" s="117">
        <v>1.7999999999999999E-2</v>
      </c>
      <c r="M133" s="39">
        <v>0</v>
      </c>
      <c r="N133" s="132">
        <f t="shared" si="10"/>
        <v>55903109.760509975</v>
      </c>
      <c r="O133" s="25">
        <v>1.7999999999999999E-2</v>
      </c>
      <c r="P133" s="305">
        <f t="shared" si="8"/>
        <v>55903109.760509975</v>
      </c>
      <c r="Q133" s="167">
        <f t="shared" si="9"/>
        <v>255458915.43696794</v>
      </c>
      <c r="R133" s="116">
        <f t="shared" si="11"/>
        <v>230000000</v>
      </c>
      <c r="S133" s="116">
        <f t="shared" si="12"/>
        <v>325458915.43696797</v>
      </c>
      <c r="T133" s="99"/>
    </row>
    <row r="134" spans="1:20" s="18" customFormat="1" ht="18" customHeight="1" thickBot="1" x14ac:dyDescent="0.35">
      <c r="B134" s="245"/>
      <c r="C134" s="30">
        <v>11</v>
      </c>
      <c r="D134" s="168">
        <v>300000</v>
      </c>
      <c r="E134" s="161">
        <v>0</v>
      </c>
      <c r="F134" s="114">
        <v>300000</v>
      </c>
      <c r="G134" s="147">
        <v>100000</v>
      </c>
      <c r="H134" s="114">
        <v>0</v>
      </c>
      <c r="I134" s="114">
        <v>230000000</v>
      </c>
      <c r="J134" s="114">
        <v>70000000</v>
      </c>
      <c r="K134" s="153">
        <f t="shared" si="7"/>
        <v>203555010.17863423</v>
      </c>
      <c r="L134" s="117">
        <v>1.7999999999999999E-2</v>
      </c>
      <c r="M134" s="39">
        <v>0</v>
      </c>
      <c r="N134" s="132">
        <f t="shared" si="10"/>
        <v>57214765.736199155</v>
      </c>
      <c r="O134" s="94">
        <v>1.7999999999999999E-2</v>
      </c>
      <c r="P134" s="305">
        <f t="shared" si="8"/>
        <v>57214765.736199155</v>
      </c>
      <c r="Q134" s="167">
        <f t="shared" si="9"/>
        <v>260769775.91483337</v>
      </c>
      <c r="R134" s="116">
        <f t="shared" si="11"/>
        <v>230000000</v>
      </c>
      <c r="S134" s="116">
        <f t="shared" si="12"/>
        <v>330769775.91483337</v>
      </c>
      <c r="T134" s="99"/>
    </row>
    <row r="135" spans="1:20" s="40" customFormat="1" ht="17.25" thickBot="1" x14ac:dyDescent="0.35">
      <c r="B135" s="245"/>
      <c r="C135" s="20">
        <v>12</v>
      </c>
      <c r="D135" s="168">
        <v>300000</v>
      </c>
      <c r="E135" s="160">
        <v>0</v>
      </c>
      <c r="F135" s="115">
        <v>300000</v>
      </c>
      <c r="G135" s="148">
        <v>100000</v>
      </c>
      <c r="H135" s="115">
        <v>0</v>
      </c>
      <c r="I135" s="114">
        <v>230000000</v>
      </c>
      <c r="J135" s="114">
        <v>70000000</v>
      </c>
      <c r="K135" s="235">
        <f t="shared" si="7"/>
        <v>207626200.36184964</v>
      </c>
      <c r="L135" s="236">
        <v>1.7999999999999999E-2</v>
      </c>
      <c r="M135" s="237">
        <v>0</v>
      </c>
      <c r="N135" s="132">
        <f t="shared" si="10"/>
        <v>58550031.519450739</v>
      </c>
      <c r="O135" s="238">
        <v>1.7999999999999999E-2</v>
      </c>
      <c r="P135" s="305">
        <f t="shared" si="8"/>
        <v>58550031.519450739</v>
      </c>
      <c r="Q135" s="239">
        <f t="shared" si="9"/>
        <v>266176231.88130039</v>
      </c>
      <c r="R135" s="115">
        <f t="shared" si="11"/>
        <v>230000000</v>
      </c>
      <c r="S135" s="115">
        <f t="shared" si="12"/>
        <v>336176231.88130039</v>
      </c>
      <c r="T135" s="240"/>
    </row>
    <row r="136" spans="1:20" s="37" customFormat="1" x14ac:dyDescent="0.3">
      <c r="A136" s="32">
        <v>12</v>
      </c>
      <c r="B136" s="245">
        <v>2033</v>
      </c>
      <c r="C136" s="36">
        <v>1</v>
      </c>
      <c r="D136" s="168">
        <v>300000</v>
      </c>
      <c r="E136" s="161">
        <v>0</v>
      </c>
      <c r="F136" s="114">
        <v>300000</v>
      </c>
      <c r="G136" s="147">
        <v>100000</v>
      </c>
      <c r="H136" s="114">
        <v>0</v>
      </c>
      <c r="I136" s="114">
        <v>230000000</v>
      </c>
      <c r="J136" s="114">
        <v>70000000</v>
      </c>
      <c r="K136" s="153">
        <f t="shared" si="7"/>
        <v>211770671.96836293</v>
      </c>
      <c r="L136" s="117">
        <v>1.7999999999999999E-2</v>
      </c>
      <c r="M136" s="39">
        <v>0</v>
      </c>
      <c r="N136" s="132">
        <f t="shared" si="10"/>
        <v>59085431.64552854</v>
      </c>
      <c r="O136" s="93">
        <v>4.0000000000000001E-3</v>
      </c>
      <c r="P136" s="305">
        <f t="shared" si="8"/>
        <v>59085431.64552854</v>
      </c>
      <c r="Q136" s="167">
        <f t="shared" si="9"/>
        <v>270856103.61389148</v>
      </c>
      <c r="R136" s="116">
        <f t="shared" si="11"/>
        <v>230000000</v>
      </c>
      <c r="S136" s="116">
        <f t="shared" si="12"/>
        <v>340856103.61389148</v>
      </c>
    </row>
    <row r="137" spans="1:20" x14ac:dyDescent="0.3">
      <c r="A137" s="18"/>
      <c r="B137" s="245"/>
      <c r="C137" s="28">
        <v>2</v>
      </c>
      <c r="D137" s="168">
        <v>300000</v>
      </c>
      <c r="E137" s="161">
        <v>0</v>
      </c>
      <c r="F137" s="114">
        <v>300000</v>
      </c>
      <c r="G137" s="147">
        <v>100000</v>
      </c>
      <c r="H137" s="114">
        <v>0</v>
      </c>
      <c r="I137" s="114">
        <v>230000000</v>
      </c>
      <c r="J137" s="114">
        <v>70000000</v>
      </c>
      <c r="K137" s="153">
        <f t="shared" si="7"/>
        <v>215989744.06379345</v>
      </c>
      <c r="L137" s="117">
        <v>1.7999999999999999E-2</v>
      </c>
      <c r="M137" s="39">
        <v>0</v>
      </c>
      <c r="N137" s="132">
        <f t="shared" si="10"/>
        <v>60454369.415148057</v>
      </c>
      <c r="O137" s="25">
        <v>1.7999999999999999E-2</v>
      </c>
      <c r="P137" s="305">
        <f t="shared" si="8"/>
        <v>60454369.415148057</v>
      </c>
      <c r="Q137" s="167">
        <f t="shared" si="9"/>
        <v>276444113.4789415</v>
      </c>
      <c r="R137" s="116">
        <f t="shared" si="11"/>
        <v>230000000</v>
      </c>
      <c r="S137" s="116">
        <f t="shared" si="12"/>
        <v>346444113.4789415</v>
      </c>
    </row>
    <row r="138" spans="1:20" x14ac:dyDescent="0.3">
      <c r="A138" s="18"/>
      <c r="B138" s="245"/>
      <c r="C138" s="28">
        <v>3</v>
      </c>
      <c r="D138" s="168">
        <v>300000</v>
      </c>
      <c r="E138" s="161">
        <v>0</v>
      </c>
      <c r="F138" s="114">
        <v>300000</v>
      </c>
      <c r="G138" s="147">
        <v>100000</v>
      </c>
      <c r="H138" s="114">
        <v>0</v>
      </c>
      <c r="I138" s="114">
        <v>230000000</v>
      </c>
      <c r="J138" s="114">
        <v>70000000</v>
      </c>
      <c r="K138" s="153">
        <f t="shared" si="7"/>
        <v>220284759.45694172</v>
      </c>
      <c r="L138" s="117">
        <v>1.7999999999999999E-2</v>
      </c>
      <c r="M138" s="39">
        <v>0</v>
      </c>
      <c r="N138" s="132">
        <f t="shared" si="10"/>
        <v>61847948.064620718</v>
      </c>
      <c r="O138" s="25">
        <v>1.7999999999999999E-2</v>
      </c>
      <c r="P138" s="305">
        <f t="shared" si="8"/>
        <v>61847948.064620718</v>
      </c>
      <c r="Q138" s="167">
        <f t="shared" si="9"/>
        <v>282132707.52156246</v>
      </c>
      <c r="R138" s="116">
        <f t="shared" si="11"/>
        <v>230000000</v>
      </c>
      <c r="S138" s="116">
        <f t="shared" si="12"/>
        <v>352132707.52156246</v>
      </c>
    </row>
    <row r="139" spans="1:20" x14ac:dyDescent="0.3">
      <c r="A139" s="18"/>
      <c r="B139" s="245"/>
      <c r="C139" s="28">
        <v>4</v>
      </c>
      <c r="D139" s="168">
        <v>300000</v>
      </c>
      <c r="E139" s="161">
        <v>0</v>
      </c>
      <c r="F139" s="114">
        <v>300000</v>
      </c>
      <c r="G139" s="147">
        <v>100000</v>
      </c>
      <c r="H139" s="114">
        <v>0</v>
      </c>
      <c r="I139" s="114">
        <v>230000000</v>
      </c>
      <c r="J139" s="114">
        <v>70000000</v>
      </c>
      <c r="K139" s="153">
        <f t="shared" si="7"/>
        <v>224657085.12716669</v>
      </c>
      <c r="L139" s="117">
        <v>1.7999999999999999E-2</v>
      </c>
      <c r="M139" s="39">
        <v>0</v>
      </c>
      <c r="N139" s="132">
        <f t="shared" si="10"/>
        <v>63266611.129783891</v>
      </c>
      <c r="O139" s="25">
        <v>1.7999999999999999E-2</v>
      </c>
      <c r="P139" s="305">
        <f t="shared" si="8"/>
        <v>63266611.129783891</v>
      </c>
      <c r="Q139" s="167">
        <f t="shared" si="9"/>
        <v>287923696.25695056</v>
      </c>
      <c r="R139" s="116">
        <f t="shared" si="11"/>
        <v>230000000</v>
      </c>
      <c r="S139" s="116">
        <f t="shared" si="12"/>
        <v>357923696.25695056</v>
      </c>
    </row>
    <row r="140" spans="1:20" x14ac:dyDescent="0.3">
      <c r="A140" s="18"/>
      <c r="B140" s="245"/>
      <c r="C140" s="28">
        <v>5</v>
      </c>
      <c r="D140" s="168">
        <v>300000</v>
      </c>
      <c r="E140" s="161">
        <v>0</v>
      </c>
      <c r="F140" s="114">
        <v>300000</v>
      </c>
      <c r="G140" s="147">
        <v>100000</v>
      </c>
      <c r="H140" s="114">
        <v>0</v>
      </c>
      <c r="I140" s="114">
        <v>230000000</v>
      </c>
      <c r="J140" s="114">
        <v>70000000</v>
      </c>
      <c r="K140" s="153">
        <f t="shared" si="7"/>
        <v>229108112.65945569</v>
      </c>
      <c r="L140" s="117">
        <v>1.7999999999999999E-2</v>
      </c>
      <c r="M140" s="39">
        <v>0</v>
      </c>
      <c r="N140" s="132">
        <f t="shared" si="10"/>
        <v>64710810.130120002</v>
      </c>
      <c r="O140" s="25">
        <v>1.7999999999999999E-2</v>
      </c>
      <c r="P140" s="305">
        <f t="shared" si="8"/>
        <v>64710810.130120002</v>
      </c>
      <c r="Q140" s="167">
        <f t="shared" si="9"/>
        <v>293818922.7895757</v>
      </c>
      <c r="R140" s="116">
        <f t="shared" si="11"/>
        <v>230000000</v>
      </c>
      <c r="S140" s="116">
        <f t="shared" si="12"/>
        <v>363818922.7895757</v>
      </c>
    </row>
    <row r="141" spans="1:20" x14ac:dyDescent="0.3">
      <c r="A141" s="18"/>
      <c r="B141" s="245"/>
      <c r="C141" s="28">
        <v>6</v>
      </c>
      <c r="D141" s="168">
        <v>300000</v>
      </c>
      <c r="E141" s="161">
        <v>0</v>
      </c>
      <c r="F141" s="114">
        <v>300000</v>
      </c>
      <c r="G141" s="147">
        <v>100000</v>
      </c>
      <c r="H141" s="114">
        <v>0</v>
      </c>
      <c r="I141" s="114">
        <v>230000000</v>
      </c>
      <c r="J141" s="114">
        <v>70000000</v>
      </c>
      <c r="K141" s="153">
        <f t="shared" si="7"/>
        <v>233639258.68732589</v>
      </c>
      <c r="L141" s="117">
        <v>1.7999999999999999E-2</v>
      </c>
      <c r="M141" s="39">
        <v>0</v>
      </c>
      <c r="N141" s="132">
        <f t="shared" si="10"/>
        <v>66181004.712462164</v>
      </c>
      <c r="O141" s="25">
        <v>1.7999999999999999E-2</v>
      </c>
      <c r="P141" s="305">
        <f t="shared" si="8"/>
        <v>66181004.712462164</v>
      </c>
      <c r="Q141" s="167">
        <f t="shared" si="9"/>
        <v>299820263.39978808</v>
      </c>
      <c r="R141" s="116">
        <f t="shared" si="11"/>
        <v>230000000</v>
      </c>
      <c r="S141" s="116">
        <f t="shared" si="12"/>
        <v>369820263.39978808</v>
      </c>
    </row>
    <row r="142" spans="1:20" x14ac:dyDescent="0.3">
      <c r="A142" s="18"/>
      <c r="B142" s="245"/>
      <c r="C142" s="28">
        <v>7</v>
      </c>
      <c r="D142" s="168">
        <v>300000</v>
      </c>
      <c r="E142" s="161">
        <v>0</v>
      </c>
      <c r="F142" s="114">
        <v>300000</v>
      </c>
      <c r="G142" s="147">
        <v>100000</v>
      </c>
      <c r="H142" s="114">
        <v>0</v>
      </c>
      <c r="I142" s="114">
        <v>230000000</v>
      </c>
      <c r="J142" s="114">
        <v>70000000</v>
      </c>
      <c r="K142" s="153">
        <f t="shared" si="7"/>
        <v>238251965.34369776</v>
      </c>
      <c r="L142" s="117">
        <v>1.7999999999999999E-2</v>
      </c>
      <c r="M142" s="39">
        <v>0</v>
      </c>
      <c r="N142" s="132">
        <f t="shared" si="10"/>
        <v>67677662.797286481</v>
      </c>
      <c r="O142" s="25">
        <v>1.7999999999999999E-2</v>
      </c>
      <c r="P142" s="305">
        <f t="shared" si="8"/>
        <v>67677662.797286481</v>
      </c>
      <c r="Q142" s="167">
        <f t="shared" si="9"/>
        <v>305929628.14098424</v>
      </c>
      <c r="R142" s="116">
        <f t="shared" si="11"/>
        <v>230000000</v>
      </c>
      <c r="S142" s="116">
        <f t="shared" si="12"/>
        <v>375929628.14098424</v>
      </c>
    </row>
    <row r="143" spans="1:20" x14ac:dyDescent="0.3">
      <c r="A143" s="18"/>
      <c r="B143" s="245"/>
      <c r="C143" s="28">
        <v>8</v>
      </c>
      <c r="D143" s="168">
        <v>300000</v>
      </c>
      <c r="E143" s="161">
        <v>0</v>
      </c>
      <c r="F143" s="114">
        <v>300000</v>
      </c>
      <c r="G143" s="147">
        <v>100000</v>
      </c>
      <c r="H143" s="114">
        <v>0</v>
      </c>
      <c r="I143" s="114">
        <v>230000000</v>
      </c>
      <c r="J143" s="114">
        <v>70000000</v>
      </c>
      <c r="K143" s="153">
        <f t="shared" si="7"/>
        <v>242947700.71988431</v>
      </c>
      <c r="L143" s="117">
        <v>1.7999999999999999E-2</v>
      </c>
      <c r="M143" s="39">
        <v>0</v>
      </c>
      <c r="N143" s="132">
        <f t="shared" si="10"/>
        <v>69201260.727637634</v>
      </c>
      <c r="O143" s="25">
        <v>1.7999999999999999E-2</v>
      </c>
      <c r="P143" s="305">
        <f t="shared" si="8"/>
        <v>69201260.727637634</v>
      </c>
      <c r="Q143" s="167">
        <f t="shared" si="9"/>
        <v>312148961.44752192</v>
      </c>
      <c r="R143" s="116">
        <f t="shared" si="11"/>
        <v>230000000</v>
      </c>
      <c r="S143" s="116">
        <f t="shared" si="12"/>
        <v>382148961.44752192</v>
      </c>
    </row>
    <row r="144" spans="1:20" x14ac:dyDescent="0.3">
      <c r="A144" s="18"/>
      <c r="B144" s="245"/>
      <c r="C144" s="28">
        <v>9</v>
      </c>
      <c r="D144" s="168">
        <v>300000</v>
      </c>
      <c r="E144" s="161">
        <v>0</v>
      </c>
      <c r="F144" s="114">
        <v>300000</v>
      </c>
      <c r="G144" s="147">
        <v>100000</v>
      </c>
      <c r="H144" s="114">
        <v>0</v>
      </c>
      <c r="I144" s="114">
        <v>230000000</v>
      </c>
      <c r="J144" s="114">
        <v>70000000</v>
      </c>
      <c r="K144" s="153">
        <f t="shared" si="7"/>
        <v>247727959.33284223</v>
      </c>
      <c r="L144" s="117">
        <v>1.7999999999999999E-2</v>
      </c>
      <c r="M144" s="39">
        <v>0</v>
      </c>
      <c r="N144" s="132">
        <f t="shared" si="10"/>
        <v>70752283.420735106</v>
      </c>
      <c r="O144" s="25">
        <v>1.7999999999999999E-2</v>
      </c>
      <c r="P144" s="305">
        <f t="shared" si="8"/>
        <v>70752283.420735106</v>
      </c>
      <c r="Q144" s="167">
        <f t="shared" si="9"/>
        <v>318480242.75357735</v>
      </c>
      <c r="R144" s="116">
        <f t="shared" si="11"/>
        <v>230000000</v>
      </c>
      <c r="S144" s="116">
        <f t="shared" si="12"/>
        <v>388480242.75357735</v>
      </c>
    </row>
    <row r="145" spans="1:19" x14ac:dyDescent="0.3">
      <c r="A145" s="18"/>
      <c r="B145" s="245"/>
      <c r="C145" s="28">
        <v>10</v>
      </c>
      <c r="D145" s="168">
        <v>300000</v>
      </c>
      <c r="E145" s="161">
        <v>0</v>
      </c>
      <c r="F145" s="114">
        <v>300000</v>
      </c>
      <c r="G145" s="147">
        <v>100000</v>
      </c>
      <c r="H145" s="114">
        <v>0</v>
      </c>
      <c r="I145" s="114">
        <v>230000000</v>
      </c>
      <c r="J145" s="114">
        <v>70000000</v>
      </c>
      <c r="K145" s="153">
        <f t="shared" si="7"/>
        <v>252594262.60083339</v>
      </c>
      <c r="L145" s="117">
        <v>1.7999999999999999E-2</v>
      </c>
      <c r="M145" s="39">
        <v>0</v>
      </c>
      <c r="N145" s="132">
        <f t="shared" si="10"/>
        <v>72331224.522308335</v>
      </c>
      <c r="O145" s="25">
        <v>1.7999999999999999E-2</v>
      </c>
      <c r="P145" s="305">
        <f t="shared" si="8"/>
        <v>72331224.522308335</v>
      </c>
      <c r="Q145" s="167">
        <f t="shared" si="9"/>
        <v>324925487.12314171</v>
      </c>
      <c r="R145" s="116">
        <f t="shared" si="11"/>
        <v>230000000</v>
      </c>
      <c r="S145" s="116">
        <f t="shared" si="12"/>
        <v>394925487.12314171</v>
      </c>
    </row>
    <row r="146" spans="1:19" ht="17.25" thickBot="1" x14ac:dyDescent="0.35">
      <c r="A146" s="18"/>
      <c r="B146" s="245"/>
      <c r="C146" s="30">
        <v>11</v>
      </c>
      <c r="D146" s="168">
        <v>300000</v>
      </c>
      <c r="E146" s="161">
        <v>0</v>
      </c>
      <c r="F146" s="114">
        <v>300000</v>
      </c>
      <c r="G146" s="147">
        <v>100000</v>
      </c>
      <c r="H146" s="114">
        <v>0</v>
      </c>
      <c r="I146" s="114">
        <v>230000000</v>
      </c>
      <c r="J146" s="114">
        <v>70000000</v>
      </c>
      <c r="K146" s="153">
        <f t="shared" si="7"/>
        <v>257548159.3276484</v>
      </c>
      <c r="L146" s="117">
        <v>1.7999999999999999E-2</v>
      </c>
      <c r="M146" s="39">
        <v>0</v>
      </c>
      <c r="N146" s="132">
        <f t="shared" si="10"/>
        <v>73938586.563709885</v>
      </c>
      <c r="O146" s="94">
        <v>1.7999999999999999E-2</v>
      </c>
      <c r="P146" s="305">
        <f t="shared" si="8"/>
        <v>73938586.563709885</v>
      </c>
      <c r="Q146" s="167">
        <f t="shared" si="9"/>
        <v>331486745.89135826</v>
      </c>
      <c r="R146" s="116">
        <f t="shared" si="11"/>
        <v>230000000</v>
      </c>
      <c r="S146" s="116">
        <f t="shared" si="12"/>
        <v>401486745.89135826</v>
      </c>
    </row>
    <row r="147" spans="1:19" s="123" customFormat="1" ht="17.25" thickBot="1" x14ac:dyDescent="0.35">
      <c r="A147" s="109"/>
      <c r="B147" s="245"/>
      <c r="C147" s="104">
        <v>12</v>
      </c>
      <c r="D147" s="168">
        <v>300000</v>
      </c>
      <c r="E147" s="162">
        <v>0</v>
      </c>
      <c r="F147" s="114">
        <v>300000</v>
      </c>
      <c r="G147" s="147">
        <v>100000</v>
      </c>
      <c r="H147" s="114">
        <v>0</v>
      </c>
      <c r="I147" s="114">
        <v>230000000</v>
      </c>
      <c r="J147" s="114">
        <v>70000000</v>
      </c>
      <c r="K147" s="154">
        <f t="shared" si="7"/>
        <v>262591226.19554606</v>
      </c>
      <c r="L147" s="105">
        <v>1.7999999999999999E-2</v>
      </c>
      <c r="M147" s="39">
        <v>0</v>
      </c>
      <c r="N147" s="132">
        <f t="shared" si="10"/>
        <v>75574881.12185666</v>
      </c>
      <c r="O147" s="106">
        <v>1.7999999999999999E-2</v>
      </c>
      <c r="P147" s="305">
        <f t="shared" si="8"/>
        <v>75574881.12185666</v>
      </c>
      <c r="Q147" s="167">
        <f t="shared" si="9"/>
        <v>338166107.31740272</v>
      </c>
      <c r="R147" s="116">
        <f t="shared" si="11"/>
        <v>230000000</v>
      </c>
      <c r="S147" s="116">
        <f t="shared" si="12"/>
        <v>408166107.31740272</v>
      </c>
    </row>
    <row r="148" spans="1:19" x14ac:dyDescent="0.3">
      <c r="A148" s="18">
        <v>13</v>
      </c>
      <c r="B148" s="245">
        <v>2034</v>
      </c>
      <c r="C148" s="27">
        <v>1</v>
      </c>
      <c r="D148" s="168">
        <v>300000</v>
      </c>
      <c r="E148" s="161">
        <v>0</v>
      </c>
      <c r="F148" s="114">
        <v>0</v>
      </c>
      <c r="G148" s="147">
        <v>0</v>
      </c>
      <c r="H148" s="114">
        <v>0</v>
      </c>
      <c r="I148" s="114">
        <v>230000000</v>
      </c>
      <c r="J148" s="114">
        <v>70000000</v>
      </c>
      <c r="K148" s="153">
        <f t="shared" si="7"/>
        <v>267317868.26706588</v>
      </c>
      <c r="L148" s="117">
        <v>1.7999999999999999E-2</v>
      </c>
      <c r="M148" s="39">
        <v>0</v>
      </c>
      <c r="N148" s="132">
        <f t="shared" si="10"/>
        <v>76178380.646344081</v>
      </c>
      <c r="O148" s="93">
        <v>4.0000000000000001E-3</v>
      </c>
      <c r="P148" s="305">
        <f t="shared" si="8"/>
        <v>76178380.646344081</v>
      </c>
      <c r="Q148" s="167">
        <f t="shared" si="9"/>
        <v>343496248.91340995</v>
      </c>
      <c r="R148" s="116">
        <f t="shared" si="11"/>
        <v>230000000</v>
      </c>
      <c r="S148" s="116">
        <f t="shared" si="12"/>
        <v>413496248.91340995</v>
      </c>
    </row>
    <row r="149" spans="1:19" x14ac:dyDescent="0.3">
      <c r="A149" s="18"/>
      <c r="B149" s="245"/>
      <c r="C149" s="28">
        <v>2</v>
      </c>
      <c r="D149" s="168">
        <v>300000</v>
      </c>
      <c r="E149" s="161">
        <v>0</v>
      </c>
      <c r="F149" s="114">
        <v>0</v>
      </c>
      <c r="G149" s="147">
        <v>0</v>
      </c>
      <c r="H149" s="114">
        <v>0</v>
      </c>
      <c r="I149" s="114">
        <v>230000000</v>
      </c>
      <c r="J149" s="114">
        <v>70000000</v>
      </c>
      <c r="K149" s="153">
        <f t="shared" si="7"/>
        <v>272129589.89587307</v>
      </c>
      <c r="L149" s="117">
        <v>1.7999999999999999E-2</v>
      </c>
      <c r="M149" s="39">
        <v>0</v>
      </c>
      <c r="N149" s="132">
        <f t="shared" si="10"/>
        <v>77854991.49797827</v>
      </c>
      <c r="O149" s="25">
        <v>1.7999999999999999E-2</v>
      </c>
      <c r="P149" s="305">
        <f t="shared" si="8"/>
        <v>77854991.49797827</v>
      </c>
      <c r="Q149" s="167">
        <f t="shared" si="9"/>
        <v>349984581.39385134</v>
      </c>
      <c r="R149" s="116">
        <f t="shared" si="11"/>
        <v>230000000</v>
      </c>
      <c r="S149" s="116">
        <f t="shared" si="12"/>
        <v>419984581.39385134</v>
      </c>
    </row>
    <row r="150" spans="1:19" x14ac:dyDescent="0.3">
      <c r="A150" s="18"/>
      <c r="B150" s="245"/>
      <c r="C150" s="28">
        <v>3</v>
      </c>
      <c r="D150" s="168">
        <v>300000</v>
      </c>
      <c r="E150" s="161">
        <v>0</v>
      </c>
      <c r="F150" s="114">
        <v>0</v>
      </c>
      <c r="G150" s="147">
        <v>0</v>
      </c>
      <c r="H150" s="114">
        <v>0</v>
      </c>
      <c r="I150" s="114">
        <v>230000000</v>
      </c>
      <c r="J150" s="114">
        <v>70000000</v>
      </c>
      <c r="K150" s="153">
        <f t="shared" ref="K150:K213" si="13" xml:space="preserve"> (K149 + G150 + F150) + ((K149 + G150 + F150) * L150 )</f>
        <v>277027922.51399881</v>
      </c>
      <c r="L150" s="117">
        <v>1.7999999999999999E-2</v>
      </c>
      <c r="M150" s="39">
        <v>0</v>
      </c>
      <c r="N150" s="132">
        <f t="shared" si="10"/>
        <v>79561781.344941884</v>
      </c>
      <c r="O150" s="25">
        <v>1.7999999999999999E-2</v>
      </c>
      <c r="P150" s="305">
        <f t="shared" ref="P150:P213" si="14" xml:space="preserve"> M150 + N150</f>
        <v>79561781.344941884</v>
      </c>
      <c r="Q150" s="167">
        <f t="shared" ref="Q150:Q213" si="15" xml:space="preserve"> K150 + P150</f>
        <v>356589703.85894072</v>
      </c>
      <c r="R150" s="116">
        <f t="shared" si="11"/>
        <v>230000000</v>
      </c>
      <c r="S150" s="116">
        <f t="shared" si="12"/>
        <v>426589703.85894072</v>
      </c>
    </row>
    <row r="151" spans="1:19" x14ac:dyDescent="0.3">
      <c r="A151" s="18"/>
      <c r="B151" s="245"/>
      <c r="C151" s="28">
        <v>4</v>
      </c>
      <c r="D151" s="168">
        <v>300000</v>
      </c>
      <c r="E151" s="161">
        <v>0</v>
      </c>
      <c r="F151" s="114">
        <v>0</v>
      </c>
      <c r="G151" s="147">
        <v>0</v>
      </c>
      <c r="H151" s="114">
        <v>0</v>
      </c>
      <c r="I151" s="114">
        <v>230000000</v>
      </c>
      <c r="J151" s="114">
        <v>70000000</v>
      </c>
      <c r="K151" s="153">
        <f t="shared" si="13"/>
        <v>282014425.11925077</v>
      </c>
      <c r="L151" s="117">
        <v>1.7999999999999999E-2</v>
      </c>
      <c r="M151" s="39">
        <v>0</v>
      </c>
      <c r="N151" s="132">
        <f t="shared" si="10"/>
        <v>81299293.409150839</v>
      </c>
      <c r="O151" s="25">
        <v>1.7999999999999999E-2</v>
      </c>
      <c r="P151" s="305">
        <f t="shared" si="14"/>
        <v>81299293.409150839</v>
      </c>
      <c r="Q151" s="167">
        <f t="shared" si="15"/>
        <v>363313718.52840161</v>
      </c>
      <c r="R151" s="116">
        <f t="shared" si="11"/>
        <v>230000000</v>
      </c>
      <c r="S151" s="116">
        <f t="shared" si="12"/>
        <v>433313718.52840161</v>
      </c>
    </row>
    <row r="152" spans="1:19" x14ac:dyDescent="0.3">
      <c r="A152" s="18"/>
      <c r="B152" s="245"/>
      <c r="C152" s="28">
        <v>5</v>
      </c>
      <c r="D152" s="168">
        <v>300000</v>
      </c>
      <c r="E152" s="161">
        <v>0</v>
      </c>
      <c r="F152" s="114">
        <v>0</v>
      </c>
      <c r="G152" s="147">
        <v>0</v>
      </c>
      <c r="H152" s="114">
        <v>0</v>
      </c>
      <c r="I152" s="114">
        <v>230000000</v>
      </c>
      <c r="J152" s="114">
        <v>70000000</v>
      </c>
      <c r="K152" s="153">
        <f t="shared" si="13"/>
        <v>287090684.77139729</v>
      </c>
      <c r="L152" s="117">
        <v>1.7999999999999999E-2</v>
      </c>
      <c r="M152" s="39">
        <v>0</v>
      </c>
      <c r="N152" s="132">
        <f t="shared" ref="N152:N215" si="16" xml:space="preserve"> (N151 + D152 - E152 - M152) + ((N151 + D152 - E152 - M152) * O152)</f>
        <v>83068080.690515548</v>
      </c>
      <c r="O152" s="25">
        <v>1.7999999999999999E-2</v>
      </c>
      <c r="P152" s="305">
        <f t="shared" si="14"/>
        <v>83068080.690515548</v>
      </c>
      <c r="Q152" s="167">
        <f t="shared" si="15"/>
        <v>370158765.46191287</v>
      </c>
      <c r="R152" s="116">
        <f t="shared" si="11"/>
        <v>230000000</v>
      </c>
      <c r="S152" s="116">
        <f t="shared" si="12"/>
        <v>440158765.46191287</v>
      </c>
    </row>
    <row r="153" spans="1:19" x14ac:dyDescent="0.3">
      <c r="A153" s="18"/>
      <c r="B153" s="245"/>
      <c r="C153" s="28">
        <v>6</v>
      </c>
      <c r="D153" s="168">
        <v>300000</v>
      </c>
      <c r="E153" s="161">
        <v>0</v>
      </c>
      <c r="F153" s="114">
        <v>0</v>
      </c>
      <c r="G153" s="147">
        <v>0</v>
      </c>
      <c r="H153" s="114">
        <v>0</v>
      </c>
      <c r="I153" s="114">
        <v>230000000</v>
      </c>
      <c r="J153" s="114">
        <v>70000000</v>
      </c>
      <c r="K153" s="153">
        <f t="shared" si="13"/>
        <v>292258317.09728247</v>
      </c>
      <c r="L153" s="117">
        <v>1.7999999999999999E-2</v>
      </c>
      <c r="M153" s="39">
        <v>0</v>
      </c>
      <c r="N153" s="132">
        <f t="shared" si="16"/>
        <v>84868706.142944828</v>
      </c>
      <c r="O153" s="25">
        <v>1.7999999999999999E-2</v>
      </c>
      <c r="P153" s="305">
        <f t="shared" si="14"/>
        <v>84868706.142944828</v>
      </c>
      <c r="Q153" s="167">
        <f t="shared" si="15"/>
        <v>377127023.24022728</v>
      </c>
      <c r="R153" s="116">
        <f t="shared" si="11"/>
        <v>230000000</v>
      </c>
      <c r="S153" s="116">
        <f t="shared" si="12"/>
        <v>447127023.24022728</v>
      </c>
    </row>
    <row r="154" spans="1:19" x14ac:dyDescent="0.3">
      <c r="A154" s="18"/>
      <c r="B154" s="245"/>
      <c r="C154" s="28">
        <v>7</v>
      </c>
      <c r="D154" s="168">
        <v>300000</v>
      </c>
      <c r="E154" s="161">
        <v>0</v>
      </c>
      <c r="F154" s="114">
        <v>0</v>
      </c>
      <c r="G154" s="147">
        <v>0</v>
      </c>
      <c r="H154" s="114">
        <v>0</v>
      </c>
      <c r="I154" s="114">
        <v>230000000</v>
      </c>
      <c r="J154" s="114">
        <v>70000000</v>
      </c>
      <c r="K154" s="153">
        <f t="shared" si="13"/>
        <v>297518966.80503356</v>
      </c>
      <c r="L154" s="117">
        <v>1.7999999999999999E-2</v>
      </c>
      <c r="M154" s="39">
        <v>0</v>
      </c>
      <c r="N154" s="132">
        <f t="shared" si="16"/>
        <v>86701742.85351783</v>
      </c>
      <c r="O154" s="25">
        <v>1.7999999999999999E-2</v>
      </c>
      <c r="P154" s="305">
        <f t="shared" si="14"/>
        <v>86701742.85351783</v>
      </c>
      <c r="Q154" s="167">
        <f t="shared" si="15"/>
        <v>384220709.65855139</v>
      </c>
      <c r="R154" s="116">
        <f t="shared" si="11"/>
        <v>230000000</v>
      </c>
      <c r="S154" s="116">
        <f t="shared" si="12"/>
        <v>454220709.65855139</v>
      </c>
    </row>
    <row r="155" spans="1:19" x14ac:dyDescent="0.3">
      <c r="A155" s="18"/>
      <c r="B155" s="245"/>
      <c r="C155" s="28">
        <v>8</v>
      </c>
      <c r="D155" s="168">
        <v>300000</v>
      </c>
      <c r="E155" s="161">
        <v>0</v>
      </c>
      <c r="F155" s="114">
        <v>0</v>
      </c>
      <c r="G155" s="147">
        <v>0</v>
      </c>
      <c r="H155" s="114">
        <v>0</v>
      </c>
      <c r="I155" s="114">
        <v>230000000</v>
      </c>
      <c r="J155" s="114">
        <v>70000000</v>
      </c>
      <c r="K155" s="153">
        <f t="shared" si="13"/>
        <v>302874308.20752418</v>
      </c>
      <c r="L155" s="117">
        <v>1.7999999999999999E-2</v>
      </c>
      <c r="M155" s="39">
        <v>0</v>
      </c>
      <c r="N155" s="132">
        <f t="shared" si="16"/>
        <v>88567774.224881157</v>
      </c>
      <c r="O155" s="25">
        <v>1.7999999999999999E-2</v>
      </c>
      <c r="P155" s="305">
        <f t="shared" si="14"/>
        <v>88567774.224881157</v>
      </c>
      <c r="Q155" s="167">
        <f t="shared" si="15"/>
        <v>391442082.43240535</v>
      </c>
      <c r="R155" s="116">
        <f t="shared" ref="R155:R218" si="17" xml:space="preserve"> H155 + I155</f>
        <v>230000000</v>
      </c>
      <c r="S155" s="116">
        <f t="shared" ref="S155:S218" si="18" xml:space="preserve"> J155 + Q155</f>
        <v>461442082.43240535</v>
      </c>
    </row>
    <row r="156" spans="1:19" x14ac:dyDescent="0.3">
      <c r="A156" s="18"/>
      <c r="B156" s="245"/>
      <c r="C156" s="28">
        <v>9</v>
      </c>
      <c r="D156" s="168">
        <v>300000</v>
      </c>
      <c r="E156" s="161">
        <v>0</v>
      </c>
      <c r="F156" s="114">
        <v>0</v>
      </c>
      <c r="G156" s="147">
        <v>0</v>
      </c>
      <c r="H156" s="114">
        <v>0</v>
      </c>
      <c r="I156" s="114">
        <v>230000000</v>
      </c>
      <c r="J156" s="114">
        <v>70000000</v>
      </c>
      <c r="K156" s="153">
        <f t="shared" si="13"/>
        <v>308326045.75525963</v>
      </c>
      <c r="L156" s="117">
        <v>1.7999999999999999E-2</v>
      </c>
      <c r="M156" s="39">
        <v>0</v>
      </c>
      <c r="N156" s="132">
        <f t="shared" si="16"/>
        <v>90467394.160929024</v>
      </c>
      <c r="O156" s="25">
        <v>1.7999999999999999E-2</v>
      </c>
      <c r="P156" s="305">
        <f t="shared" si="14"/>
        <v>90467394.160929024</v>
      </c>
      <c r="Q156" s="167">
        <f t="shared" si="15"/>
        <v>398793439.91618866</v>
      </c>
      <c r="R156" s="116">
        <f t="shared" si="17"/>
        <v>230000000</v>
      </c>
      <c r="S156" s="116">
        <f t="shared" si="18"/>
        <v>468793439.91618866</v>
      </c>
    </row>
    <row r="157" spans="1:19" x14ac:dyDescent="0.3">
      <c r="A157" s="18"/>
      <c r="B157" s="245"/>
      <c r="C157" s="28">
        <v>10</v>
      </c>
      <c r="D157" s="168">
        <v>300000</v>
      </c>
      <c r="E157" s="161">
        <v>0</v>
      </c>
      <c r="F157" s="114">
        <v>0</v>
      </c>
      <c r="G157" s="147">
        <v>0</v>
      </c>
      <c r="H157" s="114">
        <v>0</v>
      </c>
      <c r="I157" s="114">
        <v>230000000</v>
      </c>
      <c r="J157" s="114">
        <v>70000000</v>
      </c>
      <c r="K157" s="153">
        <f t="shared" si="13"/>
        <v>313875914.57885432</v>
      </c>
      <c r="L157" s="117">
        <v>1.7999999999999999E-2</v>
      </c>
      <c r="M157" s="39">
        <v>0</v>
      </c>
      <c r="N157" s="132">
        <f t="shared" si="16"/>
        <v>92401207.255825743</v>
      </c>
      <c r="O157" s="25">
        <v>1.7999999999999999E-2</v>
      </c>
      <c r="P157" s="305">
        <f t="shared" si="14"/>
        <v>92401207.255825743</v>
      </c>
      <c r="Q157" s="167">
        <f t="shared" si="15"/>
        <v>406277121.83468008</v>
      </c>
      <c r="R157" s="116">
        <f t="shared" si="17"/>
        <v>230000000</v>
      </c>
      <c r="S157" s="116">
        <f t="shared" si="18"/>
        <v>476277121.83468008</v>
      </c>
    </row>
    <row r="158" spans="1:19" ht="17.25" thickBot="1" x14ac:dyDescent="0.35">
      <c r="A158" s="18"/>
      <c r="B158" s="245"/>
      <c r="C158" s="30">
        <v>11</v>
      </c>
      <c r="D158" s="168">
        <v>300000</v>
      </c>
      <c r="E158" s="161">
        <v>0</v>
      </c>
      <c r="F158" s="114">
        <v>0</v>
      </c>
      <c r="G158" s="147">
        <v>0</v>
      </c>
      <c r="H158" s="114">
        <v>0</v>
      </c>
      <c r="I158" s="114">
        <v>230000000</v>
      </c>
      <c r="J158" s="114">
        <v>70000000</v>
      </c>
      <c r="K158" s="153">
        <f t="shared" si="13"/>
        <v>319525681.04127371</v>
      </c>
      <c r="L158" s="117">
        <v>1.7999999999999999E-2</v>
      </c>
      <c r="M158" s="39">
        <v>0</v>
      </c>
      <c r="N158" s="132">
        <f t="shared" si="16"/>
        <v>94369828.9864306</v>
      </c>
      <c r="O158" s="94">
        <v>1.7999999999999999E-2</v>
      </c>
      <c r="P158" s="305">
        <f t="shared" si="14"/>
        <v>94369828.9864306</v>
      </c>
      <c r="Q158" s="167">
        <f t="shared" si="15"/>
        <v>413895510.0277043</v>
      </c>
      <c r="R158" s="116">
        <f t="shared" si="17"/>
        <v>230000000</v>
      </c>
      <c r="S158" s="116">
        <f t="shared" si="18"/>
        <v>483895510.0277043</v>
      </c>
    </row>
    <row r="159" spans="1:19" ht="17.25" thickBot="1" x14ac:dyDescent="0.35">
      <c r="A159" s="18"/>
      <c r="B159" s="245"/>
      <c r="C159" s="20">
        <v>12</v>
      </c>
      <c r="D159" s="168">
        <v>300000</v>
      </c>
      <c r="E159" s="161">
        <v>0</v>
      </c>
      <c r="F159" s="114">
        <v>0</v>
      </c>
      <c r="G159" s="147">
        <v>0</v>
      </c>
      <c r="H159" s="114">
        <v>0</v>
      </c>
      <c r="I159" s="114">
        <v>230000000</v>
      </c>
      <c r="J159" s="114">
        <v>70000000</v>
      </c>
      <c r="K159" s="153">
        <f t="shared" si="13"/>
        <v>325277143.30001664</v>
      </c>
      <c r="L159" s="117">
        <v>1.7999999999999999E-2</v>
      </c>
      <c r="M159" s="39">
        <v>0</v>
      </c>
      <c r="N159" s="132">
        <f t="shared" si="16"/>
        <v>96373885.908186346</v>
      </c>
      <c r="O159" s="95">
        <v>1.7999999999999999E-2</v>
      </c>
      <c r="P159" s="305">
        <f t="shared" si="14"/>
        <v>96373885.908186346</v>
      </c>
      <c r="Q159" s="167">
        <f t="shared" si="15"/>
        <v>421651029.20820296</v>
      </c>
      <c r="R159" s="116">
        <f t="shared" si="17"/>
        <v>230000000</v>
      </c>
      <c r="S159" s="116">
        <f t="shared" si="18"/>
        <v>491651029.20820296</v>
      </c>
    </row>
    <row r="160" spans="1:19" x14ac:dyDescent="0.3">
      <c r="A160" s="18">
        <v>14</v>
      </c>
      <c r="B160" s="245">
        <v>2035</v>
      </c>
      <c r="C160" s="27">
        <v>1</v>
      </c>
      <c r="D160" s="168">
        <v>300000</v>
      </c>
      <c r="E160" s="161">
        <v>0</v>
      </c>
      <c r="F160" s="114">
        <v>0</v>
      </c>
      <c r="G160" s="147">
        <v>0</v>
      </c>
      <c r="H160" s="114">
        <v>0</v>
      </c>
      <c r="I160" s="114">
        <v>230000000</v>
      </c>
      <c r="J160" s="114">
        <v>70000000</v>
      </c>
      <c r="K160" s="153">
        <f t="shared" si="13"/>
        <v>331132131.87941694</v>
      </c>
      <c r="L160" s="117">
        <v>1.7999999999999999E-2</v>
      </c>
      <c r="M160" s="39">
        <v>0</v>
      </c>
      <c r="N160" s="132">
        <f t="shared" si="16"/>
        <v>97060581.451819092</v>
      </c>
      <c r="O160" s="93">
        <v>4.0000000000000001E-3</v>
      </c>
      <c r="P160" s="305">
        <f t="shared" si="14"/>
        <v>97060581.451819092</v>
      </c>
      <c r="Q160" s="167">
        <f t="shared" si="15"/>
        <v>428192713.331236</v>
      </c>
      <c r="R160" s="116">
        <f t="shared" si="17"/>
        <v>230000000</v>
      </c>
      <c r="S160" s="116">
        <f t="shared" si="18"/>
        <v>498192713.331236</v>
      </c>
    </row>
    <row r="161" spans="1:19" x14ac:dyDescent="0.3">
      <c r="A161" s="18"/>
      <c r="B161" s="245"/>
      <c r="C161" s="28">
        <v>2</v>
      </c>
      <c r="D161" s="168">
        <v>300000</v>
      </c>
      <c r="E161" s="161">
        <v>0</v>
      </c>
      <c r="F161" s="114">
        <v>0</v>
      </c>
      <c r="G161" s="147">
        <v>0</v>
      </c>
      <c r="H161" s="114">
        <v>0</v>
      </c>
      <c r="I161" s="114">
        <v>230000000</v>
      </c>
      <c r="J161" s="114">
        <v>70000000</v>
      </c>
      <c r="K161" s="153">
        <f t="shared" si="13"/>
        <v>337092510.25324643</v>
      </c>
      <c r="L161" s="117">
        <v>1.7999999999999999E-2</v>
      </c>
      <c r="M161" s="39">
        <v>0</v>
      </c>
      <c r="N161" s="132">
        <f t="shared" si="16"/>
        <v>99113071.917951837</v>
      </c>
      <c r="O161" s="25">
        <v>1.7999999999999999E-2</v>
      </c>
      <c r="P161" s="305">
        <f t="shared" si="14"/>
        <v>99113071.917951837</v>
      </c>
      <c r="Q161" s="167">
        <f t="shared" si="15"/>
        <v>436205582.17119825</v>
      </c>
      <c r="R161" s="116">
        <f t="shared" si="17"/>
        <v>230000000</v>
      </c>
      <c r="S161" s="116">
        <f t="shared" si="18"/>
        <v>506205582.17119825</v>
      </c>
    </row>
    <row r="162" spans="1:19" x14ac:dyDescent="0.3">
      <c r="A162" s="18"/>
      <c r="B162" s="245"/>
      <c r="C162" s="28">
        <v>3</v>
      </c>
      <c r="D162" s="168">
        <v>300000</v>
      </c>
      <c r="E162" s="161">
        <v>0</v>
      </c>
      <c r="F162" s="114">
        <v>0</v>
      </c>
      <c r="G162" s="147">
        <v>0</v>
      </c>
      <c r="H162" s="114">
        <v>0</v>
      </c>
      <c r="I162" s="114">
        <v>230000000</v>
      </c>
      <c r="J162" s="114">
        <v>70000000</v>
      </c>
      <c r="K162" s="153">
        <f t="shared" si="13"/>
        <v>343160175.43780488</v>
      </c>
      <c r="L162" s="117">
        <v>1.7999999999999999E-2</v>
      </c>
      <c r="M162" s="39">
        <v>0</v>
      </c>
      <c r="N162" s="132">
        <f t="shared" si="16"/>
        <v>101202507.21247497</v>
      </c>
      <c r="O162" s="25">
        <v>1.7999999999999999E-2</v>
      </c>
      <c r="P162" s="305">
        <f t="shared" si="14"/>
        <v>101202507.21247497</v>
      </c>
      <c r="Q162" s="167">
        <f t="shared" si="15"/>
        <v>444362682.65027988</v>
      </c>
      <c r="R162" s="116">
        <f t="shared" si="17"/>
        <v>230000000</v>
      </c>
      <c r="S162" s="116">
        <f t="shared" si="18"/>
        <v>514362682.65027988</v>
      </c>
    </row>
    <row r="163" spans="1:19" x14ac:dyDescent="0.3">
      <c r="A163" s="18"/>
      <c r="B163" s="245"/>
      <c r="C163" s="28">
        <v>4</v>
      </c>
      <c r="D163" s="168">
        <v>300000</v>
      </c>
      <c r="E163" s="161">
        <v>0</v>
      </c>
      <c r="F163" s="114">
        <v>0</v>
      </c>
      <c r="G163" s="147">
        <v>0</v>
      </c>
      <c r="H163" s="114">
        <v>0</v>
      </c>
      <c r="I163" s="114">
        <v>230000000</v>
      </c>
      <c r="J163" s="114">
        <v>70000000</v>
      </c>
      <c r="K163" s="153">
        <f t="shared" si="13"/>
        <v>349337058.59568536</v>
      </c>
      <c r="L163" s="117">
        <v>1.7999999999999999E-2</v>
      </c>
      <c r="M163" s="39">
        <v>0</v>
      </c>
      <c r="N163" s="132">
        <f t="shared" si="16"/>
        <v>103329552.34229952</v>
      </c>
      <c r="O163" s="25">
        <v>1.7999999999999999E-2</v>
      </c>
      <c r="P163" s="305">
        <f t="shared" si="14"/>
        <v>103329552.34229952</v>
      </c>
      <c r="Q163" s="167">
        <f t="shared" si="15"/>
        <v>452666610.93798488</v>
      </c>
      <c r="R163" s="116">
        <f t="shared" si="17"/>
        <v>230000000</v>
      </c>
      <c r="S163" s="116">
        <f t="shared" si="18"/>
        <v>522666610.93798488</v>
      </c>
    </row>
    <row r="164" spans="1:19" x14ac:dyDescent="0.3">
      <c r="A164" s="18"/>
      <c r="B164" s="245"/>
      <c r="C164" s="28">
        <v>5</v>
      </c>
      <c r="D164" s="168">
        <v>300000</v>
      </c>
      <c r="E164" s="161">
        <v>0</v>
      </c>
      <c r="F164" s="114">
        <v>0</v>
      </c>
      <c r="G164" s="147">
        <v>0</v>
      </c>
      <c r="H164" s="114">
        <v>0</v>
      </c>
      <c r="I164" s="114">
        <v>230000000</v>
      </c>
      <c r="J164" s="114">
        <v>70000000</v>
      </c>
      <c r="K164" s="153">
        <f t="shared" si="13"/>
        <v>355625125.65040767</v>
      </c>
      <c r="L164" s="117">
        <v>1.7999999999999999E-2</v>
      </c>
      <c r="M164" s="39">
        <v>0</v>
      </c>
      <c r="N164" s="132">
        <f t="shared" si="16"/>
        <v>105494884.28446092</v>
      </c>
      <c r="O164" s="25">
        <v>1.7999999999999999E-2</v>
      </c>
      <c r="P164" s="305">
        <f t="shared" si="14"/>
        <v>105494884.28446092</v>
      </c>
      <c r="Q164" s="167">
        <f t="shared" si="15"/>
        <v>461120009.93486857</v>
      </c>
      <c r="R164" s="116">
        <f t="shared" si="17"/>
        <v>230000000</v>
      </c>
      <c r="S164" s="116">
        <f t="shared" si="18"/>
        <v>531120009.93486857</v>
      </c>
    </row>
    <row r="165" spans="1:19" x14ac:dyDescent="0.3">
      <c r="A165" s="18"/>
      <c r="B165" s="245"/>
      <c r="C165" s="28">
        <v>6</v>
      </c>
      <c r="D165" s="168">
        <v>300000</v>
      </c>
      <c r="E165" s="161">
        <v>0</v>
      </c>
      <c r="F165" s="114">
        <v>0</v>
      </c>
      <c r="G165" s="147">
        <v>0</v>
      </c>
      <c r="H165" s="114">
        <v>0</v>
      </c>
      <c r="I165" s="114">
        <v>230000000</v>
      </c>
      <c r="J165" s="114">
        <v>70000000</v>
      </c>
      <c r="K165" s="153">
        <f t="shared" si="13"/>
        <v>362026377.91211504</v>
      </c>
      <c r="L165" s="117">
        <v>1.7999999999999999E-2</v>
      </c>
      <c r="M165" s="39">
        <v>0</v>
      </c>
      <c r="N165" s="132">
        <f t="shared" si="16"/>
        <v>107699192.20158121</v>
      </c>
      <c r="O165" s="25">
        <v>1.7999999999999999E-2</v>
      </c>
      <c r="P165" s="305">
        <f t="shared" si="14"/>
        <v>107699192.20158121</v>
      </c>
      <c r="Q165" s="167">
        <f t="shared" si="15"/>
        <v>469725570.11369622</v>
      </c>
      <c r="R165" s="116">
        <f t="shared" si="17"/>
        <v>230000000</v>
      </c>
      <c r="S165" s="116">
        <f t="shared" si="18"/>
        <v>539725570.11369622</v>
      </c>
    </row>
    <row r="166" spans="1:19" x14ac:dyDescent="0.3">
      <c r="A166" s="18"/>
      <c r="B166" s="245"/>
      <c r="C166" s="28">
        <v>7</v>
      </c>
      <c r="D166" s="168">
        <v>300000</v>
      </c>
      <c r="E166" s="161">
        <v>0</v>
      </c>
      <c r="F166" s="114">
        <v>0</v>
      </c>
      <c r="G166" s="147">
        <v>0</v>
      </c>
      <c r="H166" s="114">
        <v>0</v>
      </c>
      <c r="I166" s="114">
        <v>230000000</v>
      </c>
      <c r="J166" s="114">
        <v>70000000</v>
      </c>
      <c r="K166" s="153">
        <f t="shared" si="13"/>
        <v>368542852.71453309</v>
      </c>
      <c r="L166" s="117">
        <v>1.7999999999999999E-2</v>
      </c>
      <c r="M166" s="39">
        <v>0</v>
      </c>
      <c r="N166" s="132">
        <f t="shared" si="16"/>
        <v>109943177.66120967</v>
      </c>
      <c r="O166" s="25">
        <v>1.7999999999999999E-2</v>
      </c>
      <c r="P166" s="305">
        <f t="shared" si="14"/>
        <v>109943177.66120967</v>
      </c>
      <c r="Q166" s="167">
        <f t="shared" si="15"/>
        <v>478486030.37574279</v>
      </c>
      <c r="R166" s="116">
        <f t="shared" si="17"/>
        <v>230000000</v>
      </c>
      <c r="S166" s="116">
        <f t="shared" si="18"/>
        <v>548486030.37574279</v>
      </c>
    </row>
    <row r="167" spans="1:19" x14ac:dyDescent="0.3">
      <c r="A167" s="18"/>
      <c r="B167" s="245"/>
      <c r="C167" s="28">
        <v>8</v>
      </c>
      <c r="D167" s="168">
        <v>300000</v>
      </c>
      <c r="E167" s="161">
        <v>0</v>
      </c>
      <c r="F167" s="114">
        <v>0</v>
      </c>
      <c r="G167" s="147">
        <v>0</v>
      </c>
      <c r="H167" s="114">
        <v>0</v>
      </c>
      <c r="I167" s="114">
        <v>230000000</v>
      </c>
      <c r="J167" s="114">
        <v>70000000</v>
      </c>
      <c r="K167" s="153">
        <f t="shared" si="13"/>
        <v>375176624.06339467</v>
      </c>
      <c r="L167" s="117">
        <v>1.7999999999999999E-2</v>
      </c>
      <c r="M167" s="39">
        <v>0</v>
      </c>
      <c r="N167" s="132">
        <f t="shared" si="16"/>
        <v>112227554.85911144</v>
      </c>
      <c r="O167" s="25">
        <v>1.7999999999999999E-2</v>
      </c>
      <c r="P167" s="305">
        <f t="shared" si="14"/>
        <v>112227554.85911144</v>
      </c>
      <c r="Q167" s="167">
        <f t="shared" si="15"/>
        <v>487404178.92250609</v>
      </c>
      <c r="R167" s="116">
        <f t="shared" si="17"/>
        <v>230000000</v>
      </c>
      <c r="S167" s="116">
        <f t="shared" si="18"/>
        <v>557404178.92250609</v>
      </c>
    </row>
    <row r="168" spans="1:19" x14ac:dyDescent="0.3">
      <c r="A168" s="18"/>
      <c r="B168" s="245"/>
      <c r="C168" s="28">
        <v>9</v>
      </c>
      <c r="D168" s="168">
        <v>300000</v>
      </c>
      <c r="E168" s="161">
        <v>0</v>
      </c>
      <c r="F168" s="114">
        <v>0</v>
      </c>
      <c r="G168" s="147">
        <v>0</v>
      </c>
      <c r="H168" s="114">
        <v>0</v>
      </c>
      <c r="I168" s="114">
        <v>230000000</v>
      </c>
      <c r="J168" s="114">
        <v>70000000</v>
      </c>
      <c r="K168" s="153">
        <f t="shared" si="13"/>
        <v>381929803.29653579</v>
      </c>
      <c r="L168" s="117">
        <v>1.7999999999999999E-2</v>
      </c>
      <c r="M168" s="39">
        <v>0</v>
      </c>
      <c r="N168" s="132">
        <f t="shared" si="16"/>
        <v>114553050.84657545</v>
      </c>
      <c r="O168" s="25">
        <v>1.7999999999999999E-2</v>
      </c>
      <c r="P168" s="305">
        <f t="shared" si="14"/>
        <v>114553050.84657545</v>
      </c>
      <c r="Q168" s="167">
        <f t="shared" si="15"/>
        <v>496482854.14311123</v>
      </c>
      <c r="R168" s="116">
        <f t="shared" si="17"/>
        <v>230000000</v>
      </c>
      <c r="S168" s="116">
        <f t="shared" si="18"/>
        <v>566482854.14311123</v>
      </c>
    </row>
    <row r="169" spans="1:19" x14ac:dyDescent="0.3">
      <c r="A169" s="18"/>
      <c r="B169" s="245"/>
      <c r="C169" s="28">
        <v>10</v>
      </c>
      <c r="D169" s="168">
        <v>300000</v>
      </c>
      <c r="E169" s="161">
        <v>0</v>
      </c>
      <c r="F169" s="114">
        <v>0</v>
      </c>
      <c r="G169" s="147">
        <v>0</v>
      </c>
      <c r="H169" s="114">
        <v>0</v>
      </c>
      <c r="I169" s="114">
        <v>230000000</v>
      </c>
      <c r="J169" s="114">
        <v>70000000</v>
      </c>
      <c r="K169" s="153">
        <f t="shared" si="13"/>
        <v>388804539.75587344</v>
      </c>
      <c r="L169" s="117">
        <v>1.7999999999999999E-2</v>
      </c>
      <c r="M169" s="39">
        <v>0</v>
      </c>
      <c r="N169" s="132">
        <f t="shared" si="16"/>
        <v>116920405.76181382</v>
      </c>
      <c r="O169" s="25">
        <v>1.7999999999999999E-2</v>
      </c>
      <c r="P169" s="305">
        <f t="shared" si="14"/>
        <v>116920405.76181382</v>
      </c>
      <c r="Q169" s="167">
        <f t="shared" si="15"/>
        <v>505724945.51768726</v>
      </c>
      <c r="R169" s="116">
        <f t="shared" si="17"/>
        <v>230000000</v>
      </c>
      <c r="S169" s="116">
        <f t="shared" si="18"/>
        <v>575724945.51768732</v>
      </c>
    </row>
    <row r="170" spans="1:19" ht="17.25" thickBot="1" x14ac:dyDescent="0.35">
      <c r="A170" s="18"/>
      <c r="B170" s="245"/>
      <c r="C170" s="30">
        <v>11</v>
      </c>
      <c r="D170" s="168">
        <v>300000</v>
      </c>
      <c r="E170" s="161">
        <v>0</v>
      </c>
      <c r="F170" s="114">
        <v>0</v>
      </c>
      <c r="G170" s="147">
        <v>0</v>
      </c>
      <c r="H170" s="114">
        <v>0</v>
      </c>
      <c r="I170" s="114">
        <v>230000000</v>
      </c>
      <c r="J170" s="114">
        <v>70000000</v>
      </c>
      <c r="K170" s="153">
        <f t="shared" si="13"/>
        <v>395803021.47147918</v>
      </c>
      <c r="L170" s="117">
        <v>1.7999999999999999E-2</v>
      </c>
      <c r="M170" s="39">
        <v>0</v>
      </c>
      <c r="N170" s="132">
        <f t="shared" si="16"/>
        <v>119330373.06552647</v>
      </c>
      <c r="O170" s="94">
        <v>1.7999999999999999E-2</v>
      </c>
      <c r="P170" s="305">
        <f t="shared" si="14"/>
        <v>119330373.06552647</v>
      </c>
      <c r="Q170" s="167">
        <f t="shared" si="15"/>
        <v>515133394.53700566</v>
      </c>
      <c r="R170" s="116">
        <f t="shared" si="17"/>
        <v>230000000</v>
      </c>
      <c r="S170" s="116">
        <f t="shared" si="18"/>
        <v>585133394.53700566</v>
      </c>
    </row>
    <row r="171" spans="1:19" ht="17.25" thickBot="1" x14ac:dyDescent="0.35">
      <c r="A171" s="18"/>
      <c r="B171" s="245"/>
      <c r="C171" s="20">
        <v>12</v>
      </c>
      <c r="D171" s="168">
        <v>300000</v>
      </c>
      <c r="E171" s="161">
        <v>0</v>
      </c>
      <c r="F171" s="114">
        <v>0</v>
      </c>
      <c r="G171" s="147">
        <v>0</v>
      </c>
      <c r="H171" s="114">
        <v>0</v>
      </c>
      <c r="I171" s="114">
        <v>230000000</v>
      </c>
      <c r="J171" s="114">
        <v>70000000</v>
      </c>
      <c r="K171" s="153">
        <f t="shared" si="13"/>
        <v>402927475.85796583</v>
      </c>
      <c r="L171" s="117">
        <v>1.7999999999999999E-2</v>
      </c>
      <c r="M171" s="39">
        <v>0</v>
      </c>
      <c r="N171" s="132">
        <f t="shared" si="16"/>
        <v>121783719.78070594</v>
      </c>
      <c r="O171" s="95">
        <v>1.7999999999999999E-2</v>
      </c>
      <c r="P171" s="305">
        <f t="shared" si="14"/>
        <v>121783719.78070594</v>
      </c>
      <c r="Q171" s="167">
        <f t="shared" si="15"/>
        <v>524711195.63867176</v>
      </c>
      <c r="R171" s="116">
        <f t="shared" si="17"/>
        <v>230000000</v>
      </c>
      <c r="S171" s="116">
        <f t="shared" si="18"/>
        <v>594711195.63867176</v>
      </c>
    </row>
    <row r="172" spans="1:19" x14ac:dyDescent="0.3">
      <c r="A172" s="18">
        <v>15</v>
      </c>
      <c r="B172" s="245">
        <v>2036</v>
      </c>
      <c r="C172" s="27">
        <v>1</v>
      </c>
      <c r="D172" s="168">
        <v>300000</v>
      </c>
      <c r="E172" s="161">
        <v>0</v>
      </c>
      <c r="F172" s="114">
        <v>0</v>
      </c>
      <c r="G172" s="147">
        <v>0</v>
      </c>
      <c r="H172" s="114">
        <v>0</v>
      </c>
      <c r="I172" s="114">
        <v>230000000</v>
      </c>
      <c r="J172" s="114">
        <v>70000000</v>
      </c>
      <c r="K172" s="153">
        <f t="shared" si="13"/>
        <v>410180170.42340922</v>
      </c>
      <c r="L172" s="117">
        <v>1.7999999999999999E-2</v>
      </c>
      <c r="M172" s="39">
        <v>0</v>
      </c>
      <c r="N172" s="132">
        <f t="shared" si="16"/>
        <v>122572054.65982877</v>
      </c>
      <c r="O172" s="93">
        <v>4.0000000000000001E-3</v>
      </c>
      <c r="P172" s="305">
        <f t="shared" si="14"/>
        <v>122572054.65982877</v>
      </c>
      <c r="Q172" s="167">
        <f t="shared" si="15"/>
        <v>532752225.08323801</v>
      </c>
      <c r="R172" s="116">
        <f t="shared" si="17"/>
        <v>230000000</v>
      </c>
      <c r="S172" s="116">
        <f t="shared" si="18"/>
        <v>602752225.08323801</v>
      </c>
    </row>
    <row r="173" spans="1:19" x14ac:dyDescent="0.3">
      <c r="A173" s="18"/>
      <c r="B173" s="245"/>
      <c r="C173" s="28">
        <v>2</v>
      </c>
      <c r="D173" s="168">
        <v>300000</v>
      </c>
      <c r="E173" s="161">
        <v>0</v>
      </c>
      <c r="F173" s="114">
        <v>0</v>
      </c>
      <c r="G173" s="147">
        <v>0</v>
      </c>
      <c r="H173" s="114">
        <v>0</v>
      </c>
      <c r="I173" s="114">
        <v>230000000</v>
      </c>
      <c r="J173" s="114">
        <v>70000000</v>
      </c>
      <c r="K173" s="153">
        <f t="shared" si="13"/>
        <v>417563413.49103057</v>
      </c>
      <c r="L173" s="117">
        <v>1.7999999999999999E-2</v>
      </c>
      <c r="M173" s="39">
        <v>0</v>
      </c>
      <c r="N173" s="132">
        <f t="shared" si="16"/>
        <v>125083751.64370568</v>
      </c>
      <c r="O173" s="25">
        <v>1.7999999999999999E-2</v>
      </c>
      <c r="P173" s="305">
        <f t="shared" si="14"/>
        <v>125083751.64370568</v>
      </c>
      <c r="Q173" s="167">
        <f t="shared" si="15"/>
        <v>542647165.1347363</v>
      </c>
      <c r="R173" s="116">
        <f t="shared" si="17"/>
        <v>230000000</v>
      </c>
      <c r="S173" s="116">
        <f t="shared" si="18"/>
        <v>612647165.1347363</v>
      </c>
    </row>
    <row r="174" spans="1:19" x14ac:dyDescent="0.3">
      <c r="A174" s="18"/>
      <c r="B174" s="245"/>
      <c r="C174" s="28">
        <v>3</v>
      </c>
      <c r="D174" s="168">
        <v>300000</v>
      </c>
      <c r="E174" s="161">
        <v>0</v>
      </c>
      <c r="F174" s="114">
        <v>0</v>
      </c>
      <c r="G174" s="147">
        <v>0</v>
      </c>
      <c r="H174" s="114">
        <v>0</v>
      </c>
      <c r="I174" s="114">
        <v>230000000</v>
      </c>
      <c r="J174" s="114">
        <v>70000000</v>
      </c>
      <c r="K174" s="153">
        <f t="shared" si="13"/>
        <v>425079554.93386912</v>
      </c>
      <c r="L174" s="117">
        <v>1.7999999999999999E-2</v>
      </c>
      <c r="M174" s="39">
        <v>0</v>
      </c>
      <c r="N174" s="132">
        <f t="shared" si="16"/>
        <v>127640659.17329238</v>
      </c>
      <c r="O174" s="25">
        <v>1.7999999999999999E-2</v>
      </c>
      <c r="P174" s="305">
        <f t="shared" si="14"/>
        <v>127640659.17329238</v>
      </c>
      <c r="Q174" s="167">
        <f t="shared" si="15"/>
        <v>552720214.10716152</v>
      </c>
      <c r="R174" s="116">
        <f t="shared" si="17"/>
        <v>230000000</v>
      </c>
      <c r="S174" s="116">
        <f t="shared" si="18"/>
        <v>622720214.10716152</v>
      </c>
    </row>
    <row r="175" spans="1:19" x14ac:dyDescent="0.3">
      <c r="A175" s="18"/>
      <c r="B175" s="245"/>
      <c r="C175" s="28">
        <v>4</v>
      </c>
      <c r="D175" s="168">
        <v>300000</v>
      </c>
      <c r="E175" s="161">
        <v>0</v>
      </c>
      <c r="F175" s="114">
        <v>0</v>
      </c>
      <c r="G175" s="147">
        <v>0</v>
      </c>
      <c r="H175" s="114">
        <v>0</v>
      </c>
      <c r="I175" s="114">
        <v>230000000</v>
      </c>
      <c r="J175" s="114">
        <v>70000000</v>
      </c>
      <c r="K175" s="153">
        <f t="shared" si="13"/>
        <v>432730986.92267877</v>
      </c>
      <c r="L175" s="117">
        <v>1.7999999999999999E-2</v>
      </c>
      <c r="M175" s="39">
        <v>0</v>
      </c>
      <c r="N175" s="132">
        <f t="shared" si="16"/>
        <v>130243591.03841165</v>
      </c>
      <c r="O175" s="25">
        <v>1.7999999999999999E-2</v>
      </c>
      <c r="P175" s="305">
        <f t="shared" si="14"/>
        <v>130243591.03841165</v>
      </c>
      <c r="Q175" s="167">
        <f t="shared" si="15"/>
        <v>562974577.96109045</v>
      </c>
      <c r="R175" s="116">
        <f t="shared" si="17"/>
        <v>230000000</v>
      </c>
      <c r="S175" s="116">
        <f t="shared" si="18"/>
        <v>632974577.96109045</v>
      </c>
    </row>
    <row r="176" spans="1:19" x14ac:dyDescent="0.3">
      <c r="A176" s="18"/>
      <c r="B176" s="245"/>
      <c r="C176" s="28">
        <v>5</v>
      </c>
      <c r="D176" s="168">
        <v>300000</v>
      </c>
      <c r="E176" s="161">
        <v>0</v>
      </c>
      <c r="F176" s="114">
        <v>0</v>
      </c>
      <c r="G176" s="147">
        <v>0</v>
      </c>
      <c r="H176" s="114">
        <v>0</v>
      </c>
      <c r="I176" s="114">
        <v>230000000</v>
      </c>
      <c r="J176" s="114">
        <v>70000000</v>
      </c>
      <c r="K176" s="153">
        <f t="shared" si="13"/>
        <v>440520144.68728697</v>
      </c>
      <c r="L176" s="117">
        <v>1.7999999999999999E-2</v>
      </c>
      <c r="M176" s="39">
        <v>0</v>
      </c>
      <c r="N176" s="132">
        <f t="shared" si="16"/>
        <v>132893375.67710306</v>
      </c>
      <c r="O176" s="25">
        <v>1.7999999999999999E-2</v>
      </c>
      <c r="P176" s="305">
        <f t="shared" si="14"/>
        <v>132893375.67710306</v>
      </c>
      <c r="Q176" s="167">
        <f t="shared" si="15"/>
        <v>573413520.36439002</v>
      </c>
      <c r="R176" s="116">
        <f t="shared" si="17"/>
        <v>230000000</v>
      </c>
      <c r="S176" s="116">
        <f t="shared" si="18"/>
        <v>643413520.36439002</v>
      </c>
    </row>
    <row r="177" spans="1:19" x14ac:dyDescent="0.3">
      <c r="A177" s="18"/>
      <c r="B177" s="245"/>
      <c r="C177" s="28">
        <v>6</v>
      </c>
      <c r="D177" s="168">
        <v>300000</v>
      </c>
      <c r="E177" s="161">
        <v>0</v>
      </c>
      <c r="F177" s="114">
        <v>0</v>
      </c>
      <c r="G177" s="147">
        <v>0</v>
      </c>
      <c r="H177" s="114">
        <v>0</v>
      </c>
      <c r="I177" s="114">
        <v>230000000</v>
      </c>
      <c r="J177" s="114">
        <v>70000000</v>
      </c>
      <c r="K177" s="153">
        <f t="shared" si="13"/>
        <v>448449507.29165816</v>
      </c>
      <c r="L177" s="117">
        <v>1.7999999999999999E-2</v>
      </c>
      <c r="M177" s="39">
        <v>0</v>
      </c>
      <c r="N177" s="132">
        <f t="shared" si="16"/>
        <v>135590856.43929091</v>
      </c>
      <c r="O177" s="25">
        <v>1.7999999999999999E-2</v>
      </c>
      <c r="P177" s="305">
        <f t="shared" si="14"/>
        <v>135590856.43929091</v>
      </c>
      <c r="Q177" s="167">
        <f t="shared" si="15"/>
        <v>584040363.73094904</v>
      </c>
      <c r="R177" s="116">
        <f t="shared" si="17"/>
        <v>230000000</v>
      </c>
      <c r="S177" s="116">
        <f t="shared" si="18"/>
        <v>654040363.73094904</v>
      </c>
    </row>
    <row r="178" spans="1:19" x14ac:dyDescent="0.3">
      <c r="A178" s="18"/>
      <c r="B178" s="245"/>
      <c r="C178" s="28">
        <v>7</v>
      </c>
      <c r="D178" s="168">
        <v>300000</v>
      </c>
      <c r="E178" s="161">
        <v>0</v>
      </c>
      <c r="F178" s="114">
        <v>0</v>
      </c>
      <c r="G178" s="147">
        <v>0</v>
      </c>
      <c r="H178" s="114">
        <v>0</v>
      </c>
      <c r="I178" s="114">
        <v>230000000</v>
      </c>
      <c r="J178" s="114">
        <v>70000000</v>
      </c>
      <c r="K178" s="153">
        <f t="shared" si="13"/>
        <v>456521598.42290801</v>
      </c>
      <c r="L178" s="117">
        <v>1.7999999999999999E-2</v>
      </c>
      <c r="M178" s="39">
        <v>0</v>
      </c>
      <c r="N178" s="132">
        <f t="shared" si="16"/>
        <v>138336891.85519814</v>
      </c>
      <c r="O178" s="25">
        <v>1.7999999999999999E-2</v>
      </c>
      <c r="P178" s="305">
        <f t="shared" si="14"/>
        <v>138336891.85519814</v>
      </c>
      <c r="Q178" s="167">
        <f t="shared" si="15"/>
        <v>594858490.27810621</v>
      </c>
      <c r="R178" s="116">
        <f t="shared" si="17"/>
        <v>230000000</v>
      </c>
      <c r="S178" s="116">
        <f t="shared" si="18"/>
        <v>664858490.27810621</v>
      </c>
    </row>
    <row r="179" spans="1:19" x14ac:dyDescent="0.3">
      <c r="A179" s="18"/>
      <c r="B179" s="245"/>
      <c r="C179" s="28">
        <v>8</v>
      </c>
      <c r="D179" s="168">
        <v>300000</v>
      </c>
      <c r="E179" s="161">
        <v>0</v>
      </c>
      <c r="F179" s="114">
        <v>0</v>
      </c>
      <c r="G179" s="147">
        <v>0</v>
      </c>
      <c r="H179" s="114">
        <v>0</v>
      </c>
      <c r="I179" s="114">
        <v>230000000</v>
      </c>
      <c r="J179" s="114">
        <v>70000000</v>
      </c>
      <c r="K179" s="153">
        <f t="shared" si="13"/>
        <v>464738987.19452035</v>
      </c>
      <c r="L179" s="117">
        <v>1.7999999999999999E-2</v>
      </c>
      <c r="M179" s="39">
        <v>0</v>
      </c>
      <c r="N179" s="132">
        <f t="shared" si="16"/>
        <v>141132355.90859172</v>
      </c>
      <c r="O179" s="25">
        <v>1.7999999999999999E-2</v>
      </c>
      <c r="P179" s="305">
        <f t="shared" si="14"/>
        <v>141132355.90859172</v>
      </c>
      <c r="Q179" s="167">
        <f t="shared" si="15"/>
        <v>605871343.1031121</v>
      </c>
      <c r="R179" s="116">
        <f t="shared" si="17"/>
        <v>230000000</v>
      </c>
      <c r="S179" s="116">
        <f t="shared" si="18"/>
        <v>675871343.1031121</v>
      </c>
    </row>
    <row r="180" spans="1:19" x14ac:dyDescent="0.3">
      <c r="A180" s="18"/>
      <c r="B180" s="245"/>
      <c r="C180" s="28">
        <v>9</v>
      </c>
      <c r="D180" s="168">
        <v>300000</v>
      </c>
      <c r="E180" s="161">
        <v>0</v>
      </c>
      <c r="F180" s="114">
        <v>0</v>
      </c>
      <c r="G180" s="147">
        <v>0</v>
      </c>
      <c r="H180" s="114">
        <v>0</v>
      </c>
      <c r="I180" s="114">
        <v>230000000</v>
      </c>
      <c r="J180" s="114">
        <v>70000000</v>
      </c>
      <c r="K180" s="153">
        <f t="shared" si="13"/>
        <v>473104288.96402174</v>
      </c>
      <c r="L180" s="117">
        <v>1.7999999999999999E-2</v>
      </c>
      <c r="M180" s="39">
        <v>0</v>
      </c>
      <c r="N180" s="132">
        <f t="shared" si="16"/>
        <v>143978138.31494635</v>
      </c>
      <c r="O180" s="25">
        <v>1.7999999999999999E-2</v>
      </c>
      <c r="P180" s="305">
        <f t="shared" si="14"/>
        <v>143978138.31494635</v>
      </c>
      <c r="Q180" s="167">
        <f t="shared" si="15"/>
        <v>617082427.2789681</v>
      </c>
      <c r="R180" s="116">
        <f t="shared" si="17"/>
        <v>230000000</v>
      </c>
      <c r="S180" s="116">
        <f t="shared" si="18"/>
        <v>687082427.2789681</v>
      </c>
    </row>
    <row r="181" spans="1:19" x14ac:dyDescent="0.3">
      <c r="A181" s="18"/>
      <c r="B181" s="245"/>
      <c r="C181" s="28">
        <v>10</v>
      </c>
      <c r="D181" s="168">
        <v>300000</v>
      </c>
      <c r="E181" s="161">
        <v>0</v>
      </c>
      <c r="F181" s="114">
        <v>0</v>
      </c>
      <c r="G181" s="147">
        <v>0</v>
      </c>
      <c r="H181" s="114">
        <v>0</v>
      </c>
      <c r="I181" s="114">
        <v>230000000</v>
      </c>
      <c r="J181" s="114">
        <v>70000000</v>
      </c>
      <c r="K181" s="153">
        <f t="shared" si="13"/>
        <v>481620166.16537416</v>
      </c>
      <c r="L181" s="117">
        <v>1.7999999999999999E-2</v>
      </c>
      <c r="M181" s="39">
        <v>0</v>
      </c>
      <c r="N181" s="132">
        <f t="shared" si="16"/>
        <v>146875144.80461538</v>
      </c>
      <c r="O181" s="25">
        <v>1.7999999999999999E-2</v>
      </c>
      <c r="P181" s="305">
        <f t="shared" si="14"/>
        <v>146875144.80461538</v>
      </c>
      <c r="Q181" s="167">
        <f t="shared" si="15"/>
        <v>628495310.96998954</v>
      </c>
      <c r="R181" s="116">
        <f t="shared" si="17"/>
        <v>230000000</v>
      </c>
      <c r="S181" s="116">
        <f t="shared" si="18"/>
        <v>698495310.96998954</v>
      </c>
    </row>
    <row r="182" spans="1:19" ht="17.25" thickBot="1" x14ac:dyDescent="0.35">
      <c r="A182" s="18"/>
      <c r="B182" s="245"/>
      <c r="C182" s="30">
        <v>11</v>
      </c>
      <c r="D182" s="168">
        <v>300000</v>
      </c>
      <c r="E182" s="161">
        <v>0</v>
      </c>
      <c r="F182" s="114">
        <v>0</v>
      </c>
      <c r="G182" s="147">
        <v>0</v>
      </c>
      <c r="H182" s="114">
        <v>0</v>
      </c>
      <c r="I182" s="114">
        <v>230000000</v>
      </c>
      <c r="J182" s="114">
        <v>70000000</v>
      </c>
      <c r="K182" s="153">
        <f t="shared" si="13"/>
        <v>490289329.15635091</v>
      </c>
      <c r="L182" s="117">
        <v>1.7999999999999999E-2</v>
      </c>
      <c r="M182" s="39">
        <v>0</v>
      </c>
      <c r="N182" s="132">
        <f t="shared" si="16"/>
        <v>149824297.41109845</v>
      </c>
      <c r="O182" s="94">
        <v>1.7999999999999999E-2</v>
      </c>
      <c r="P182" s="305">
        <f t="shared" si="14"/>
        <v>149824297.41109845</v>
      </c>
      <c r="Q182" s="167">
        <f t="shared" si="15"/>
        <v>640113626.56744933</v>
      </c>
      <c r="R182" s="116">
        <f t="shared" si="17"/>
        <v>230000000</v>
      </c>
      <c r="S182" s="116">
        <f t="shared" si="18"/>
        <v>710113626.56744933</v>
      </c>
    </row>
    <row r="183" spans="1:19" ht="17.25" thickBot="1" x14ac:dyDescent="0.35">
      <c r="A183" s="18"/>
      <c r="B183" s="245"/>
      <c r="C183" s="20">
        <v>12</v>
      </c>
      <c r="D183" s="168">
        <v>300000</v>
      </c>
      <c r="E183" s="161">
        <v>0</v>
      </c>
      <c r="F183" s="114">
        <v>0</v>
      </c>
      <c r="G183" s="147">
        <v>0</v>
      </c>
      <c r="H183" s="114">
        <v>0</v>
      </c>
      <c r="I183" s="114">
        <v>230000000</v>
      </c>
      <c r="J183" s="114">
        <v>70000000</v>
      </c>
      <c r="K183" s="153">
        <f t="shared" si="13"/>
        <v>499114537.08116525</v>
      </c>
      <c r="L183" s="117">
        <v>1.7999999999999999E-2</v>
      </c>
      <c r="M183" s="39">
        <v>0</v>
      </c>
      <c r="N183" s="132">
        <f t="shared" si="16"/>
        <v>152826534.76449823</v>
      </c>
      <c r="O183" s="95">
        <v>1.7999999999999999E-2</v>
      </c>
      <c r="P183" s="305">
        <f t="shared" si="14"/>
        <v>152826534.76449823</v>
      </c>
      <c r="Q183" s="167">
        <f t="shared" si="15"/>
        <v>651941071.84566355</v>
      </c>
      <c r="R183" s="116">
        <f t="shared" si="17"/>
        <v>230000000</v>
      </c>
      <c r="S183" s="116">
        <f t="shared" si="18"/>
        <v>721941071.84566355</v>
      </c>
    </row>
    <row r="184" spans="1:19" x14ac:dyDescent="0.3">
      <c r="A184" s="18">
        <v>16</v>
      </c>
      <c r="B184" s="245">
        <v>2037</v>
      </c>
      <c r="C184" s="27">
        <v>1</v>
      </c>
      <c r="D184" s="168">
        <v>300000</v>
      </c>
      <c r="E184" s="161">
        <v>0</v>
      </c>
      <c r="F184" s="114">
        <v>0</v>
      </c>
      <c r="G184" s="147">
        <v>0</v>
      </c>
      <c r="H184" s="114">
        <v>0</v>
      </c>
      <c r="I184" s="114">
        <v>230000000</v>
      </c>
      <c r="J184" s="114">
        <v>70000000</v>
      </c>
      <c r="K184" s="153">
        <f t="shared" si="13"/>
        <v>508098598.74862623</v>
      </c>
      <c r="L184" s="117">
        <v>1.7999999999999999E-2</v>
      </c>
      <c r="M184" s="39">
        <v>0</v>
      </c>
      <c r="N184" s="132">
        <f t="shared" si="16"/>
        <v>153739040.90355623</v>
      </c>
      <c r="O184" s="93">
        <v>4.0000000000000001E-3</v>
      </c>
      <c r="P184" s="305">
        <f t="shared" si="14"/>
        <v>153739040.90355623</v>
      </c>
      <c r="Q184" s="167">
        <f t="shared" si="15"/>
        <v>661837639.65218246</v>
      </c>
      <c r="R184" s="116">
        <f t="shared" si="17"/>
        <v>230000000</v>
      </c>
      <c r="S184" s="116">
        <f t="shared" si="18"/>
        <v>731837639.65218246</v>
      </c>
    </row>
    <row r="185" spans="1:19" x14ac:dyDescent="0.3">
      <c r="A185" s="18"/>
      <c r="B185" s="245"/>
      <c r="C185" s="28">
        <v>2</v>
      </c>
      <c r="D185" s="168">
        <v>300000</v>
      </c>
      <c r="E185" s="161">
        <v>0</v>
      </c>
      <c r="F185" s="114">
        <v>0</v>
      </c>
      <c r="G185" s="147">
        <v>0</v>
      </c>
      <c r="H185" s="114">
        <v>0</v>
      </c>
      <c r="I185" s="114">
        <v>230000000</v>
      </c>
      <c r="J185" s="114">
        <v>70000000</v>
      </c>
      <c r="K185" s="153">
        <f t="shared" si="13"/>
        <v>517244373.52610153</v>
      </c>
      <c r="L185" s="117">
        <v>1.7999999999999999E-2</v>
      </c>
      <c r="M185" s="39">
        <v>0</v>
      </c>
      <c r="N185" s="132">
        <f t="shared" si="16"/>
        <v>156811743.63982025</v>
      </c>
      <c r="O185" s="25">
        <v>1.7999999999999999E-2</v>
      </c>
      <c r="P185" s="305">
        <f t="shared" si="14"/>
        <v>156811743.63982025</v>
      </c>
      <c r="Q185" s="167">
        <f t="shared" si="15"/>
        <v>674056117.16592181</v>
      </c>
      <c r="R185" s="116">
        <f t="shared" si="17"/>
        <v>230000000</v>
      </c>
      <c r="S185" s="116">
        <f t="shared" si="18"/>
        <v>744056117.16592181</v>
      </c>
    </row>
    <row r="186" spans="1:19" x14ac:dyDescent="0.3">
      <c r="A186" s="18"/>
      <c r="B186" s="245"/>
      <c r="C186" s="28">
        <v>3</v>
      </c>
      <c r="D186" s="168">
        <v>300000</v>
      </c>
      <c r="E186" s="161">
        <v>0</v>
      </c>
      <c r="F186" s="114">
        <v>0</v>
      </c>
      <c r="G186" s="147">
        <v>0</v>
      </c>
      <c r="H186" s="114">
        <v>0</v>
      </c>
      <c r="I186" s="114">
        <v>230000000</v>
      </c>
      <c r="J186" s="114">
        <v>70000000</v>
      </c>
      <c r="K186" s="153">
        <f t="shared" si="13"/>
        <v>526554772.24957138</v>
      </c>
      <c r="L186" s="117">
        <v>1.7999999999999999E-2</v>
      </c>
      <c r="M186" s="39">
        <v>0</v>
      </c>
      <c r="N186" s="132">
        <f t="shared" si="16"/>
        <v>159939755.02533701</v>
      </c>
      <c r="O186" s="25">
        <v>1.7999999999999999E-2</v>
      </c>
      <c r="P186" s="305">
        <f t="shared" si="14"/>
        <v>159939755.02533701</v>
      </c>
      <c r="Q186" s="167">
        <f t="shared" si="15"/>
        <v>686494527.27490842</v>
      </c>
      <c r="R186" s="116">
        <f t="shared" si="17"/>
        <v>230000000</v>
      </c>
      <c r="S186" s="116">
        <f t="shared" si="18"/>
        <v>756494527.27490842</v>
      </c>
    </row>
    <row r="187" spans="1:19" x14ac:dyDescent="0.3">
      <c r="A187" s="18"/>
      <c r="B187" s="245"/>
      <c r="C187" s="28">
        <v>4</v>
      </c>
      <c r="D187" s="168">
        <v>300000</v>
      </c>
      <c r="E187" s="161">
        <v>0</v>
      </c>
      <c r="F187" s="114">
        <v>0</v>
      </c>
      <c r="G187" s="147">
        <v>0</v>
      </c>
      <c r="H187" s="114">
        <v>0</v>
      </c>
      <c r="I187" s="114">
        <v>230000000</v>
      </c>
      <c r="J187" s="114">
        <v>70000000</v>
      </c>
      <c r="K187" s="153">
        <f t="shared" si="13"/>
        <v>536032758.15006369</v>
      </c>
      <c r="L187" s="117">
        <v>1.7999999999999999E-2</v>
      </c>
      <c r="M187" s="39">
        <v>0</v>
      </c>
      <c r="N187" s="132">
        <f t="shared" si="16"/>
        <v>163124070.61579308</v>
      </c>
      <c r="O187" s="25">
        <v>1.7999999999999999E-2</v>
      </c>
      <c r="P187" s="305">
        <f t="shared" si="14"/>
        <v>163124070.61579308</v>
      </c>
      <c r="Q187" s="167">
        <f t="shared" si="15"/>
        <v>699156828.76585674</v>
      </c>
      <c r="R187" s="116">
        <f t="shared" si="17"/>
        <v>230000000</v>
      </c>
      <c r="S187" s="116">
        <f t="shared" si="18"/>
        <v>769156828.76585674</v>
      </c>
    </row>
    <row r="188" spans="1:19" x14ac:dyDescent="0.3">
      <c r="A188" s="18"/>
      <c r="B188" s="245"/>
      <c r="C188" s="28">
        <v>5</v>
      </c>
      <c r="D188" s="168">
        <v>300000</v>
      </c>
      <c r="E188" s="161">
        <v>0</v>
      </c>
      <c r="F188" s="114">
        <v>0</v>
      </c>
      <c r="G188" s="147">
        <v>0</v>
      </c>
      <c r="H188" s="114">
        <v>0</v>
      </c>
      <c r="I188" s="114">
        <v>230000000</v>
      </c>
      <c r="J188" s="114">
        <v>70000000</v>
      </c>
      <c r="K188" s="153">
        <f t="shared" si="13"/>
        <v>545681347.79676485</v>
      </c>
      <c r="L188" s="117">
        <v>1.7999999999999999E-2</v>
      </c>
      <c r="M188" s="39">
        <v>0</v>
      </c>
      <c r="N188" s="132">
        <f t="shared" si="16"/>
        <v>166365703.88687736</v>
      </c>
      <c r="O188" s="25">
        <v>1.7999999999999999E-2</v>
      </c>
      <c r="P188" s="305">
        <f t="shared" si="14"/>
        <v>166365703.88687736</v>
      </c>
      <c r="Q188" s="167">
        <f t="shared" si="15"/>
        <v>712047051.68364215</v>
      </c>
      <c r="R188" s="116">
        <f t="shared" si="17"/>
        <v>230000000</v>
      </c>
      <c r="S188" s="116">
        <f t="shared" si="18"/>
        <v>782047051.68364215</v>
      </c>
    </row>
    <row r="189" spans="1:19" x14ac:dyDescent="0.3">
      <c r="A189" s="18"/>
      <c r="B189" s="245"/>
      <c r="C189" s="28">
        <v>6</v>
      </c>
      <c r="D189" s="168">
        <v>300000</v>
      </c>
      <c r="E189" s="161">
        <v>0</v>
      </c>
      <c r="F189" s="114">
        <v>0</v>
      </c>
      <c r="G189" s="147">
        <v>0</v>
      </c>
      <c r="H189" s="114">
        <v>0</v>
      </c>
      <c r="I189" s="114">
        <v>230000000</v>
      </c>
      <c r="J189" s="114">
        <v>70000000</v>
      </c>
      <c r="K189" s="153">
        <f t="shared" si="13"/>
        <v>555503612.05710661</v>
      </c>
      <c r="L189" s="117">
        <v>1.7999999999999999E-2</v>
      </c>
      <c r="M189" s="39">
        <v>0</v>
      </c>
      <c r="N189" s="132">
        <f t="shared" si="16"/>
        <v>169665686.55684116</v>
      </c>
      <c r="O189" s="25">
        <v>1.7999999999999999E-2</v>
      </c>
      <c r="P189" s="305">
        <f t="shared" si="14"/>
        <v>169665686.55684116</v>
      </c>
      <c r="Q189" s="167">
        <f t="shared" si="15"/>
        <v>725169298.61394775</v>
      </c>
      <c r="R189" s="116">
        <f t="shared" si="17"/>
        <v>230000000</v>
      </c>
      <c r="S189" s="116">
        <f t="shared" si="18"/>
        <v>795169298.61394775</v>
      </c>
    </row>
    <row r="190" spans="1:19" x14ac:dyDescent="0.3">
      <c r="A190" s="18"/>
      <c r="B190" s="245"/>
      <c r="C190" s="28">
        <v>7</v>
      </c>
      <c r="D190" s="168">
        <v>300000</v>
      </c>
      <c r="E190" s="161">
        <v>0</v>
      </c>
      <c r="F190" s="114">
        <v>0</v>
      </c>
      <c r="G190" s="147">
        <v>0</v>
      </c>
      <c r="H190" s="114">
        <v>0</v>
      </c>
      <c r="I190" s="114">
        <v>230000000</v>
      </c>
      <c r="J190" s="114">
        <v>70000000</v>
      </c>
      <c r="K190" s="153">
        <f t="shared" si="13"/>
        <v>565502677.07413459</v>
      </c>
      <c r="L190" s="117">
        <v>1.7999999999999999E-2</v>
      </c>
      <c r="M190" s="39">
        <v>0</v>
      </c>
      <c r="N190" s="132">
        <f t="shared" si="16"/>
        <v>173025068.9148643</v>
      </c>
      <c r="O190" s="25">
        <v>1.7999999999999999E-2</v>
      </c>
      <c r="P190" s="305">
        <f t="shared" si="14"/>
        <v>173025068.9148643</v>
      </c>
      <c r="Q190" s="167">
        <f t="shared" si="15"/>
        <v>738527745.98899889</v>
      </c>
      <c r="R190" s="116">
        <f t="shared" si="17"/>
        <v>230000000</v>
      </c>
      <c r="S190" s="116">
        <f t="shared" si="18"/>
        <v>808527745.98899889</v>
      </c>
    </row>
    <row r="191" spans="1:19" x14ac:dyDescent="0.3">
      <c r="A191" s="18"/>
      <c r="B191" s="245"/>
      <c r="C191" s="28">
        <v>8</v>
      </c>
      <c r="D191" s="168">
        <v>300000</v>
      </c>
      <c r="E191" s="161">
        <v>0</v>
      </c>
      <c r="F191" s="114">
        <v>0</v>
      </c>
      <c r="G191" s="147">
        <v>0</v>
      </c>
      <c r="H191" s="114">
        <v>0</v>
      </c>
      <c r="I191" s="114">
        <v>230000000</v>
      </c>
      <c r="J191" s="114">
        <v>70000000</v>
      </c>
      <c r="K191" s="153">
        <f t="shared" si="13"/>
        <v>575681725.26146901</v>
      </c>
      <c r="L191" s="117">
        <v>1.7999999999999999E-2</v>
      </c>
      <c r="M191" s="39">
        <v>0</v>
      </c>
      <c r="N191" s="132">
        <f t="shared" si="16"/>
        <v>176444920.15533185</v>
      </c>
      <c r="O191" s="25">
        <v>1.7999999999999999E-2</v>
      </c>
      <c r="P191" s="305">
        <f t="shared" si="14"/>
        <v>176444920.15533185</v>
      </c>
      <c r="Q191" s="167">
        <f t="shared" si="15"/>
        <v>752126645.41680086</v>
      </c>
      <c r="R191" s="116">
        <f t="shared" si="17"/>
        <v>230000000</v>
      </c>
      <c r="S191" s="116">
        <f t="shared" si="18"/>
        <v>822126645.41680086</v>
      </c>
    </row>
    <row r="192" spans="1:19" x14ac:dyDescent="0.3">
      <c r="A192" s="18"/>
      <c r="B192" s="245"/>
      <c r="C192" s="28">
        <v>9</v>
      </c>
      <c r="D192" s="168">
        <v>300000</v>
      </c>
      <c r="E192" s="161">
        <v>0</v>
      </c>
      <c r="F192" s="114">
        <v>0</v>
      </c>
      <c r="G192" s="147">
        <v>0</v>
      </c>
      <c r="H192" s="114">
        <v>0</v>
      </c>
      <c r="I192" s="114">
        <v>230000000</v>
      </c>
      <c r="J192" s="114">
        <v>70000000</v>
      </c>
      <c r="K192" s="153">
        <f t="shared" si="13"/>
        <v>586043996.31617546</v>
      </c>
      <c r="L192" s="117">
        <v>1.7999999999999999E-2</v>
      </c>
      <c r="M192" s="39">
        <v>0</v>
      </c>
      <c r="N192" s="132">
        <f t="shared" si="16"/>
        <v>179926328.71812782</v>
      </c>
      <c r="O192" s="25">
        <v>1.7999999999999999E-2</v>
      </c>
      <c r="P192" s="305">
        <f t="shared" si="14"/>
        <v>179926328.71812782</v>
      </c>
      <c r="Q192" s="167">
        <f t="shared" si="15"/>
        <v>765970325.03430331</v>
      </c>
      <c r="R192" s="116">
        <f t="shared" si="17"/>
        <v>230000000</v>
      </c>
      <c r="S192" s="116">
        <f t="shared" si="18"/>
        <v>835970325.03430331</v>
      </c>
    </row>
    <row r="193" spans="1:19" x14ac:dyDescent="0.3">
      <c r="A193" s="18"/>
      <c r="B193" s="245"/>
      <c r="C193" s="28">
        <v>10</v>
      </c>
      <c r="D193" s="168">
        <v>300000</v>
      </c>
      <c r="E193" s="161">
        <v>0</v>
      </c>
      <c r="F193" s="114">
        <v>0</v>
      </c>
      <c r="G193" s="147">
        <v>0</v>
      </c>
      <c r="H193" s="114">
        <v>0</v>
      </c>
      <c r="I193" s="114">
        <v>230000000</v>
      </c>
      <c r="J193" s="114">
        <v>70000000</v>
      </c>
      <c r="K193" s="153">
        <f t="shared" si="13"/>
        <v>596592788.2498666</v>
      </c>
      <c r="L193" s="117">
        <v>1.7999999999999999E-2</v>
      </c>
      <c r="M193" s="39">
        <v>0</v>
      </c>
      <c r="N193" s="132">
        <f t="shared" si="16"/>
        <v>183470402.63505411</v>
      </c>
      <c r="O193" s="25">
        <v>1.7999999999999999E-2</v>
      </c>
      <c r="P193" s="305">
        <f t="shared" si="14"/>
        <v>183470402.63505411</v>
      </c>
      <c r="Q193" s="167">
        <f t="shared" si="15"/>
        <v>780063190.88492072</v>
      </c>
      <c r="R193" s="116">
        <f t="shared" si="17"/>
        <v>230000000</v>
      </c>
      <c r="S193" s="116">
        <f t="shared" si="18"/>
        <v>850063190.88492072</v>
      </c>
    </row>
    <row r="194" spans="1:19" ht="17.25" thickBot="1" x14ac:dyDescent="0.35">
      <c r="A194" s="29"/>
      <c r="B194" s="245"/>
      <c r="C194" s="30">
        <v>11</v>
      </c>
      <c r="D194" s="168">
        <v>300000</v>
      </c>
      <c r="E194" s="161">
        <v>0</v>
      </c>
      <c r="F194" s="114">
        <v>0</v>
      </c>
      <c r="G194" s="147">
        <v>0</v>
      </c>
      <c r="H194" s="114">
        <v>0</v>
      </c>
      <c r="I194" s="114">
        <v>230000000</v>
      </c>
      <c r="J194" s="114">
        <v>70000000</v>
      </c>
      <c r="K194" s="153">
        <f t="shared" si="13"/>
        <v>607331458.43836415</v>
      </c>
      <c r="L194" s="117">
        <v>1.7999999999999999E-2</v>
      </c>
      <c r="M194" s="39">
        <v>0</v>
      </c>
      <c r="N194" s="132">
        <f t="shared" si="16"/>
        <v>187078269.88248509</v>
      </c>
      <c r="O194" s="94">
        <v>1.7999999999999999E-2</v>
      </c>
      <c r="P194" s="305">
        <f t="shared" si="14"/>
        <v>187078269.88248509</v>
      </c>
      <c r="Q194" s="167">
        <f t="shared" si="15"/>
        <v>794409728.32084918</v>
      </c>
      <c r="R194" s="116">
        <f t="shared" si="17"/>
        <v>230000000</v>
      </c>
      <c r="S194" s="116">
        <f t="shared" si="18"/>
        <v>864409728.32084918</v>
      </c>
    </row>
    <row r="195" spans="1:19" s="34" customFormat="1" ht="17.25" thickBot="1" x14ac:dyDescent="0.35">
      <c r="A195" s="31"/>
      <c r="B195" s="245"/>
      <c r="C195" s="20">
        <v>12</v>
      </c>
      <c r="D195" s="168">
        <v>300000</v>
      </c>
      <c r="E195" s="161">
        <v>0</v>
      </c>
      <c r="F195" s="114">
        <v>0</v>
      </c>
      <c r="G195" s="147">
        <v>0</v>
      </c>
      <c r="H195" s="114">
        <v>0</v>
      </c>
      <c r="I195" s="114">
        <v>230000000</v>
      </c>
      <c r="J195" s="114">
        <v>70000000</v>
      </c>
      <c r="K195" s="153">
        <f t="shared" si="13"/>
        <v>618263424.69025469</v>
      </c>
      <c r="L195" s="117">
        <v>1.7999999999999999E-2</v>
      </c>
      <c r="M195" s="39">
        <v>0</v>
      </c>
      <c r="N195" s="132">
        <f t="shared" si="16"/>
        <v>190751078.74036983</v>
      </c>
      <c r="O195" s="95">
        <v>1.7999999999999999E-2</v>
      </c>
      <c r="P195" s="305">
        <f t="shared" si="14"/>
        <v>190751078.74036983</v>
      </c>
      <c r="Q195" s="167">
        <f t="shared" si="15"/>
        <v>809014503.43062449</v>
      </c>
      <c r="R195" s="116">
        <f t="shared" si="17"/>
        <v>230000000</v>
      </c>
      <c r="S195" s="116">
        <f t="shared" si="18"/>
        <v>879014503.43062449</v>
      </c>
    </row>
    <row r="196" spans="1:19" s="48" customFormat="1" x14ac:dyDescent="0.3">
      <c r="A196" s="46" t="s">
        <v>87</v>
      </c>
      <c r="B196" s="243">
        <v>2038</v>
      </c>
      <c r="C196" s="47">
        <v>1</v>
      </c>
      <c r="D196" s="168">
        <v>300000</v>
      </c>
      <c r="E196" s="161">
        <v>0</v>
      </c>
      <c r="F196" s="114">
        <v>0</v>
      </c>
      <c r="G196" s="147">
        <v>0</v>
      </c>
      <c r="H196" s="114">
        <v>0</v>
      </c>
      <c r="I196" s="114">
        <v>230000000</v>
      </c>
      <c r="J196" s="114">
        <v>70000000</v>
      </c>
      <c r="K196" s="153">
        <f t="shared" si="13"/>
        <v>629392166.33467925</v>
      </c>
      <c r="L196" s="117">
        <v>1.7999999999999999E-2</v>
      </c>
      <c r="M196" s="39">
        <v>0</v>
      </c>
      <c r="N196" s="132">
        <f t="shared" si="16"/>
        <v>191815283.05533132</v>
      </c>
      <c r="O196" s="93">
        <v>4.0000000000000001E-3</v>
      </c>
      <c r="P196" s="305">
        <f t="shared" si="14"/>
        <v>191815283.05533132</v>
      </c>
      <c r="Q196" s="167">
        <f t="shared" si="15"/>
        <v>821207449.3900106</v>
      </c>
      <c r="R196" s="116">
        <f t="shared" si="17"/>
        <v>230000000</v>
      </c>
      <c r="S196" s="116">
        <f t="shared" si="18"/>
        <v>891207449.3900106</v>
      </c>
    </row>
    <row r="197" spans="1:19" s="48" customFormat="1" x14ac:dyDescent="0.3">
      <c r="A197" s="49"/>
      <c r="B197" s="243"/>
      <c r="C197" s="50">
        <v>2</v>
      </c>
      <c r="D197" s="168">
        <v>300000</v>
      </c>
      <c r="E197" s="161">
        <v>0</v>
      </c>
      <c r="F197" s="114">
        <v>0</v>
      </c>
      <c r="G197" s="147">
        <v>0</v>
      </c>
      <c r="H197" s="114">
        <v>0</v>
      </c>
      <c r="I197" s="114">
        <v>230000000</v>
      </c>
      <c r="J197" s="114">
        <v>70000000</v>
      </c>
      <c r="K197" s="153">
        <f t="shared" si="13"/>
        <v>640721225.32870352</v>
      </c>
      <c r="L197" s="117">
        <v>1.7999999999999999E-2</v>
      </c>
      <c r="M197" s="39">
        <v>0</v>
      </c>
      <c r="N197" s="132">
        <f t="shared" si="16"/>
        <v>195573358.1503273</v>
      </c>
      <c r="O197" s="25">
        <v>1.7999999999999999E-2</v>
      </c>
      <c r="P197" s="305">
        <f t="shared" si="14"/>
        <v>195573358.1503273</v>
      </c>
      <c r="Q197" s="167">
        <f t="shared" si="15"/>
        <v>836294583.47903085</v>
      </c>
      <c r="R197" s="116">
        <f t="shared" si="17"/>
        <v>230000000</v>
      </c>
      <c r="S197" s="116">
        <f t="shared" si="18"/>
        <v>906294583.47903085</v>
      </c>
    </row>
    <row r="198" spans="1:19" s="48" customFormat="1" x14ac:dyDescent="0.3">
      <c r="A198" s="49"/>
      <c r="B198" s="243"/>
      <c r="C198" s="50">
        <v>3</v>
      </c>
      <c r="D198" s="168">
        <v>300000</v>
      </c>
      <c r="E198" s="161">
        <v>0</v>
      </c>
      <c r="F198" s="114">
        <v>0</v>
      </c>
      <c r="G198" s="147">
        <v>0</v>
      </c>
      <c r="H198" s="114">
        <v>0</v>
      </c>
      <c r="I198" s="114">
        <v>230000000</v>
      </c>
      <c r="J198" s="114">
        <v>70000000</v>
      </c>
      <c r="K198" s="153">
        <f t="shared" si="13"/>
        <v>652254207.38462019</v>
      </c>
      <c r="L198" s="117">
        <v>1.7999999999999999E-2</v>
      </c>
      <c r="M198" s="39">
        <v>0</v>
      </c>
      <c r="N198" s="132">
        <f t="shared" si="16"/>
        <v>199399078.59703317</v>
      </c>
      <c r="O198" s="25">
        <v>1.7999999999999999E-2</v>
      </c>
      <c r="P198" s="305">
        <f t="shared" si="14"/>
        <v>199399078.59703317</v>
      </c>
      <c r="Q198" s="167">
        <f t="shared" si="15"/>
        <v>851653285.98165333</v>
      </c>
      <c r="R198" s="116">
        <f t="shared" si="17"/>
        <v>230000000</v>
      </c>
      <c r="S198" s="116">
        <f t="shared" si="18"/>
        <v>921653285.98165333</v>
      </c>
    </row>
    <row r="199" spans="1:19" s="48" customFormat="1" x14ac:dyDescent="0.3">
      <c r="A199" s="49"/>
      <c r="B199" s="243"/>
      <c r="C199" s="50">
        <v>4</v>
      </c>
      <c r="D199" s="168">
        <v>300000</v>
      </c>
      <c r="E199" s="161">
        <v>0</v>
      </c>
      <c r="F199" s="114">
        <v>0</v>
      </c>
      <c r="G199" s="147">
        <v>0</v>
      </c>
      <c r="H199" s="114">
        <v>0</v>
      </c>
      <c r="I199" s="114">
        <v>230000000</v>
      </c>
      <c r="J199" s="114">
        <v>70000000</v>
      </c>
      <c r="K199" s="153">
        <f t="shared" si="13"/>
        <v>663994783.11754334</v>
      </c>
      <c r="L199" s="117">
        <v>1.7999999999999999E-2</v>
      </c>
      <c r="M199" s="39">
        <v>0</v>
      </c>
      <c r="N199" s="132">
        <f t="shared" si="16"/>
        <v>203293662.01177976</v>
      </c>
      <c r="O199" s="25">
        <v>1.7999999999999999E-2</v>
      </c>
      <c r="P199" s="305">
        <f t="shared" si="14"/>
        <v>203293662.01177976</v>
      </c>
      <c r="Q199" s="167">
        <f t="shared" si="15"/>
        <v>867288445.12932312</v>
      </c>
      <c r="R199" s="116">
        <f t="shared" si="17"/>
        <v>230000000</v>
      </c>
      <c r="S199" s="116">
        <f t="shared" si="18"/>
        <v>937288445.12932312</v>
      </c>
    </row>
    <row r="200" spans="1:19" s="48" customFormat="1" x14ac:dyDescent="0.3">
      <c r="A200" s="49"/>
      <c r="B200" s="243"/>
      <c r="C200" s="50">
        <v>5</v>
      </c>
      <c r="D200" s="168">
        <v>300000</v>
      </c>
      <c r="E200" s="161">
        <v>0</v>
      </c>
      <c r="F200" s="114">
        <v>0</v>
      </c>
      <c r="G200" s="147">
        <v>0</v>
      </c>
      <c r="H200" s="114">
        <v>0</v>
      </c>
      <c r="I200" s="114">
        <v>230000000</v>
      </c>
      <c r="J200" s="114">
        <v>70000000</v>
      </c>
      <c r="K200" s="153">
        <f t="shared" si="13"/>
        <v>675946689.21365917</v>
      </c>
      <c r="L200" s="117">
        <v>1.7999999999999999E-2</v>
      </c>
      <c r="M200" s="39">
        <v>0</v>
      </c>
      <c r="N200" s="132">
        <f t="shared" si="16"/>
        <v>207258347.92799178</v>
      </c>
      <c r="O200" s="25">
        <v>1.7999999999999999E-2</v>
      </c>
      <c r="P200" s="305">
        <f t="shared" si="14"/>
        <v>207258347.92799178</v>
      </c>
      <c r="Q200" s="167">
        <f t="shared" si="15"/>
        <v>883205037.14165092</v>
      </c>
      <c r="R200" s="116">
        <f t="shared" si="17"/>
        <v>230000000</v>
      </c>
      <c r="S200" s="116">
        <f t="shared" si="18"/>
        <v>953205037.14165092</v>
      </c>
    </row>
    <row r="201" spans="1:19" s="48" customFormat="1" x14ac:dyDescent="0.3">
      <c r="A201" s="49"/>
      <c r="B201" s="243"/>
      <c r="C201" s="50">
        <v>6</v>
      </c>
      <c r="D201" s="168">
        <v>300000</v>
      </c>
      <c r="E201" s="161">
        <v>0</v>
      </c>
      <c r="F201" s="114">
        <v>0</v>
      </c>
      <c r="G201" s="147">
        <v>0</v>
      </c>
      <c r="H201" s="114">
        <v>0</v>
      </c>
      <c r="I201" s="114">
        <v>230000000</v>
      </c>
      <c r="J201" s="114">
        <v>70000000</v>
      </c>
      <c r="K201" s="153">
        <f t="shared" si="13"/>
        <v>688113729.61950505</v>
      </c>
      <c r="L201" s="117">
        <v>1.7999999999999999E-2</v>
      </c>
      <c r="M201" s="39">
        <v>0</v>
      </c>
      <c r="N201" s="132">
        <f t="shared" si="16"/>
        <v>211294398.19069564</v>
      </c>
      <c r="O201" s="25">
        <v>1.7999999999999999E-2</v>
      </c>
      <c r="P201" s="305">
        <f t="shared" si="14"/>
        <v>211294398.19069564</v>
      </c>
      <c r="Q201" s="167">
        <f t="shared" si="15"/>
        <v>899408127.81020069</v>
      </c>
      <c r="R201" s="116">
        <f t="shared" si="17"/>
        <v>230000000</v>
      </c>
      <c r="S201" s="116">
        <f t="shared" si="18"/>
        <v>969408127.81020069</v>
      </c>
    </row>
    <row r="202" spans="1:19" s="48" customFormat="1" x14ac:dyDescent="0.3">
      <c r="A202" s="49"/>
      <c r="B202" s="243"/>
      <c r="C202" s="50">
        <v>7</v>
      </c>
      <c r="D202" s="168">
        <v>300000</v>
      </c>
      <c r="E202" s="161">
        <v>0</v>
      </c>
      <c r="F202" s="114">
        <v>0</v>
      </c>
      <c r="G202" s="147">
        <v>0</v>
      </c>
      <c r="H202" s="114">
        <v>0</v>
      </c>
      <c r="I202" s="114">
        <v>230000000</v>
      </c>
      <c r="J202" s="114">
        <v>70000000</v>
      </c>
      <c r="K202" s="153">
        <f t="shared" si="13"/>
        <v>700499776.7526561</v>
      </c>
      <c r="L202" s="117">
        <v>1.7999999999999999E-2</v>
      </c>
      <c r="M202" s="39">
        <v>0</v>
      </c>
      <c r="N202" s="132">
        <f t="shared" si="16"/>
        <v>215403097.35812816</v>
      </c>
      <c r="O202" s="25">
        <v>1.7999999999999999E-2</v>
      </c>
      <c r="P202" s="305">
        <f t="shared" si="14"/>
        <v>215403097.35812816</v>
      </c>
      <c r="Q202" s="167">
        <f t="shared" si="15"/>
        <v>915902874.11078429</v>
      </c>
      <c r="R202" s="116">
        <f t="shared" si="17"/>
        <v>230000000</v>
      </c>
      <c r="S202" s="116">
        <f t="shared" si="18"/>
        <v>985902874.11078429</v>
      </c>
    </row>
    <row r="203" spans="1:19" s="48" customFormat="1" x14ac:dyDescent="0.3">
      <c r="A203" s="49"/>
      <c r="B203" s="243"/>
      <c r="C203" s="50">
        <v>8</v>
      </c>
      <c r="D203" s="168">
        <v>300000</v>
      </c>
      <c r="E203" s="161">
        <v>0</v>
      </c>
      <c r="F203" s="114">
        <v>0</v>
      </c>
      <c r="G203" s="147">
        <v>0</v>
      </c>
      <c r="H203" s="114">
        <v>0</v>
      </c>
      <c r="I203" s="114">
        <v>230000000</v>
      </c>
      <c r="J203" s="114">
        <v>70000000</v>
      </c>
      <c r="K203" s="153">
        <f t="shared" si="13"/>
        <v>713108772.73420393</v>
      </c>
      <c r="L203" s="117">
        <v>1.7999999999999999E-2</v>
      </c>
      <c r="M203" s="39">
        <v>0</v>
      </c>
      <c r="N203" s="132">
        <f t="shared" si="16"/>
        <v>219585753.11057445</v>
      </c>
      <c r="O203" s="25">
        <v>1.7999999999999999E-2</v>
      </c>
      <c r="P203" s="305">
        <f t="shared" si="14"/>
        <v>219585753.11057445</v>
      </c>
      <c r="Q203" s="167">
        <f t="shared" si="15"/>
        <v>932694525.84477842</v>
      </c>
      <c r="R203" s="116">
        <f t="shared" si="17"/>
        <v>230000000</v>
      </c>
      <c r="S203" s="116">
        <f t="shared" si="18"/>
        <v>1002694525.8447784</v>
      </c>
    </row>
    <row r="204" spans="1:19" s="48" customFormat="1" x14ac:dyDescent="0.3">
      <c r="A204" s="49"/>
      <c r="B204" s="243"/>
      <c r="C204" s="50">
        <v>9</v>
      </c>
      <c r="D204" s="168">
        <v>300000</v>
      </c>
      <c r="E204" s="161">
        <v>0</v>
      </c>
      <c r="F204" s="114">
        <v>0</v>
      </c>
      <c r="G204" s="147">
        <v>0</v>
      </c>
      <c r="H204" s="114">
        <v>0</v>
      </c>
      <c r="I204" s="114">
        <v>230000000</v>
      </c>
      <c r="J204" s="114">
        <v>70000000</v>
      </c>
      <c r="K204" s="153">
        <f t="shared" si="13"/>
        <v>725944730.64341962</v>
      </c>
      <c r="L204" s="117">
        <v>1.7999999999999999E-2</v>
      </c>
      <c r="M204" s="39">
        <v>0</v>
      </c>
      <c r="N204" s="132">
        <f t="shared" si="16"/>
        <v>223843696.66656479</v>
      </c>
      <c r="O204" s="25">
        <v>1.7999999999999999E-2</v>
      </c>
      <c r="P204" s="305">
        <f t="shared" si="14"/>
        <v>223843696.66656479</v>
      </c>
      <c r="Q204" s="167">
        <f t="shared" si="15"/>
        <v>949788427.30998445</v>
      </c>
      <c r="R204" s="116">
        <f t="shared" si="17"/>
        <v>230000000</v>
      </c>
      <c r="S204" s="116">
        <f t="shared" si="18"/>
        <v>1019788427.3099844</v>
      </c>
    </row>
    <row r="205" spans="1:19" s="48" customFormat="1" x14ac:dyDescent="0.3">
      <c r="A205" s="49"/>
      <c r="B205" s="243"/>
      <c r="C205" s="50">
        <v>10</v>
      </c>
      <c r="D205" s="168">
        <v>300000</v>
      </c>
      <c r="E205" s="161">
        <v>0</v>
      </c>
      <c r="F205" s="114">
        <v>0</v>
      </c>
      <c r="G205" s="147">
        <v>0</v>
      </c>
      <c r="H205" s="114">
        <v>0</v>
      </c>
      <c r="I205" s="114">
        <v>230000000</v>
      </c>
      <c r="J205" s="114">
        <v>70000000</v>
      </c>
      <c r="K205" s="153">
        <f t="shared" si="13"/>
        <v>739011735.79500115</v>
      </c>
      <c r="L205" s="117">
        <v>1.7999999999999999E-2</v>
      </c>
      <c r="M205" s="39">
        <v>0</v>
      </c>
      <c r="N205" s="132">
        <f t="shared" si="16"/>
        <v>228178283.20656297</v>
      </c>
      <c r="O205" s="25">
        <v>1.7999999999999999E-2</v>
      </c>
      <c r="P205" s="305">
        <f t="shared" si="14"/>
        <v>228178283.20656297</v>
      </c>
      <c r="Q205" s="167">
        <f t="shared" si="15"/>
        <v>967190019.00156415</v>
      </c>
      <c r="R205" s="116">
        <f t="shared" si="17"/>
        <v>230000000</v>
      </c>
      <c r="S205" s="116">
        <f t="shared" si="18"/>
        <v>1037190019.0015641</v>
      </c>
    </row>
    <row r="206" spans="1:19" s="48" customFormat="1" ht="17.25" thickBot="1" x14ac:dyDescent="0.35">
      <c r="A206" s="51"/>
      <c r="B206" s="243"/>
      <c r="C206" s="52">
        <v>11</v>
      </c>
      <c r="D206" s="168">
        <v>300000</v>
      </c>
      <c r="E206" s="161">
        <v>0</v>
      </c>
      <c r="F206" s="114">
        <v>0</v>
      </c>
      <c r="G206" s="147">
        <v>0</v>
      </c>
      <c r="H206" s="114">
        <v>0</v>
      </c>
      <c r="I206" s="114">
        <v>230000000</v>
      </c>
      <c r="J206" s="114">
        <v>70000000</v>
      </c>
      <c r="K206" s="153">
        <f t="shared" si="13"/>
        <v>752313947.03931117</v>
      </c>
      <c r="L206" s="117">
        <v>1.7999999999999999E-2</v>
      </c>
      <c r="M206" s="39">
        <v>0</v>
      </c>
      <c r="N206" s="132">
        <f t="shared" si="16"/>
        <v>232590892.30428109</v>
      </c>
      <c r="O206" s="94">
        <v>1.7999999999999999E-2</v>
      </c>
      <c r="P206" s="305">
        <f t="shared" si="14"/>
        <v>232590892.30428109</v>
      </c>
      <c r="Q206" s="167">
        <f t="shared" si="15"/>
        <v>984904839.34359229</v>
      </c>
      <c r="R206" s="116">
        <f t="shared" si="17"/>
        <v>230000000</v>
      </c>
      <c r="S206" s="116">
        <f t="shared" si="18"/>
        <v>1054904839.3435923</v>
      </c>
    </row>
    <row r="207" spans="1:19" s="55" customFormat="1" ht="17.25" thickBot="1" x14ac:dyDescent="0.35">
      <c r="A207" s="53"/>
      <c r="B207" s="243"/>
      <c r="C207" s="54">
        <v>12</v>
      </c>
      <c r="D207" s="168">
        <v>300000</v>
      </c>
      <c r="E207" s="161">
        <v>0</v>
      </c>
      <c r="F207" s="114">
        <v>0</v>
      </c>
      <c r="G207" s="147">
        <v>0</v>
      </c>
      <c r="H207" s="114">
        <v>0</v>
      </c>
      <c r="I207" s="114">
        <v>230000000</v>
      </c>
      <c r="J207" s="114">
        <v>70000000</v>
      </c>
      <c r="K207" s="153">
        <f t="shared" si="13"/>
        <v>765855598.0860188</v>
      </c>
      <c r="L207" s="117">
        <v>1.7999999999999999E-2</v>
      </c>
      <c r="M207" s="39">
        <v>0</v>
      </c>
      <c r="N207" s="132">
        <f t="shared" si="16"/>
        <v>237082928.36575815</v>
      </c>
      <c r="O207" s="95">
        <v>1.7999999999999999E-2</v>
      </c>
      <c r="P207" s="305">
        <f t="shared" si="14"/>
        <v>237082928.36575815</v>
      </c>
      <c r="Q207" s="167">
        <f t="shared" si="15"/>
        <v>1002938526.451777</v>
      </c>
      <c r="R207" s="116">
        <f t="shared" si="17"/>
        <v>230000000</v>
      </c>
      <c r="S207" s="116">
        <f t="shared" si="18"/>
        <v>1072938526.451777</v>
      </c>
    </row>
    <row r="208" spans="1:19" s="48" customFormat="1" x14ac:dyDescent="0.3">
      <c r="A208" s="46">
        <v>18</v>
      </c>
      <c r="B208" s="243">
        <v>2039</v>
      </c>
      <c r="C208" s="47">
        <v>1</v>
      </c>
      <c r="D208" s="168">
        <v>300000</v>
      </c>
      <c r="E208" s="161">
        <v>0</v>
      </c>
      <c r="F208" s="114">
        <v>0</v>
      </c>
      <c r="G208" s="147">
        <v>0</v>
      </c>
      <c r="H208" s="114">
        <v>0</v>
      </c>
      <c r="I208" s="114">
        <v>230000000</v>
      </c>
      <c r="J208" s="114">
        <v>70000000</v>
      </c>
      <c r="K208" s="153">
        <f t="shared" si="13"/>
        <v>779640998.85156715</v>
      </c>
      <c r="L208" s="117">
        <v>1.7999999999999999E-2</v>
      </c>
      <c r="M208" s="39">
        <v>0</v>
      </c>
      <c r="N208" s="132">
        <f t="shared" si="16"/>
        <v>238332460.07922119</v>
      </c>
      <c r="O208" s="93">
        <v>4.0000000000000001E-3</v>
      </c>
      <c r="P208" s="305">
        <f t="shared" si="14"/>
        <v>238332460.07922119</v>
      </c>
      <c r="Q208" s="167">
        <f t="shared" si="15"/>
        <v>1017973458.9307883</v>
      </c>
      <c r="R208" s="116">
        <f t="shared" si="17"/>
        <v>230000000</v>
      </c>
      <c r="S208" s="116">
        <f t="shared" si="18"/>
        <v>1087973458.9307883</v>
      </c>
    </row>
    <row r="209" spans="1:19" s="48" customFormat="1" x14ac:dyDescent="0.3">
      <c r="A209" s="49"/>
      <c r="B209" s="243"/>
      <c r="C209" s="50">
        <v>2</v>
      </c>
      <c r="D209" s="168">
        <v>300000</v>
      </c>
      <c r="E209" s="161">
        <v>0</v>
      </c>
      <c r="F209" s="114">
        <v>0</v>
      </c>
      <c r="G209" s="147">
        <v>0</v>
      </c>
      <c r="H209" s="114">
        <v>0</v>
      </c>
      <c r="I209" s="114">
        <v>230000000</v>
      </c>
      <c r="J209" s="114">
        <v>70000000</v>
      </c>
      <c r="K209" s="153">
        <f t="shared" si="13"/>
        <v>793674536.8308953</v>
      </c>
      <c r="L209" s="117">
        <v>1.7999999999999999E-2</v>
      </c>
      <c r="M209" s="39">
        <v>0</v>
      </c>
      <c r="N209" s="132">
        <f t="shared" si="16"/>
        <v>242927844.36064717</v>
      </c>
      <c r="O209" s="25">
        <v>1.7999999999999999E-2</v>
      </c>
      <c r="P209" s="305">
        <f t="shared" si="14"/>
        <v>242927844.36064717</v>
      </c>
      <c r="Q209" s="167">
        <f t="shared" si="15"/>
        <v>1036602381.1915425</v>
      </c>
      <c r="R209" s="116">
        <f t="shared" si="17"/>
        <v>230000000</v>
      </c>
      <c r="S209" s="116">
        <f t="shared" si="18"/>
        <v>1106602381.1915426</v>
      </c>
    </row>
    <row r="210" spans="1:19" s="48" customFormat="1" x14ac:dyDescent="0.3">
      <c r="A210" s="49"/>
      <c r="B210" s="243"/>
      <c r="C210" s="50">
        <v>3</v>
      </c>
      <c r="D210" s="168">
        <v>300000</v>
      </c>
      <c r="E210" s="161">
        <v>0</v>
      </c>
      <c r="F210" s="114">
        <v>0</v>
      </c>
      <c r="G210" s="147">
        <v>0</v>
      </c>
      <c r="H210" s="114">
        <v>0</v>
      </c>
      <c r="I210" s="114">
        <v>230000000</v>
      </c>
      <c r="J210" s="114">
        <v>70000000</v>
      </c>
      <c r="K210" s="153">
        <f t="shared" si="13"/>
        <v>807960678.49385142</v>
      </c>
      <c r="L210" s="117">
        <v>1.7999999999999999E-2</v>
      </c>
      <c r="M210" s="39">
        <v>0</v>
      </c>
      <c r="N210" s="132">
        <f t="shared" si="16"/>
        <v>247605945.55913883</v>
      </c>
      <c r="O210" s="25">
        <v>1.7999999999999999E-2</v>
      </c>
      <c r="P210" s="305">
        <f t="shared" si="14"/>
        <v>247605945.55913883</v>
      </c>
      <c r="Q210" s="167">
        <f t="shared" si="15"/>
        <v>1055566624.0529902</v>
      </c>
      <c r="R210" s="116">
        <f t="shared" si="17"/>
        <v>230000000</v>
      </c>
      <c r="S210" s="116">
        <f t="shared" si="18"/>
        <v>1125566624.0529902</v>
      </c>
    </row>
    <row r="211" spans="1:19" s="48" customFormat="1" x14ac:dyDescent="0.3">
      <c r="A211" s="49"/>
      <c r="B211" s="243"/>
      <c r="C211" s="50">
        <v>4</v>
      </c>
      <c r="D211" s="168">
        <v>300000</v>
      </c>
      <c r="E211" s="161">
        <v>0</v>
      </c>
      <c r="F211" s="114">
        <v>0</v>
      </c>
      <c r="G211" s="147">
        <v>0</v>
      </c>
      <c r="H211" s="114">
        <v>0</v>
      </c>
      <c r="I211" s="114">
        <v>230000000</v>
      </c>
      <c r="J211" s="114">
        <v>70000000</v>
      </c>
      <c r="K211" s="153">
        <f t="shared" si="13"/>
        <v>822503970.70674074</v>
      </c>
      <c r="L211" s="117">
        <v>1.7999999999999999E-2</v>
      </c>
      <c r="M211" s="39">
        <v>0</v>
      </c>
      <c r="N211" s="132">
        <f t="shared" si="16"/>
        <v>252368252.57920334</v>
      </c>
      <c r="O211" s="25">
        <v>1.7999999999999999E-2</v>
      </c>
      <c r="P211" s="305">
        <f t="shared" si="14"/>
        <v>252368252.57920334</v>
      </c>
      <c r="Q211" s="167">
        <f t="shared" si="15"/>
        <v>1074872223.285944</v>
      </c>
      <c r="R211" s="116">
        <f t="shared" si="17"/>
        <v>230000000</v>
      </c>
      <c r="S211" s="116">
        <f t="shared" si="18"/>
        <v>1144872223.285944</v>
      </c>
    </row>
    <row r="212" spans="1:19" s="48" customFormat="1" x14ac:dyDescent="0.3">
      <c r="A212" s="49"/>
      <c r="B212" s="243"/>
      <c r="C212" s="50">
        <v>5</v>
      </c>
      <c r="D212" s="168">
        <v>300000</v>
      </c>
      <c r="E212" s="161">
        <v>0</v>
      </c>
      <c r="F212" s="114">
        <v>0</v>
      </c>
      <c r="G212" s="147">
        <v>0</v>
      </c>
      <c r="H212" s="114">
        <v>0</v>
      </c>
      <c r="I212" s="114">
        <v>230000000</v>
      </c>
      <c r="J212" s="114">
        <v>70000000</v>
      </c>
      <c r="K212" s="153">
        <f t="shared" si="13"/>
        <v>837309042.17946208</v>
      </c>
      <c r="L212" s="117">
        <v>1.7999999999999999E-2</v>
      </c>
      <c r="M212" s="39">
        <v>0</v>
      </c>
      <c r="N212" s="132">
        <f t="shared" si="16"/>
        <v>257216281.12562901</v>
      </c>
      <c r="O212" s="25">
        <v>1.7999999999999999E-2</v>
      </c>
      <c r="P212" s="305">
        <f t="shared" si="14"/>
        <v>257216281.12562901</v>
      </c>
      <c r="Q212" s="167">
        <f t="shared" si="15"/>
        <v>1094525323.3050911</v>
      </c>
      <c r="R212" s="116">
        <f t="shared" si="17"/>
        <v>230000000</v>
      </c>
      <c r="S212" s="116">
        <f t="shared" si="18"/>
        <v>1164525323.3050911</v>
      </c>
    </row>
    <row r="213" spans="1:19" s="48" customFormat="1" x14ac:dyDescent="0.3">
      <c r="A213" s="49"/>
      <c r="B213" s="243"/>
      <c r="C213" s="50">
        <v>6</v>
      </c>
      <c r="D213" s="168">
        <v>300000</v>
      </c>
      <c r="E213" s="161">
        <v>0</v>
      </c>
      <c r="F213" s="114">
        <v>0</v>
      </c>
      <c r="G213" s="147">
        <v>0</v>
      </c>
      <c r="H213" s="114">
        <v>0</v>
      </c>
      <c r="I213" s="114">
        <v>230000000</v>
      </c>
      <c r="J213" s="114">
        <v>70000000</v>
      </c>
      <c r="K213" s="153">
        <f t="shared" si="13"/>
        <v>852380604.93869233</v>
      </c>
      <c r="L213" s="117">
        <v>1.7999999999999999E-2</v>
      </c>
      <c r="M213" s="39">
        <v>0</v>
      </c>
      <c r="N213" s="132">
        <f t="shared" si="16"/>
        <v>262151574.18589032</v>
      </c>
      <c r="O213" s="25">
        <v>1.7999999999999999E-2</v>
      </c>
      <c r="P213" s="305">
        <f t="shared" si="14"/>
        <v>262151574.18589032</v>
      </c>
      <c r="Q213" s="167">
        <f t="shared" si="15"/>
        <v>1114532179.1245828</v>
      </c>
      <c r="R213" s="116">
        <f t="shared" si="17"/>
        <v>230000000</v>
      </c>
      <c r="S213" s="116">
        <f t="shared" si="18"/>
        <v>1184532179.1245828</v>
      </c>
    </row>
    <row r="214" spans="1:19" s="48" customFormat="1" x14ac:dyDescent="0.3">
      <c r="A214" s="49"/>
      <c r="B214" s="243"/>
      <c r="C214" s="50">
        <v>7</v>
      </c>
      <c r="D214" s="168">
        <v>300000</v>
      </c>
      <c r="E214" s="161">
        <v>0</v>
      </c>
      <c r="F214" s="114">
        <v>0</v>
      </c>
      <c r="G214" s="147">
        <v>0</v>
      </c>
      <c r="H214" s="114">
        <v>0</v>
      </c>
      <c r="I214" s="114">
        <v>230000000</v>
      </c>
      <c r="J214" s="114">
        <v>70000000</v>
      </c>
      <c r="K214" s="153">
        <f t="shared" ref="K214:K255" si="19" xml:space="preserve"> (K213 + G214 + F214) + ((K213 + G214 + F214) * L214 )</f>
        <v>867723455.8275888</v>
      </c>
      <c r="L214" s="117">
        <v>1.7999999999999999E-2</v>
      </c>
      <c r="M214" s="39">
        <v>0</v>
      </c>
      <c r="N214" s="132">
        <f t="shared" si="16"/>
        <v>267175702.52123633</v>
      </c>
      <c r="O214" s="25">
        <v>1.7999999999999999E-2</v>
      </c>
      <c r="P214" s="305">
        <f t="shared" ref="P214:P255" si="20" xml:space="preserve"> M214 + N214</f>
        <v>267175702.52123633</v>
      </c>
      <c r="Q214" s="167">
        <f t="shared" ref="Q214:Q255" si="21" xml:space="preserve"> K214 + P214</f>
        <v>1134899158.3488252</v>
      </c>
      <c r="R214" s="116">
        <f t="shared" si="17"/>
        <v>230000000</v>
      </c>
      <c r="S214" s="116">
        <f t="shared" si="18"/>
        <v>1204899158.3488252</v>
      </c>
    </row>
    <row r="215" spans="1:19" s="48" customFormat="1" x14ac:dyDescent="0.3">
      <c r="A215" s="49"/>
      <c r="B215" s="243"/>
      <c r="C215" s="50">
        <v>8</v>
      </c>
      <c r="D215" s="168">
        <v>300000</v>
      </c>
      <c r="E215" s="161">
        <v>0</v>
      </c>
      <c r="F215" s="114">
        <v>0</v>
      </c>
      <c r="G215" s="147">
        <v>0</v>
      </c>
      <c r="H215" s="114">
        <v>0</v>
      </c>
      <c r="I215" s="114">
        <v>230000000</v>
      </c>
      <c r="J215" s="114">
        <v>70000000</v>
      </c>
      <c r="K215" s="153">
        <f t="shared" si="19"/>
        <v>883342478.03248537</v>
      </c>
      <c r="L215" s="117">
        <v>1.7999999999999999E-2</v>
      </c>
      <c r="M215" s="39">
        <v>0</v>
      </c>
      <c r="N215" s="132">
        <f t="shared" si="16"/>
        <v>272290265.16661859</v>
      </c>
      <c r="O215" s="25">
        <v>1.7999999999999999E-2</v>
      </c>
      <c r="P215" s="305">
        <f t="shared" si="20"/>
        <v>272290265.16661859</v>
      </c>
      <c r="Q215" s="167">
        <f t="shared" si="21"/>
        <v>1155632743.1991038</v>
      </c>
      <c r="R215" s="116">
        <f t="shared" si="17"/>
        <v>230000000</v>
      </c>
      <c r="S215" s="116">
        <f t="shared" si="18"/>
        <v>1225632743.1991038</v>
      </c>
    </row>
    <row r="216" spans="1:19" s="48" customFormat="1" x14ac:dyDescent="0.3">
      <c r="A216" s="49"/>
      <c r="B216" s="243"/>
      <c r="C216" s="50">
        <v>9</v>
      </c>
      <c r="D216" s="168">
        <v>300000</v>
      </c>
      <c r="E216" s="161">
        <v>0</v>
      </c>
      <c r="F216" s="114">
        <v>0</v>
      </c>
      <c r="G216" s="147">
        <v>0</v>
      </c>
      <c r="H216" s="114">
        <v>0</v>
      </c>
      <c r="I216" s="114">
        <v>230000000</v>
      </c>
      <c r="J216" s="114">
        <v>70000000</v>
      </c>
      <c r="K216" s="153">
        <f t="shared" si="19"/>
        <v>899242642.63707006</v>
      </c>
      <c r="L216" s="117">
        <v>1.7999999999999999E-2</v>
      </c>
      <c r="M216" s="39">
        <v>0</v>
      </c>
      <c r="N216" s="132">
        <f t="shared" ref="N216:N255" si="22" xml:space="preserve"> (N215 + D216 - E216 - M216) + ((N215 + D216 - E216 - M216) * O216)</f>
        <v>277496889.93961769</v>
      </c>
      <c r="O216" s="25">
        <v>1.7999999999999999E-2</v>
      </c>
      <c r="P216" s="305">
        <f t="shared" si="20"/>
        <v>277496889.93961769</v>
      </c>
      <c r="Q216" s="167">
        <f t="shared" si="21"/>
        <v>1176739532.5766878</v>
      </c>
      <c r="R216" s="116">
        <f t="shared" si="17"/>
        <v>230000000</v>
      </c>
      <c r="S216" s="116">
        <f t="shared" si="18"/>
        <v>1246739532.5766878</v>
      </c>
    </row>
    <row r="217" spans="1:19" s="48" customFormat="1" x14ac:dyDescent="0.3">
      <c r="A217" s="49"/>
      <c r="B217" s="243"/>
      <c r="C217" s="50">
        <v>10</v>
      </c>
      <c r="D217" s="168">
        <v>300000</v>
      </c>
      <c r="E217" s="161">
        <v>0</v>
      </c>
      <c r="F217" s="114">
        <v>0</v>
      </c>
      <c r="G217" s="147">
        <v>0</v>
      </c>
      <c r="H217" s="114">
        <v>0</v>
      </c>
      <c r="I217" s="114">
        <v>230000000</v>
      </c>
      <c r="J217" s="114">
        <v>70000000</v>
      </c>
      <c r="K217" s="153">
        <f t="shared" si="19"/>
        <v>915429010.20453727</v>
      </c>
      <c r="L217" s="117">
        <v>1.7999999999999999E-2</v>
      </c>
      <c r="M217" s="39">
        <v>0</v>
      </c>
      <c r="N217" s="132">
        <f t="shared" si="22"/>
        <v>282797233.95853078</v>
      </c>
      <c r="O217" s="25">
        <v>1.7999999999999999E-2</v>
      </c>
      <c r="P217" s="305">
        <f t="shared" si="20"/>
        <v>282797233.95853078</v>
      </c>
      <c r="Q217" s="167">
        <f t="shared" si="21"/>
        <v>1198226244.1630681</v>
      </c>
      <c r="R217" s="116">
        <f t="shared" si="17"/>
        <v>230000000</v>
      </c>
      <c r="S217" s="116">
        <f t="shared" si="18"/>
        <v>1268226244.1630681</v>
      </c>
    </row>
    <row r="218" spans="1:19" s="48" customFormat="1" ht="17.25" thickBot="1" x14ac:dyDescent="0.35">
      <c r="A218" s="51"/>
      <c r="B218" s="243"/>
      <c r="C218" s="52">
        <v>11</v>
      </c>
      <c r="D218" s="168">
        <v>300000</v>
      </c>
      <c r="E218" s="161">
        <v>0</v>
      </c>
      <c r="F218" s="114">
        <v>0</v>
      </c>
      <c r="G218" s="147">
        <v>0</v>
      </c>
      <c r="H218" s="114">
        <v>0</v>
      </c>
      <c r="I218" s="114">
        <v>230000000</v>
      </c>
      <c r="J218" s="114">
        <v>70000000</v>
      </c>
      <c r="K218" s="153">
        <f t="shared" si="19"/>
        <v>931906732.388219</v>
      </c>
      <c r="L218" s="117">
        <v>1.7999999999999999E-2</v>
      </c>
      <c r="M218" s="39">
        <v>0</v>
      </c>
      <c r="N218" s="132">
        <f t="shared" si="22"/>
        <v>288192984.16978431</v>
      </c>
      <c r="O218" s="94">
        <v>1.7999999999999999E-2</v>
      </c>
      <c r="P218" s="305">
        <f t="shared" si="20"/>
        <v>288192984.16978431</v>
      </c>
      <c r="Q218" s="167">
        <f t="shared" si="21"/>
        <v>1220099716.5580034</v>
      </c>
      <c r="R218" s="116">
        <f t="shared" si="17"/>
        <v>230000000</v>
      </c>
      <c r="S218" s="116">
        <f t="shared" si="18"/>
        <v>1290099716.5580034</v>
      </c>
    </row>
    <row r="219" spans="1:19" s="48" customFormat="1" ht="17.25" thickBot="1" x14ac:dyDescent="0.35">
      <c r="A219" s="53"/>
      <c r="B219" s="243"/>
      <c r="C219" s="54">
        <v>12</v>
      </c>
      <c r="D219" s="168">
        <v>300000</v>
      </c>
      <c r="E219" s="161">
        <v>0</v>
      </c>
      <c r="F219" s="114">
        <v>0</v>
      </c>
      <c r="G219" s="147">
        <v>0</v>
      </c>
      <c r="H219" s="114">
        <v>0</v>
      </c>
      <c r="I219" s="114">
        <v>230000000</v>
      </c>
      <c r="J219" s="114">
        <v>70000000</v>
      </c>
      <c r="K219" s="153">
        <f t="shared" si="19"/>
        <v>948681053.57120693</v>
      </c>
      <c r="L219" s="117">
        <v>1.7999999999999999E-2</v>
      </c>
      <c r="M219" s="39">
        <v>0</v>
      </c>
      <c r="N219" s="132">
        <f t="shared" si="22"/>
        <v>293685857.88484043</v>
      </c>
      <c r="O219" s="95">
        <v>1.7999999999999999E-2</v>
      </c>
      <c r="P219" s="305">
        <f t="shared" si="20"/>
        <v>293685857.88484043</v>
      </c>
      <c r="Q219" s="167">
        <f t="shared" si="21"/>
        <v>1242366911.4560473</v>
      </c>
      <c r="R219" s="116">
        <f t="shared" ref="R219:R255" si="23" xml:space="preserve"> H219 + I219</f>
        <v>230000000</v>
      </c>
      <c r="S219" s="116">
        <f t="shared" ref="S219:S255" si="24" xml:space="preserve"> J219 + Q219</f>
        <v>1312366911.4560473</v>
      </c>
    </row>
    <row r="220" spans="1:19" s="48" customFormat="1" x14ac:dyDescent="0.3">
      <c r="A220" s="46">
        <v>19</v>
      </c>
      <c r="B220" s="243">
        <v>2040</v>
      </c>
      <c r="C220" s="47">
        <v>1</v>
      </c>
      <c r="D220" s="168">
        <v>300000</v>
      </c>
      <c r="E220" s="161">
        <v>0</v>
      </c>
      <c r="F220" s="114">
        <v>0</v>
      </c>
      <c r="G220" s="147">
        <v>0</v>
      </c>
      <c r="H220" s="114">
        <v>0</v>
      </c>
      <c r="I220" s="114">
        <v>230000000</v>
      </c>
      <c r="J220" s="114">
        <v>70000000</v>
      </c>
      <c r="K220" s="153">
        <f t="shared" si="19"/>
        <v>965757312.53548861</v>
      </c>
      <c r="L220" s="117">
        <v>1.7999999999999999E-2</v>
      </c>
      <c r="M220" s="39">
        <v>0</v>
      </c>
      <c r="N220" s="132">
        <f t="shared" si="22"/>
        <v>295161801.31637979</v>
      </c>
      <c r="O220" s="93">
        <v>4.0000000000000001E-3</v>
      </c>
      <c r="P220" s="305">
        <f t="shared" si="20"/>
        <v>295161801.31637979</v>
      </c>
      <c r="Q220" s="167">
        <f t="shared" si="21"/>
        <v>1260919113.8518684</v>
      </c>
      <c r="R220" s="116">
        <f t="shared" si="23"/>
        <v>230000000</v>
      </c>
      <c r="S220" s="116">
        <f t="shared" si="24"/>
        <v>1330919113.8518684</v>
      </c>
    </row>
    <row r="221" spans="1:19" s="48" customFormat="1" x14ac:dyDescent="0.3">
      <c r="A221" s="49"/>
      <c r="B221" s="243"/>
      <c r="C221" s="50">
        <v>2</v>
      </c>
      <c r="D221" s="168">
        <v>300000</v>
      </c>
      <c r="E221" s="161">
        <v>0</v>
      </c>
      <c r="F221" s="114">
        <v>0</v>
      </c>
      <c r="G221" s="147">
        <v>0</v>
      </c>
      <c r="H221" s="114">
        <v>0</v>
      </c>
      <c r="I221" s="114">
        <v>230000000</v>
      </c>
      <c r="J221" s="114">
        <v>70000000</v>
      </c>
      <c r="K221" s="153">
        <f t="shared" si="19"/>
        <v>983140944.16112745</v>
      </c>
      <c r="L221" s="117">
        <v>1.7999999999999999E-2</v>
      </c>
      <c r="M221" s="39">
        <v>0</v>
      </c>
      <c r="N221" s="132">
        <f t="shared" si="22"/>
        <v>300780113.74007463</v>
      </c>
      <c r="O221" s="25">
        <v>1.7999999999999999E-2</v>
      </c>
      <c r="P221" s="305">
        <f t="shared" si="20"/>
        <v>300780113.74007463</v>
      </c>
      <c r="Q221" s="167">
        <f t="shared" si="21"/>
        <v>1283921057.9012022</v>
      </c>
      <c r="R221" s="116">
        <f t="shared" si="23"/>
        <v>230000000</v>
      </c>
      <c r="S221" s="116">
        <f t="shared" si="24"/>
        <v>1353921057.9012022</v>
      </c>
    </row>
    <row r="222" spans="1:19" s="48" customFormat="1" x14ac:dyDescent="0.3">
      <c r="A222" s="49"/>
      <c r="B222" s="243"/>
      <c r="C222" s="50">
        <v>3</v>
      </c>
      <c r="D222" s="168">
        <v>300000</v>
      </c>
      <c r="E222" s="161">
        <v>0</v>
      </c>
      <c r="F222" s="114">
        <v>0</v>
      </c>
      <c r="G222" s="147">
        <v>0</v>
      </c>
      <c r="H222" s="114">
        <v>0</v>
      </c>
      <c r="I222" s="114">
        <v>230000000</v>
      </c>
      <c r="J222" s="114">
        <v>70000000</v>
      </c>
      <c r="K222" s="153">
        <f t="shared" si="19"/>
        <v>1000837481.1560278</v>
      </c>
      <c r="L222" s="117">
        <v>1.7999999999999999E-2</v>
      </c>
      <c r="M222" s="39">
        <v>0</v>
      </c>
      <c r="N222" s="132">
        <f t="shared" si="22"/>
        <v>306499555.78739595</v>
      </c>
      <c r="O222" s="25">
        <v>1.7999999999999999E-2</v>
      </c>
      <c r="P222" s="305">
        <f t="shared" si="20"/>
        <v>306499555.78739595</v>
      </c>
      <c r="Q222" s="167">
        <f t="shared" si="21"/>
        <v>1307337036.9434237</v>
      </c>
      <c r="R222" s="116">
        <f t="shared" si="23"/>
        <v>230000000</v>
      </c>
      <c r="S222" s="116">
        <f t="shared" si="24"/>
        <v>1377337036.9434237</v>
      </c>
    </row>
    <row r="223" spans="1:19" s="48" customFormat="1" x14ac:dyDescent="0.3">
      <c r="A223" s="49"/>
      <c r="B223" s="243"/>
      <c r="C223" s="50">
        <v>4</v>
      </c>
      <c r="D223" s="168">
        <v>300000</v>
      </c>
      <c r="E223" s="161">
        <v>0</v>
      </c>
      <c r="F223" s="114">
        <v>0</v>
      </c>
      <c r="G223" s="147">
        <v>0</v>
      </c>
      <c r="H223" s="114">
        <v>0</v>
      </c>
      <c r="I223" s="114">
        <v>230000000</v>
      </c>
      <c r="J223" s="114">
        <v>70000000</v>
      </c>
      <c r="K223" s="153">
        <f t="shared" si="19"/>
        <v>1018852555.8168362</v>
      </c>
      <c r="L223" s="117">
        <v>1.7999999999999999E-2</v>
      </c>
      <c r="M223" s="39">
        <v>0</v>
      </c>
      <c r="N223" s="132">
        <f t="shared" si="22"/>
        <v>312321947.79156905</v>
      </c>
      <c r="O223" s="25">
        <v>1.7999999999999999E-2</v>
      </c>
      <c r="P223" s="305">
        <f t="shared" si="20"/>
        <v>312321947.79156905</v>
      </c>
      <c r="Q223" s="167">
        <f t="shared" si="21"/>
        <v>1331174503.6084054</v>
      </c>
      <c r="R223" s="116">
        <f t="shared" si="23"/>
        <v>230000000</v>
      </c>
      <c r="S223" s="116">
        <f t="shared" si="24"/>
        <v>1401174503.6084054</v>
      </c>
    </row>
    <row r="224" spans="1:19" s="48" customFormat="1" x14ac:dyDescent="0.3">
      <c r="A224" s="49"/>
      <c r="B224" s="243"/>
      <c r="C224" s="50">
        <v>5</v>
      </c>
      <c r="D224" s="168">
        <v>300000</v>
      </c>
      <c r="E224" s="161">
        <v>0</v>
      </c>
      <c r="F224" s="114">
        <v>0</v>
      </c>
      <c r="G224" s="147">
        <v>0</v>
      </c>
      <c r="H224" s="114">
        <v>0</v>
      </c>
      <c r="I224" s="114">
        <v>230000000</v>
      </c>
      <c r="J224" s="114">
        <v>70000000</v>
      </c>
      <c r="K224" s="153">
        <f t="shared" si="19"/>
        <v>1037191901.8215393</v>
      </c>
      <c r="L224" s="117">
        <v>1.7999999999999999E-2</v>
      </c>
      <c r="M224" s="39">
        <v>0</v>
      </c>
      <c r="N224" s="132">
        <f t="shared" si="22"/>
        <v>318249142.85181731</v>
      </c>
      <c r="O224" s="25">
        <v>1.7999999999999999E-2</v>
      </c>
      <c r="P224" s="305">
        <f t="shared" si="20"/>
        <v>318249142.85181731</v>
      </c>
      <c r="Q224" s="167">
        <f t="shared" si="21"/>
        <v>1355441044.6733565</v>
      </c>
      <c r="R224" s="116">
        <f t="shared" si="23"/>
        <v>230000000</v>
      </c>
      <c r="S224" s="116">
        <f t="shared" si="24"/>
        <v>1425441044.6733565</v>
      </c>
    </row>
    <row r="225" spans="1:19" s="48" customFormat="1" x14ac:dyDescent="0.3">
      <c r="A225" s="49"/>
      <c r="B225" s="243"/>
      <c r="C225" s="50">
        <v>6</v>
      </c>
      <c r="D225" s="168">
        <v>300000</v>
      </c>
      <c r="E225" s="161">
        <v>0</v>
      </c>
      <c r="F225" s="114">
        <v>0</v>
      </c>
      <c r="G225" s="147">
        <v>0</v>
      </c>
      <c r="H225" s="114">
        <v>0</v>
      </c>
      <c r="I225" s="114">
        <v>230000000</v>
      </c>
      <c r="J225" s="114">
        <v>70000000</v>
      </c>
      <c r="K225" s="153">
        <f t="shared" si="19"/>
        <v>1055861356.054327</v>
      </c>
      <c r="L225" s="117">
        <v>1.7999999999999999E-2</v>
      </c>
      <c r="M225" s="39">
        <v>0</v>
      </c>
      <c r="N225" s="132">
        <f t="shared" si="22"/>
        <v>324283027.42315</v>
      </c>
      <c r="O225" s="25">
        <v>1.7999999999999999E-2</v>
      </c>
      <c r="P225" s="305">
        <f t="shared" si="20"/>
        <v>324283027.42315</v>
      </c>
      <c r="Q225" s="167">
        <f t="shared" si="21"/>
        <v>1380144383.4774771</v>
      </c>
      <c r="R225" s="116">
        <f t="shared" si="23"/>
        <v>230000000</v>
      </c>
      <c r="S225" s="116">
        <f t="shared" si="24"/>
        <v>1450144383.4774771</v>
      </c>
    </row>
    <row r="226" spans="1:19" s="48" customFormat="1" x14ac:dyDescent="0.3">
      <c r="A226" s="49"/>
      <c r="B226" s="243"/>
      <c r="C226" s="50">
        <v>7</v>
      </c>
      <c r="D226" s="168">
        <v>300000</v>
      </c>
      <c r="E226" s="161">
        <v>0</v>
      </c>
      <c r="F226" s="114">
        <v>0</v>
      </c>
      <c r="G226" s="147">
        <v>0</v>
      </c>
      <c r="H226" s="114">
        <v>0</v>
      </c>
      <c r="I226" s="114">
        <v>230000000</v>
      </c>
      <c r="J226" s="114">
        <v>70000000</v>
      </c>
      <c r="K226" s="153">
        <f t="shared" si="19"/>
        <v>1074866860.463305</v>
      </c>
      <c r="L226" s="117">
        <v>1.7999999999999999E-2</v>
      </c>
      <c r="M226" s="39">
        <v>0</v>
      </c>
      <c r="N226" s="132">
        <f t="shared" si="22"/>
        <v>330425521.9167667</v>
      </c>
      <c r="O226" s="25">
        <v>1.7999999999999999E-2</v>
      </c>
      <c r="P226" s="305">
        <f t="shared" si="20"/>
        <v>330425521.9167667</v>
      </c>
      <c r="Q226" s="167">
        <f t="shared" si="21"/>
        <v>1405292382.3800716</v>
      </c>
      <c r="R226" s="116">
        <f t="shared" si="23"/>
        <v>230000000</v>
      </c>
      <c r="S226" s="116">
        <f t="shared" si="24"/>
        <v>1475292382.3800716</v>
      </c>
    </row>
    <row r="227" spans="1:19" s="48" customFormat="1" x14ac:dyDescent="0.3">
      <c r="A227" s="49"/>
      <c r="B227" s="243"/>
      <c r="C227" s="50">
        <v>8</v>
      </c>
      <c r="D227" s="168">
        <v>300000</v>
      </c>
      <c r="E227" s="161">
        <v>0</v>
      </c>
      <c r="F227" s="114">
        <v>0</v>
      </c>
      <c r="G227" s="147">
        <v>0</v>
      </c>
      <c r="H227" s="114">
        <v>0</v>
      </c>
      <c r="I227" s="114">
        <v>230000000</v>
      </c>
      <c r="J227" s="114">
        <v>70000000</v>
      </c>
      <c r="K227" s="153">
        <f t="shared" si="19"/>
        <v>1094214463.9516444</v>
      </c>
      <c r="L227" s="117">
        <v>1.7999999999999999E-2</v>
      </c>
      <c r="M227" s="39">
        <v>0</v>
      </c>
      <c r="N227" s="132">
        <f t="shared" si="22"/>
        <v>336678581.31126851</v>
      </c>
      <c r="O227" s="25">
        <v>1.7999999999999999E-2</v>
      </c>
      <c r="P227" s="305">
        <f t="shared" si="20"/>
        <v>336678581.31126851</v>
      </c>
      <c r="Q227" s="167">
        <f t="shared" si="21"/>
        <v>1430893045.262913</v>
      </c>
      <c r="R227" s="116">
        <f t="shared" si="23"/>
        <v>230000000</v>
      </c>
      <c r="S227" s="116">
        <f t="shared" si="24"/>
        <v>1500893045.262913</v>
      </c>
    </row>
    <row r="228" spans="1:19" s="48" customFormat="1" x14ac:dyDescent="0.3">
      <c r="A228" s="49"/>
      <c r="B228" s="243"/>
      <c r="C228" s="50">
        <v>9</v>
      </c>
      <c r="D228" s="168">
        <v>300000</v>
      </c>
      <c r="E228" s="161">
        <v>0</v>
      </c>
      <c r="F228" s="114">
        <v>0</v>
      </c>
      <c r="G228" s="147">
        <v>0</v>
      </c>
      <c r="H228" s="114">
        <v>0</v>
      </c>
      <c r="I228" s="114">
        <v>230000000</v>
      </c>
      <c r="J228" s="114">
        <v>70000000</v>
      </c>
      <c r="K228" s="153">
        <f t="shared" si="19"/>
        <v>1113910324.302774</v>
      </c>
      <c r="L228" s="117">
        <v>1.7999999999999999E-2</v>
      </c>
      <c r="M228" s="39">
        <v>0</v>
      </c>
      <c r="N228" s="132">
        <f t="shared" si="22"/>
        <v>343044195.77487135</v>
      </c>
      <c r="O228" s="25">
        <v>1.7999999999999999E-2</v>
      </c>
      <c r="P228" s="305">
        <f t="shared" si="20"/>
        <v>343044195.77487135</v>
      </c>
      <c r="Q228" s="167">
        <f t="shared" si="21"/>
        <v>1456954520.0776453</v>
      </c>
      <c r="R228" s="116">
        <f t="shared" si="23"/>
        <v>230000000</v>
      </c>
      <c r="S228" s="116">
        <f t="shared" si="24"/>
        <v>1526954520.0776453</v>
      </c>
    </row>
    <row r="229" spans="1:19" s="48" customFormat="1" x14ac:dyDescent="0.3">
      <c r="A229" s="49"/>
      <c r="B229" s="243"/>
      <c r="C229" s="50">
        <v>10</v>
      </c>
      <c r="D229" s="168">
        <v>300000</v>
      </c>
      <c r="E229" s="161">
        <v>0</v>
      </c>
      <c r="F229" s="114">
        <v>0</v>
      </c>
      <c r="G229" s="147">
        <v>0</v>
      </c>
      <c r="H229" s="114">
        <v>0</v>
      </c>
      <c r="I229" s="114">
        <v>230000000</v>
      </c>
      <c r="J229" s="114">
        <v>70000000</v>
      </c>
      <c r="K229" s="153">
        <f t="shared" si="19"/>
        <v>1133960710.140224</v>
      </c>
      <c r="L229" s="117">
        <v>1.7999999999999999E-2</v>
      </c>
      <c r="M229" s="39">
        <v>0</v>
      </c>
      <c r="N229" s="132">
        <f t="shared" si="22"/>
        <v>349524391.29881901</v>
      </c>
      <c r="O229" s="25">
        <v>1.7999999999999999E-2</v>
      </c>
      <c r="P229" s="305">
        <f t="shared" si="20"/>
        <v>349524391.29881901</v>
      </c>
      <c r="Q229" s="167">
        <f t="shared" si="21"/>
        <v>1483485101.439043</v>
      </c>
      <c r="R229" s="116">
        <f t="shared" si="23"/>
        <v>230000000</v>
      </c>
      <c r="S229" s="116">
        <f t="shared" si="24"/>
        <v>1553485101.439043</v>
      </c>
    </row>
    <row r="230" spans="1:19" s="48" customFormat="1" ht="17.25" thickBot="1" x14ac:dyDescent="0.35">
      <c r="A230" s="51"/>
      <c r="B230" s="243"/>
      <c r="C230" s="52">
        <v>11</v>
      </c>
      <c r="D230" s="168">
        <v>300000</v>
      </c>
      <c r="E230" s="161">
        <v>0</v>
      </c>
      <c r="F230" s="114">
        <v>0</v>
      </c>
      <c r="G230" s="147">
        <v>0</v>
      </c>
      <c r="H230" s="114">
        <v>0</v>
      </c>
      <c r="I230" s="114">
        <v>230000000</v>
      </c>
      <c r="J230" s="114">
        <v>70000000</v>
      </c>
      <c r="K230" s="153">
        <f t="shared" si="19"/>
        <v>1154372002.9227481</v>
      </c>
      <c r="L230" s="117">
        <v>1.7999999999999999E-2</v>
      </c>
      <c r="M230" s="39">
        <v>0</v>
      </c>
      <c r="N230" s="132">
        <f t="shared" si="22"/>
        <v>356121230.34219778</v>
      </c>
      <c r="O230" s="94">
        <v>1.7999999999999999E-2</v>
      </c>
      <c r="P230" s="305">
        <f t="shared" si="20"/>
        <v>356121230.34219778</v>
      </c>
      <c r="Q230" s="167">
        <f t="shared" si="21"/>
        <v>1510493233.264946</v>
      </c>
      <c r="R230" s="116">
        <f t="shared" si="23"/>
        <v>230000000</v>
      </c>
      <c r="S230" s="116">
        <f t="shared" si="24"/>
        <v>1580493233.264946</v>
      </c>
    </row>
    <row r="231" spans="1:19" s="48" customFormat="1" ht="17.25" thickBot="1" x14ac:dyDescent="0.35">
      <c r="A231" s="53"/>
      <c r="B231" s="243"/>
      <c r="C231" s="54">
        <v>12</v>
      </c>
      <c r="D231" s="168">
        <v>300000</v>
      </c>
      <c r="E231" s="161">
        <v>0</v>
      </c>
      <c r="F231" s="114">
        <v>0</v>
      </c>
      <c r="G231" s="147">
        <v>0</v>
      </c>
      <c r="H231" s="114">
        <v>0</v>
      </c>
      <c r="I231" s="114">
        <v>230000000</v>
      </c>
      <c r="J231" s="114">
        <v>70000000</v>
      </c>
      <c r="K231" s="153">
        <f t="shared" si="19"/>
        <v>1175150698.9753575</v>
      </c>
      <c r="L231" s="117">
        <v>1.7999999999999999E-2</v>
      </c>
      <c r="M231" s="39">
        <v>0</v>
      </c>
      <c r="N231" s="132">
        <f t="shared" si="22"/>
        <v>362836812.48835731</v>
      </c>
      <c r="O231" s="95">
        <v>1.7999999999999999E-2</v>
      </c>
      <c r="P231" s="305">
        <f t="shared" si="20"/>
        <v>362836812.48835731</v>
      </c>
      <c r="Q231" s="167">
        <f t="shared" si="21"/>
        <v>1537987511.4637148</v>
      </c>
      <c r="R231" s="116">
        <f t="shared" si="23"/>
        <v>230000000</v>
      </c>
      <c r="S231" s="116">
        <f t="shared" si="24"/>
        <v>1607987511.4637148</v>
      </c>
    </row>
    <row r="232" spans="1:19" s="48" customFormat="1" x14ac:dyDescent="0.3">
      <c r="A232" s="46">
        <v>20</v>
      </c>
      <c r="B232" s="243">
        <v>2041</v>
      </c>
      <c r="C232" s="47">
        <v>1</v>
      </c>
      <c r="D232" s="168">
        <v>300000</v>
      </c>
      <c r="E232" s="161">
        <v>0</v>
      </c>
      <c r="F232" s="114">
        <v>0</v>
      </c>
      <c r="G232" s="147">
        <v>0</v>
      </c>
      <c r="H232" s="114">
        <v>0</v>
      </c>
      <c r="I232" s="114">
        <v>230000000</v>
      </c>
      <c r="J232" s="114">
        <v>70000000</v>
      </c>
      <c r="K232" s="153">
        <f t="shared" si="19"/>
        <v>1196303411.5569139</v>
      </c>
      <c r="L232" s="117">
        <v>1.7999999999999999E-2</v>
      </c>
      <c r="M232" s="39">
        <v>0</v>
      </c>
      <c r="N232" s="132">
        <f t="shared" si="22"/>
        <v>364589359.73831075</v>
      </c>
      <c r="O232" s="93">
        <v>4.0000000000000001E-3</v>
      </c>
      <c r="P232" s="305">
        <f t="shared" si="20"/>
        <v>364589359.73831075</v>
      </c>
      <c r="Q232" s="167">
        <f t="shared" si="21"/>
        <v>1560892771.2952247</v>
      </c>
      <c r="R232" s="116">
        <f t="shared" si="23"/>
        <v>230000000</v>
      </c>
      <c r="S232" s="116">
        <f t="shared" si="24"/>
        <v>1630892771.2952247</v>
      </c>
    </row>
    <row r="233" spans="1:19" s="48" customFormat="1" x14ac:dyDescent="0.3">
      <c r="A233" s="49"/>
      <c r="B233" s="243"/>
      <c r="C233" s="50">
        <v>2</v>
      </c>
      <c r="D233" s="168">
        <v>300000</v>
      </c>
      <c r="E233" s="161">
        <v>0</v>
      </c>
      <c r="F233" s="114">
        <v>0</v>
      </c>
      <c r="G233" s="147">
        <v>0</v>
      </c>
      <c r="H233" s="114">
        <v>0</v>
      </c>
      <c r="I233" s="114">
        <v>230000000</v>
      </c>
      <c r="J233" s="114">
        <v>70000000</v>
      </c>
      <c r="K233" s="153">
        <f t="shared" si="19"/>
        <v>1217836872.9649384</v>
      </c>
      <c r="L233" s="117">
        <v>1.7999999999999999E-2</v>
      </c>
      <c r="M233" s="39">
        <v>0</v>
      </c>
      <c r="N233" s="132">
        <f t="shared" si="22"/>
        <v>371457368.21360034</v>
      </c>
      <c r="O233" s="25">
        <v>1.7999999999999999E-2</v>
      </c>
      <c r="P233" s="305">
        <f t="shared" si="20"/>
        <v>371457368.21360034</v>
      </c>
      <c r="Q233" s="167">
        <f t="shared" si="21"/>
        <v>1589294241.1785388</v>
      </c>
      <c r="R233" s="116">
        <f t="shared" si="23"/>
        <v>230000000</v>
      </c>
      <c r="S233" s="116">
        <f t="shared" si="24"/>
        <v>1659294241.1785388</v>
      </c>
    </row>
    <row r="234" spans="1:19" s="48" customFormat="1" x14ac:dyDescent="0.3">
      <c r="A234" s="49"/>
      <c r="B234" s="243"/>
      <c r="C234" s="50">
        <v>3</v>
      </c>
      <c r="D234" s="168">
        <v>300000</v>
      </c>
      <c r="E234" s="161">
        <v>0</v>
      </c>
      <c r="F234" s="114">
        <v>0</v>
      </c>
      <c r="G234" s="147">
        <v>0</v>
      </c>
      <c r="H234" s="114">
        <v>0</v>
      </c>
      <c r="I234" s="114">
        <v>230000000</v>
      </c>
      <c r="J234" s="114">
        <v>70000000</v>
      </c>
      <c r="K234" s="153">
        <f t="shared" si="19"/>
        <v>1239757936.6783073</v>
      </c>
      <c r="L234" s="117">
        <v>1.7999999999999999E-2</v>
      </c>
      <c r="M234" s="39">
        <v>0</v>
      </c>
      <c r="N234" s="132">
        <f t="shared" si="22"/>
        <v>378449000.84144515</v>
      </c>
      <c r="O234" s="25">
        <v>1.7999999999999999E-2</v>
      </c>
      <c r="P234" s="305">
        <f t="shared" si="20"/>
        <v>378449000.84144515</v>
      </c>
      <c r="Q234" s="167">
        <f t="shared" si="21"/>
        <v>1618206937.5197525</v>
      </c>
      <c r="R234" s="116">
        <f t="shared" si="23"/>
        <v>230000000</v>
      </c>
      <c r="S234" s="116">
        <f t="shared" si="24"/>
        <v>1688206937.5197525</v>
      </c>
    </row>
    <row r="235" spans="1:19" s="48" customFormat="1" x14ac:dyDescent="0.3">
      <c r="A235" s="49"/>
      <c r="B235" s="243"/>
      <c r="C235" s="50">
        <v>4</v>
      </c>
      <c r="D235" s="168">
        <v>300000</v>
      </c>
      <c r="E235" s="161">
        <v>0</v>
      </c>
      <c r="F235" s="114">
        <v>0</v>
      </c>
      <c r="G235" s="147">
        <v>0</v>
      </c>
      <c r="H235" s="114">
        <v>0</v>
      </c>
      <c r="I235" s="114">
        <v>230000000</v>
      </c>
      <c r="J235" s="114">
        <v>70000000</v>
      </c>
      <c r="K235" s="153">
        <f t="shared" si="19"/>
        <v>1262073579.5385168</v>
      </c>
      <c r="L235" s="117">
        <v>1.7999999999999999E-2</v>
      </c>
      <c r="M235" s="39">
        <v>0</v>
      </c>
      <c r="N235" s="132">
        <f t="shared" si="22"/>
        <v>385566482.85659117</v>
      </c>
      <c r="O235" s="25">
        <v>1.7999999999999999E-2</v>
      </c>
      <c r="P235" s="305">
        <f t="shared" si="20"/>
        <v>385566482.85659117</v>
      </c>
      <c r="Q235" s="167">
        <f t="shared" si="21"/>
        <v>1647640062.395108</v>
      </c>
      <c r="R235" s="116">
        <f t="shared" si="23"/>
        <v>230000000</v>
      </c>
      <c r="S235" s="116">
        <f t="shared" si="24"/>
        <v>1717640062.395108</v>
      </c>
    </row>
    <row r="236" spans="1:19" s="48" customFormat="1" x14ac:dyDescent="0.3">
      <c r="A236" s="49"/>
      <c r="B236" s="243"/>
      <c r="C236" s="50">
        <v>5</v>
      </c>
      <c r="D236" s="168">
        <v>300000</v>
      </c>
      <c r="E236" s="161">
        <v>0</v>
      </c>
      <c r="F236" s="114">
        <v>0</v>
      </c>
      <c r="G236" s="147">
        <v>0</v>
      </c>
      <c r="H236" s="114">
        <v>0</v>
      </c>
      <c r="I236" s="114">
        <v>230000000</v>
      </c>
      <c r="J236" s="114">
        <v>70000000</v>
      </c>
      <c r="K236" s="153">
        <f t="shared" si="19"/>
        <v>1284790903.9702101</v>
      </c>
      <c r="L236" s="117">
        <v>1.7999999999999999E-2</v>
      </c>
      <c r="M236" s="39">
        <v>0</v>
      </c>
      <c r="N236" s="132">
        <f t="shared" si="22"/>
        <v>392812079.54800981</v>
      </c>
      <c r="O236" s="25">
        <v>1.7999999999999999E-2</v>
      </c>
      <c r="P236" s="305">
        <f t="shared" si="20"/>
        <v>392812079.54800981</v>
      </c>
      <c r="Q236" s="167">
        <f t="shared" si="21"/>
        <v>1677602983.5182199</v>
      </c>
      <c r="R236" s="116">
        <f t="shared" si="23"/>
        <v>230000000</v>
      </c>
      <c r="S236" s="116">
        <f t="shared" si="24"/>
        <v>1747602983.5182199</v>
      </c>
    </row>
    <row r="237" spans="1:19" s="48" customFormat="1" x14ac:dyDescent="0.3">
      <c r="A237" s="49"/>
      <c r="B237" s="243"/>
      <c r="C237" s="50">
        <v>6</v>
      </c>
      <c r="D237" s="168">
        <v>300000</v>
      </c>
      <c r="E237" s="161">
        <v>0</v>
      </c>
      <c r="F237" s="114">
        <v>0</v>
      </c>
      <c r="G237" s="147">
        <v>0</v>
      </c>
      <c r="H237" s="114">
        <v>0</v>
      </c>
      <c r="I237" s="114">
        <v>230000000</v>
      </c>
      <c r="J237" s="114">
        <v>70000000</v>
      </c>
      <c r="K237" s="153">
        <f t="shared" si="19"/>
        <v>1307917140.2416739</v>
      </c>
      <c r="L237" s="117">
        <v>1.7999999999999999E-2</v>
      </c>
      <c r="M237" s="39">
        <v>0</v>
      </c>
      <c r="N237" s="132">
        <f t="shared" si="22"/>
        <v>400188096.97987401</v>
      </c>
      <c r="O237" s="25">
        <v>1.7999999999999999E-2</v>
      </c>
      <c r="P237" s="305">
        <f t="shared" si="20"/>
        <v>400188096.97987401</v>
      </c>
      <c r="Q237" s="167">
        <f t="shared" si="21"/>
        <v>1708105237.2215481</v>
      </c>
      <c r="R237" s="116">
        <f t="shared" si="23"/>
        <v>230000000</v>
      </c>
      <c r="S237" s="116">
        <f t="shared" si="24"/>
        <v>1778105237.2215481</v>
      </c>
    </row>
    <row r="238" spans="1:19" s="48" customFormat="1" x14ac:dyDescent="0.3">
      <c r="A238" s="49"/>
      <c r="B238" s="243"/>
      <c r="C238" s="50">
        <v>7</v>
      </c>
      <c r="D238" s="168">
        <v>300000</v>
      </c>
      <c r="E238" s="161">
        <v>0</v>
      </c>
      <c r="F238" s="114">
        <v>0</v>
      </c>
      <c r="G238" s="147">
        <v>0</v>
      </c>
      <c r="H238" s="114">
        <v>0</v>
      </c>
      <c r="I238" s="114">
        <v>230000000</v>
      </c>
      <c r="J238" s="114">
        <v>70000000</v>
      </c>
      <c r="K238" s="153">
        <f t="shared" si="19"/>
        <v>1331459648.7660241</v>
      </c>
      <c r="L238" s="117">
        <v>1.7999999999999999E-2</v>
      </c>
      <c r="M238" s="39">
        <v>0</v>
      </c>
      <c r="N238" s="132">
        <f t="shared" si="22"/>
        <v>407696882.72551173</v>
      </c>
      <c r="O238" s="25">
        <v>1.7999999999999999E-2</v>
      </c>
      <c r="P238" s="305">
        <f t="shared" si="20"/>
        <v>407696882.72551173</v>
      </c>
      <c r="Q238" s="167">
        <f t="shared" si="21"/>
        <v>1739156531.4915359</v>
      </c>
      <c r="R238" s="116">
        <f t="shared" si="23"/>
        <v>230000000</v>
      </c>
      <c r="S238" s="116">
        <f t="shared" si="24"/>
        <v>1809156531.4915359</v>
      </c>
    </row>
    <row r="239" spans="1:19" s="48" customFormat="1" x14ac:dyDescent="0.3">
      <c r="A239" s="49"/>
      <c r="B239" s="243"/>
      <c r="C239" s="50">
        <v>8</v>
      </c>
      <c r="D239" s="168">
        <v>300000</v>
      </c>
      <c r="E239" s="161">
        <v>0</v>
      </c>
      <c r="F239" s="114">
        <v>0</v>
      </c>
      <c r="G239" s="147">
        <v>0</v>
      </c>
      <c r="H239" s="114">
        <v>0</v>
      </c>
      <c r="I239" s="114">
        <v>230000000</v>
      </c>
      <c r="J239" s="114">
        <v>70000000</v>
      </c>
      <c r="K239" s="153">
        <f t="shared" si="19"/>
        <v>1355425922.4438126</v>
      </c>
      <c r="L239" s="117">
        <v>1.7999999999999999E-2</v>
      </c>
      <c r="M239" s="39">
        <v>0</v>
      </c>
      <c r="N239" s="132">
        <f t="shared" si="22"/>
        <v>415340826.61457092</v>
      </c>
      <c r="O239" s="25">
        <v>1.7999999999999999E-2</v>
      </c>
      <c r="P239" s="305">
        <f t="shared" si="20"/>
        <v>415340826.61457092</v>
      </c>
      <c r="Q239" s="167">
        <f t="shared" si="21"/>
        <v>1770766749.0583835</v>
      </c>
      <c r="R239" s="116">
        <f t="shared" si="23"/>
        <v>230000000</v>
      </c>
      <c r="S239" s="116">
        <f t="shared" si="24"/>
        <v>1840766749.0583835</v>
      </c>
    </row>
    <row r="240" spans="1:19" s="48" customFormat="1" x14ac:dyDescent="0.3">
      <c r="A240" s="49"/>
      <c r="B240" s="243"/>
      <c r="C240" s="50">
        <v>9</v>
      </c>
      <c r="D240" s="168">
        <v>300000</v>
      </c>
      <c r="E240" s="161">
        <v>0</v>
      </c>
      <c r="F240" s="114">
        <v>0</v>
      </c>
      <c r="G240" s="147">
        <v>0</v>
      </c>
      <c r="H240" s="114">
        <v>0</v>
      </c>
      <c r="I240" s="114">
        <v>230000000</v>
      </c>
      <c r="J240" s="114">
        <v>70000000</v>
      </c>
      <c r="K240" s="153">
        <f t="shared" si="19"/>
        <v>1379823589.0478013</v>
      </c>
      <c r="L240" s="117">
        <v>1.7999999999999999E-2</v>
      </c>
      <c r="M240" s="39">
        <v>0</v>
      </c>
      <c r="N240" s="132">
        <f t="shared" si="22"/>
        <v>423122361.49363321</v>
      </c>
      <c r="O240" s="25">
        <v>1.7999999999999999E-2</v>
      </c>
      <c r="P240" s="305">
        <f t="shared" si="20"/>
        <v>423122361.49363321</v>
      </c>
      <c r="Q240" s="167">
        <f t="shared" si="21"/>
        <v>1802945950.5414345</v>
      </c>
      <c r="R240" s="116">
        <f t="shared" si="23"/>
        <v>230000000</v>
      </c>
      <c r="S240" s="116">
        <f t="shared" si="24"/>
        <v>1872945950.5414345</v>
      </c>
    </row>
    <row r="241" spans="1:19" s="48" customFormat="1" x14ac:dyDescent="0.3">
      <c r="A241" s="49"/>
      <c r="B241" s="243"/>
      <c r="C241" s="50">
        <v>10</v>
      </c>
      <c r="D241" s="168">
        <v>300000</v>
      </c>
      <c r="E241" s="161">
        <v>0</v>
      </c>
      <c r="F241" s="114">
        <v>0</v>
      </c>
      <c r="G241" s="147">
        <v>0</v>
      </c>
      <c r="H241" s="114">
        <v>0</v>
      </c>
      <c r="I241" s="114">
        <v>230000000</v>
      </c>
      <c r="J241" s="114">
        <v>70000000</v>
      </c>
      <c r="K241" s="153">
        <f t="shared" si="19"/>
        <v>1404660413.6506617</v>
      </c>
      <c r="L241" s="117">
        <v>1.7999999999999999E-2</v>
      </c>
      <c r="M241" s="39">
        <v>0</v>
      </c>
      <c r="N241" s="132">
        <f t="shared" si="22"/>
        <v>431043964.00051862</v>
      </c>
      <c r="O241" s="25">
        <v>1.7999999999999999E-2</v>
      </c>
      <c r="P241" s="305">
        <f t="shared" si="20"/>
        <v>431043964.00051862</v>
      </c>
      <c r="Q241" s="167">
        <f t="shared" si="21"/>
        <v>1835704377.6511803</v>
      </c>
      <c r="R241" s="116">
        <f t="shared" si="23"/>
        <v>230000000</v>
      </c>
      <c r="S241" s="116">
        <f t="shared" si="24"/>
        <v>1905704377.6511803</v>
      </c>
    </row>
    <row r="242" spans="1:19" s="48" customFormat="1" ht="17.25" thickBot="1" x14ac:dyDescent="0.35">
      <c r="A242" s="51"/>
      <c r="B242" s="243"/>
      <c r="C242" s="52">
        <v>11</v>
      </c>
      <c r="D242" s="168">
        <v>300000</v>
      </c>
      <c r="E242" s="161">
        <v>0</v>
      </c>
      <c r="F242" s="114">
        <v>0</v>
      </c>
      <c r="G242" s="147">
        <v>0</v>
      </c>
      <c r="H242" s="114">
        <v>0</v>
      </c>
      <c r="I242" s="114">
        <v>230000000</v>
      </c>
      <c r="J242" s="114">
        <v>70000000</v>
      </c>
      <c r="K242" s="153">
        <f t="shared" si="19"/>
        <v>1429944301.0963736</v>
      </c>
      <c r="L242" s="117">
        <v>1.7999999999999999E-2</v>
      </c>
      <c r="M242" s="39">
        <v>0</v>
      </c>
      <c r="N242" s="132">
        <f t="shared" si="22"/>
        <v>439108155.35252798</v>
      </c>
      <c r="O242" s="94">
        <v>1.7999999999999999E-2</v>
      </c>
      <c r="P242" s="305">
        <f t="shared" si="20"/>
        <v>439108155.35252798</v>
      </c>
      <c r="Q242" s="167">
        <f t="shared" si="21"/>
        <v>1869052456.4489017</v>
      </c>
      <c r="R242" s="116">
        <f t="shared" si="23"/>
        <v>230000000</v>
      </c>
      <c r="S242" s="116">
        <f t="shared" si="24"/>
        <v>1939052456.4489017</v>
      </c>
    </row>
    <row r="243" spans="1:19" s="48" customFormat="1" ht="17.25" thickBot="1" x14ac:dyDescent="0.35">
      <c r="A243" s="53"/>
      <c r="B243" s="243"/>
      <c r="C243" s="54">
        <v>12</v>
      </c>
      <c r="D243" s="168">
        <v>300000</v>
      </c>
      <c r="E243" s="161">
        <v>0</v>
      </c>
      <c r="F243" s="114">
        <v>0</v>
      </c>
      <c r="G243" s="147">
        <v>0</v>
      </c>
      <c r="H243" s="114">
        <v>0</v>
      </c>
      <c r="I243" s="114">
        <v>230000000</v>
      </c>
      <c r="J243" s="114">
        <v>70000000</v>
      </c>
      <c r="K243" s="153">
        <f t="shared" si="19"/>
        <v>1455683298.5161083</v>
      </c>
      <c r="L243" s="117">
        <v>1.7999999999999999E-2</v>
      </c>
      <c r="M243" s="39">
        <v>0</v>
      </c>
      <c r="N243" s="132">
        <f t="shared" si="22"/>
        <v>447317502.14887351</v>
      </c>
      <c r="O243" s="95">
        <v>1.7999999999999999E-2</v>
      </c>
      <c r="P243" s="305">
        <f t="shared" si="20"/>
        <v>447317502.14887351</v>
      </c>
      <c r="Q243" s="167">
        <f t="shared" si="21"/>
        <v>1903000800.6649818</v>
      </c>
      <c r="R243" s="116">
        <f t="shared" si="23"/>
        <v>230000000</v>
      </c>
      <c r="S243" s="116">
        <f t="shared" si="24"/>
        <v>1973000800.6649818</v>
      </c>
    </row>
    <row r="244" spans="1:19" s="48" customFormat="1" x14ac:dyDescent="0.3">
      <c r="A244" s="46">
        <v>21</v>
      </c>
      <c r="B244" s="243">
        <v>2042</v>
      </c>
      <c r="C244" s="47">
        <v>1</v>
      </c>
      <c r="D244" s="168">
        <v>300000</v>
      </c>
      <c r="E244" s="161">
        <v>0</v>
      </c>
      <c r="F244" s="114">
        <v>0</v>
      </c>
      <c r="G244" s="147">
        <v>0</v>
      </c>
      <c r="H244" s="114">
        <v>0</v>
      </c>
      <c r="I244" s="114">
        <v>230000000</v>
      </c>
      <c r="J244" s="114">
        <v>70000000</v>
      </c>
      <c r="K244" s="153">
        <f t="shared" si="19"/>
        <v>1481885597.8893983</v>
      </c>
      <c r="L244" s="117">
        <v>1.7999999999999999E-2</v>
      </c>
      <c r="M244" s="39">
        <v>0</v>
      </c>
      <c r="N244" s="132">
        <f t="shared" si="22"/>
        <v>449407972.15746897</v>
      </c>
      <c r="O244" s="93">
        <v>4.0000000000000001E-3</v>
      </c>
      <c r="P244" s="305">
        <f t="shared" si="20"/>
        <v>449407972.15746897</v>
      </c>
      <c r="Q244" s="167">
        <f t="shared" si="21"/>
        <v>1931293570.0468674</v>
      </c>
      <c r="R244" s="116">
        <f t="shared" si="23"/>
        <v>230000000</v>
      </c>
      <c r="S244" s="116">
        <f t="shared" si="24"/>
        <v>2001293570.0468674</v>
      </c>
    </row>
    <row r="245" spans="1:19" s="48" customFormat="1" x14ac:dyDescent="0.3">
      <c r="A245" s="49"/>
      <c r="B245" s="243"/>
      <c r="C245" s="50">
        <v>2</v>
      </c>
      <c r="D245" s="168">
        <v>300000</v>
      </c>
      <c r="E245" s="161">
        <v>0</v>
      </c>
      <c r="F245" s="114">
        <v>0</v>
      </c>
      <c r="G245" s="147">
        <v>0</v>
      </c>
      <c r="H245" s="114">
        <v>0</v>
      </c>
      <c r="I245" s="114">
        <v>230000000</v>
      </c>
      <c r="J245" s="114">
        <v>70000000</v>
      </c>
      <c r="K245" s="153">
        <f t="shared" si="19"/>
        <v>1508559538.6514075</v>
      </c>
      <c r="L245" s="117">
        <v>1.7999999999999999E-2</v>
      </c>
      <c r="M245" s="39">
        <v>0</v>
      </c>
      <c r="N245" s="132">
        <f t="shared" si="22"/>
        <v>457802715.65630341</v>
      </c>
      <c r="O245" s="25">
        <v>1.7999999999999999E-2</v>
      </c>
      <c r="P245" s="305">
        <f t="shared" si="20"/>
        <v>457802715.65630341</v>
      </c>
      <c r="Q245" s="167">
        <f t="shared" si="21"/>
        <v>1966362254.3077109</v>
      </c>
      <c r="R245" s="116">
        <f t="shared" si="23"/>
        <v>230000000</v>
      </c>
      <c r="S245" s="116">
        <f t="shared" si="24"/>
        <v>2036362254.3077109</v>
      </c>
    </row>
    <row r="246" spans="1:19" s="48" customFormat="1" x14ac:dyDescent="0.3">
      <c r="A246" s="49"/>
      <c r="B246" s="243"/>
      <c r="C246" s="50">
        <v>3</v>
      </c>
      <c r="D246" s="168">
        <v>300000</v>
      </c>
      <c r="E246" s="161">
        <v>0</v>
      </c>
      <c r="F246" s="114">
        <v>0</v>
      </c>
      <c r="G246" s="147">
        <v>0</v>
      </c>
      <c r="H246" s="114">
        <v>0</v>
      </c>
      <c r="I246" s="114">
        <v>230000000</v>
      </c>
      <c r="J246" s="114">
        <v>70000000</v>
      </c>
      <c r="K246" s="153">
        <f t="shared" si="19"/>
        <v>1535713610.3471329</v>
      </c>
      <c r="L246" s="117">
        <v>1.7999999999999999E-2</v>
      </c>
      <c r="M246" s="39">
        <v>0</v>
      </c>
      <c r="N246" s="132">
        <f t="shared" si="22"/>
        <v>466348564.53811687</v>
      </c>
      <c r="O246" s="25">
        <v>1.7999999999999999E-2</v>
      </c>
      <c r="P246" s="305">
        <f t="shared" si="20"/>
        <v>466348564.53811687</v>
      </c>
      <c r="Q246" s="167">
        <f t="shared" si="21"/>
        <v>2002062174.8852499</v>
      </c>
      <c r="R246" s="116">
        <f t="shared" si="23"/>
        <v>230000000</v>
      </c>
      <c r="S246" s="116">
        <f t="shared" si="24"/>
        <v>2072062174.8852499</v>
      </c>
    </row>
    <row r="247" spans="1:19" s="48" customFormat="1" x14ac:dyDescent="0.3">
      <c r="A247" s="49"/>
      <c r="B247" s="243"/>
      <c r="C247" s="50">
        <v>4</v>
      </c>
      <c r="D247" s="168">
        <v>300000</v>
      </c>
      <c r="E247" s="161">
        <v>0</v>
      </c>
      <c r="F247" s="114">
        <v>0</v>
      </c>
      <c r="G247" s="147">
        <v>0</v>
      </c>
      <c r="H247" s="114">
        <v>0</v>
      </c>
      <c r="I247" s="114">
        <v>230000000</v>
      </c>
      <c r="J247" s="114">
        <v>70000000</v>
      </c>
      <c r="K247" s="153">
        <f t="shared" si="19"/>
        <v>1563356455.3333814</v>
      </c>
      <c r="L247" s="117">
        <v>1.7999999999999999E-2</v>
      </c>
      <c r="M247" s="39">
        <v>0</v>
      </c>
      <c r="N247" s="132">
        <f t="shared" si="22"/>
        <v>475048238.69980299</v>
      </c>
      <c r="O247" s="25">
        <v>1.7999999999999999E-2</v>
      </c>
      <c r="P247" s="305">
        <f t="shared" si="20"/>
        <v>475048238.69980299</v>
      </c>
      <c r="Q247" s="167">
        <f t="shared" si="21"/>
        <v>2038404694.0331845</v>
      </c>
      <c r="R247" s="116">
        <f t="shared" si="23"/>
        <v>230000000</v>
      </c>
      <c r="S247" s="116">
        <f t="shared" si="24"/>
        <v>2108404694.0331845</v>
      </c>
    </row>
    <row r="248" spans="1:19" s="48" customFormat="1" x14ac:dyDescent="0.3">
      <c r="A248" s="49"/>
      <c r="B248" s="243"/>
      <c r="C248" s="50">
        <v>5</v>
      </c>
      <c r="D248" s="168">
        <v>300000</v>
      </c>
      <c r="E248" s="161">
        <v>0</v>
      </c>
      <c r="F248" s="114">
        <v>0</v>
      </c>
      <c r="G248" s="147">
        <v>0</v>
      </c>
      <c r="H248" s="114">
        <v>0</v>
      </c>
      <c r="I248" s="114">
        <v>230000000</v>
      </c>
      <c r="J248" s="114">
        <v>70000000</v>
      </c>
      <c r="K248" s="153">
        <f t="shared" si="19"/>
        <v>1591496871.5293822</v>
      </c>
      <c r="L248" s="117">
        <v>1.7999999999999999E-2</v>
      </c>
      <c r="M248" s="39">
        <v>0</v>
      </c>
      <c r="N248" s="132">
        <f t="shared" si="22"/>
        <v>483904506.99639946</v>
      </c>
      <c r="O248" s="25">
        <v>1.7999999999999999E-2</v>
      </c>
      <c r="P248" s="305">
        <f t="shared" si="20"/>
        <v>483904506.99639946</v>
      </c>
      <c r="Q248" s="167">
        <f t="shared" si="21"/>
        <v>2075401378.5257816</v>
      </c>
      <c r="R248" s="116">
        <f t="shared" si="23"/>
        <v>230000000</v>
      </c>
      <c r="S248" s="116">
        <f t="shared" si="24"/>
        <v>2145401378.5257816</v>
      </c>
    </row>
    <row r="249" spans="1:19" s="48" customFormat="1" x14ac:dyDescent="0.3">
      <c r="A249" s="49"/>
      <c r="B249" s="243"/>
      <c r="C249" s="50">
        <v>6</v>
      </c>
      <c r="D249" s="168">
        <v>300000</v>
      </c>
      <c r="E249" s="161">
        <v>0</v>
      </c>
      <c r="F249" s="114">
        <v>0</v>
      </c>
      <c r="G249" s="147">
        <v>0</v>
      </c>
      <c r="H249" s="114">
        <v>0</v>
      </c>
      <c r="I249" s="114">
        <v>230000000</v>
      </c>
      <c r="J249" s="114">
        <v>70000000</v>
      </c>
      <c r="K249" s="153">
        <f t="shared" si="19"/>
        <v>1620143815.2169111</v>
      </c>
      <c r="L249" s="117">
        <v>1.7999999999999999E-2</v>
      </c>
      <c r="M249" s="39">
        <v>0</v>
      </c>
      <c r="N249" s="132">
        <f t="shared" si="22"/>
        <v>492920188.12233466</v>
      </c>
      <c r="O249" s="25">
        <v>1.7999999999999999E-2</v>
      </c>
      <c r="P249" s="305">
        <f t="shared" si="20"/>
        <v>492920188.12233466</v>
      </c>
      <c r="Q249" s="167">
        <f t="shared" si="21"/>
        <v>2113064003.3392458</v>
      </c>
      <c r="R249" s="116">
        <f t="shared" si="23"/>
        <v>230000000</v>
      </c>
      <c r="S249" s="116">
        <f t="shared" si="24"/>
        <v>2183064003.3392458</v>
      </c>
    </row>
    <row r="250" spans="1:19" s="48" customFormat="1" x14ac:dyDescent="0.3">
      <c r="A250" s="49"/>
      <c r="B250" s="243"/>
      <c r="C250" s="50">
        <v>7</v>
      </c>
      <c r="D250" s="168">
        <v>300000</v>
      </c>
      <c r="E250" s="161">
        <v>0</v>
      </c>
      <c r="F250" s="114">
        <v>0</v>
      </c>
      <c r="G250" s="147">
        <v>0</v>
      </c>
      <c r="H250" s="114">
        <v>0</v>
      </c>
      <c r="I250" s="114">
        <v>230000000</v>
      </c>
      <c r="J250" s="114">
        <v>70000000</v>
      </c>
      <c r="K250" s="153">
        <f t="shared" si="19"/>
        <v>1649306403.8908155</v>
      </c>
      <c r="L250" s="117">
        <v>1.7999999999999999E-2</v>
      </c>
      <c r="M250" s="39">
        <v>0</v>
      </c>
      <c r="N250" s="132">
        <f t="shared" si="22"/>
        <v>502098151.5085367</v>
      </c>
      <c r="O250" s="25">
        <v>1.7999999999999999E-2</v>
      </c>
      <c r="P250" s="305">
        <f t="shared" si="20"/>
        <v>502098151.5085367</v>
      </c>
      <c r="Q250" s="167">
        <f t="shared" si="21"/>
        <v>2151404555.3993521</v>
      </c>
      <c r="R250" s="116">
        <f t="shared" si="23"/>
        <v>230000000</v>
      </c>
      <c r="S250" s="116">
        <f t="shared" si="24"/>
        <v>2221404555.3993521</v>
      </c>
    </row>
    <row r="251" spans="1:19" s="48" customFormat="1" x14ac:dyDescent="0.3">
      <c r="A251" s="49"/>
      <c r="B251" s="243"/>
      <c r="C251" s="50">
        <v>8</v>
      </c>
      <c r="D251" s="168">
        <v>300000</v>
      </c>
      <c r="E251" s="161">
        <v>0</v>
      </c>
      <c r="F251" s="114">
        <v>0</v>
      </c>
      <c r="G251" s="147">
        <v>0</v>
      </c>
      <c r="H251" s="114">
        <v>0</v>
      </c>
      <c r="I251" s="114">
        <v>230000000</v>
      </c>
      <c r="J251" s="114">
        <v>70000000</v>
      </c>
      <c r="K251" s="153">
        <f t="shared" si="19"/>
        <v>1678993919.1608503</v>
      </c>
      <c r="L251" s="117">
        <v>1.7999999999999999E-2</v>
      </c>
      <c r="M251" s="39">
        <v>0</v>
      </c>
      <c r="N251" s="132">
        <f t="shared" si="22"/>
        <v>511441318.23569036</v>
      </c>
      <c r="O251" s="25">
        <v>1.7999999999999999E-2</v>
      </c>
      <c r="P251" s="305">
        <f t="shared" si="20"/>
        <v>511441318.23569036</v>
      </c>
      <c r="Q251" s="167">
        <f t="shared" si="21"/>
        <v>2190435237.3965406</v>
      </c>
      <c r="R251" s="116">
        <f t="shared" si="23"/>
        <v>230000000</v>
      </c>
      <c r="S251" s="116">
        <f t="shared" si="24"/>
        <v>2260435237.3965406</v>
      </c>
    </row>
    <row r="252" spans="1:19" s="48" customFormat="1" x14ac:dyDescent="0.3">
      <c r="A252" s="49"/>
      <c r="B252" s="243"/>
      <c r="C252" s="50">
        <v>9</v>
      </c>
      <c r="D252" s="168">
        <v>300000</v>
      </c>
      <c r="E252" s="161">
        <v>0</v>
      </c>
      <c r="F252" s="114">
        <v>0</v>
      </c>
      <c r="G252" s="147">
        <v>0</v>
      </c>
      <c r="H252" s="114">
        <v>0</v>
      </c>
      <c r="I252" s="114">
        <v>230000000</v>
      </c>
      <c r="J252" s="114">
        <v>70000000</v>
      </c>
      <c r="K252" s="153">
        <f t="shared" si="19"/>
        <v>1709215809.7057457</v>
      </c>
      <c r="L252" s="117">
        <v>1.7999999999999999E-2</v>
      </c>
      <c r="M252" s="39">
        <v>0</v>
      </c>
      <c r="N252" s="132">
        <f t="shared" si="22"/>
        <v>520952661.96393275</v>
      </c>
      <c r="O252" s="25">
        <v>1.7999999999999999E-2</v>
      </c>
      <c r="P252" s="305">
        <f t="shared" si="20"/>
        <v>520952661.96393275</v>
      </c>
      <c r="Q252" s="167">
        <f t="shared" si="21"/>
        <v>2230168471.6696787</v>
      </c>
      <c r="R252" s="116">
        <f t="shared" si="23"/>
        <v>230000000</v>
      </c>
      <c r="S252" s="116">
        <f t="shared" si="24"/>
        <v>2300168471.6696787</v>
      </c>
    </row>
    <row r="253" spans="1:19" s="48" customFormat="1" x14ac:dyDescent="0.3">
      <c r="A253" s="49"/>
      <c r="B253" s="243"/>
      <c r="C253" s="50">
        <v>10</v>
      </c>
      <c r="D253" s="168">
        <v>300000</v>
      </c>
      <c r="E253" s="161">
        <v>0</v>
      </c>
      <c r="F253" s="114">
        <v>0</v>
      </c>
      <c r="G253" s="147">
        <v>0</v>
      </c>
      <c r="H253" s="114">
        <v>0</v>
      </c>
      <c r="I253" s="114">
        <v>230000000</v>
      </c>
      <c r="J253" s="114">
        <v>70000000</v>
      </c>
      <c r="K253" s="153">
        <f t="shared" si="19"/>
        <v>1739981694.2804492</v>
      </c>
      <c r="L253" s="117">
        <v>1.7999999999999999E-2</v>
      </c>
      <c r="M253" s="39">
        <v>0</v>
      </c>
      <c r="N253" s="132">
        <f t="shared" si="22"/>
        <v>530635209.87928355</v>
      </c>
      <c r="O253" s="25">
        <v>1.7999999999999999E-2</v>
      </c>
      <c r="P253" s="305">
        <f t="shared" si="20"/>
        <v>530635209.87928355</v>
      </c>
      <c r="Q253" s="167">
        <f t="shared" si="21"/>
        <v>2270616904.1597328</v>
      </c>
      <c r="R253" s="116">
        <f t="shared" si="23"/>
        <v>230000000</v>
      </c>
      <c r="S253" s="116">
        <f t="shared" si="24"/>
        <v>2340616904.1597328</v>
      </c>
    </row>
    <row r="254" spans="1:19" s="48" customFormat="1" ht="17.25" thickBot="1" x14ac:dyDescent="0.35">
      <c r="A254" s="51"/>
      <c r="B254" s="243"/>
      <c r="C254" s="52">
        <v>11</v>
      </c>
      <c r="D254" s="168">
        <v>300000</v>
      </c>
      <c r="E254" s="161">
        <v>0</v>
      </c>
      <c r="F254" s="114">
        <v>0</v>
      </c>
      <c r="G254" s="147">
        <v>0</v>
      </c>
      <c r="H254" s="114">
        <v>0</v>
      </c>
      <c r="I254" s="114">
        <v>230000000</v>
      </c>
      <c r="J254" s="114">
        <v>70000000</v>
      </c>
      <c r="K254" s="153">
        <f t="shared" si="19"/>
        <v>1771301364.7774973</v>
      </c>
      <c r="L254" s="117">
        <v>1.7999999999999999E-2</v>
      </c>
      <c r="M254" s="39">
        <v>0</v>
      </c>
      <c r="N254" s="132">
        <f t="shared" si="22"/>
        <v>540492043.65711069</v>
      </c>
      <c r="O254" s="94">
        <v>1.7999999999999999E-2</v>
      </c>
      <c r="P254" s="305">
        <f t="shared" si="20"/>
        <v>540492043.65711069</v>
      </c>
      <c r="Q254" s="167">
        <f t="shared" si="21"/>
        <v>2311793408.434608</v>
      </c>
      <c r="R254" s="116">
        <f t="shared" si="23"/>
        <v>230000000</v>
      </c>
      <c r="S254" s="116">
        <f t="shared" si="24"/>
        <v>2381793408.434608</v>
      </c>
    </row>
    <row r="255" spans="1:19" s="48" customFormat="1" ht="17.25" thickBot="1" x14ac:dyDescent="0.35">
      <c r="A255" s="53"/>
      <c r="B255" s="243"/>
      <c r="C255" s="54">
        <v>12</v>
      </c>
      <c r="D255" s="168">
        <v>300000</v>
      </c>
      <c r="E255" s="161">
        <v>0</v>
      </c>
      <c r="F255" s="114">
        <v>0</v>
      </c>
      <c r="G255" s="147">
        <v>0</v>
      </c>
      <c r="H255" s="114">
        <v>0</v>
      </c>
      <c r="I255" s="114">
        <v>230000000</v>
      </c>
      <c r="J255" s="114">
        <v>70000000</v>
      </c>
      <c r="K255" s="153">
        <f t="shared" si="19"/>
        <v>1803184789.3434923</v>
      </c>
      <c r="L255" s="117">
        <v>1.7999999999999999E-2</v>
      </c>
      <c r="M255" s="39">
        <v>0</v>
      </c>
      <c r="N255" s="132">
        <f t="shared" si="22"/>
        <v>550526300.44293869</v>
      </c>
      <c r="O255" s="95">
        <v>1.7999999999999999E-2</v>
      </c>
      <c r="P255" s="305">
        <f t="shared" si="20"/>
        <v>550526300.44293869</v>
      </c>
      <c r="Q255" s="167">
        <f t="shared" si="21"/>
        <v>2353711089.7864308</v>
      </c>
      <c r="R255" s="116">
        <f t="shared" si="23"/>
        <v>230000000</v>
      </c>
      <c r="S255" s="116">
        <f t="shared" si="24"/>
        <v>2423711089.7864308</v>
      </c>
    </row>
  </sheetData>
  <mergeCells count="29">
    <mergeCell ref="M1:P1"/>
    <mergeCell ref="B4:B15"/>
    <mergeCell ref="A1:C2"/>
    <mergeCell ref="D1:G1"/>
    <mergeCell ref="J1:L1"/>
    <mergeCell ref="H1:I1"/>
    <mergeCell ref="B148:B159"/>
    <mergeCell ref="B16:B27"/>
    <mergeCell ref="B28:B39"/>
    <mergeCell ref="B40:B51"/>
    <mergeCell ref="B52:B63"/>
    <mergeCell ref="B64:B75"/>
    <mergeCell ref="B76:B87"/>
    <mergeCell ref="R1:R2"/>
    <mergeCell ref="S1:S2"/>
    <mergeCell ref="B232:B243"/>
    <mergeCell ref="B244:B255"/>
    <mergeCell ref="Q1:Q2"/>
    <mergeCell ref="B160:B171"/>
    <mergeCell ref="B172:B183"/>
    <mergeCell ref="B184:B195"/>
    <mergeCell ref="B196:B207"/>
    <mergeCell ref="B208:B219"/>
    <mergeCell ref="B220:B231"/>
    <mergeCell ref="B88:B99"/>
    <mergeCell ref="B100:B111"/>
    <mergeCell ref="B112:B123"/>
    <mergeCell ref="B124:B135"/>
    <mergeCell ref="B136:B14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3"/>
  <sheetViews>
    <sheetView tabSelected="1" topLeftCell="A79" zoomScale="85" zoomScaleNormal="85" workbookViewId="0">
      <selection activeCell="O97" sqref="O97"/>
    </sheetView>
  </sheetViews>
  <sheetFormatPr defaultRowHeight="16.5" x14ac:dyDescent="0.3"/>
  <cols>
    <col min="1" max="1" width="5.5" style="1" bestFit="1" customWidth="1"/>
    <col min="2" max="2" width="11.125" style="1" bestFit="1" customWidth="1"/>
    <col min="3" max="3" width="12.875" style="1" bestFit="1" customWidth="1"/>
    <col min="4" max="4" width="11" style="18" customWidth="1"/>
    <col min="5" max="5" width="11.75" style="89" bestFit="1" customWidth="1"/>
    <col min="6" max="6" width="12.125" style="1" customWidth="1"/>
    <col min="7" max="7" width="13.875" style="1" bestFit="1" customWidth="1"/>
    <col min="8" max="8" width="9.875" style="89" bestFit="1" customWidth="1"/>
    <col min="9" max="9" width="11.75" style="1" bestFit="1" customWidth="1"/>
    <col min="10" max="10" width="11.375" style="1" bestFit="1" customWidth="1"/>
    <col min="11" max="11" width="9.25" style="1" bestFit="1" customWidth="1"/>
    <col min="12" max="12" width="14.75" style="1" customWidth="1"/>
    <col min="13" max="13" width="10.75" style="1" bestFit="1" customWidth="1"/>
    <col min="14" max="14" width="7" style="1" customWidth="1"/>
    <col min="15" max="15" width="9.25" style="1" bestFit="1" customWidth="1"/>
    <col min="16" max="16" width="10.75" style="1" bestFit="1" customWidth="1"/>
    <col min="17" max="17" width="15" style="1" customWidth="1"/>
    <col min="18" max="19" width="11.75" style="1" bestFit="1" customWidth="1"/>
    <col min="20" max="20" width="12.875" style="1" bestFit="1" customWidth="1"/>
    <col min="21" max="16384" width="9" style="1"/>
  </cols>
  <sheetData>
    <row r="1" spans="1:20" x14ac:dyDescent="0.3">
      <c r="G1" s="259" t="s">
        <v>163</v>
      </c>
      <c r="H1" s="259"/>
    </row>
    <row r="2" spans="1:20" s="135" customFormat="1" x14ac:dyDescent="0.3">
      <c r="C2" s="135" t="s">
        <v>184</v>
      </c>
      <c r="D2" s="135" t="s">
        <v>0</v>
      </c>
      <c r="E2" s="135" t="s">
        <v>1</v>
      </c>
      <c r="F2" s="135" t="s">
        <v>166</v>
      </c>
      <c r="G2" s="135" t="s">
        <v>167</v>
      </c>
      <c r="H2" s="135" t="s">
        <v>162</v>
      </c>
      <c r="I2" s="135" t="s">
        <v>2</v>
      </c>
      <c r="J2" s="135" t="s">
        <v>186</v>
      </c>
      <c r="K2" s="135" t="s">
        <v>3</v>
      </c>
      <c r="L2" s="135" t="s">
        <v>187</v>
      </c>
      <c r="M2" s="135" t="s">
        <v>4</v>
      </c>
      <c r="N2" s="135" t="s">
        <v>5</v>
      </c>
      <c r="O2" s="135" t="s">
        <v>8</v>
      </c>
      <c r="P2" s="135" t="s">
        <v>6</v>
      </c>
      <c r="Q2" s="135" t="s">
        <v>188</v>
      </c>
      <c r="R2" s="135" t="s">
        <v>189</v>
      </c>
      <c r="S2" s="135" t="s">
        <v>9</v>
      </c>
      <c r="T2" s="135" t="s">
        <v>7</v>
      </c>
    </row>
    <row r="3" spans="1:20" s="183" customFormat="1" x14ac:dyDescent="0.3">
      <c r="A3" s="260">
        <v>2023</v>
      </c>
      <c r="B3" s="183" t="s">
        <v>72</v>
      </c>
      <c r="C3" s="184">
        <v>8340000</v>
      </c>
      <c r="D3" s="184">
        <v>0</v>
      </c>
      <c r="E3" s="184">
        <v>2500000</v>
      </c>
      <c r="F3" s="184"/>
      <c r="G3" s="184"/>
      <c r="H3" s="184"/>
      <c r="I3" s="184">
        <v>300000</v>
      </c>
      <c r="J3" s="184">
        <v>100000</v>
      </c>
      <c r="K3" s="184">
        <v>450000</v>
      </c>
      <c r="L3" s="184">
        <v>100000</v>
      </c>
      <c r="M3" s="184">
        <v>170000</v>
      </c>
      <c r="N3" s="184">
        <v>0</v>
      </c>
      <c r="O3" s="184">
        <v>100000</v>
      </c>
      <c r="P3" s="184">
        <v>0</v>
      </c>
      <c r="Q3" s="184">
        <v>3300000</v>
      </c>
      <c r="R3" s="184">
        <v>1300000</v>
      </c>
      <c r="S3" s="184">
        <f t="shared" ref="S3:S34" si="0">SUM(D3:R3)</f>
        <v>8320000</v>
      </c>
      <c r="T3" s="184">
        <f xml:space="preserve"> C3 - S3</f>
        <v>20000</v>
      </c>
    </row>
    <row r="4" spans="1:20" s="183" customFormat="1" x14ac:dyDescent="0.3">
      <c r="A4" s="260"/>
      <c r="B4" s="183" t="s">
        <v>73</v>
      </c>
      <c r="C4" s="184"/>
      <c r="D4" s="184">
        <v>0</v>
      </c>
      <c r="E4" s="184">
        <v>2500000</v>
      </c>
      <c r="F4" s="184"/>
      <c r="G4" s="184"/>
      <c r="H4" s="184"/>
      <c r="I4" s="184">
        <v>300000</v>
      </c>
      <c r="J4" s="184">
        <v>100000</v>
      </c>
      <c r="K4" s="184">
        <v>450000</v>
      </c>
      <c r="L4" s="184">
        <v>100000</v>
      </c>
      <c r="M4" s="184">
        <v>170000</v>
      </c>
      <c r="N4" s="184">
        <v>0</v>
      </c>
      <c r="O4" s="184">
        <v>100000</v>
      </c>
      <c r="P4" s="184">
        <v>0</v>
      </c>
      <c r="Q4" s="184">
        <v>3500000</v>
      </c>
      <c r="R4" s="184">
        <v>0</v>
      </c>
      <c r="S4" s="184">
        <f t="shared" si="0"/>
        <v>7220000</v>
      </c>
    </row>
    <row r="5" spans="1:20" s="185" customFormat="1" x14ac:dyDescent="0.3">
      <c r="A5" s="260"/>
      <c r="B5" s="185" t="s">
        <v>74</v>
      </c>
      <c r="C5" s="186"/>
      <c r="D5" s="186">
        <v>650000</v>
      </c>
      <c r="E5" s="186">
        <v>2500000</v>
      </c>
      <c r="F5" s="186"/>
      <c r="G5" s="186"/>
      <c r="H5" s="186"/>
      <c r="I5" s="186">
        <v>300000</v>
      </c>
      <c r="J5" s="186">
        <v>100000</v>
      </c>
      <c r="K5" s="186">
        <v>450000</v>
      </c>
      <c r="L5" s="186">
        <v>100000</v>
      </c>
      <c r="M5" s="186">
        <v>170000</v>
      </c>
      <c r="N5" s="186">
        <v>0</v>
      </c>
      <c r="O5" s="186">
        <v>100000</v>
      </c>
      <c r="P5" s="186">
        <v>0</v>
      </c>
      <c r="Q5" s="186">
        <v>2500000</v>
      </c>
      <c r="R5" s="186">
        <v>0</v>
      </c>
      <c r="S5" s="186">
        <f t="shared" si="0"/>
        <v>6870000</v>
      </c>
    </row>
    <row r="6" spans="1:20" s="183" customFormat="1" x14ac:dyDescent="0.3">
      <c r="A6" s="260"/>
      <c r="B6" s="183" t="s">
        <v>75</v>
      </c>
      <c r="C6" s="184"/>
      <c r="D6" s="184">
        <v>1885000</v>
      </c>
      <c r="E6" s="184">
        <v>500000</v>
      </c>
      <c r="F6" s="184"/>
      <c r="G6" s="184"/>
      <c r="H6" s="184"/>
      <c r="I6" s="184">
        <v>500000</v>
      </c>
      <c r="J6" s="184">
        <v>100000</v>
      </c>
      <c r="K6" s="184">
        <v>450000</v>
      </c>
      <c r="L6" s="184">
        <v>100000</v>
      </c>
      <c r="M6" s="184">
        <v>170000</v>
      </c>
      <c r="N6" s="184">
        <v>0</v>
      </c>
      <c r="O6" s="184">
        <v>100000</v>
      </c>
      <c r="P6" s="184">
        <v>0</v>
      </c>
      <c r="Q6" s="184">
        <v>2550000</v>
      </c>
      <c r="R6" s="184">
        <v>0</v>
      </c>
      <c r="S6" s="184">
        <f t="shared" si="0"/>
        <v>6355000</v>
      </c>
    </row>
    <row r="7" spans="1:20" s="183" customFormat="1" x14ac:dyDescent="0.3">
      <c r="A7" s="260"/>
      <c r="B7" s="183" t="s">
        <v>76</v>
      </c>
      <c r="C7" s="184"/>
      <c r="D7" s="184">
        <v>1000000</v>
      </c>
      <c r="E7" s="184">
        <v>100000</v>
      </c>
      <c r="F7" s="184">
        <v>420000</v>
      </c>
      <c r="G7" s="184">
        <v>100000</v>
      </c>
      <c r="H7" s="184">
        <v>400000</v>
      </c>
      <c r="I7" s="184">
        <v>500000</v>
      </c>
      <c r="J7" s="184">
        <v>100000</v>
      </c>
      <c r="K7" s="184">
        <v>630000</v>
      </c>
      <c r="L7" s="184">
        <v>100000</v>
      </c>
      <c r="M7" s="184">
        <v>170000</v>
      </c>
      <c r="N7" s="184">
        <v>0</v>
      </c>
      <c r="O7" s="184">
        <v>100000</v>
      </c>
      <c r="P7" s="184">
        <v>0</v>
      </c>
      <c r="Q7" s="184">
        <v>2800000</v>
      </c>
      <c r="R7" s="184">
        <v>400000</v>
      </c>
      <c r="S7" s="184">
        <f t="shared" si="0"/>
        <v>6820000</v>
      </c>
    </row>
    <row r="8" spans="1:20" s="183" customFormat="1" x14ac:dyDescent="0.3">
      <c r="A8" s="260"/>
      <c r="B8" s="183" t="s">
        <v>77</v>
      </c>
      <c r="C8" s="184"/>
      <c r="D8" s="184">
        <v>1000000</v>
      </c>
      <c r="E8" s="184">
        <v>1000000</v>
      </c>
      <c r="F8" s="184">
        <v>420000</v>
      </c>
      <c r="G8" s="184">
        <v>750000</v>
      </c>
      <c r="H8" s="184">
        <v>500000</v>
      </c>
      <c r="I8" s="184">
        <v>500000</v>
      </c>
      <c r="J8" s="184">
        <v>100000</v>
      </c>
      <c r="K8" s="184">
        <v>630000</v>
      </c>
      <c r="L8" s="184">
        <v>100000</v>
      </c>
      <c r="M8" s="184">
        <v>170000</v>
      </c>
      <c r="N8" s="184">
        <v>0</v>
      </c>
      <c r="O8" s="184">
        <v>100000</v>
      </c>
      <c r="P8" s="184">
        <v>0</v>
      </c>
      <c r="Q8" s="184">
        <v>2900000</v>
      </c>
      <c r="R8" s="184">
        <v>0</v>
      </c>
      <c r="S8" s="184">
        <f t="shared" si="0"/>
        <v>8170000</v>
      </c>
    </row>
    <row r="9" spans="1:20" s="183" customFormat="1" x14ac:dyDescent="0.3">
      <c r="A9" s="260"/>
      <c r="B9" s="183" t="s">
        <v>78</v>
      </c>
      <c r="C9" s="184"/>
      <c r="D9" s="184">
        <v>1000000</v>
      </c>
      <c r="E9" s="184">
        <v>1000000</v>
      </c>
      <c r="F9" s="184">
        <v>420000</v>
      </c>
      <c r="G9" s="184">
        <v>750000</v>
      </c>
      <c r="H9" s="184">
        <v>500000</v>
      </c>
      <c r="I9" s="184">
        <v>500000</v>
      </c>
      <c r="J9" s="184">
        <v>100000</v>
      </c>
      <c r="K9" s="184">
        <v>630000</v>
      </c>
      <c r="L9" s="184">
        <v>100000</v>
      </c>
      <c r="M9" s="184">
        <v>170000</v>
      </c>
      <c r="N9" s="184">
        <v>0</v>
      </c>
      <c r="O9" s="184">
        <v>100000</v>
      </c>
      <c r="P9" s="184">
        <v>0</v>
      </c>
      <c r="Q9" s="184">
        <v>2000000</v>
      </c>
      <c r="R9" s="184">
        <v>0</v>
      </c>
      <c r="S9" s="184">
        <f t="shared" si="0"/>
        <v>7270000</v>
      </c>
    </row>
    <row r="10" spans="1:20" s="183" customFormat="1" x14ac:dyDescent="0.3">
      <c r="A10" s="260"/>
      <c r="B10" s="183" t="s">
        <v>79</v>
      </c>
      <c r="C10" s="184"/>
      <c r="D10" s="184">
        <v>1000000</v>
      </c>
      <c r="E10" s="184">
        <v>1000000</v>
      </c>
      <c r="F10" s="184">
        <v>420000</v>
      </c>
      <c r="G10" s="184">
        <v>750000</v>
      </c>
      <c r="H10" s="184">
        <v>500000</v>
      </c>
      <c r="I10" s="184">
        <v>500000</v>
      </c>
      <c r="J10" s="184">
        <v>100000</v>
      </c>
      <c r="K10" s="184">
        <v>630000</v>
      </c>
      <c r="L10" s="184">
        <v>100000</v>
      </c>
      <c r="M10" s="184">
        <v>170000</v>
      </c>
      <c r="N10" s="184">
        <v>0</v>
      </c>
      <c r="O10" s="184">
        <v>100000</v>
      </c>
      <c r="P10" s="184">
        <v>0</v>
      </c>
      <c r="Q10" s="184">
        <v>2000000</v>
      </c>
      <c r="R10" s="184">
        <v>0</v>
      </c>
      <c r="S10" s="184">
        <f t="shared" si="0"/>
        <v>7270000</v>
      </c>
    </row>
    <row r="11" spans="1:20" s="183" customFormat="1" x14ac:dyDescent="0.3">
      <c r="A11" s="260"/>
      <c r="B11" s="183" t="s">
        <v>80</v>
      </c>
      <c r="C11" s="184"/>
      <c r="D11" s="184">
        <v>1000000</v>
      </c>
      <c r="E11" s="184">
        <v>1000000</v>
      </c>
      <c r="F11" s="184">
        <v>420000</v>
      </c>
      <c r="G11" s="184">
        <v>400000</v>
      </c>
      <c r="H11" s="184">
        <v>100000</v>
      </c>
      <c r="I11" s="184">
        <v>400000</v>
      </c>
      <c r="J11" s="184">
        <v>100000</v>
      </c>
      <c r="K11" s="184">
        <v>630000</v>
      </c>
      <c r="L11" s="184">
        <v>100000</v>
      </c>
      <c r="M11" s="184">
        <v>150000</v>
      </c>
      <c r="N11" s="184">
        <v>0</v>
      </c>
      <c r="O11" s="184">
        <v>100000</v>
      </c>
      <c r="P11" s="184">
        <v>0</v>
      </c>
      <c r="Q11" s="184">
        <v>3000000</v>
      </c>
      <c r="R11" s="184">
        <v>3580000</v>
      </c>
      <c r="S11" s="184">
        <f t="shared" si="0"/>
        <v>10980000</v>
      </c>
    </row>
    <row r="12" spans="1:20" s="183" customFormat="1" x14ac:dyDescent="0.3">
      <c r="A12" s="260"/>
      <c r="B12" s="183" t="s">
        <v>81</v>
      </c>
      <c r="C12" s="184"/>
      <c r="D12" s="184">
        <v>0</v>
      </c>
      <c r="E12" s="184">
        <v>7000000</v>
      </c>
      <c r="F12" s="184">
        <v>420000</v>
      </c>
      <c r="G12" s="184">
        <v>400000</v>
      </c>
      <c r="H12" s="184">
        <v>100000</v>
      </c>
      <c r="I12" s="184">
        <v>400000</v>
      </c>
      <c r="J12" s="184">
        <v>100000</v>
      </c>
      <c r="K12" s="184">
        <v>630000</v>
      </c>
      <c r="L12" s="184">
        <v>100000</v>
      </c>
      <c r="M12" s="184">
        <v>1000000</v>
      </c>
      <c r="N12" s="184">
        <v>0</v>
      </c>
      <c r="O12" s="184">
        <v>100000</v>
      </c>
      <c r="P12" s="184">
        <v>0</v>
      </c>
      <c r="Q12" s="184">
        <v>3000000</v>
      </c>
      <c r="R12" s="184">
        <v>580000</v>
      </c>
      <c r="S12" s="184">
        <f t="shared" si="0"/>
        <v>13830000</v>
      </c>
      <c r="T12" s="184">
        <v>11500000</v>
      </c>
    </row>
    <row r="13" spans="1:20" s="183" customFormat="1" x14ac:dyDescent="0.3">
      <c r="A13" s="260"/>
      <c r="B13" s="183" t="s">
        <v>82</v>
      </c>
      <c r="C13" s="184">
        <f xml:space="preserve"> T12 + 7150000</f>
        <v>18650000</v>
      </c>
      <c r="D13" s="184">
        <v>0</v>
      </c>
      <c r="E13" s="184">
        <v>4000000</v>
      </c>
      <c r="F13" s="184">
        <v>420000</v>
      </c>
      <c r="G13" s="184">
        <v>300000</v>
      </c>
      <c r="H13" s="184">
        <v>100000</v>
      </c>
      <c r="I13" s="184">
        <v>200000</v>
      </c>
      <c r="J13" s="184">
        <v>100000</v>
      </c>
      <c r="K13" s="184">
        <v>630000</v>
      </c>
      <c r="L13" s="184">
        <v>100000</v>
      </c>
      <c r="M13" s="184">
        <v>1000000</v>
      </c>
      <c r="N13" s="184">
        <v>0</v>
      </c>
      <c r="O13" s="184">
        <v>100000</v>
      </c>
      <c r="P13" s="184">
        <v>750000</v>
      </c>
      <c r="Q13" s="184">
        <v>3000000</v>
      </c>
      <c r="R13" s="184">
        <f xml:space="preserve"> 580000 + 5400000 +700000</f>
        <v>6680000</v>
      </c>
      <c r="S13" s="184">
        <f t="shared" si="0"/>
        <v>17380000</v>
      </c>
      <c r="T13" s="184">
        <f t="shared" ref="T13:T44" si="1" xml:space="preserve"> C13 - S13</f>
        <v>1270000</v>
      </c>
    </row>
    <row r="14" spans="1:20" s="219" customFormat="1" ht="17.25" thickBot="1" x14ac:dyDescent="0.35">
      <c r="A14" s="260"/>
      <c r="B14" s="219" t="s">
        <v>83</v>
      </c>
      <c r="C14" s="220">
        <f xml:space="preserve"> T13 + 7150000</f>
        <v>8420000</v>
      </c>
      <c r="D14" s="220">
        <v>0</v>
      </c>
      <c r="E14" s="220">
        <v>1400000</v>
      </c>
      <c r="F14" s="220">
        <v>420000</v>
      </c>
      <c r="G14" s="220">
        <v>0</v>
      </c>
      <c r="H14" s="220">
        <v>100000</v>
      </c>
      <c r="I14" s="220">
        <v>200000</v>
      </c>
      <c r="J14" s="220">
        <v>100000</v>
      </c>
      <c r="K14" s="220">
        <v>630000</v>
      </c>
      <c r="L14" s="220">
        <v>100000</v>
      </c>
      <c r="M14" s="220">
        <v>600000</v>
      </c>
      <c r="N14" s="220">
        <v>0</v>
      </c>
      <c r="O14" s="220">
        <v>100000</v>
      </c>
      <c r="P14" s="220">
        <v>300000</v>
      </c>
      <c r="Q14" s="220">
        <v>3000000</v>
      </c>
      <c r="R14" s="220">
        <v>1580000</v>
      </c>
      <c r="S14" s="220">
        <f t="shared" si="0"/>
        <v>8530000</v>
      </c>
      <c r="T14" s="220">
        <f xml:space="preserve"> C14 - S14 +1000000</f>
        <v>890000</v>
      </c>
    </row>
    <row r="15" spans="1:20" s="221" customFormat="1" x14ac:dyDescent="0.3">
      <c r="A15" s="260">
        <v>2024</v>
      </c>
      <c r="B15" s="221" t="s">
        <v>72</v>
      </c>
      <c r="C15" s="222">
        <f xml:space="preserve"> T14 + 7150000 +340000</f>
        <v>8380000</v>
      </c>
      <c r="D15" s="222">
        <v>0</v>
      </c>
      <c r="E15" s="222">
        <v>0</v>
      </c>
      <c r="F15" s="222">
        <v>420000</v>
      </c>
      <c r="G15" s="222">
        <v>300000</v>
      </c>
      <c r="H15" s="222">
        <v>100000</v>
      </c>
      <c r="I15" s="222">
        <v>200000</v>
      </c>
      <c r="J15" s="222">
        <v>100000</v>
      </c>
      <c r="K15" s="222">
        <v>630000</v>
      </c>
      <c r="L15" s="222">
        <v>100000</v>
      </c>
      <c r="M15" s="222">
        <v>230000</v>
      </c>
      <c r="N15" s="222">
        <v>0</v>
      </c>
      <c r="O15" s="222">
        <v>100000</v>
      </c>
      <c r="P15" s="222">
        <v>1500000</v>
      </c>
      <c r="Q15" s="222">
        <v>3100000</v>
      </c>
      <c r="R15" s="222">
        <v>890000</v>
      </c>
      <c r="S15" s="222">
        <f t="shared" si="0"/>
        <v>7670000</v>
      </c>
      <c r="T15" s="222">
        <f t="shared" si="1"/>
        <v>710000</v>
      </c>
    </row>
    <row r="16" spans="1:20" s="183" customFormat="1" x14ac:dyDescent="0.3">
      <c r="A16" s="260"/>
      <c r="B16" s="183" t="s">
        <v>73</v>
      </c>
      <c r="C16" s="184">
        <f xml:space="preserve"> T15 + 7370000 + 1800000 + 1500000</f>
        <v>11380000</v>
      </c>
      <c r="D16" s="184">
        <v>0</v>
      </c>
      <c r="E16" s="184">
        <v>0</v>
      </c>
      <c r="F16" s="184">
        <v>420000</v>
      </c>
      <c r="G16" s="222">
        <v>0</v>
      </c>
      <c r="H16" s="184">
        <v>100000</v>
      </c>
      <c r="I16" s="184">
        <v>200000</v>
      </c>
      <c r="J16" s="184">
        <v>100000</v>
      </c>
      <c r="K16" s="184">
        <v>630000</v>
      </c>
      <c r="L16" s="184">
        <v>100000</v>
      </c>
      <c r="M16" s="184">
        <v>150000</v>
      </c>
      <c r="N16" s="184">
        <v>0</v>
      </c>
      <c r="O16" s="184">
        <v>100000</v>
      </c>
      <c r="P16" s="184">
        <v>2000000</v>
      </c>
      <c r="Q16" s="184">
        <v>3000000</v>
      </c>
      <c r="R16" s="184">
        <v>0</v>
      </c>
      <c r="S16" s="184">
        <f t="shared" si="0"/>
        <v>6800000</v>
      </c>
      <c r="T16" s="184">
        <f t="shared" si="1"/>
        <v>4580000</v>
      </c>
    </row>
    <row r="17" spans="1:20" s="32" customFormat="1" x14ac:dyDescent="0.3">
      <c r="A17" s="260"/>
      <c r="B17" s="32" t="s">
        <v>74</v>
      </c>
      <c r="C17" s="187">
        <f xml:space="preserve"> T16 + 7370000</f>
        <v>11950000</v>
      </c>
      <c r="D17" s="188">
        <v>0</v>
      </c>
      <c r="E17" s="188">
        <v>0</v>
      </c>
      <c r="F17" s="187">
        <v>420000</v>
      </c>
      <c r="G17" s="196">
        <v>0</v>
      </c>
      <c r="H17" s="187">
        <v>100000</v>
      </c>
      <c r="I17" s="187">
        <v>200000</v>
      </c>
      <c r="J17" s="187">
        <v>100000</v>
      </c>
      <c r="K17" s="187">
        <v>630000</v>
      </c>
      <c r="L17" s="187">
        <v>100000</v>
      </c>
      <c r="M17" s="187">
        <v>150000</v>
      </c>
      <c r="N17" s="187">
        <v>0</v>
      </c>
      <c r="O17" s="187">
        <v>100000</v>
      </c>
      <c r="P17" s="188">
        <v>0</v>
      </c>
      <c r="Q17" s="2">
        <v>3000000</v>
      </c>
      <c r="R17" s="187">
        <f xml:space="preserve"> 5400000</f>
        <v>5400000</v>
      </c>
      <c r="S17" s="187">
        <f t="shared" si="0"/>
        <v>10200000</v>
      </c>
      <c r="T17" s="187">
        <f t="shared" si="1"/>
        <v>1750000</v>
      </c>
    </row>
    <row r="18" spans="1:20" ht="17.25" customHeight="1" x14ac:dyDescent="0.3">
      <c r="A18" s="260"/>
      <c r="B18" s="1" t="s">
        <v>75</v>
      </c>
      <c r="C18" s="187">
        <f xml:space="preserve"> T17 + 7370000</f>
        <v>9120000</v>
      </c>
      <c r="D18" s="188">
        <v>0</v>
      </c>
      <c r="E18" s="188">
        <v>0</v>
      </c>
      <c r="F18" s="2">
        <v>420000</v>
      </c>
      <c r="G18" s="196">
        <v>0</v>
      </c>
      <c r="H18" s="189">
        <v>100000</v>
      </c>
      <c r="I18" s="2">
        <v>200000</v>
      </c>
      <c r="J18" s="2">
        <v>100000</v>
      </c>
      <c r="K18" s="2">
        <v>630000</v>
      </c>
      <c r="L18" s="2">
        <v>100000</v>
      </c>
      <c r="M18" s="190">
        <v>150000</v>
      </c>
      <c r="N18" s="2">
        <v>0</v>
      </c>
      <c r="O18" s="2">
        <v>100000</v>
      </c>
      <c r="P18" s="2">
        <v>500000</v>
      </c>
      <c r="Q18" s="2">
        <v>2500000</v>
      </c>
      <c r="R18" s="191">
        <v>0</v>
      </c>
      <c r="S18" s="2">
        <f t="shared" si="0"/>
        <v>4800000</v>
      </c>
      <c r="T18" s="2">
        <f t="shared" si="1"/>
        <v>4320000</v>
      </c>
    </row>
    <row r="19" spans="1:20" s="223" customFormat="1" x14ac:dyDescent="0.3">
      <c r="A19" s="260"/>
      <c r="B19" s="223" t="s">
        <v>76</v>
      </c>
      <c r="C19" s="224">
        <f t="shared" ref="C19" si="2" xml:space="preserve"> T18 + 7150000</f>
        <v>11470000</v>
      </c>
      <c r="D19" s="224">
        <v>3000000</v>
      </c>
      <c r="E19" s="224">
        <v>0</v>
      </c>
      <c r="F19" s="224">
        <v>420000</v>
      </c>
      <c r="G19" s="225">
        <v>0</v>
      </c>
      <c r="H19" s="224">
        <v>100000</v>
      </c>
      <c r="I19" s="224">
        <v>200000</v>
      </c>
      <c r="J19" s="224">
        <v>100000</v>
      </c>
      <c r="K19" s="224">
        <v>630000</v>
      </c>
      <c r="L19" s="224">
        <v>100000</v>
      </c>
      <c r="M19" s="224">
        <v>150000</v>
      </c>
      <c r="N19" s="224">
        <v>0</v>
      </c>
      <c r="O19" s="224">
        <v>100000</v>
      </c>
      <c r="P19" s="224">
        <v>500000</v>
      </c>
      <c r="Q19" s="2">
        <v>2000000</v>
      </c>
      <c r="R19" s="224">
        <v>5400000</v>
      </c>
      <c r="S19" s="224">
        <f t="shared" si="0"/>
        <v>12700000</v>
      </c>
      <c r="T19" s="224">
        <f t="shared" si="1"/>
        <v>-1230000</v>
      </c>
    </row>
    <row r="20" spans="1:20" x14ac:dyDescent="0.3">
      <c r="A20" s="260"/>
      <c r="B20" s="1" t="s">
        <v>77</v>
      </c>
      <c r="C20" s="187">
        <f t="shared" ref="C20:C26" si="3" xml:space="preserve"> T19 + 7370000</f>
        <v>6140000</v>
      </c>
      <c r="D20" s="188">
        <v>0</v>
      </c>
      <c r="E20" s="188">
        <v>0</v>
      </c>
      <c r="F20" s="2">
        <v>420000</v>
      </c>
      <c r="G20" s="196">
        <v>300000</v>
      </c>
      <c r="H20" s="189">
        <v>100000</v>
      </c>
      <c r="I20" s="2">
        <v>200000</v>
      </c>
      <c r="J20" s="2">
        <v>100000</v>
      </c>
      <c r="K20" s="2">
        <v>630000</v>
      </c>
      <c r="L20" s="2">
        <v>100000</v>
      </c>
      <c r="M20" s="190">
        <v>150000</v>
      </c>
      <c r="N20" s="2">
        <v>0</v>
      </c>
      <c r="O20" s="2">
        <v>100000</v>
      </c>
      <c r="P20" s="2">
        <v>1000000</v>
      </c>
      <c r="Q20" s="2">
        <v>1500000</v>
      </c>
      <c r="R20" s="191">
        <v>0</v>
      </c>
      <c r="S20" s="2">
        <f t="shared" si="0"/>
        <v>4600000</v>
      </c>
      <c r="T20" s="2">
        <f t="shared" si="1"/>
        <v>1540000</v>
      </c>
    </row>
    <row r="21" spans="1:20" s="32" customFormat="1" x14ac:dyDescent="0.3">
      <c r="A21" s="260"/>
      <c r="B21" s="32" t="s">
        <v>78</v>
      </c>
      <c r="C21" s="187">
        <f t="shared" si="3"/>
        <v>8910000</v>
      </c>
      <c r="D21" s="188">
        <v>3000000</v>
      </c>
      <c r="E21" s="188">
        <v>0</v>
      </c>
      <c r="F21" s="187">
        <v>420000</v>
      </c>
      <c r="G21" s="196">
        <v>300000</v>
      </c>
      <c r="H21" s="187">
        <v>100000</v>
      </c>
      <c r="I21" s="187">
        <v>200000</v>
      </c>
      <c r="J21" s="187">
        <v>100000</v>
      </c>
      <c r="K21" s="187">
        <v>630000</v>
      </c>
      <c r="L21" s="187">
        <v>100000</v>
      </c>
      <c r="M21" s="187">
        <v>150000</v>
      </c>
      <c r="N21" s="187">
        <v>0</v>
      </c>
      <c r="O21" s="187">
        <v>100000</v>
      </c>
      <c r="P21" s="2">
        <v>500000</v>
      </c>
      <c r="Q21" s="2">
        <v>1500000</v>
      </c>
      <c r="R21" s="187"/>
      <c r="S21" s="187">
        <f t="shared" si="0"/>
        <v>7100000</v>
      </c>
      <c r="T21" s="187">
        <f t="shared" si="1"/>
        <v>1810000</v>
      </c>
    </row>
    <row r="22" spans="1:20" x14ac:dyDescent="0.3">
      <c r="A22" s="260"/>
      <c r="B22" s="1" t="s">
        <v>79</v>
      </c>
      <c r="C22" s="187">
        <f t="shared" si="3"/>
        <v>9180000</v>
      </c>
      <c r="D22" s="188">
        <v>0</v>
      </c>
      <c r="E22" s="188">
        <v>0</v>
      </c>
      <c r="F22" s="2">
        <v>420000</v>
      </c>
      <c r="G22" s="196">
        <v>300000</v>
      </c>
      <c r="H22" s="189">
        <v>100000</v>
      </c>
      <c r="I22" s="2">
        <v>200000</v>
      </c>
      <c r="J22" s="2">
        <v>100000</v>
      </c>
      <c r="K22" s="2">
        <v>630000</v>
      </c>
      <c r="L22" s="2">
        <v>100000</v>
      </c>
      <c r="M22" s="190">
        <v>150000</v>
      </c>
      <c r="N22" s="2">
        <v>0</v>
      </c>
      <c r="O22" s="2">
        <v>100000</v>
      </c>
      <c r="P22" s="2">
        <v>1000000</v>
      </c>
      <c r="Q22" s="2">
        <v>1500000</v>
      </c>
      <c r="R22" s="2">
        <v>0</v>
      </c>
      <c r="S22" s="2">
        <f t="shared" si="0"/>
        <v>4600000</v>
      </c>
      <c r="T22" s="2">
        <f t="shared" si="1"/>
        <v>4580000</v>
      </c>
    </row>
    <row r="23" spans="1:20" x14ac:dyDescent="0.3">
      <c r="A23" s="260"/>
      <c r="B23" s="1" t="s">
        <v>80</v>
      </c>
      <c r="C23" s="187">
        <f t="shared" si="3"/>
        <v>11950000</v>
      </c>
      <c r="D23" s="188">
        <v>0</v>
      </c>
      <c r="E23" s="188">
        <v>0</v>
      </c>
      <c r="F23" s="2">
        <v>420000</v>
      </c>
      <c r="G23" s="196">
        <v>300000</v>
      </c>
      <c r="H23" s="189">
        <v>100000</v>
      </c>
      <c r="I23" s="2">
        <v>200000</v>
      </c>
      <c r="J23" s="2">
        <v>100000</v>
      </c>
      <c r="K23" s="2">
        <v>630000</v>
      </c>
      <c r="L23" s="2">
        <v>100000</v>
      </c>
      <c r="M23" s="190">
        <v>150000</v>
      </c>
      <c r="N23" s="2">
        <v>0</v>
      </c>
      <c r="O23" s="2">
        <v>100000</v>
      </c>
      <c r="P23" s="2">
        <v>500000</v>
      </c>
      <c r="Q23" s="2">
        <v>1500000</v>
      </c>
      <c r="R23" s="2">
        <v>400000</v>
      </c>
      <c r="S23" s="2">
        <f t="shared" si="0"/>
        <v>4500000</v>
      </c>
      <c r="T23" s="2">
        <f t="shared" si="1"/>
        <v>7450000</v>
      </c>
    </row>
    <row r="24" spans="1:20" x14ac:dyDescent="0.3">
      <c r="A24" s="260"/>
      <c r="B24" s="1" t="s">
        <v>81</v>
      </c>
      <c r="C24" s="187">
        <f t="shared" si="3"/>
        <v>14820000</v>
      </c>
      <c r="D24" s="188">
        <v>0</v>
      </c>
      <c r="E24" s="188">
        <v>0</v>
      </c>
      <c r="F24" s="2">
        <v>420000</v>
      </c>
      <c r="G24" s="196">
        <v>300000</v>
      </c>
      <c r="H24" s="189">
        <v>100000</v>
      </c>
      <c r="I24" s="2">
        <v>200000</v>
      </c>
      <c r="J24" s="2">
        <v>100000</v>
      </c>
      <c r="K24" s="2">
        <v>630000</v>
      </c>
      <c r="L24" s="2">
        <v>100000</v>
      </c>
      <c r="M24" s="190">
        <v>150000</v>
      </c>
      <c r="N24" s="2">
        <v>0</v>
      </c>
      <c r="O24" s="2">
        <v>100000</v>
      </c>
      <c r="P24" s="2">
        <v>1000000</v>
      </c>
      <c r="Q24" s="2">
        <v>1500000</v>
      </c>
      <c r="R24" s="2">
        <v>0</v>
      </c>
      <c r="S24" s="2">
        <f t="shared" si="0"/>
        <v>4600000</v>
      </c>
      <c r="T24" s="2">
        <f t="shared" si="1"/>
        <v>10220000</v>
      </c>
    </row>
    <row r="25" spans="1:20" x14ac:dyDescent="0.3">
      <c r="A25" s="260"/>
      <c r="B25" s="1" t="s">
        <v>82</v>
      </c>
      <c r="C25" s="187">
        <f t="shared" si="3"/>
        <v>17590000</v>
      </c>
      <c r="D25" s="188">
        <v>0</v>
      </c>
      <c r="E25" s="188">
        <v>0</v>
      </c>
      <c r="F25" s="2">
        <v>420000</v>
      </c>
      <c r="G25" s="196">
        <v>300000</v>
      </c>
      <c r="H25" s="189">
        <v>100000</v>
      </c>
      <c r="I25" s="2">
        <v>200000</v>
      </c>
      <c r="J25" s="2">
        <v>100000</v>
      </c>
      <c r="K25" s="2">
        <v>630000</v>
      </c>
      <c r="L25" s="2">
        <v>100000</v>
      </c>
      <c r="M25" s="190">
        <v>150000</v>
      </c>
      <c r="N25" s="2">
        <v>0</v>
      </c>
      <c r="O25" s="2">
        <v>100000</v>
      </c>
      <c r="P25" s="2">
        <v>0</v>
      </c>
      <c r="Q25" s="2">
        <v>1500000</v>
      </c>
      <c r="R25" s="2">
        <v>0</v>
      </c>
      <c r="S25" s="2">
        <f t="shared" si="0"/>
        <v>3600000</v>
      </c>
      <c r="T25" s="2">
        <f t="shared" si="1"/>
        <v>13990000</v>
      </c>
    </row>
    <row r="26" spans="1:20" s="226" customFormat="1" ht="17.25" thickBot="1" x14ac:dyDescent="0.35">
      <c r="A26" s="260"/>
      <c r="B26" s="226" t="s">
        <v>83</v>
      </c>
      <c r="C26" s="227">
        <f t="shared" si="3"/>
        <v>21360000</v>
      </c>
      <c r="D26" s="227">
        <v>0</v>
      </c>
      <c r="E26" s="227">
        <v>0</v>
      </c>
      <c r="F26" s="227">
        <v>420000</v>
      </c>
      <c r="G26" s="228">
        <v>300000</v>
      </c>
      <c r="H26" s="227">
        <v>100000</v>
      </c>
      <c r="I26" s="227">
        <v>200000</v>
      </c>
      <c r="J26" s="227">
        <v>100000</v>
      </c>
      <c r="K26" s="227">
        <v>630000</v>
      </c>
      <c r="L26" s="227">
        <v>100000</v>
      </c>
      <c r="M26" s="227">
        <v>150000</v>
      </c>
      <c r="N26" s="227">
        <v>0</v>
      </c>
      <c r="O26" s="227">
        <v>100000</v>
      </c>
      <c r="P26" s="227">
        <v>1500000</v>
      </c>
      <c r="Q26" s="229">
        <v>1500000</v>
      </c>
      <c r="R26" s="227">
        <v>0</v>
      </c>
      <c r="S26" s="227">
        <f t="shared" si="0"/>
        <v>5100000</v>
      </c>
      <c r="T26" s="227">
        <f t="shared" si="1"/>
        <v>16260000</v>
      </c>
    </row>
    <row r="27" spans="1:20" s="79" customFormat="1" x14ac:dyDescent="0.3">
      <c r="A27" s="260">
        <v>2025</v>
      </c>
      <c r="B27" s="79" t="s">
        <v>72</v>
      </c>
      <c r="C27" s="195">
        <f xml:space="preserve"> T26 + 7590000</f>
        <v>23850000</v>
      </c>
      <c r="D27" s="2">
        <v>3000000</v>
      </c>
      <c r="E27" s="197">
        <v>0</v>
      </c>
      <c r="F27" s="198">
        <v>420000</v>
      </c>
      <c r="G27" s="196">
        <v>300000</v>
      </c>
      <c r="H27" s="197">
        <v>100000</v>
      </c>
      <c r="I27" s="198">
        <v>200000</v>
      </c>
      <c r="J27" s="198">
        <v>100000</v>
      </c>
      <c r="K27" s="198">
        <v>630000</v>
      </c>
      <c r="L27" s="198">
        <v>100000</v>
      </c>
      <c r="M27" s="199">
        <v>200000</v>
      </c>
      <c r="N27" s="198">
        <v>0</v>
      </c>
      <c r="O27" s="2">
        <v>100000</v>
      </c>
      <c r="P27" s="198">
        <v>0</v>
      </c>
      <c r="Q27" s="2">
        <v>1500000</v>
      </c>
      <c r="R27" s="198">
        <v>5000000</v>
      </c>
      <c r="S27" s="198">
        <f>SUM(D27:R27)</f>
        <v>11650000</v>
      </c>
      <c r="T27" s="198">
        <f t="shared" si="1"/>
        <v>12200000</v>
      </c>
    </row>
    <row r="28" spans="1:20" x14ac:dyDescent="0.3">
      <c r="A28" s="260"/>
      <c r="B28" s="1" t="s">
        <v>73</v>
      </c>
      <c r="C28" s="187">
        <f xml:space="preserve"> T27 + 7590000</f>
        <v>19790000</v>
      </c>
      <c r="D28" s="188">
        <v>0</v>
      </c>
      <c r="E28" s="197">
        <v>0</v>
      </c>
      <c r="F28" s="2">
        <v>420000</v>
      </c>
      <c r="G28" s="196">
        <v>300000</v>
      </c>
      <c r="H28" s="189">
        <v>100000</v>
      </c>
      <c r="I28" s="2">
        <v>200000</v>
      </c>
      <c r="J28" s="2">
        <v>100000</v>
      </c>
      <c r="K28" s="2">
        <v>800000</v>
      </c>
      <c r="L28" s="2">
        <v>100000</v>
      </c>
      <c r="M28" s="199">
        <v>200000</v>
      </c>
      <c r="N28" s="2">
        <v>0</v>
      </c>
      <c r="O28" s="2">
        <v>100000</v>
      </c>
      <c r="P28" s="2">
        <v>1000000</v>
      </c>
      <c r="Q28" s="2">
        <v>2000000</v>
      </c>
      <c r="R28" s="2">
        <v>600000</v>
      </c>
      <c r="S28" s="2">
        <f t="shared" si="0"/>
        <v>5920000</v>
      </c>
      <c r="T28" s="2">
        <f t="shared" si="1"/>
        <v>13870000</v>
      </c>
    </row>
    <row r="29" spans="1:20" x14ac:dyDescent="0.3">
      <c r="A29" s="260"/>
      <c r="B29" s="1" t="s">
        <v>74</v>
      </c>
      <c r="C29" s="195">
        <f t="shared" ref="C29:C92" si="4" xml:space="preserve"> T28 + 7590000</f>
        <v>21460000</v>
      </c>
      <c r="D29" s="188">
        <v>0</v>
      </c>
      <c r="E29" s="197">
        <v>0</v>
      </c>
      <c r="F29" s="2">
        <v>420000</v>
      </c>
      <c r="G29" s="196">
        <v>300000</v>
      </c>
      <c r="H29" s="189">
        <v>100000</v>
      </c>
      <c r="I29" s="2">
        <v>200000</v>
      </c>
      <c r="J29" s="2">
        <v>100000</v>
      </c>
      <c r="K29" s="2">
        <v>800000</v>
      </c>
      <c r="L29" s="2">
        <v>100000</v>
      </c>
      <c r="M29" s="199">
        <v>200000</v>
      </c>
      <c r="N29" s="2">
        <v>0</v>
      </c>
      <c r="O29" s="2">
        <v>100000</v>
      </c>
      <c r="P29" s="188">
        <v>0</v>
      </c>
      <c r="Q29" s="2">
        <v>2000000</v>
      </c>
      <c r="R29" s="2">
        <v>0</v>
      </c>
      <c r="S29" s="2">
        <f t="shared" si="0"/>
        <v>4320000</v>
      </c>
      <c r="T29" s="2">
        <f t="shared" si="1"/>
        <v>17140000</v>
      </c>
    </row>
    <row r="30" spans="1:20" x14ac:dyDescent="0.3">
      <c r="A30" s="260"/>
      <c r="B30" s="1" t="s">
        <v>75</v>
      </c>
      <c r="C30" s="187">
        <f t="shared" si="4"/>
        <v>24730000</v>
      </c>
      <c r="D30" s="188">
        <v>0</v>
      </c>
      <c r="E30" s="197">
        <v>0</v>
      </c>
      <c r="F30" s="2">
        <v>420000</v>
      </c>
      <c r="G30" s="196">
        <v>300000</v>
      </c>
      <c r="H30" s="189">
        <v>100000</v>
      </c>
      <c r="I30" s="2">
        <v>200000</v>
      </c>
      <c r="J30" s="2">
        <v>100000</v>
      </c>
      <c r="K30" s="2">
        <v>800000</v>
      </c>
      <c r="L30" s="2">
        <v>100000</v>
      </c>
      <c r="M30" s="199">
        <v>200000</v>
      </c>
      <c r="N30" s="2">
        <v>0</v>
      </c>
      <c r="O30" s="2">
        <v>100000</v>
      </c>
      <c r="P30" s="188">
        <v>0</v>
      </c>
      <c r="Q30" s="2">
        <v>2000000</v>
      </c>
      <c r="R30" s="2">
        <v>0</v>
      </c>
      <c r="S30" s="2">
        <f t="shared" si="0"/>
        <v>4320000</v>
      </c>
      <c r="T30" s="2">
        <f t="shared" si="1"/>
        <v>20410000</v>
      </c>
    </row>
    <row r="31" spans="1:20" x14ac:dyDescent="0.3">
      <c r="A31" s="260"/>
      <c r="B31" s="1" t="s">
        <v>76</v>
      </c>
      <c r="C31" s="195">
        <f t="shared" si="4"/>
        <v>28000000</v>
      </c>
      <c r="D31" s="188">
        <v>3000000</v>
      </c>
      <c r="E31" s="197">
        <v>0</v>
      </c>
      <c r="F31" s="2">
        <v>420000</v>
      </c>
      <c r="G31" s="196">
        <v>300000</v>
      </c>
      <c r="H31" s="189">
        <v>100000</v>
      </c>
      <c r="I31" s="2">
        <v>200000</v>
      </c>
      <c r="J31" s="2">
        <v>100000</v>
      </c>
      <c r="K31" s="2">
        <v>800000</v>
      </c>
      <c r="L31" s="2">
        <v>100000</v>
      </c>
      <c r="M31" s="199">
        <v>200000</v>
      </c>
      <c r="N31" s="2">
        <v>0</v>
      </c>
      <c r="O31" s="2">
        <v>100000</v>
      </c>
      <c r="P31" s="2">
        <v>1000000</v>
      </c>
      <c r="Q31" s="2">
        <v>2000000</v>
      </c>
      <c r="R31" s="2">
        <v>600000</v>
      </c>
      <c r="S31" s="2">
        <f t="shared" si="0"/>
        <v>8920000</v>
      </c>
      <c r="T31" s="2">
        <f t="shared" si="1"/>
        <v>19080000</v>
      </c>
    </row>
    <row r="32" spans="1:20" x14ac:dyDescent="0.3">
      <c r="A32" s="260"/>
      <c r="B32" s="1" t="s">
        <v>77</v>
      </c>
      <c r="C32" s="187">
        <f t="shared" si="4"/>
        <v>26670000</v>
      </c>
      <c r="D32" s="188">
        <v>0</v>
      </c>
      <c r="E32" s="197">
        <v>0</v>
      </c>
      <c r="F32" s="2">
        <v>420000</v>
      </c>
      <c r="G32" s="196">
        <v>300000</v>
      </c>
      <c r="H32" s="189">
        <v>100000</v>
      </c>
      <c r="I32" s="2">
        <v>200000</v>
      </c>
      <c r="J32" s="2">
        <v>100000</v>
      </c>
      <c r="K32" s="2">
        <v>800000</v>
      </c>
      <c r="L32" s="2">
        <v>100000</v>
      </c>
      <c r="M32" s="199">
        <v>200000</v>
      </c>
      <c r="N32" s="2">
        <v>0</v>
      </c>
      <c r="O32" s="2">
        <v>100000</v>
      </c>
      <c r="P32" s="2">
        <v>0</v>
      </c>
      <c r="Q32" s="2">
        <v>2000000</v>
      </c>
      <c r="R32" s="2">
        <v>0</v>
      </c>
      <c r="S32" s="2">
        <f t="shared" si="0"/>
        <v>4320000</v>
      </c>
      <c r="T32" s="2">
        <f t="shared" si="1"/>
        <v>22350000</v>
      </c>
    </row>
    <row r="33" spans="1:20" x14ac:dyDescent="0.3">
      <c r="A33" s="260"/>
      <c r="B33" s="1" t="s">
        <v>78</v>
      </c>
      <c r="C33" s="195">
        <f t="shared" si="4"/>
        <v>29940000</v>
      </c>
      <c r="D33" s="2">
        <v>3000000</v>
      </c>
      <c r="E33" s="197">
        <v>0</v>
      </c>
      <c r="F33" s="2">
        <v>420000</v>
      </c>
      <c r="G33" s="196">
        <v>300000</v>
      </c>
      <c r="H33" s="189">
        <v>100000</v>
      </c>
      <c r="I33" s="2">
        <v>200000</v>
      </c>
      <c r="J33" s="2">
        <v>100000</v>
      </c>
      <c r="K33" s="2">
        <v>800000</v>
      </c>
      <c r="L33" s="2">
        <v>100000</v>
      </c>
      <c r="M33" s="199">
        <v>200000</v>
      </c>
      <c r="N33" s="2">
        <v>0</v>
      </c>
      <c r="O33" s="2">
        <v>100000</v>
      </c>
      <c r="P33" s="2">
        <v>0</v>
      </c>
      <c r="Q33" s="2">
        <v>2000000</v>
      </c>
      <c r="R33" s="2">
        <v>0</v>
      </c>
      <c r="S33" s="2">
        <f t="shared" si="0"/>
        <v>7320000</v>
      </c>
      <c r="T33" s="2">
        <f t="shared" si="1"/>
        <v>22620000</v>
      </c>
    </row>
    <row r="34" spans="1:20" x14ac:dyDescent="0.3">
      <c r="A34" s="260"/>
      <c r="B34" s="1" t="s">
        <v>79</v>
      </c>
      <c r="C34" s="187">
        <f t="shared" si="4"/>
        <v>30210000</v>
      </c>
      <c r="D34" s="188">
        <v>0</v>
      </c>
      <c r="E34" s="197">
        <v>0</v>
      </c>
      <c r="F34" s="2">
        <v>420000</v>
      </c>
      <c r="G34" s="196">
        <v>300000</v>
      </c>
      <c r="H34" s="189">
        <v>100000</v>
      </c>
      <c r="I34" s="2">
        <v>200000</v>
      </c>
      <c r="J34" s="2">
        <v>100000</v>
      </c>
      <c r="K34" s="2">
        <v>800000</v>
      </c>
      <c r="L34" s="2">
        <v>100000</v>
      </c>
      <c r="M34" s="199">
        <v>200000</v>
      </c>
      <c r="N34" s="2">
        <v>0</v>
      </c>
      <c r="O34" s="2">
        <v>100000</v>
      </c>
      <c r="P34" s="2">
        <v>1000000</v>
      </c>
      <c r="Q34" s="2">
        <v>2000000</v>
      </c>
      <c r="R34" s="2">
        <v>0</v>
      </c>
      <c r="S34" s="2">
        <f t="shared" si="0"/>
        <v>5320000</v>
      </c>
      <c r="T34" s="2">
        <f t="shared" si="1"/>
        <v>24890000</v>
      </c>
    </row>
    <row r="35" spans="1:20" s="192" customFormat="1" x14ac:dyDescent="0.3">
      <c r="A35" s="260"/>
      <c r="B35" s="192" t="s">
        <v>80</v>
      </c>
      <c r="C35" s="195">
        <f t="shared" si="4"/>
        <v>32480000</v>
      </c>
      <c r="D35" s="188">
        <v>0</v>
      </c>
      <c r="E35" s="197">
        <v>0</v>
      </c>
      <c r="F35" s="193">
        <v>420000</v>
      </c>
      <c r="G35" s="196">
        <v>300000</v>
      </c>
      <c r="H35" s="189">
        <v>100000</v>
      </c>
      <c r="I35" s="2">
        <v>200000</v>
      </c>
      <c r="J35" s="193">
        <v>100000</v>
      </c>
      <c r="K35" s="2">
        <v>800000</v>
      </c>
      <c r="L35" s="193">
        <v>100000</v>
      </c>
      <c r="M35" s="199">
        <v>200000</v>
      </c>
      <c r="N35" s="193">
        <v>0</v>
      </c>
      <c r="O35" s="2">
        <v>100000</v>
      </c>
      <c r="P35" s="2">
        <v>0</v>
      </c>
      <c r="Q35" s="2">
        <v>2000000</v>
      </c>
      <c r="R35" s="2">
        <v>600000</v>
      </c>
      <c r="S35" s="193">
        <f t="shared" ref="S35:S66" si="5">SUM(D35:R35)</f>
        <v>4920000</v>
      </c>
      <c r="T35" s="193">
        <f t="shared" si="1"/>
        <v>27560000</v>
      </c>
    </row>
    <row r="36" spans="1:20" s="297" customFormat="1" x14ac:dyDescent="0.3">
      <c r="A36" s="260"/>
      <c r="B36" s="297" t="s">
        <v>81</v>
      </c>
      <c r="C36" s="298">
        <f xml:space="preserve"> T35 + 7590000 +5000000</f>
        <v>40150000</v>
      </c>
      <c r="D36" s="298">
        <v>0</v>
      </c>
      <c r="E36" s="299">
        <v>0</v>
      </c>
      <c r="F36" s="298">
        <v>420000</v>
      </c>
      <c r="G36" s="299">
        <v>300000</v>
      </c>
      <c r="H36" s="298">
        <v>100000</v>
      </c>
      <c r="I36" s="298">
        <v>200000</v>
      </c>
      <c r="J36" s="298">
        <v>100000</v>
      </c>
      <c r="K36" s="2">
        <v>800000</v>
      </c>
      <c r="L36" s="298">
        <v>100000</v>
      </c>
      <c r="M36" s="199">
        <v>200000</v>
      </c>
      <c r="N36" s="298">
        <v>0</v>
      </c>
      <c r="O36" s="2">
        <v>100000</v>
      </c>
      <c r="P36" s="298">
        <v>0</v>
      </c>
      <c r="Q36" s="298">
        <v>2000000</v>
      </c>
      <c r="R36" s="298">
        <v>30000000</v>
      </c>
      <c r="S36" s="298">
        <f t="shared" si="5"/>
        <v>34320000</v>
      </c>
      <c r="T36" s="298">
        <f t="shared" si="1"/>
        <v>5830000</v>
      </c>
    </row>
    <row r="37" spans="1:20" x14ac:dyDescent="0.3">
      <c r="A37" s="260"/>
      <c r="B37" s="1" t="s">
        <v>82</v>
      </c>
      <c r="C37" s="195">
        <f t="shared" si="4"/>
        <v>13420000</v>
      </c>
      <c r="D37" s="188">
        <v>0</v>
      </c>
      <c r="E37" s="197">
        <v>300000</v>
      </c>
      <c r="F37" s="2">
        <v>420000</v>
      </c>
      <c r="G37" s="196">
        <v>300000</v>
      </c>
      <c r="H37" s="189">
        <v>100000</v>
      </c>
      <c r="I37" s="2">
        <v>1300000</v>
      </c>
      <c r="J37" s="2">
        <v>0</v>
      </c>
      <c r="K37" s="2">
        <v>800000</v>
      </c>
      <c r="L37" s="2">
        <v>100000</v>
      </c>
      <c r="M37" s="199">
        <v>200000</v>
      </c>
      <c r="N37" s="2">
        <v>0</v>
      </c>
      <c r="O37" s="2">
        <v>800000</v>
      </c>
      <c r="P37" s="2">
        <v>1000000</v>
      </c>
      <c r="Q37" s="2">
        <v>2000000</v>
      </c>
      <c r="R37" s="2">
        <v>0</v>
      </c>
      <c r="S37" s="2">
        <f t="shared" si="5"/>
        <v>7320000</v>
      </c>
      <c r="T37" s="2">
        <f t="shared" si="1"/>
        <v>6100000</v>
      </c>
    </row>
    <row r="38" spans="1:20" s="300" customFormat="1" ht="17.25" thickBot="1" x14ac:dyDescent="0.35">
      <c r="A38" s="260"/>
      <c r="B38" s="300" t="s">
        <v>83</v>
      </c>
      <c r="C38" s="301">
        <f t="shared" si="4"/>
        <v>13690000</v>
      </c>
      <c r="D38" s="302">
        <v>0</v>
      </c>
      <c r="E38" s="197">
        <v>300000</v>
      </c>
      <c r="F38" s="302">
        <v>420000</v>
      </c>
      <c r="G38" s="303">
        <v>300000</v>
      </c>
      <c r="H38" s="302">
        <v>100000</v>
      </c>
      <c r="I38" s="301">
        <v>1300000</v>
      </c>
      <c r="J38" s="301">
        <v>0</v>
      </c>
      <c r="K38" s="301">
        <v>800000</v>
      </c>
      <c r="L38" s="302">
        <v>100000</v>
      </c>
      <c r="M38" s="199">
        <v>200000</v>
      </c>
      <c r="N38" s="302">
        <v>0</v>
      </c>
      <c r="O38" s="2">
        <v>800000</v>
      </c>
      <c r="P38" s="302">
        <v>0</v>
      </c>
      <c r="Q38" s="301">
        <v>2000000</v>
      </c>
      <c r="R38" s="302">
        <v>0</v>
      </c>
      <c r="S38" s="302">
        <f t="shared" si="5"/>
        <v>6320000</v>
      </c>
      <c r="T38" s="302">
        <f t="shared" si="1"/>
        <v>7370000</v>
      </c>
    </row>
    <row r="39" spans="1:20" s="79" customFormat="1" x14ac:dyDescent="0.3">
      <c r="A39" s="260">
        <v>2026</v>
      </c>
      <c r="B39" s="79" t="s">
        <v>72</v>
      </c>
      <c r="C39" s="195">
        <f t="shared" si="4"/>
        <v>14960000</v>
      </c>
      <c r="D39" s="2">
        <v>3000000</v>
      </c>
      <c r="E39" s="197">
        <v>300000</v>
      </c>
      <c r="F39" s="198">
        <v>420000</v>
      </c>
      <c r="G39" s="196">
        <v>300000</v>
      </c>
      <c r="H39" s="197">
        <v>100000</v>
      </c>
      <c r="I39" s="2">
        <v>1300000</v>
      </c>
      <c r="J39" s="2">
        <v>0</v>
      </c>
      <c r="K39" s="2">
        <v>800000</v>
      </c>
      <c r="L39" s="198">
        <v>100000</v>
      </c>
      <c r="M39" s="199">
        <v>200000</v>
      </c>
      <c r="N39" s="198">
        <v>0</v>
      </c>
      <c r="O39" s="2">
        <v>800000</v>
      </c>
      <c r="P39" s="198">
        <v>0</v>
      </c>
      <c r="Q39" s="2">
        <v>2000000</v>
      </c>
      <c r="S39" s="198">
        <f t="shared" si="5"/>
        <v>9320000</v>
      </c>
      <c r="T39" s="198">
        <f t="shared" si="1"/>
        <v>5640000</v>
      </c>
    </row>
    <row r="40" spans="1:20" s="182" customFormat="1" x14ac:dyDescent="0.3">
      <c r="A40" s="260"/>
      <c r="B40" s="182" t="s">
        <v>73</v>
      </c>
      <c r="C40" s="187">
        <f t="shared" si="4"/>
        <v>13230000</v>
      </c>
      <c r="D40" s="188">
        <v>0</v>
      </c>
      <c r="E40" s="197">
        <v>300000</v>
      </c>
      <c r="F40" s="2">
        <v>420000</v>
      </c>
      <c r="G40" s="196">
        <v>300000</v>
      </c>
      <c r="H40" s="189">
        <v>100000</v>
      </c>
      <c r="I40" s="2">
        <v>1300000</v>
      </c>
      <c r="J40" s="2">
        <v>0</v>
      </c>
      <c r="K40" s="2">
        <v>800000</v>
      </c>
      <c r="L40" s="190">
        <v>100000</v>
      </c>
      <c r="M40" s="199">
        <v>200000</v>
      </c>
      <c r="N40" s="190">
        <v>0</v>
      </c>
      <c r="O40" s="2">
        <v>800000</v>
      </c>
      <c r="P40" s="2">
        <v>1000000</v>
      </c>
      <c r="Q40" s="2">
        <v>2000000</v>
      </c>
      <c r="R40" s="2">
        <v>600000</v>
      </c>
      <c r="S40" s="190">
        <f t="shared" si="5"/>
        <v>7920000</v>
      </c>
      <c r="T40" s="190">
        <f t="shared" si="1"/>
        <v>5310000</v>
      </c>
    </row>
    <row r="41" spans="1:20" s="194" customFormat="1" x14ac:dyDescent="0.3">
      <c r="A41" s="260"/>
      <c r="B41" s="194" t="s">
        <v>74</v>
      </c>
      <c r="C41" s="195">
        <f t="shared" si="4"/>
        <v>12900000</v>
      </c>
      <c r="D41" s="188">
        <v>0</v>
      </c>
      <c r="E41" s="197">
        <v>300000</v>
      </c>
      <c r="F41" s="2">
        <v>420000</v>
      </c>
      <c r="G41" s="196">
        <v>300000</v>
      </c>
      <c r="H41" s="189">
        <v>100000</v>
      </c>
      <c r="I41" s="2">
        <v>1300000</v>
      </c>
      <c r="J41" s="2">
        <v>0</v>
      </c>
      <c r="K41" s="2">
        <v>800000</v>
      </c>
      <c r="L41" s="191">
        <v>100000</v>
      </c>
      <c r="M41" s="199">
        <v>200000</v>
      </c>
      <c r="N41" s="191">
        <v>0</v>
      </c>
      <c r="O41" s="2">
        <v>800000</v>
      </c>
      <c r="P41" s="188">
        <v>0</v>
      </c>
      <c r="Q41" s="2">
        <v>2000000</v>
      </c>
      <c r="R41" s="2">
        <v>0</v>
      </c>
      <c r="S41" s="191">
        <f t="shared" si="5"/>
        <v>6320000</v>
      </c>
      <c r="T41" s="191">
        <f t="shared" si="1"/>
        <v>6580000</v>
      </c>
    </row>
    <row r="42" spans="1:20" s="194" customFormat="1" x14ac:dyDescent="0.3">
      <c r="A42" s="260"/>
      <c r="B42" s="194" t="s">
        <v>75</v>
      </c>
      <c r="C42" s="187">
        <f t="shared" si="4"/>
        <v>14170000</v>
      </c>
      <c r="D42" s="188">
        <v>0</v>
      </c>
      <c r="E42" s="197">
        <v>300000</v>
      </c>
      <c r="F42" s="2">
        <v>420000</v>
      </c>
      <c r="G42" s="196">
        <v>300000</v>
      </c>
      <c r="H42" s="189">
        <v>100000</v>
      </c>
      <c r="I42" s="2">
        <v>1300000</v>
      </c>
      <c r="J42" s="2">
        <v>0</v>
      </c>
      <c r="K42" s="2">
        <v>800000</v>
      </c>
      <c r="L42" s="191">
        <v>100000</v>
      </c>
      <c r="M42" s="199">
        <v>200000</v>
      </c>
      <c r="N42" s="191">
        <v>0</v>
      </c>
      <c r="O42" s="2">
        <v>800000</v>
      </c>
      <c r="P42" s="188">
        <v>0</v>
      </c>
      <c r="Q42" s="2">
        <v>2000000</v>
      </c>
      <c r="R42" s="2">
        <v>0</v>
      </c>
      <c r="S42" s="191">
        <f t="shared" si="5"/>
        <v>6320000</v>
      </c>
      <c r="T42" s="191">
        <f t="shared" si="1"/>
        <v>7850000</v>
      </c>
    </row>
    <row r="43" spans="1:20" s="194" customFormat="1" x14ac:dyDescent="0.3">
      <c r="A43" s="260"/>
      <c r="B43" s="194" t="s">
        <v>76</v>
      </c>
      <c r="C43" s="195">
        <f t="shared" si="4"/>
        <v>15440000</v>
      </c>
      <c r="D43" s="188">
        <v>3000000</v>
      </c>
      <c r="E43" s="197">
        <v>300000</v>
      </c>
      <c r="F43" s="2">
        <v>420000</v>
      </c>
      <c r="G43" s="196">
        <v>300000</v>
      </c>
      <c r="H43" s="189">
        <v>100000</v>
      </c>
      <c r="I43" s="2">
        <v>1300000</v>
      </c>
      <c r="J43" s="2">
        <v>0</v>
      </c>
      <c r="K43" s="2">
        <v>800000</v>
      </c>
      <c r="L43" s="191">
        <v>100000</v>
      </c>
      <c r="M43" s="199">
        <v>200000</v>
      </c>
      <c r="N43" s="191">
        <v>0</v>
      </c>
      <c r="O43" s="2">
        <v>800000</v>
      </c>
      <c r="P43" s="2">
        <v>1000000</v>
      </c>
      <c r="Q43" s="2">
        <v>2000000</v>
      </c>
      <c r="R43" s="2">
        <v>600000</v>
      </c>
      <c r="S43" s="191">
        <f t="shared" si="5"/>
        <v>10920000</v>
      </c>
      <c r="T43" s="191">
        <f t="shared" si="1"/>
        <v>4520000</v>
      </c>
    </row>
    <row r="44" spans="1:20" s="194" customFormat="1" x14ac:dyDescent="0.3">
      <c r="A44" s="260"/>
      <c r="B44" s="194" t="s">
        <v>77</v>
      </c>
      <c r="C44" s="187">
        <f t="shared" si="4"/>
        <v>12110000</v>
      </c>
      <c r="D44" s="188">
        <v>0</v>
      </c>
      <c r="E44" s="197">
        <v>300000</v>
      </c>
      <c r="F44" s="2">
        <v>420000</v>
      </c>
      <c r="G44" s="196">
        <v>300000</v>
      </c>
      <c r="H44" s="189">
        <v>100000</v>
      </c>
      <c r="I44" s="2">
        <v>1300000</v>
      </c>
      <c r="J44" s="2">
        <v>0</v>
      </c>
      <c r="K44" s="2">
        <v>800000</v>
      </c>
      <c r="L44" s="191">
        <v>100000</v>
      </c>
      <c r="M44" s="199">
        <v>200000</v>
      </c>
      <c r="N44" s="191">
        <v>0</v>
      </c>
      <c r="O44" s="2">
        <v>800000</v>
      </c>
      <c r="P44" s="2">
        <v>0</v>
      </c>
      <c r="Q44" s="2">
        <v>2000000</v>
      </c>
      <c r="R44" s="2">
        <v>0</v>
      </c>
      <c r="S44" s="191">
        <f t="shared" si="5"/>
        <v>6320000</v>
      </c>
      <c r="T44" s="191">
        <f t="shared" si="1"/>
        <v>5790000</v>
      </c>
    </row>
    <row r="45" spans="1:20" s="194" customFormat="1" x14ac:dyDescent="0.3">
      <c r="A45" s="260"/>
      <c r="B45" s="194" t="s">
        <v>78</v>
      </c>
      <c r="C45" s="195">
        <f t="shared" si="4"/>
        <v>13380000</v>
      </c>
      <c r="D45" s="2">
        <v>3000000</v>
      </c>
      <c r="E45" s="197">
        <v>300000</v>
      </c>
      <c r="F45" s="2">
        <v>420000</v>
      </c>
      <c r="G45" s="196">
        <v>300000</v>
      </c>
      <c r="H45" s="189">
        <v>100000</v>
      </c>
      <c r="I45" s="2">
        <v>1300000</v>
      </c>
      <c r="J45" s="2">
        <v>0</v>
      </c>
      <c r="K45" s="2">
        <v>800000</v>
      </c>
      <c r="L45" s="191">
        <v>100000</v>
      </c>
      <c r="M45" s="199">
        <v>200000</v>
      </c>
      <c r="N45" s="191">
        <v>0</v>
      </c>
      <c r="O45" s="2">
        <v>800000</v>
      </c>
      <c r="P45" s="2">
        <v>0</v>
      </c>
      <c r="Q45" s="2">
        <v>2000000</v>
      </c>
      <c r="R45" s="2">
        <v>0</v>
      </c>
      <c r="S45" s="191">
        <f t="shared" si="5"/>
        <v>9320000</v>
      </c>
      <c r="T45" s="191">
        <f t="shared" ref="T45:T76" si="6" xml:space="preserve"> C45 - S45</f>
        <v>4060000</v>
      </c>
    </row>
    <row r="46" spans="1:20" s="194" customFormat="1" x14ac:dyDescent="0.3">
      <c r="A46" s="260"/>
      <c r="B46" s="194" t="s">
        <v>79</v>
      </c>
      <c r="C46" s="187">
        <f t="shared" si="4"/>
        <v>11650000</v>
      </c>
      <c r="D46" s="188">
        <v>0</v>
      </c>
      <c r="E46" s="197">
        <v>300000</v>
      </c>
      <c r="F46" s="2">
        <v>420000</v>
      </c>
      <c r="G46" s="196">
        <v>300000</v>
      </c>
      <c r="H46" s="189">
        <v>100000</v>
      </c>
      <c r="I46" s="2">
        <v>1300000</v>
      </c>
      <c r="J46" s="2">
        <v>0</v>
      </c>
      <c r="K46" s="2">
        <v>800000</v>
      </c>
      <c r="L46" s="191">
        <v>100000</v>
      </c>
      <c r="M46" s="199">
        <v>200000</v>
      </c>
      <c r="N46" s="191">
        <v>0</v>
      </c>
      <c r="O46" s="2">
        <v>800000</v>
      </c>
      <c r="P46" s="2">
        <v>1000000</v>
      </c>
      <c r="Q46" s="2">
        <v>2000000</v>
      </c>
      <c r="R46" s="2">
        <v>0</v>
      </c>
      <c r="S46" s="191">
        <f t="shared" si="5"/>
        <v>7320000</v>
      </c>
      <c r="T46" s="191">
        <f t="shared" si="6"/>
        <v>4330000</v>
      </c>
    </row>
    <row r="47" spans="1:20" s="194" customFormat="1" x14ac:dyDescent="0.3">
      <c r="A47" s="260"/>
      <c r="B47" s="194" t="s">
        <v>80</v>
      </c>
      <c r="C47" s="195">
        <f t="shared" si="4"/>
        <v>11920000</v>
      </c>
      <c r="D47" s="188">
        <v>0</v>
      </c>
      <c r="E47" s="197">
        <v>300000</v>
      </c>
      <c r="F47" s="2">
        <v>420000</v>
      </c>
      <c r="G47" s="196">
        <v>300000</v>
      </c>
      <c r="H47" s="189">
        <v>100000</v>
      </c>
      <c r="I47" s="2">
        <v>1300000</v>
      </c>
      <c r="J47" s="2">
        <v>0</v>
      </c>
      <c r="K47" s="2">
        <v>800000</v>
      </c>
      <c r="L47" s="191">
        <v>100000</v>
      </c>
      <c r="M47" s="199">
        <v>200000</v>
      </c>
      <c r="N47" s="191">
        <v>0</v>
      </c>
      <c r="O47" s="2">
        <v>800000</v>
      </c>
      <c r="P47" s="2">
        <v>0</v>
      </c>
      <c r="Q47" s="2">
        <v>2000000</v>
      </c>
      <c r="R47" s="2">
        <v>600000</v>
      </c>
      <c r="S47" s="191">
        <f t="shared" si="5"/>
        <v>6920000</v>
      </c>
      <c r="T47" s="191">
        <f t="shared" si="6"/>
        <v>5000000</v>
      </c>
    </row>
    <row r="48" spans="1:20" s="194" customFormat="1" x14ac:dyDescent="0.3">
      <c r="A48" s="260"/>
      <c r="B48" s="194" t="s">
        <v>81</v>
      </c>
      <c r="C48" s="187">
        <f t="shared" si="4"/>
        <v>12590000</v>
      </c>
      <c r="D48" s="188">
        <v>0</v>
      </c>
      <c r="E48" s="197">
        <v>300000</v>
      </c>
      <c r="F48" s="2">
        <v>420000</v>
      </c>
      <c r="G48" s="196">
        <v>300000</v>
      </c>
      <c r="H48" s="189">
        <v>100000</v>
      </c>
      <c r="I48" s="2">
        <v>1300000</v>
      </c>
      <c r="J48" s="2">
        <v>0</v>
      </c>
      <c r="K48" s="2">
        <v>800000</v>
      </c>
      <c r="L48" s="191">
        <v>100000</v>
      </c>
      <c r="M48" s="199">
        <v>200000</v>
      </c>
      <c r="N48" s="191">
        <v>0</v>
      </c>
      <c r="O48" s="2">
        <v>800000</v>
      </c>
      <c r="P48" s="2">
        <v>0</v>
      </c>
      <c r="Q48" s="2">
        <v>2000000</v>
      </c>
      <c r="R48" s="2">
        <v>0</v>
      </c>
      <c r="S48" s="191">
        <f t="shared" si="5"/>
        <v>6320000</v>
      </c>
      <c r="T48" s="191">
        <f t="shared" si="6"/>
        <v>6270000</v>
      </c>
    </row>
    <row r="49" spans="1:20" s="194" customFormat="1" x14ac:dyDescent="0.3">
      <c r="A49" s="260"/>
      <c r="B49" s="194" t="s">
        <v>82</v>
      </c>
      <c r="C49" s="195">
        <f t="shared" si="4"/>
        <v>13860000</v>
      </c>
      <c r="D49" s="188">
        <v>0</v>
      </c>
      <c r="E49" s="197">
        <v>300000</v>
      </c>
      <c r="F49" s="2">
        <v>420000</v>
      </c>
      <c r="G49" s="196">
        <v>300000</v>
      </c>
      <c r="H49" s="189">
        <v>100000</v>
      </c>
      <c r="I49" s="2">
        <v>1300000</v>
      </c>
      <c r="J49" s="2">
        <v>0</v>
      </c>
      <c r="K49" s="2">
        <v>800000</v>
      </c>
      <c r="L49" s="191">
        <v>100000</v>
      </c>
      <c r="M49" s="199">
        <v>200000</v>
      </c>
      <c r="N49" s="191">
        <v>0</v>
      </c>
      <c r="O49" s="2">
        <v>800000</v>
      </c>
      <c r="P49" s="2">
        <v>1000000</v>
      </c>
      <c r="Q49" s="2">
        <v>2000000</v>
      </c>
      <c r="R49" s="2">
        <v>0</v>
      </c>
      <c r="S49" s="191">
        <f t="shared" si="5"/>
        <v>7320000</v>
      </c>
      <c r="T49" s="191">
        <f t="shared" si="6"/>
        <v>6540000</v>
      </c>
    </row>
    <row r="50" spans="1:20" s="226" customFormat="1" ht="17.25" thickBot="1" x14ac:dyDescent="0.35">
      <c r="A50" s="260"/>
      <c r="B50" s="226" t="s">
        <v>83</v>
      </c>
      <c r="C50" s="187">
        <f t="shared" si="4"/>
        <v>14130000</v>
      </c>
      <c r="D50" s="227">
        <v>0</v>
      </c>
      <c r="E50" s="197">
        <v>300000</v>
      </c>
      <c r="F50" s="227">
        <v>420000</v>
      </c>
      <c r="G50" s="228">
        <v>300000</v>
      </c>
      <c r="H50" s="227">
        <v>100000</v>
      </c>
      <c r="I50" s="2">
        <v>1300000</v>
      </c>
      <c r="J50" s="2">
        <v>0</v>
      </c>
      <c r="K50" s="2">
        <v>800000</v>
      </c>
      <c r="L50" s="227">
        <v>100000</v>
      </c>
      <c r="M50" s="199">
        <v>200000</v>
      </c>
      <c r="N50" s="227">
        <v>0</v>
      </c>
      <c r="O50" s="2">
        <v>800000</v>
      </c>
      <c r="P50" s="227">
        <v>0</v>
      </c>
      <c r="Q50" s="2">
        <v>2000000</v>
      </c>
      <c r="R50" s="227">
        <v>0</v>
      </c>
      <c r="S50" s="227">
        <f t="shared" si="5"/>
        <v>6320000</v>
      </c>
      <c r="T50" s="227">
        <f t="shared" si="6"/>
        <v>7810000</v>
      </c>
    </row>
    <row r="51" spans="1:20" s="201" customFormat="1" x14ac:dyDescent="0.3">
      <c r="A51" s="261">
        <v>2027</v>
      </c>
      <c r="B51" s="201" t="s">
        <v>72</v>
      </c>
      <c r="C51" s="195">
        <f t="shared" si="4"/>
        <v>15400000</v>
      </c>
      <c r="D51" s="2">
        <v>3000000</v>
      </c>
      <c r="E51" s="197">
        <v>300000</v>
      </c>
      <c r="F51" s="198">
        <v>420000</v>
      </c>
      <c r="G51" s="196">
        <v>300000</v>
      </c>
      <c r="H51" s="197">
        <v>100000</v>
      </c>
      <c r="I51" s="2">
        <v>1300000</v>
      </c>
      <c r="J51" s="2">
        <v>0</v>
      </c>
      <c r="K51" s="2">
        <v>800000</v>
      </c>
      <c r="L51" s="200">
        <v>100000</v>
      </c>
      <c r="M51" s="199">
        <v>200000</v>
      </c>
      <c r="N51" s="200">
        <v>0</v>
      </c>
      <c r="O51" s="2">
        <v>800000</v>
      </c>
      <c r="P51" s="198">
        <v>0</v>
      </c>
      <c r="Q51" s="2">
        <v>2000000</v>
      </c>
      <c r="R51" s="2">
        <v>0</v>
      </c>
      <c r="S51" s="200">
        <f t="shared" si="5"/>
        <v>9320000</v>
      </c>
      <c r="T51" s="200">
        <f t="shared" si="6"/>
        <v>6080000</v>
      </c>
    </row>
    <row r="52" spans="1:20" s="194" customFormat="1" x14ac:dyDescent="0.3">
      <c r="A52" s="261"/>
      <c r="B52" s="194" t="s">
        <v>73</v>
      </c>
      <c r="C52" s="187">
        <f t="shared" si="4"/>
        <v>13670000</v>
      </c>
      <c r="D52" s="188">
        <v>0</v>
      </c>
      <c r="E52" s="197">
        <v>300000</v>
      </c>
      <c r="F52" s="2">
        <v>420000</v>
      </c>
      <c r="G52" s="196">
        <v>300000</v>
      </c>
      <c r="H52" s="189">
        <v>100000</v>
      </c>
      <c r="I52" s="2">
        <v>1300000</v>
      </c>
      <c r="J52" s="2">
        <v>0</v>
      </c>
      <c r="K52" s="2">
        <v>800000</v>
      </c>
      <c r="L52" s="191">
        <v>100000</v>
      </c>
      <c r="M52" s="199">
        <v>200000</v>
      </c>
      <c r="N52" s="191">
        <v>0</v>
      </c>
      <c r="O52" s="2">
        <v>800000</v>
      </c>
      <c r="P52" s="2">
        <v>1000000</v>
      </c>
      <c r="Q52" s="2">
        <v>2000000</v>
      </c>
      <c r="R52" s="2">
        <v>600000</v>
      </c>
      <c r="S52" s="191">
        <f t="shared" si="5"/>
        <v>7920000</v>
      </c>
      <c r="T52" s="191">
        <f t="shared" si="6"/>
        <v>5750000</v>
      </c>
    </row>
    <row r="53" spans="1:20" s="194" customFormat="1" x14ac:dyDescent="0.3">
      <c r="A53" s="261"/>
      <c r="B53" s="194" t="s">
        <v>74</v>
      </c>
      <c r="C53" s="195">
        <f t="shared" si="4"/>
        <v>13340000</v>
      </c>
      <c r="D53" s="188">
        <v>0</v>
      </c>
      <c r="E53" s="197">
        <v>300000</v>
      </c>
      <c r="F53" s="2">
        <v>420000</v>
      </c>
      <c r="G53" s="196">
        <v>300000</v>
      </c>
      <c r="H53" s="189">
        <v>100000</v>
      </c>
      <c r="I53" s="2">
        <v>1300000</v>
      </c>
      <c r="J53" s="2">
        <v>0</v>
      </c>
      <c r="K53" s="2">
        <v>800000</v>
      </c>
      <c r="L53" s="191">
        <v>100000</v>
      </c>
      <c r="M53" s="199">
        <v>200000</v>
      </c>
      <c r="N53" s="191">
        <v>0</v>
      </c>
      <c r="O53" s="2">
        <v>800000</v>
      </c>
      <c r="P53" s="188">
        <v>0</v>
      </c>
      <c r="Q53" s="2">
        <v>2000000</v>
      </c>
      <c r="R53" s="2">
        <v>0</v>
      </c>
      <c r="S53" s="191">
        <f t="shared" si="5"/>
        <v>6320000</v>
      </c>
      <c r="T53" s="191">
        <f t="shared" si="6"/>
        <v>7020000</v>
      </c>
    </row>
    <row r="54" spans="1:20" s="194" customFormat="1" x14ac:dyDescent="0.3">
      <c r="A54" s="261"/>
      <c r="B54" s="194" t="s">
        <v>75</v>
      </c>
      <c r="C54" s="187">
        <f t="shared" si="4"/>
        <v>14610000</v>
      </c>
      <c r="D54" s="188">
        <v>0</v>
      </c>
      <c r="E54" s="197">
        <v>300000</v>
      </c>
      <c r="F54" s="2">
        <v>420000</v>
      </c>
      <c r="G54" s="196">
        <v>300000</v>
      </c>
      <c r="H54" s="189">
        <v>100000</v>
      </c>
      <c r="I54" s="2">
        <v>1300000</v>
      </c>
      <c r="J54" s="2">
        <v>0</v>
      </c>
      <c r="K54" s="2">
        <v>800000</v>
      </c>
      <c r="L54" s="191">
        <v>100000</v>
      </c>
      <c r="M54" s="199">
        <v>200000</v>
      </c>
      <c r="N54" s="191">
        <v>0</v>
      </c>
      <c r="O54" s="2">
        <v>800000</v>
      </c>
      <c r="P54" s="188">
        <v>0</v>
      </c>
      <c r="Q54" s="2">
        <v>2000000</v>
      </c>
      <c r="R54" s="2">
        <v>0</v>
      </c>
      <c r="S54" s="191">
        <f t="shared" si="5"/>
        <v>6320000</v>
      </c>
      <c r="T54" s="191">
        <f t="shared" si="6"/>
        <v>8290000</v>
      </c>
    </row>
    <row r="55" spans="1:20" s="194" customFormat="1" x14ac:dyDescent="0.3">
      <c r="A55" s="261"/>
      <c r="B55" s="194" t="s">
        <v>76</v>
      </c>
      <c r="C55" s="195">
        <f t="shared" si="4"/>
        <v>15880000</v>
      </c>
      <c r="D55" s="188">
        <v>3000000</v>
      </c>
      <c r="E55" s="197">
        <v>300000</v>
      </c>
      <c r="F55" s="2">
        <v>420000</v>
      </c>
      <c r="G55" s="196">
        <v>300000</v>
      </c>
      <c r="H55" s="189">
        <v>100000</v>
      </c>
      <c r="I55" s="2">
        <v>1300000</v>
      </c>
      <c r="J55" s="2">
        <v>0</v>
      </c>
      <c r="K55" s="2">
        <v>800000</v>
      </c>
      <c r="L55" s="191">
        <v>100000</v>
      </c>
      <c r="M55" s="199">
        <v>200000</v>
      </c>
      <c r="N55" s="191">
        <v>0</v>
      </c>
      <c r="O55" s="2">
        <v>800000</v>
      </c>
      <c r="P55" s="2">
        <v>1000000</v>
      </c>
      <c r="Q55" s="2">
        <v>2000000</v>
      </c>
      <c r="R55" s="2">
        <v>600000</v>
      </c>
      <c r="S55" s="191">
        <f t="shared" si="5"/>
        <v>10920000</v>
      </c>
      <c r="T55" s="191">
        <f t="shared" si="6"/>
        <v>4960000</v>
      </c>
    </row>
    <row r="56" spans="1:20" s="194" customFormat="1" x14ac:dyDescent="0.3">
      <c r="A56" s="261"/>
      <c r="B56" s="194" t="s">
        <v>77</v>
      </c>
      <c r="C56" s="187">
        <f t="shared" si="4"/>
        <v>12550000</v>
      </c>
      <c r="D56" s="188">
        <v>0</v>
      </c>
      <c r="E56" s="197">
        <v>300000</v>
      </c>
      <c r="F56" s="2">
        <v>420000</v>
      </c>
      <c r="G56" s="196">
        <v>300000</v>
      </c>
      <c r="H56" s="189">
        <v>100000</v>
      </c>
      <c r="I56" s="2">
        <v>1300000</v>
      </c>
      <c r="J56" s="2">
        <v>0</v>
      </c>
      <c r="K56" s="2">
        <v>800000</v>
      </c>
      <c r="L56" s="191">
        <v>100000</v>
      </c>
      <c r="M56" s="199">
        <v>200000</v>
      </c>
      <c r="N56" s="191">
        <v>0</v>
      </c>
      <c r="O56" s="2">
        <v>800000</v>
      </c>
      <c r="P56" s="2">
        <v>0</v>
      </c>
      <c r="Q56" s="2">
        <v>2000000</v>
      </c>
      <c r="R56" s="2">
        <v>0</v>
      </c>
      <c r="S56" s="191">
        <f t="shared" si="5"/>
        <v>6320000</v>
      </c>
      <c r="T56" s="191">
        <f t="shared" si="6"/>
        <v>6230000</v>
      </c>
    </row>
    <row r="57" spans="1:20" s="194" customFormat="1" x14ac:dyDescent="0.3">
      <c r="A57" s="261"/>
      <c r="B57" s="194" t="s">
        <v>78</v>
      </c>
      <c r="C57" s="195">
        <f t="shared" si="4"/>
        <v>13820000</v>
      </c>
      <c r="D57" s="2">
        <v>3000000</v>
      </c>
      <c r="E57" s="197">
        <v>300000</v>
      </c>
      <c r="F57" s="2">
        <v>420000</v>
      </c>
      <c r="G57" s="196">
        <v>300000</v>
      </c>
      <c r="H57" s="189">
        <v>100000</v>
      </c>
      <c r="I57" s="2">
        <v>1300000</v>
      </c>
      <c r="J57" s="2">
        <v>0</v>
      </c>
      <c r="K57" s="2">
        <v>800000</v>
      </c>
      <c r="L57" s="191">
        <v>100000</v>
      </c>
      <c r="M57" s="199">
        <v>200000</v>
      </c>
      <c r="N57" s="191">
        <v>0</v>
      </c>
      <c r="O57" s="2">
        <v>800000</v>
      </c>
      <c r="P57" s="2">
        <v>0</v>
      </c>
      <c r="Q57" s="2">
        <v>2000000</v>
      </c>
      <c r="R57" s="2">
        <v>0</v>
      </c>
      <c r="S57" s="191">
        <f t="shared" si="5"/>
        <v>9320000</v>
      </c>
      <c r="T57" s="191">
        <f t="shared" si="6"/>
        <v>4500000</v>
      </c>
    </row>
    <row r="58" spans="1:20" s="194" customFormat="1" x14ac:dyDescent="0.3">
      <c r="A58" s="261"/>
      <c r="B58" s="194" t="s">
        <v>79</v>
      </c>
      <c r="C58" s="187">
        <f t="shared" si="4"/>
        <v>12090000</v>
      </c>
      <c r="D58" s="188">
        <v>0</v>
      </c>
      <c r="E58" s="197">
        <v>300000</v>
      </c>
      <c r="F58" s="2">
        <v>420000</v>
      </c>
      <c r="G58" s="196">
        <v>300000</v>
      </c>
      <c r="H58" s="189">
        <v>100000</v>
      </c>
      <c r="I58" s="2">
        <v>1300000</v>
      </c>
      <c r="J58" s="2">
        <v>0</v>
      </c>
      <c r="K58" s="2">
        <v>800000</v>
      </c>
      <c r="L58" s="191">
        <v>100000</v>
      </c>
      <c r="M58" s="199">
        <v>200000</v>
      </c>
      <c r="N58" s="191">
        <v>0</v>
      </c>
      <c r="O58" s="2">
        <v>800000</v>
      </c>
      <c r="P58" s="2">
        <v>1000000</v>
      </c>
      <c r="Q58" s="2">
        <v>2000000</v>
      </c>
      <c r="R58" s="2">
        <v>0</v>
      </c>
      <c r="S58" s="191">
        <f t="shared" si="5"/>
        <v>7320000</v>
      </c>
      <c r="T58" s="191">
        <f t="shared" si="6"/>
        <v>4770000</v>
      </c>
    </row>
    <row r="59" spans="1:20" s="194" customFormat="1" x14ac:dyDescent="0.3">
      <c r="A59" s="261"/>
      <c r="B59" s="194" t="s">
        <v>80</v>
      </c>
      <c r="C59" s="195">
        <f t="shared" si="4"/>
        <v>12360000</v>
      </c>
      <c r="D59" s="188">
        <v>0</v>
      </c>
      <c r="E59" s="197">
        <v>300000</v>
      </c>
      <c r="F59" s="2">
        <v>420000</v>
      </c>
      <c r="G59" s="196">
        <v>300000</v>
      </c>
      <c r="H59" s="189">
        <v>100000</v>
      </c>
      <c r="I59" s="2">
        <v>1300000</v>
      </c>
      <c r="J59" s="2">
        <v>0</v>
      </c>
      <c r="K59" s="2">
        <v>800000</v>
      </c>
      <c r="L59" s="191">
        <v>100000</v>
      </c>
      <c r="M59" s="199">
        <v>200000</v>
      </c>
      <c r="N59" s="191">
        <v>0</v>
      </c>
      <c r="O59" s="2">
        <v>800000</v>
      </c>
      <c r="P59" s="2">
        <v>0</v>
      </c>
      <c r="Q59" s="2">
        <v>2000000</v>
      </c>
      <c r="R59" s="2">
        <v>600000</v>
      </c>
      <c r="S59" s="191">
        <f t="shared" si="5"/>
        <v>6920000</v>
      </c>
      <c r="T59" s="191">
        <f t="shared" si="6"/>
        <v>5440000</v>
      </c>
    </row>
    <row r="60" spans="1:20" s="194" customFormat="1" x14ac:dyDescent="0.3">
      <c r="A60" s="261"/>
      <c r="B60" s="194" t="s">
        <v>81</v>
      </c>
      <c r="C60" s="187">
        <f t="shared" si="4"/>
        <v>13030000</v>
      </c>
      <c r="D60" s="188">
        <v>0</v>
      </c>
      <c r="E60" s="197">
        <v>300000</v>
      </c>
      <c r="F60" s="2">
        <v>420000</v>
      </c>
      <c r="G60" s="196">
        <v>300000</v>
      </c>
      <c r="H60" s="189">
        <v>100000</v>
      </c>
      <c r="I60" s="2">
        <v>1300000</v>
      </c>
      <c r="J60" s="2">
        <v>0</v>
      </c>
      <c r="K60" s="2">
        <v>800000</v>
      </c>
      <c r="L60" s="191">
        <v>100000</v>
      </c>
      <c r="M60" s="199">
        <v>200000</v>
      </c>
      <c r="N60" s="191">
        <v>0</v>
      </c>
      <c r="O60" s="2">
        <v>800000</v>
      </c>
      <c r="P60" s="2">
        <v>0</v>
      </c>
      <c r="Q60" s="2">
        <v>2000000</v>
      </c>
      <c r="R60" s="2">
        <v>0</v>
      </c>
      <c r="S60" s="191">
        <f>SUM(D60:R60)</f>
        <v>6320000</v>
      </c>
      <c r="T60" s="191">
        <f t="shared" si="6"/>
        <v>6710000</v>
      </c>
    </row>
    <row r="61" spans="1:20" s="194" customFormat="1" x14ac:dyDescent="0.3">
      <c r="A61" s="261"/>
      <c r="B61" s="194" t="s">
        <v>82</v>
      </c>
      <c r="C61" s="195">
        <f t="shared" si="4"/>
        <v>14300000</v>
      </c>
      <c r="D61" s="188">
        <v>0</v>
      </c>
      <c r="E61" s="197">
        <v>300000</v>
      </c>
      <c r="F61" s="2">
        <v>420000</v>
      </c>
      <c r="G61" s="196">
        <v>300000</v>
      </c>
      <c r="H61" s="189">
        <v>100000</v>
      </c>
      <c r="I61" s="2">
        <v>1300000</v>
      </c>
      <c r="J61" s="2">
        <v>0</v>
      </c>
      <c r="K61" s="2">
        <v>800000</v>
      </c>
      <c r="L61" s="191">
        <v>100000</v>
      </c>
      <c r="M61" s="199">
        <v>200000</v>
      </c>
      <c r="N61" s="191">
        <v>0</v>
      </c>
      <c r="O61" s="2">
        <v>800000</v>
      </c>
      <c r="P61" s="2">
        <v>1000000</v>
      </c>
      <c r="Q61" s="2">
        <v>2000000</v>
      </c>
      <c r="R61" s="2">
        <v>0</v>
      </c>
      <c r="S61" s="191">
        <f t="shared" si="5"/>
        <v>7320000</v>
      </c>
      <c r="T61" s="191">
        <f t="shared" si="6"/>
        <v>6980000</v>
      </c>
    </row>
    <row r="62" spans="1:20" s="230" customFormat="1" x14ac:dyDescent="0.3">
      <c r="A62" s="261"/>
      <c r="B62" s="230" t="s">
        <v>83</v>
      </c>
      <c r="C62" s="187">
        <f t="shared" si="4"/>
        <v>14570000</v>
      </c>
      <c r="D62" s="229">
        <v>0</v>
      </c>
      <c r="E62" s="197">
        <v>300000</v>
      </c>
      <c r="F62" s="229">
        <v>420000</v>
      </c>
      <c r="G62" s="228">
        <v>300000</v>
      </c>
      <c r="H62" s="229">
        <v>100000</v>
      </c>
      <c r="I62" s="2">
        <v>1300000</v>
      </c>
      <c r="J62" s="2">
        <v>0</v>
      </c>
      <c r="K62" s="2">
        <v>800000</v>
      </c>
      <c r="L62" s="229">
        <v>100000</v>
      </c>
      <c r="M62" s="199">
        <v>200000</v>
      </c>
      <c r="N62" s="229">
        <v>0</v>
      </c>
      <c r="O62" s="2">
        <v>800000</v>
      </c>
      <c r="P62" s="229">
        <v>0</v>
      </c>
      <c r="Q62" s="2">
        <v>2000000</v>
      </c>
      <c r="R62" s="229">
        <v>0</v>
      </c>
      <c r="S62" s="229">
        <f t="shared" si="5"/>
        <v>6320000</v>
      </c>
      <c r="T62" s="229">
        <f t="shared" si="6"/>
        <v>8250000</v>
      </c>
    </row>
    <row r="63" spans="1:20" s="194" customFormat="1" x14ac:dyDescent="0.3">
      <c r="A63" s="261">
        <v>2028</v>
      </c>
      <c r="B63" s="194" t="s">
        <v>72</v>
      </c>
      <c r="C63" s="195">
        <f t="shared" si="4"/>
        <v>15840000</v>
      </c>
      <c r="D63" s="2">
        <v>3000000</v>
      </c>
      <c r="E63" s="197">
        <v>300000</v>
      </c>
      <c r="F63" s="2">
        <v>420000</v>
      </c>
      <c r="G63" s="196">
        <v>300000</v>
      </c>
      <c r="H63" s="189">
        <v>100000</v>
      </c>
      <c r="I63" s="2">
        <v>1300000</v>
      </c>
      <c r="J63" s="2">
        <v>0</v>
      </c>
      <c r="K63" s="2">
        <v>800000</v>
      </c>
      <c r="L63" s="191">
        <v>100000</v>
      </c>
      <c r="M63" s="199">
        <v>200000</v>
      </c>
      <c r="N63" s="191">
        <v>0</v>
      </c>
      <c r="O63" s="2">
        <v>800000</v>
      </c>
      <c r="P63" s="198">
        <v>0</v>
      </c>
      <c r="Q63" s="2">
        <v>2000000</v>
      </c>
      <c r="R63" s="2">
        <v>0</v>
      </c>
      <c r="S63" s="191">
        <f t="shared" si="5"/>
        <v>9320000</v>
      </c>
      <c r="T63" s="191">
        <f t="shared" si="6"/>
        <v>6520000</v>
      </c>
    </row>
    <row r="64" spans="1:20" s="194" customFormat="1" x14ac:dyDescent="0.3">
      <c r="A64" s="261"/>
      <c r="B64" s="194" t="s">
        <v>73</v>
      </c>
      <c r="C64" s="187">
        <f t="shared" si="4"/>
        <v>14110000</v>
      </c>
      <c r="D64" s="188">
        <v>0</v>
      </c>
      <c r="E64" s="197">
        <v>300000</v>
      </c>
      <c r="F64" s="2">
        <v>420000</v>
      </c>
      <c r="G64" s="196">
        <v>300000</v>
      </c>
      <c r="H64" s="189">
        <v>100000</v>
      </c>
      <c r="I64" s="2">
        <v>1300000</v>
      </c>
      <c r="J64" s="2">
        <v>0</v>
      </c>
      <c r="K64" s="2">
        <v>800000</v>
      </c>
      <c r="L64" s="191">
        <v>100000</v>
      </c>
      <c r="M64" s="199">
        <v>200000</v>
      </c>
      <c r="N64" s="191">
        <v>0</v>
      </c>
      <c r="O64" s="2">
        <v>800000</v>
      </c>
      <c r="P64" s="2">
        <v>1000000</v>
      </c>
      <c r="Q64" s="2">
        <v>2000000</v>
      </c>
      <c r="R64" s="2">
        <v>600000</v>
      </c>
      <c r="S64" s="191">
        <f t="shared" si="5"/>
        <v>7920000</v>
      </c>
      <c r="T64" s="191">
        <f t="shared" si="6"/>
        <v>6190000</v>
      </c>
    </row>
    <row r="65" spans="1:20" s="194" customFormat="1" x14ac:dyDescent="0.3">
      <c r="A65" s="261"/>
      <c r="B65" s="194" t="s">
        <v>74</v>
      </c>
      <c r="C65" s="195">
        <f t="shared" si="4"/>
        <v>13780000</v>
      </c>
      <c r="D65" s="188">
        <v>0</v>
      </c>
      <c r="E65" s="197">
        <v>300000</v>
      </c>
      <c r="F65" s="2">
        <v>420000</v>
      </c>
      <c r="G65" s="196">
        <v>300000</v>
      </c>
      <c r="H65" s="189">
        <v>100000</v>
      </c>
      <c r="I65" s="2">
        <v>1300000</v>
      </c>
      <c r="J65" s="2">
        <v>0</v>
      </c>
      <c r="K65" s="2">
        <v>800000</v>
      </c>
      <c r="L65" s="191">
        <v>100000</v>
      </c>
      <c r="M65" s="199">
        <v>200000</v>
      </c>
      <c r="N65" s="191">
        <v>0</v>
      </c>
      <c r="O65" s="2">
        <v>800000</v>
      </c>
      <c r="P65" s="188">
        <v>0</v>
      </c>
      <c r="Q65" s="2">
        <v>2000000</v>
      </c>
      <c r="R65" s="2">
        <v>0</v>
      </c>
      <c r="S65" s="191">
        <f t="shared" si="5"/>
        <v>6320000</v>
      </c>
      <c r="T65" s="191">
        <f t="shared" si="6"/>
        <v>7460000</v>
      </c>
    </row>
    <row r="66" spans="1:20" s="194" customFormat="1" x14ac:dyDescent="0.3">
      <c r="A66" s="261"/>
      <c r="B66" s="194" t="s">
        <v>75</v>
      </c>
      <c r="C66" s="187">
        <f t="shared" si="4"/>
        <v>15050000</v>
      </c>
      <c r="D66" s="188">
        <v>0</v>
      </c>
      <c r="E66" s="197">
        <v>300000</v>
      </c>
      <c r="F66" s="2">
        <v>420000</v>
      </c>
      <c r="G66" s="196">
        <v>300000</v>
      </c>
      <c r="H66" s="189">
        <v>100000</v>
      </c>
      <c r="I66" s="2">
        <v>1300000</v>
      </c>
      <c r="J66" s="2">
        <v>0</v>
      </c>
      <c r="K66" s="2">
        <v>800000</v>
      </c>
      <c r="L66" s="191">
        <v>100000</v>
      </c>
      <c r="M66" s="199">
        <v>200000</v>
      </c>
      <c r="N66" s="191">
        <v>0</v>
      </c>
      <c r="O66" s="2">
        <v>800000</v>
      </c>
      <c r="P66" s="188">
        <v>0</v>
      </c>
      <c r="Q66" s="2">
        <v>2000000</v>
      </c>
      <c r="R66" s="2">
        <v>0</v>
      </c>
      <c r="S66" s="191">
        <f t="shared" si="5"/>
        <v>6320000</v>
      </c>
      <c r="T66" s="191">
        <f t="shared" si="6"/>
        <v>8730000</v>
      </c>
    </row>
    <row r="67" spans="1:20" s="194" customFormat="1" x14ac:dyDescent="0.3">
      <c r="A67" s="261"/>
      <c r="B67" s="194" t="s">
        <v>76</v>
      </c>
      <c r="C67" s="195">
        <f t="shared" si="4"/>
        <v>16320000</v>
      </c>
      <c r="D67" s="188">
        <v>3000000</v>
      </c>
      <c r="E67" s="197">
        <v>300000</v>
      </c>
      <c r="F67" s="2">
        <v>420000</v>
      </c>
      <c r="G67" s="196">
        <v>300000</v>
      </c>
      <c r="H67" s="189">
        <v>100000</v>
      </c>
      <c r="I67" s="2">
        <v>1300000</v>
      </c>
      <c r="J67" s="2">
        <v>0</v>
      </c>
      <c r="K67" s="2">
        <v>800000</v>
      </c>
      <c r="L67" s="191">
        <v>100000</v>
      </c>
      <c r="M67" s="199">
        <v>200000</v>
      </c>
      <c r="N67" s="191">
        <v>0</v>
      </c>
      <c r="O67" s="2">
        <v>800000</v>
      </c>
      <c r="P67" s="2">
        <v>1000000</v>
      </c>
      <c r="Q67" s="2">
        <v>2000000</v>
      </c>
      <c r="R67" s="2">
        <v>600000</v>
      </c>
      <c r="S67" s="191">
        <f t="shared" ref="S67:S98" si="7">SUM(D67:R67)</f>
        <v>10920000</v>
      </c>
      <c r="T67" s="191">
        <f t="shared" si="6"/>
        <v>5400000</v>
      </c>
    </row>
    <row r="68" spans="1:20" s="194" customFormat="1" x14ac:dyDescent="0.3">
      <c r="A68" s="261"/>
      <c r="B68" s="194" t="s">
        <v>77</v>
      </c>
      <c r="C68" s="187">
        <f t="shared" si="4"/>
        <v>12990000</v>
      </c>
      <c r="D68" s="188">
        <v>0</v>
      </c>
      <c r="E68" s="197">
        <v>300000</v>
      </c>
      <c r="F68" s="2">
        <v>420000</v>
      </c>
      <c r="G68" s="196">
        <v>300000</v>
      </c>
      <c r="H68" s="189">
        <v>100000</v>
      </c>
      <c r="I68" s="2">
        <v>1300000</v>
      </c>
      <c r="J68" s="2">
        <v>0</v>
      </c>
      <c r="K68" s="2">
        <v>800000</v>
      </c>
      <c r="L68" s="191">
        <v>100000</v>
      </c>
      <c r="M68" s="199">
        <v>200000</v>
      </c>
      <c r="N68" s="191">
        <v>0</v>
      </c>
      <c r="O68" s="2">
        <v>800000</v>
      </c>
      <c r="P68" s="2">
        <v>0</v>
      </c>
      <c r="Q68" s="2">
        <v>2000000</v>
      </c>
      <c r="R68" s="2">
        <v>0</v>
      </c>
      <c r="S68" s="191">
        <f t="shared" si="7"/>
        <v>6320000</v>
      </c>
      <c r="T68" s="191">
        <f t="shared" si="6"/>
        <v>6670000</v>
      </c>
    </row>
    <row r="69" spans="1:20" s="194" customFormat="1" x14ac:dyDescent="0.3">
      <c r="A69" s="261"/>
      <c r="B69" s="194" t="s">
        <v>78</v>
      </c>
      <c r="C69" s="195">
        <f t="shared" si="4"/>
        <v>14260000</v>
      </c>
      <c r="D69" s="2">
        <v>3000000</v>
      </c>
      <c r="E69" s="197">
        <v>300000</v>
      </c>
      <c r="F69" s="2">
        <v>420000</v>
      </c>
      <c r="G69" s="196">
        <v>300000</v>
      </c>
      <c r="H69" s="189">
        <v>100000</v>
      </c>
      <c r="I69" s="2">
        <v>1300000</v>
      </c>
      <c r="J69" s="2">
        <v>0</v>
      </c>
      <c r="K69" s="2">
        <v>800000</v>
      </c>
      <c r="L69" s="191">
        <v>100000</v>
      </c>
      <c r="M69" s="199">
        <v>200000</v>
      </c>
      <c r="N69" s="191">
        <v>0</v>
      </c>
      <c r="O69" s="2">
        <v>800000</v>
      </c>
      <c r="P69" s="2">
        <v>0</v>
      </c>
      <c r="Q69" s="2">
        <v>2000000</v>
      </c>
      <c r="R69" s="2">
        <v>0</v>
      </c>
      <c r="S69" s="191">
        <f t="shared" si="7"/>
        <v>9320000</v>
      </c>
      <c r="T69" s="191">
        <f t="shared" si="6"/>
        <v>4940000</v>
      </c>
    </row>
    <row r="70" spans="1:20" s="194" customFormat="1" x14ac:dyDescent="0.3">
      <c r="A70" s="261"/>
      <c r="B70" s="194" t="s">
        <v>79</v>
      </c>
      <c r="C70" s="187">
        <f t="shared" si="4"/>
        <v>12530000</v>
      </c>
      <c r="D70" s="188">
        <v>0</v>
      </c>
      <c r="E70" s="197">
        <v>300000</v>
      </c>
      <c r="F70" s="2">
        <v>420000</v>
      </c>
      <c r="G70" s="196">
        <v>300000</v>
      </c>
      <c r="H70" s="189">
        <v>100000</v>
      </c>
      <c r="I70" s="2">
        <v>1300000</v>
      </c>
      <c r="J70" s="2">
        <v>0</v>
      </c>
      <c r="K70" s="2">
        <v>800000</v>
      </c>
      <c r="L70" s="191">
        <v>100000</v>
      </c>
      <c r="M70" s="199">
        <v>200000</v>
      </c>
      <c r="N70" s="191">
        <v>0</v>
      </c>
      <c r="O70" s="2">
        <v>800000</v>
      </c>
      <c r="P70" s="2">
        <v>1000000</v>
      </c>
      <c r="Q70" s="2">
        <v>2000000</v>
      </c>
      <c r="R70" s="2">
        <v>0</v>
      </c>
      <c r="S70" s="191">
        <f t="shared" si="7"/>
        <v>7320000</v>
      </c>
      <c r="T70" s="191">
        <f t="shared" si="6"/>
        <v>5210000</v>
      </c>
    </row>
    <row r="71" spans="1:20" s="194" customFormat="1" x14ac:dyDescent="0.3">
      <c r="A71" s="261"/>
      <c r="B71" s="194" t="s">
        <v>80</v>
      </c>
      <c r="C71" s="195">
        <f t="shared" si="4"/>
        <v>12800000</v>
      </c>
      <c r="D71" s="188">
        <v>0</v>
      </c>
      <c r="E71" s="197">
        <v>300000</v>
      </c>
      <c r="F71" s="2">
        <v>420000</v>
      </c>
      <c r="G71" s="196">
        <v>300000</v>
      </c>
      <c r="H71" s="189">
        <v>100000</v>
      </c>
      <c r="I71" s="2">
        <v>1300000</v>
      </c>
      <c r="J71" s="2">
        <v>0</v>
      </c>
      <c r="K71" s="2">
        <v>800000</v>
      </c>
      <c r="L71" s="191">
        <v>100000</v>
      </c>
      <c r="M71" s="199">
        <v>200000</v>
      </c>
      <c r="N71" s="191">
        <v>0</v>
      </c>
      <c r="O71" s="2">
        <v>800000</v>
      </c>
      <c r="P71" s="2">
        <v>0</v>
      </c>
      <c r="Q71" s="2">
        <v>2000000</v>
      </c>
      <c r="R71" s="2">
        <v>600000</v>
      </c>
      <c r="S71" s="191">
        <f t="shared" si="7"/>
        <v>6920000</v>
      </c>
      <c r="T71" s="191">
        <f t="shared" si="6"/>
        <v>5880000</v>
      </c>
    </row>
    <row r="72" spans="1:20" s="194" customFormat="1" x14ac:dyDescent="0.3">
      <c r="A72" s="261"/>
      <c r="B72" s="194" t="s">
        <v>81</v>
      </c>
      <c r="C72" s="187">
        <f t="shared" si="4"/>
        <v>13470000</v>
      </c>
      <c r="D72" s="188">
        <v>0</v>
      </c>
      <c r="E72" s="197">
        <v>300000</v>
      </c>
      <c r="F72" s="2">
        <v>420000</v>
      </c>
      <c r="G72" s="196">
        <v>300000</v>
      </c>
      <c r="H72" s="189">
        <v>100000</v>
      </c>
      <c r="I72" s="2">
        <v>1300000</v>
      </c>
      <c r="J72" s="2">
        <v>0</v>
      </c>
      <c r="K72" s="2">
        <v>800000</v>
      </c>
      <c r="L72" s="191">
        <v>100000</v>
      </c>
      <c r="M72" s="199">
        <v>200000</v>
      </c>
      <c r="N72" s="191">
        <v>0</v>
      </c>
      <c r="O72" s="2">
        <v>800000</v>
      </c>
      <c r="P72" s="2">
        <v>0</v>
      </c>
      <c r="Q72" s="2">
        <v>2000000</v>
      </c>
      <c r="R72" s="2">
        <v>0</v>
      </c>
      <c r="S72" s="191">
        <f t="shared" si="7"/>
        <v>6320000</v>
      </c>
      <c r="T72" s="191">
        <f t="shared" si="6"/>
        <v>7150000</v>
      </c>
    </row>
    <row r="73" spans="1:20" s="194" customFormat="1" x14ac:dyDescent="0.3">
      <c r="A73" s="261"/>
      <c r="B73" s="194" t="s">
        <v>82</v>
      </c>
      <c r="C73" s="195">
        <f t="shared" si="4"/>
        <v>14740000</v>
      </c>
      <c r="D73" s="188">
        <v>0</v>
      </c>
      <c r="E73" s="197">
        <v>300000</v>
      </c>
      <c r="F73" s="2">
        <v>420000</v>
      </c>
      <c r="G73" s="196">
        <v>300000</v>
      </c>
      <c r="H73" s="189">
        <v>100000</v>
      </c>
      <c r="I73" s="2">
        <v>1300000</v>
      </c>
      <c r="J73" s="2">
        <v>0</v>
      </c>
      <c r="K73" s="2">
        <v>800000</v>
      </c>
      <c r="L73" s="191">
        <v>100000</v>
      </c>
      <c r="M73" s="199">
        <v>200000</v>
      </c>
      <c r="N73" s="191">
        <v>0</v>
      </c>
      <c r="O73" s="2">
        <v>800000</v>
      </c>
      <c r="P73" s="2">
        <v>1000000</v>
      </c>
      <c r="Q73" s="2">
        <v>2000000</v>
      </c>
      <c r="R73" s="2">
        <v>0</v>
      </c>
      <c r="S73" s="191">
        <f t="shared" si="7"/>
        <v>7320000</v>
      </c>
      <c r="T73" s="191">
        <f t="shared" si="6"/>
        <v>7420000</v>
      </c>
    </row>
    <row r="74" spans="1:20" s="216" customFormat="1" x14ac:dyDescent="0.3">
      <c r="A74" s="261"/>
      <c r="B74" s="216" t="s">
        <v>83</v>
      </c>
      <c r="C74" s="187">
        <f t="shared" si="4"/>
        <v>15010000</v>
      </c>
      <c r="D74" s="217">
        <v>0</v>
      </c>
      <c r="E74" s="197">
        <v>300000</v>
      </c>
      <c r="F74" s="217">
        <v>420000</v>
      </c>
      <c r="G74" s="218">
        <v>300000</v>
      </c>
      <c r="H74" s="217">
        <v>100000</v>
      </c>
      <c r="I74" s="2">
        <v>1300000</v>
      </c>
      <c r="J74" s="2">
        <v>0</v>
      </c>
      <c r="K74" s="2">
        <v>800000</v>
      </c>
      <c r="L74" s="217">
        <v>100000</v>
      </c>
      <c r="M74" s="199">
        <v>200000</v>
      </c>
      <c r="N74" s="217">
        <v>0</v>
      </c>
      <c r="O74" s="2">
        <v>800000</v>
      </c>
      <c r="P74" s="217">
        <v>0</v>
      </c>
      <c r="Q74" s="2">
        <v>2000000</v>
      </c>
      <c r="R74" s="217">
        <v>0</v>
      </c>
      <c r="S74" s="217">
        <f t="shared" si="7"/>
        <v>6320000</v>
      </c>
      <c r="T74" s="217">
        <f t="shared" si="6"/>
        <v>8690000</v>
      </c>
    </row>
    <row r="75" spans="1:20" s="194" customFormat="1" x14ac:dyDescent="0.3">
      <c r="A75" s="261">
        <v>2029</v>
      </c>
      <c r="B75" s="194" t="s">
        <v>72</v>
      </c>
      <c r="C75" s="195">
        <f t="shared" si="4"/>
        <v>16280000</v>
      </c>
      <c r="D75" s="2">
        <v>3000000</v>
      </c>
      <c r="E75" s="197">
        <v>300000</v>
      </c>
      <c r="F75" s="2">
        <v>420000</v>
      </c>
      <c r="G75" s="196">
        <v>300000</v>
      </c>
      <c r="H75" s="189">
        <v>100000</v>
      </c>
      <c r="I75" s="2">
        <v>1300000</v>
      </c>
      <c r="J75" s="2">
        <v>0</v>
      </c>
      <c r="K75" s="2">
        <v>800000</v>
      </c>
      <c r="L75" s="191">
        <v>100000</v>
      </c>
      <c r="M75" s="199">
        <v>200000</v>
      </c>
      <c r="N75" s="191">
        <v>0</v>
      </c>
      <c r="O75" s="2">
        <v>800000</v>
      </c>
      <c r="P75" s="198">
        <v>0</v>
      </c>
      <c r="Q75" s="2">
        <v>2000000</v>
      </c>
      <c r="R75" s="2">
        <v>0</v>
      </c>
      <c r="S75" s="191">
        <f t="shared" si="7"/>
        <v>9320000</v>
      </c>
      <c r="T75" s="191">
        <f t="shared" si="6"/>
        <v>6960000</v>
      </c>
    </row>
    <row r="76" spans="1:20" s="194" customFormat="1" x14ac:dyDescent="0.3">
      <c r="A76" s="261"/>
      <c r="B76" s="194" t="s">
        <v>73</v>
      </c>
      <c r="C76" s="187">
        <f t="shared" si="4"/>
        <v>14550000</v>
      </c>
      <c r="D76" s="188">
        <v>0</v>
      </c>
      <c r="E76" s="197">
        <v>300000</v>
      </c>
      <c r="F76" s="2">
        <v>420000</v>
      </c>
      <c r="G76" s="196">
        <v>300000</v>
      </c>
      <c r="H76" s="189">
        <v>100000</v>
      </c>
      <c r="I76" s="2">
        <v>1300000</v>
      </c>
      <c r="J76" s="2">
        <v>0</v>
      </c>
      <c r="K76" s="2">
        <v>800000</v>
      </c>
      <c r="L76" s="191">
        <v>100000</v>
      </c>
      <c r="M76" s="199">
        <v>200000</v>
      </c>
      <c r="N76" s="191">
        <v>0</v>
      </c>
      <c r="O76" s="2">
        <v>800000</v>
      </c>
      <c r="P76" s="2">
        <v>1000000</v>
      </c>
      <c r="Q76" s="2">
        <v>2000000</v>
      </c>
      <c r="R76" s="2">
        <v>600000</v>
      </c>
      <c r="S76" s="191">
        <f t="shared" si="7"/>
        <v>7920000</v>
      </c>
      <c r="T76" s="191">
        <f t="shared" si="6"/>
        <v>6630000</v>
      </c>
    </row>
    <row r="77" spans="1:20" s="194" customFormat="1" x14ac:dyDescent="0.3">
      <c r="A77" s="261"/>
      <c r="B77" s="194" t="s">
        <v>74</v>
      </c>
      <c r="C77" s="195">
        <f t="shared" si="4"/>
        <v>14220000</v>
      </c>
      <c r="D77" s="188">
        <v>0</v>
      </c>
      <c r="E77" s="197">
        <v>300000</v>
      </c>
      <c r="F77" s="2">
        <v>420000</v>
      </c>
      <c r="G77" s="196">
        <v>300000</v>
      </c>
      <c r="H77" s="189">
        <v>100000</v>
      </c>
      <c r="I77" s="2">
        <v>1300000</v>
      </c>
      <c r="J77" s="2">
        <v>0</v>
      </c>
      <c r="K77" s="2">
        <v>800000</v>
      </c>
      <c r="L77" s="191">
        <v>100000</v>
      </c>
      <c r="M77" s="199">
        <v>200000</v>
      </c>
      <c r="N77" s="191">
        <v>0</v>
      </c>
      <c r="O77" s="2">
        <v>800000</v>
      </c>
      <c r="P77" s="188">
        <v>0</v>
      </c>
      <c r="Q77" s="2">
        <v>2000000</v>
      </c>
      <c r="R77" s="2">
        <v>0</v>
      </c>
      <c r="S77" s="191">
        <f t="shared" si="7"/>
        <v>6320000</v>
      </c>
      <c r="T77" s="191">
        <f t="shared" ref="T77:T108" si="8" xml:space="preserve"> C77 - S77</f>
        <v>7900000</v>
      </c>
    </row>
    <row r="78" spans="1:20" s="194" customFormat="1" x14ac:dyDescent="0.3">
      <c r="A78" s="261"/>
      <c r="B78" s="194" t="s">
        <v>75</v>
      </c>
      <c r="C78" s="187">
        <f t="shared" si="4"/>
        <v>15490000</v>
      </c>
      <c r="D78" s="188">
        <v>0</v>
      </c>
      <c r="E78" s="197">
        <v>300000</v>
      </c>
      <c r="F78" s="2">
        <v>420000</v>
      </c>
      <c r="G78" s="196">
        <v>300000</v>
      </c>
      <c r="H78" s="189">
        <v>100000</v>
      </c>
      <c r="I78" s="2">
        <v>1300000</v>
      </c>
      <c r="J78" s="2">
        <v>0</v>
      </c>
      <c r="K78" s="2">
        <v>800000</v>
      </c>
      <c r="L78" s="191">
        <v>100000</v>
      </c>
      <c r="M78" s="199">
        <v>200000</v>
      </c>
      <c r="N78" s="191">
        <v>0</v>
      </c>
      <c r="O78" s="2">
        <v>800000</v>
      </c>
      <c r="P78" s="188">
        <v>0</v>
      </c>
      <c r="Q78" s="2">
        <v>2000000</v>
      </c>
      <c r="R78" s="2">
        <v>0</v>
      </c>
      <c r="S78" s="191">
        <f t="shared" si="7"/>
        <v>6320000</v>
      </c>
      <c r="T78" s="191">
        <f t="shared" si="8"/>
        <v>9170000</v>
      </c>
    </row>
    <row r="79" spans="1:20" s="194" customFormat="1" x14ac:dyDescent="0.3">
      <c r="A79" s="261"/>
      <c r="B79" s="194" t="s">
        <v>76</v>
      </c>
      <c r="C79" s="195">
        <f t="shared" si="4"/>
        <v>16760000</v>
      </c>
      <c r="D79" s="188">
        <v>3000000</v>
      </c>
      <c r="E79" s="197">
        <v>300000</v>
      </c>
      <c r="F79" s="2">
        <v>420000</v>
      </c>
      <c r="G79" s="196">
        <v>300000</v>
      </c>
      <c r="H79" s="189">
        <v>100000</v>
      </c>
      <c r="I79" s="2">
        <v>1300000</v>
      </c>
      <c r="J79" s="2">
        <v>0</v>
      </c>
      <c r="K79" s="2">
        <v>800000</v>
      </c>
      <c r="L79" s="191">
        <v>100000</v>
      </c>
      <c r="M79" s="199">
        <v>200000</v>
      </c>
      <c r="N79" s="191">
        <v>0</v>
      </c>
      <c r="O79" s="2">
        <v>800000</v>
      </c>
      <c r="P79" s="2">
        <v>1000000</v>
      </c>
      <c r="Q79" s="2">
        <v>2000000</v>
      </c>
      <c r="R79" s="2">
        <v>600000</v>
      </c>
      <c r="S79" s="191">
        <f t="shared" si="7"/>
        <v>10920000</v>
      </c>
      <c r="T79" s="191">
        <f t="shared" si="8"/>
        <v>5840000</v>
      </c>
    </row>
    <row r="80" spans="1:20" s="194" customFormat="1" x14ac:dyDescent="0.3">
      <c r="A80" s="261"/>
      <c r="B80" s="194" t="s">
        <v>77</v>
      </c>
      <c r="C80" s="187">
        <f t="shared" si="4"/>
        <v>13430000</v>
      </c>
      <c r="D80" s="188">
        <v>0</v>
      </c>
      <c r="E80" s="197">
        <v>300000</v>
      </c>
      <c r="F80" s="2">
        <v>420000</v>
      </c>
      <c r="G80" s="196">
        <v>300000</v>
      </c>
      <c r="H80" s="189">
        <v>100000</v>
      </c>
      <c r="I80" s="2">
        <v>1300000</v>
      </c>
      <c r="J80" s="2">
        <v>0</v>
      </c>
      <c r="K80" s="2">
        <v>800000</v>
      </c>
      <c r="L80" s="191">
        <v>100000</v>
      </c>
      <c r="M80" s="199">
        <v>200000</v>
      </c>
      <c r="N80" s="191">
        <v>0</v>
      </c>
      <c r="O80" s="2">
        <v>800000</v>
      </c>
      <c r="P80" s="2">
        <v>0</v>
      </c>
      <c r="Q80" s="2">
        <v>2000000</v>
      </c>
      <c r="R80" s="2">
        <v>0</v>
      </c>
      <c r="S80" s="191">
        <f t="shared" si="7"/>
        <v>6320000</v>
      </c>
      <c r="T80" s="191">
        <f t="shared" si="8"/>
        <v>7110000</v>
      </c>
    </row>
    <row r="81" spans="1:20" s="194" customFormat="1" x14ac:dyDescent="0.3">
      <c r="A81" s="261"/>
      <c r="B81" s="194" t="s">
        <v>78</v>
      </c>
      <c r="C81" s="195">
        <f t="shared" si="4"/>
        <v>14700000</v>
      </c>
      <c r="D81" s="2">
        <v>3000000</v>
      </c>
      <c r="E81" s="197">
        <v>300000</v>
      </c>
      <c r="F81" s="2">
        <v>420000</v>
      </c>
      <c r="G81" s="196">
        <v>300000</v>
      </c>
      <c r="H81" s="189">
        <v>100000</v>
      </c>
      <c r="I81" s="2">
        <v>1300000</v>
      </c>
      <c r="J81" s="2">
        <v>0</v>
      </c>
      <c r="K81" s="2">
        <v>800000</v>
      </c>
      <c r="L81" s="191">
        <v>100000</v>
      </c>
      <c r="M81" s="199">
        <v>200000</v>
      </c>
      <c r="N81" s="191">
        <v>0</v>
      </c>
      <c r="O81" s="2">
        <v>800000</v>
      </c>
      <c r="P81" s="2">
        <v>0</v>
      </c>
      <c r="Q81" s="2">
        <v>2000000</v>
      </c>
      <c r="R81" s="2">
        <v>0</v>
      </c>
      <c r="S81" s="191">
        <f t="shared" si="7"/>
        <v>9320000</v>
      </c>
      <c r="T81" s="191">
        <f t="shared" si="8"/>
        <v>5380000</v>
      </c>
    </row>
    <row r="82" spans="1:20" s="194" customFormat="1" x14ac:dyDescent="0.3">
      <c r="A82" s="261"/>
      <c r="B82" s="194" t="s">
        <v>79</v>
      </c>
      <c r="C82" s="187">
        <f t="shared" si="4"/>
        <v>12970000</v>
      </c>
      <c r="D82" s="188">
        <v>0</v>
      </c>
      <c r="E82" s="197">
        <v>300000</v>
      </c>
      <c r="F82" s="2">
        <v>420000</v>
      </c>
      <c r="G82" s="196">
        <v>300000</v>
      </c>
      <c r="H82" s="189">
        <v>100000</v>
      </c>
      <c r="I82" s="2">
        <v>1300000</v>
      </c>
      <c r="J82" s="2">
        <v>0</v>
      </c>
      <c r="K82" s="2">
        <v>800000</v>
      </c>
      <c r="L82" s="191">
        <v>100000</v>
      </c>
      <c r="M82" s="199">
        <v>200000</v>
      </c>
      <c r="N82" s="191">
        <v>0</v>
      </c>
      <c r="O82" s="2">
        <v>800000</v>
      </c>
      <c r="P82" s="2">
        <v>1000000</v>
      </c>
      <c r="Q82" s="2">
        <v>2000000</v>
      </c>
      <c r="R82" s="2">
        <v>0</v>
      </c>
      <c r="S82" s="191">
        <f t="shared" si="7"/>
        <v>7320000</v>
      </c>
      <c r="T82" s="191">
        <f t="shared" si="8"/>
        <v>5650000</v>
      </c>
    </row>
    <row r="83" spans="1:20" s="194" customFormat="1" x14ac:dyDescent="0.3">
      <c r="A83" s="261"/>
      <c r="B83" s="194" t="s">
        <v>80</v>
      </c>
      <c r="C83" s="195">
        <f t="shared" si="4"/>
        <v>13240000</v>
      </c>
      <c r="D83" s="188">
        <v>0</v>
      </c>
      <c r="E83" s="197">
        <v>300000</v>
      </c>
      <c r="F83" s="2">
        <v>420000</v>
      </c>
      <c r="G83" s="196">
        <v>300000</v>
      </c>
      <c r="H83" s="189">
        <v>100000</v>
      </c>
      <c r="I83" s="2">
        <v>1300000</v>
      </c>
      <c r="J83" s="2">
        <v>0</v>
      </c>
      <c r="K83" s="2">
        <v>800000</v>
      </c>
      <c r="L83" s="191">
        <v>100000</v>
      </c>
      <c r="M83" s="199">
        <v>200000</v>
      </c>
      <c r="N83" s="191">
        <v>0</v>
      </c>
      <c r="O83" s="2">
        <v>800000</v>
      </c>
      <c r="P83" s="2">
        <v>0</v>
      </c>
      <c r="Q83" s="2">
        <v>2000000</v>
      </c>
      <c r="R83" s="2">
        <v>600000</v>
      </c>
      <c r="S83" s="191">
        <f t="shared" si="7"/>
        <v>6920000</v>
      </c>
      <c r="T83" s="191">
        <f t="shared" si="8"/>
        <v>6320000</v>
      </c>
    </row>
    <row r="84" spans="1:20" s="194" customFormat="1" x14ac:dyDescent="0.3">
      <c r="A84" s="261"/>
      <c r="B84" s="194" t="s">
        <v>81</v>
      </c>
      <c r="C84" s="187">
        <f t="shared" si="4"/>
        <v>13910000</v>
      </c>
      <c r="D84" s="188">
        <v>0</v>
      </c>
      <c r="E84" s="197">
        <v>300000</v>
      </c>
      <c r="F84" s="2">
        <v>420000</v>
      </c>
      <c r="G84" s="196">
        <v>300000</v>
      </c>
      <c r="H84" s="189">
        <v>100000</v>
      </c>
      <c r="I84" s="2">
        <v>1300000</v>
      </c>
      <c r="J84" s="2">
        <v>0</v>
      </c>
      <c r="K84" s="2">
        <v>800000</v>
      </c>
      <c r="L84" s="191">
        <v>100000</v>
      </c>
      <c r="M84" s="199">
        <v>200000</v>
      </c>
      <c r="N84" s="191">
        <v>0</v>
      </c>
      <c r="O84" s="2">
        <v>800000</v>
      </c>
      <c r="P84" s="2">
        <v>0</v>
      </c>
      <c r="Q84" s="2">
        <v>2000000</v>
      </c>
      <c r="R84" s="2">
        <v>0</v>
      </c>
      <c r="S84" s="191">
        <f t="shared" si="7"/>
        <v>6320000</v>
      </c>
      <c r="T84" s="191">
        <f t="shared" si="8"/>
        <v>7590000</v>
      </c>
    </row>
    <row r="85" spans="1:20" s="194" customFormat="1" x14ac:dyDescent="0.3">
      <c r="A85" s="261"/>
      <c r="B85" s="194" t="s">
        <v>82</v>
      </c>
      <c r="C85" s="195">
        <f t="shared" si="4"/>
        <v>15180000</v>
      </c>
      <c r="D85" s="188">
        <v>0</v>
      </c>
      <c r="E85" s="197">
        <v>300000</v>
      </c>
      <c r="F85" s="2">
        <v>420000</v>
      </c>
      <c r="G85" s="196">
        <v>300000</v>
      </c>
      <c r="H85" s="189">
        <v>100000</v>
      </c>
      <c r="I85" s="2">
        <v>1300000</v>
      </c>
      <c r="J85" s="2">
        <v>0</v>
      </c>
      <c r="K85" s="2">
        <v>800000</v>
      </c>
      <c r="L85" s="191">
        <v>100000</v>
      </c>
      <c r="M85" s="199">
        <v>200000</v>
      </c>
      <c r="N85" s="191">
        <v>0</v>
      </c>
      <c r="O85" s="2">
        <v>800000</v>
      </c>
      <c r="P85" s="2">
        <v>1000000</v>
      </c>
      <c r="Q85" s="2">
        <v>2000000</v>
      </c>
      <c r="R85" s="2">
        <v>0</v>
      </c>
      <c r="S85" s="191">
        <f t="shared" si="7"/>
        <v>7320000</v>
      </c>
      <c r="T85" s="191">
        <f t="shared" si="8"/>
        <v>7860000</v>
      </c>
    </row>
    <row r="86" spans="1:20" s="216" customFormat="1" x14ac:dyDescent="0.3">
      <c r="A86" s="261"/>
      <c r="B86" s="216" t="s">
        <v>83</v>
      </c>
      <c r="C86" s="187">
        <f t="shared" si="4"/>
        <v>15450000</v>
      </c>
      <c r="D86" s="217">
        <v>0</v>
      </c>
      <c r="E86" s="197">
        <v>300000</v>
      </c>
      <c r="F86" s="217">
        <v>420000</v>
      </c>
      <c r="G86" s="218">
        <v>300000</v>
      </c>
      <c r="H86" s="217">
        <v>100000</v>
      </c>
      <c r="I86" s="2">
        <v>1300000</v>
      </c>
      <c r="J86" s="2">
        <v>0</v>
      </c>
      <c r="K86" s="2">
        <v>800000</v>
      </c>
      <c r="L86" s="217">
        <v>100000</v>
      </c>
      <c r="M86" s="199">
        <v>200000</v>
      </c>
      <c r="N86" s="217">
        <v>0</v>
      </c>
      <c r="O86" s="2">
        <v>800000</v>
      </c>
      <c r="P86" s="217">
        <v>0</v>
      </c>
      <c r="Q86" s="2">
        <v>2000000</v>
      </c>
      <c r="R86" s="217">
        <v>0</v>
      </c>
      <c r="S86" s="217">
        <f t="shared" si="7"/>
        <v>6320000</v>
      </c>
      <c r="T86" s="217">
        <f t="shared" si="8"/>
        <v>9130000</v>
      </c>
    </row>
    <row r="87" spans="1:20" s="194" customFormat="1" x14ac:dyDescent="0.3">
      <c r="A87" s="261">
        <v>2030</v>
      </c>
      <c r="B87" s="194" t="s">
        <v>72</v>
      </c>
      <c r="C87" s="195">
        <f t="shared" si="4"/>
        <v>16720000</v>
      </c>
      <c r="D87" s="2">
        <v>3000000</v>
      </c>
      <c r="E87" s="197">
        <v>300000</v>
      </c>
      <c r="F87" s="2">
        <v>420000</v>
      </c>
      <c r="G87" s="196">
        <v>300000</v>
      </c>
      <c r="H87" s="189">
        <v>100000</v>
      </c>
      <c r="I87" s="2">
        <v>1300000</v>
      </c>
      <c r="J87" s="2">
        <v>0</v>
      </c>
      <c r="K87" s="2">
        <v>800000</v>
      </c>
      <c r="L87" s="191">
        <v>100000</v>
      </c>
      <c r="M87" s="199">
        <v>200000</v>
      </c>
      <c r="N87" s="191">
        <v>0</v>
      </c>
      <c r="O87" s="2">
        <v>800000</v>
      </c>
      <c r="P87" s="198">
        <v>0</v>
      </c>
      <c r="Q87" s="2">
        <v>2000000</v>
      </c>
      <c r="R87" s="2">
        <v>0</v>
      </c>
      <c r="S87" s="191">
        <f t="shared" si="7"/>
        <v>9320000</v>
      </c>
      <c r="T87" s="191">
        <f t="shared" si="8"/>
        <v>7400000</v>
      </c>
    </row>
    <row r="88" spans="1:20" s="194" customFormat="1" x14ac:dyDescent="0.3">
      <c r="A88" s="261"/>
      <c r="B88" s="194" t="s">
        <v>73</v>
      </c>
      <c r="C88" s="187">
        <f t="shared" si="4"/>
        <v>14990000</v>
      </c>
      <c r="D88" s="188">
        <v>0</v>
      </c>
      <c r="E88" s="197">
        <v>300000</v>
      </c>
      <c r="F88" s="2">
        <v>420000</v>
      </c>
      <c r="G88" s="196">
        <v>300000</v>
      </c>
      <c r="H88" s="189">
        <v>100000</v>
      </c>
      <c r="I88" s="2">
        <v>1300000</v>
      </c>
      <c r="J88" s="2">
        <v>0</v>
      </c>
      <c r="K88" s="2">
        <v>800000</v>
      </c>
      <c r="L88" s="191">
        <v>100000</v>
      </c>
      <c r="M88" s="199">
        <v>200000</v>
      </c>
      <c r="N88" s="191">
        <v>0</v>
      </c>
      <c r="O88" s="2">
        <v>800000</v>
      </c>
      <c r="P88" s="2">
        <v>1000000</v>
      </c>
      <c r="Q88" s="2">
        <v>2000000</v>
      </c>
      <c r="R88" s="2">
        <v>600000</v>
      </c>
      <c r="S88" s="191">
        <f t="shared" si="7"/>
        <v>7920000</v>
      </c>
      <c r="T88" s="191">
        <f t="shared" si="8"/>
        <v>7070000</v>
      </c>
    </row>
    <row r="89" spans="1:20" s="194" customFormat="1" x14ac:dyDescent="0.3">
      <c r="A89" s="261"/>
      <c r="B89" s="194" t="s">
        <v>74</v>
      </c>
      <c r="C89" s="195">
        <f t="shared" si="4"/>
        <v>14660000</v>
      </c>
      <c r="D89" s="188">
        <v>0</v>
      </c>
      <c r="E89" s="197">
        <v>300000</v>
      </c>
      <c r="F89" s="2">
        <v>420000</v>
      </c>
      <c r="G89" s="196">
        <v>300000</v>
      </c>
      <c r="H89" s="189">
        <v>100000</v>
      </c>
      <c r="I89" s="2">
        <v>1300000</v>
      </c>
      <c r="J89" s="2">
        <v>0</v>
      </c>
      <c r="K89" s="2">
        <v>800000</v>
      </c>
      <c r="L89" s="191">
        <v>100000</v>
      </c>
      <c r="M89" s="199">
        <v>200000</v>
      </c>
      <c r="N89" s="191">
        <v>0</v>
      </c>
      <c r="O89" s="2">
        <v>800000</v>
      </c>
      <c r="P89" s="188">
        <v>0</v>
      </c>
      <c r="Q89" s="2">
        <v>2000000</v>
      </c>
      <c r="R89" s="2">
        <v>0</v>
      </c>
      <c r="S89" s="191">
        <f t="shared" si="7"/>
        <v>6320000</v>
      </c>
      <c r="T89" s="191">
        <f t="shared" si="8"/>
        <v>8340000</v>
      </c>
    </row>
    <row r="90" spans="1:20" s="194" customFormat="1" x14ac:dyDescent="0.3">
      <c r="A90" s="261"/>
      <c r="B90" s="194" t="s">
        <v>75</v>
      </c>
      <c r="C90" s="187">
        <f t="shared" si="4"/>
        <v>15930000</v>
      </c>
      <c r="D90" s="188">
        <v>0</v>
      </c>
      <c r="E90" s="197">
        <v>300000</v>
      </c>
      <c r="F90" s="2">
        <v>420000</v>
      </c>
      <c r="G90" s="196">
        <v>300000</v>
      </c>
      <c r="H90" s="189">
        <v>100000</v>
      </c>
      <c r="I90" s="2">
        <v>1300000</v>
      </c>
      <c r="J90" s="2">
        <v>0</v>
      </c>
      <c r="K90" s="2">
        <v>800000</v>
      </c>
      <c r="L90" s="191">
        <v>100000</v>
      </c>
      <c r="M90" s="199">
        <v>200000</v>
      </c>
      <c r="N90" s="191">
        <v>0</v>
      </c>
      <c r="O90" s="2">
        <v>800000</v>
      </c>
      <c r="P90" s="188">
        <v>0</v>
      </c>
      <c r="Q90" s="2">
        <v>2000000</v>
      </c>
      <c r="R90" s="2">
        <v>0</v>
      </c>
      <c r="S90" s="191">
        <f t="shared" si="7"/>
        <v>6320000</v>
      </c>
      <c r="T90" s="191">
        <f t="shared" si="8"/>
        <v>9610000</v>
      </c>
    </row>
    <row r="91" spans="1:20" s="194" customFormat="1" x14ac:dyDescent="0.3">
      <c r="A91" s="261"/>
      <c r="B91" s="194" t="s">
        <v>76</v>
      </c>
      <c r="C91" s="195">
        <f t="shared" si="4"/>
        <v>17200000</v>
      </c>
      <c r="D91" s="188">
        <v>3000000</v>
      </c>
      <c r="E91" s="197">
        <v>300000</v>
      </c>
      <c r="F91" s="2">
        <v>420000</v>
      </c>
      <c r="G91" s="196">
        <v>300000</v>
      </c>
      <c r="H91" s="189">
        <v>100000</v>
      </c>
      <c r="I91" s="2">
        <v>1300000</v>
      </c>
      <c r="J91" s="2">
        <v>0</v>
      </c>
      <c r="K91" s="2">
        <v>800000</v>
      </c>
      <c r="L91" s="191">
        <v>100000</v>
      </c>
      <c r="M91" s="199">
        <v>200000</v>
      </c>
      <c r="N91" s="191">
        <v>0</v>
      </c>
      <c r="O91" s="2">
        <v>800000</v>
      </c>
      <c r="P91" s="2">
        <v>1000000</v>
      </c>
      <c r="Q91" s="2">
        <v>2000000</v>
      </c>
      <c r="R91" s="2">
        <v>600000</v>
      </c>
      <c r="S91" s="191">
        <f t="shared" si="7"/>
        <v>10920000</v>
      </c>
      <c r="T91" s="191">
        <f t="shared" si="8"/>
        <v>6280000</v>
      </c>
    </row>
    <row r="92" spans="1:20" s="194" customFormat="1" x14ac:dyDescent="0.3">
      <c r="A92" s="261"/>
      <c r="B92" s="194" t="s">
        <v>77</v>
      </c>
      <c r="C92" s="187">
        <f t="shared" si="4"/>
        <v>13870000</v>
      </c>
      <c r="D92" s="188">
        <v>0</v>
      </c>
      <c r="E92" s="197">
        <v>300000</v>
      </c>
      <c r="F92" s="2">
        <v>420000</v>
      </c>
      <c r="G92" s="196">
        <v>300000</v>
      </c>
      <c r="H92" s="189">
        <v>100000</v>
      </c>
      <c r="I92" s="2">
        <v>1300000</v>
      </c>
      <c r="J92" s="2">
        <v>0</v>
      </c>
      <c r="K92" s="2">
        <v>800000</v>
      </c>
      <c r="L92" s="191">
        <v>100000</v>
      </c>
      <c r="M92" s="199">
        <v>200000</v>
      </c>
      <c r="N92" s="191">
        <v>0</v>
      </c>
      <c r="O92" s="2">
        <v>800000</v>
      </c>
      <c r="P92" s="2">
        <v>0</v>
      </c>
      <c r="Q92" s="2">
        <v>2000000</v>
      </c>
      <c r="R92" s="2">
        <v>0</v>
      </c>
      <c r="S92" s="191">
        <f t="shared" si="7"/>
        <v>6320000</v>
      </c>
      <c r="T92" s="191">
        <f t="shared" si="8"/>
        <v>7550000</v>
      </c>
    </row>
    <row r="93" spans="1:20" s="194" customFormat="1" x14ac:dyDescent="0.3">
      <c r="A93" s="261"/>
      <c r="B93" s="194" t="s">
        <v>78</v>
      </c>
      <c r="C93" s="195">
        <f t="shared" ref="C93:C122" si="9" xml:space="preserve"> T92 + 7590000</f>
        <v>15140000</v>
      </c>
      <c r="D93" s="2">
        <v>3000000</v>
      </c>
      <c r="E93" s="197">
        <v>300000</v>
      </c>
      <c r="F93" s="2">
        <v>420000</v>
      </c>
      <c r="G93" s="196">
        <v>300000</v>
      </c>
      <c r="H93" s="189">
        <v>100000</v>
      </c>
      <c r="I93" s="2">
        <v>1300000</v>
      </c>
      <c r="J93" s="2">
        <v>0</v>
      </c>
      <c r="K93" s="2">
        <v>800000</v>
      </c>
      <c r="L93" s="191">
        <v>100000</v>
      </c>
      <c r="M93" s="199">
        <v>200000</v>
      </c>
      <c r="N93" s="191">
        <v>0</v>
      </c>
      <c r="O93" s="2">
        <v>800000</v>
      </c>
      <c r="P93" s="2">
        <v>0</v>
      </c>
      <c r="Q93" s="2">
        <v>2000000</v>
      </c>
      <c r="R93" s="2">
        <v>0</v>
      </c>
      <c r="S93" s="191">
        <f t="shared" si="7"/>
        <v>9320000</v>
      </c>
      <c r="T93" s="191">
        <f t="shared" si="8"/>
        <v>5820000</v>
      </c>
    </row>
    <row r="94" spans="1:20" s="194" customFormat="1" x14ac:dyDescent="0.3">
      <c r="A94" s="261"/>
      <c r="B94" s="194" t="s">
        <v>79</v>
      </c>
      <c r="C94" s="187">
        <f t="shared" si="9"/>
        <v>13410000</v>
      </c>
      <c r="D94" s="188">
        <v>0</v>
      </c>
      <c r="E94" s="197">
        <v>300000</v>
      </c>
      <c r="F94" s="2">
        <v>420000</v>
      </c>
      <c r="G94" s="196">
        <v>300000</v>
      </c>
      <c r="H94" s="189">
        <v>100000</v>
      </c>
      <c r="I94" s="2">
        <v>1300000</v>
      </c>
      <c r="J94" s="2">
        <v>0</v>
      </c>
      <c r="K94" s="2">
        <v>800000</v>
      </c>
      <c r="L94" s="191">
        <v>100000</v>
      </c>
      <c r="M94" s="199">
        <v>200000</v>
      </c>
      <c r="N94" s="191">
        <v>0</v>
      </c>
      <c r="O94" s="2">
        <v>800000</v>
      </c>
      <c r="P94" s="2">
        <v>1000000</v>
      </c>
      <c r="Q94" s="2">
        <v>2000000</v>
      </c>
      <c r="R94" s="2">
        <v>0</v>
      </c>
      <c r="S94" s="191">
        <f t="shared" si="7"/>
        <v>7320000</v>
      </c>
      <c r="T94" s="191">
        <f t="shared" si="8"/>
        <v>6090000</v>
      </c>
    </row>
    <row r="95" spans="1:20" s="194" customFormat="1" x14ac:dyDescent="0.3">
      <c r="A95" s="261"/>
      <c r="B95" s="194" t="s">
        <v>80</v>
      </c>
      <c r="C95" s="195">
        <f t="shared" si="9"/>
        <v>13680000</v>
      </c>
      <c r="D95" s="188">
        <v>0</v>
      </c>
      <c r="E95" s="197">
        <v>300000</v>
      </c>
      <c r="F95" s="2">
        <v>420000</v>
      </c>
      <c r="G95" s="196">
        <v>300000</v>
      </c>
      <c r="H95" s="189">
        <v>100000</v>
      </c>
      <c r="I95" s="2">
        <v>1300000</v>
      </c>
      <c r="J95" s="2">
        <v>0</v>
      </c>
      <c r="K95" s="2">
        <v>800000</v>
      </c>
      <c r="L95" s="191">
        <v>100000</v>
      </c>
      <c r="M95" s="199">
        <v>200000</v>
      </c>
      <c r="N95" s="191">
        <v>0</v>
      </c>
      <c r="O95" s="2">
        <v>800000</v>
      </c>
      <c r="P95" s="2">
        <v>0</v>
      </c>
      <c r="Q95" s="2">
        <v>2000000</v>
      </c>
      <c r="R95" s="2">
        <v>600000</v>
      </c>
      <c r="S95" s="191">
        <f t="shared" si="7"/>
        <v>6920000</v>
      </c>
      <c r="T95" s="191">
        <f t="shared" si="8"/>
        <v>6760000</v>
      </c>
    </row>
    <row r="96" spans="1:20" s="194" customFormat="1" x14ac:dyDescent="0.3">
      <c r="A96" s="261"/>
      <c r="B96" s="194" t="s">
        <v>81</v>
      </c>
      <c r="C96" s="187">
        <f t="shared" si="9"/>
        <v>14350000</v>
      </c>
      <c r="D96" s="188">
        <v>0</v>
      </c>
      <c r="E96" s="197">
        <v>300000</v>
      </c>
      <c r="F96" s="2">
        <v>420000</v>
      </c>
      <c r="G96" s="196">
        <v>300000</v>
      </c>
      <c r="H96" s="189">
        <v>100000</v>
      </c>
      <c r="I96" s="2">
        <v>1300000</v>
      </c>
      <c r="J96" s="2">
        <v>0</v>
      </c>
      <c r="K96" s="2">
        <v>800000</v>
      </c>
      <c r="L96" s="191">
        <v>100000</v>
      </c>
      <c r="M96" s="199">
        <v>200000</v>
      </c>
      <c r="N96" s="191">
        <v>0</v>
      </c>
      <c r="O96" s="2">
        <v>800000</v>
      </c>
      <c r="P96" s="2">
        <v>0</v>
      </c>
      <c r="Q96" s="2">
        <v>2000000</v>
      </c>
      <c r="R96" s="2">
        <v>0</v>
      </c>
      <c r="S96" s="191">
        <f t="shared" si="7"/>
        <v>6320000</v>
      </c>
      <c r="T96" s="191">
        <f t="shared" si="8"/>
        <v>8030000</v>
      </c>
    </row>
    <row r="97" spans="1:20" s="194" customFormat="1" x14ac:dyDescent="0.3">
      <c r="A97" s="261"/>
      <c r="B97" s="194" t="s">
        <v>82</v>
      </c>
      <c r="C97" s="195">
        <f t="shared" si="9"/>
        <v>15620000</v>
      </c>
      <c r="D97" s="188">
        <v>0</v>
      </c>
      <c r="E97" s="197">
        <v>300000</v>
      </c>
      <c r="F97" s="2">
        <v>420000</v>
      </c>
      <c r="G97" s="196">
        <v>300000</v>
      </c>
      <c r="H97" s="189">
        <v>100000</v>
      </c>
      <c r="I97" s="2">
        <v>1300000</v>
      </c>
      <c r="J97" s="2">
        <v>0</v>
      </c>
      <c r="K97" s="2">
        <v>800000</v>
      </c>
      <c r="L97" s="191">
        <v>100000</v>
      </c>
      <c r="M97" s="199">
        <v>200000</v>
      </c>
      <c r="N97" s="191">
        <v>0</v>
      </c>
      <c r="O97" s="2">
        <v>400000</v>
      </c>
      <c r="P97" s="2">
        <v>1000000</v>
      </c>
      <c r="Q97" s="2">
        <v>2000000</v>
      </c>
      <c r="R97" s="2">
        <v>0</v>
      </c>
      <c r="S97" s="191">
        <f t="shared" si="7"/>
        <v>6920000</v>
      </c>
      <c r="T97" s="191">
        <f t="shared" si="8"/>
        <v>8700000</v>
      </c>
    </row>
    <row r="98" spans="1:20" s="216" customFormat="1" x14ac:dyDescent="0.3">
      <c r="A98" s="261"/>
      <c r="B98" s="216" t="s">
        <v>83</v>
      </c>
      <c r="C98" s="187">
        <f t="shared" si="9"/>
        <v>16290000</v>
      </c>
      <c r="D98" s="217">
        <v>0</v>
      </c>
      <c r="E98" s="197">
        <v>300000</v>
      </c>
      <c r="F98" s="217">
        <v>420000</v>
      </c>
      <c r="G98" s="218">
        <v>300000</v>
      </c>
      <c r="H98" s="217">
        <v>100000</v>
      </c>
      <c r="I98" s="2">
        <v>1300000</v>
      </c>
      <c r="J98" s="2">
        <v>0</v>
      </c>
      <c r="K98" s="2">
        <v>800000</v>
      </c>
      <c r="L98" s="217">
        <v>100000</v>
      </c>
      <c r="M98" s="199">
        <v>200000</v>
      </c>
      <c r="N98" s="217">
        <v>0</v>
      </c>
      <c r="O98" s="2">
        <v>400000</v>
      </c>
      <c r="P98" s="217">
        <v>0</v>
      </c>
      <c r="Q98" s="2">
        <v>2000000</v>
      </c>
      <c r="R98" s="217">
        <v>0</v>
      </c>
      <c r="S98" s="217">
        <f t="shared" si="7"/>
        <v>5920000</v>
      </c>
      <c r="T98" s="217">
        <f t="shared" si="8"/>
        <v>10370000</v>
      </c>
    </row>
    <row r="99" spans="1:20" s="194" customFormat="1" x14ac:dyDescent="0.3">
      <c r="A99" s="261">
        <v>2031</v>
      </c>
      <c r="B99" s="194" t="s">
        <v>72</v>
      </c>
      <c r="C99" s="195">
        <f t="shared" si="9"/>
        <v>17960000</v>
      </c>
      <c r="D99" s="2">
        <v>3000000</v>
      </c>
      <c r="E99" s="197">
        <v>300000</v>
      </c>
      <c r="F99" s="2">
        <v>420000</v>
      </c>
      <c r="G99" s="196">
        <v>300000</v>
      </c>
      <c r="H99" s="189">
        <v>100000</v>
      </c>
      <c r="I99" s="2">
        <v>1300000</v>
      </c>
      <c r="J99" s="2">
        <v>0</v>
      </c>
      <c r="K99" s="2">
        <v>800000</v>
      </c>
      <c r="L99" s="191">
        <v>100000</v>
      </c>
      <c r="M99" s="199">
        <v>200000</v>
      </c>
      <c r="N99" s="191">
        <v>0</v>
      </c>
      <c r="O99" s="2">
        <v>400000</v>
      </c>
      <c r="P99" s="198">
        <v>0</v>
      </c>
      <c r="Q99" s="2">
        <v>2000000</v>
      </c>
      <c r="R99" s="2">
        <v>0</v>
      </c>
      <c r="S99" s="191">
        <f t="shared" ref="S99:S122" si="10">SUM(D99:R99)</f>
        <v>8920000</v>
      </c>
      <c r="T99" s="191">
        <f t="shared" si="8"/>
        <v>9040000</v>
      </c>
    </row>
    <row r="100" spans="1:20" s="194" customFormat="1" x14ac:dyDescent="0.3">
      <c r="A100" s="261"/>
      <c r="B100" s="194" t="s">
        <v>73</v>
      </c>
      <c r="C100" s="187">
        <f t="shared" si="9"/>
        <v>16630000</v>
      </c>
      <c r="D100" s="188">
        <v>0</v>
      </c>
      <c r="E100" s="197">
        <v>300000</v>
      </c>
      <c r="F100" s="2">
        <v>420000</v>
      </c>
      <c r="G100" s="196">
        <v>300000</v>
      </c>
      <c r="H100" s="189">
        <v>100000</v>
      </c>
      <c r="I100" s="2">
        <v>1300000</v>
      </c>
      <c r="J100" s="2">
        <v>0</v>
      </c>
      <c r="K100" s="2">
        <v>800000</v>
      </c>
      <c r="L100" s="191">
        <v>100000</v>
      </c>
      <c r="M100" s="199">
        <v>200000</v>
      </c>
      <c r="N100" s="191">
        <v>0</v>
      </c>
      <c r="O100" s="2">
        <v>400000</v>
      </c>
      <c r="P100" s="2">
        <v>1000000</v>
      </c>
      <c r="Q100" s="2">
        <v>2000000</v>
      </c>
      <c r="R100" s="2">
        <v>600000</v>
      </c>
      <c r="S100" s="191">
        <f t="shared" si="10"/>
        <v>7520000</v>
      </c>
      <c r="T100" s="191">
        <f t="shared" si="8"/>
        <v>9110000</v>
      </c>
    </row>
    <row r="101" spans="1:20" s="194" customFormat="1" x14ac:dyDescent="0.3">
      <c r="A101" s="261"/>
      <c r="B101" s="194" t="s">
        <v>74</v>
      </c>
      <c r="C101" s="195">
        <f t="shared" si="9"/>
        <v>16700000</v>
      </c>
      <c r="D101" s="188">
        <v>0</v>
      </c>
      <c r="E101" s="197">
        <v>300000</v>
      </c>
      <c r="F101" s="2">
        <v>420000</v>
      </c>
      <c r="G101" s="196">
        <v>300000</v>
      </c>
      <c r="H101" s="189">
        <v>100000</v>
      </c>
      <c r="I101" s="2">
        <v>1300000</v>
      </c>
      <c r="J101" s="2">
        <v>0</v>
      </c>
      <c r="K101" s="2">
        <v>800000</v>
      </c>
      <c r="L101" s="191">
        <v>100000</v>
      </c>
      <c r="M101" s="199">
        <v>200000</v>
      </c>
      <c r="N101" s="191">
        <v>0</v>
      </c>
      <c r="O101" s="2">
        <v>400000</v>
      </c>
      <c r="P101" s="188">
        <v>0</v>
      </c>
      <c r="Q101" s="2">
        <v>2000000</v>
      </c>
      <c r="R101" s="2">
        <v>0</v>
      </c>
      <c r="S101" s="191">
        <f t="shared" si="10"/>
        <v>5920000</v>
      </c>
      <c r="T101" s="191">
        <f t="shared" si="8"/>
        <v>10780000</v>
      </c>
    </row>
    <row r="102" spans="1:20" s="194" customFormat="1" x14ac:dyDescent="0.3">
      <c r="A102" s="261"/>
      <c r="B102" s="194" t="s">
        <v>75</v>
      </c>
      <c r="C102" s="187">
        <f t="shared" si="9"/>
        <v>18370000</v>
      </c>
      <c r="D102" s="188">
        <v>0</v>
      </c>
      <c r="E102" s="197">
        <v>300000</v>
      </c>
      <c r="F102" s="2">
        <v>420000</v>
      </c>
      <c r="G102" s="196">
        <v>300000</v>
      </c>
      <c r="H102" s="189">
        <v>100000</v>
      </c>
      <c r="I102" s="2">
        <v>1300000</v>
      </c>
      <c r="J102" s="2">
        <v>0</v>
      </c>
      <c r="K102" s="2">
        <v>800000</v>
      </c>
      <c r="L102" s="191">
        <v>100000</v>
      </c>
      <c r="M102" s="199">
        <v>200000</v>
      </c>
      <c r="N102" s="191">
        <v>0</v>
      </c>
      <c r="O102" s="2">
        <v>400000</v>
      </c>
      <c r="P102" s="188">
        <v>0</v>
      </c>
      <c r="Q102" s="2">
        <v>2000000</v>
      </c>
      <c r="R102" s="2">
        <v>0</v>
      </c>
      <c r="S102" s="191">
        <f t="shared" si="10"/>
        <v>5920000</v>
      </c>
      <c r="T102" s="191">
        <f t="shared" si="8"/>
        <v>12450000</v>
      </c>
    </row>
    <row r="103" spans="1:20" s="194" customFormat="1" x14ac:dyDescent="0.3">
      <c r="A103" s="261"/>
      <c r="B103" s="194" t="s">
        <v>76</v>
      </c>
      <c r="C103" s="195">
        <f t="shared" si="9"/>
        <v>20040000</v>
      </c>
      <c r="D103" s="188">
        <v>3000000</v>
      </c>
      <c r="E103" s="197">
        <v>300000</v>
      </c>
      <c r="F103" s="2">
        <v>420000</v>
      </c>
      <c r="G103" s="196">
        <v>300000</v>
      </c>
      <c r="H103" s="189">
        <v>100000</v>
      </c>
      <c r="I103" s="2">
        <v>1300000</v>
      </c>
      <c r="J103" s="2">
        <v>0</v>
      </c>
      <c r="K103" s="2">
        <v>800000</v>
      </c>
      <c r="L103" s="191">
        <v>100000</v>
      </c>
      <c r="M103" s="199">
        <v>200000</v>
      </c>
      <c r="N103" s="191">
        <v>0</v>
      </c>
      <c r="O103" s="2">
        <v>400000</v>
      </c>
      <c r="P103" s="2">
        <v>1000000</v>
      </c>
      <c r="Q103" s="2">
        <v>2000000</v>
      </c>
      <c r="R103" s="2">
        <v>600000</v>
      </c>
      <c r="S103" s="191">
        <f t="shared" si="10"/>
        <v>10520000</v>
      </c>
      <c r="T103" s="191">
        <f t="shared" si="8"/>
        <v>9520000</v>
      </c>
    </row>
    <row r="104" spans="1:20" s="194" customFormat="1" x14ac:dyDescent="0.3">
      <c r="A104" s="261"/>
      <c r="B104" s="194" t="s">
        <v>77</v>
      </c>
      <c r="C104" s="187">
        <f t="shared" si="9"/>
        <v>17110000</v>
      </c>
      <c r="D104" s="188">
        <v>0</v>
      </c>
      <c r="E104" s="197">
        <v>300000</v>
      </c>
      <c r="F104" s="2">
        <v>420000</v>
      </c>
      <c r="G104" s="196">
        <v>300000</v>
      </c>
      <c r="H104" s="189">
        <v>100000</v>
      </c>
      <c r="I104" s="2">
        <v>1300000</v>
      </c>
      <c r="J104" s="2">
        <v>0</v>
      </c>
      <c r="K104" s="2">
        <v>800000</v>
      </c>
      <c r="L104" s="191">
        <v>100000</v>
      </c>
      <c r="M104" s="199">
        <v>200000</v>
      </c>
      <c r="N104" s="191">
        <v>0</v>
      </c>
      <c r="O104" s="2">
        <v>400000</v>
      </c>
      <c r="P104" s="2">
        <v>0</v>
      </c>
      <c r="Q104" s="2">
        <v>2000000</v>
      </c>
      <c r="R104" s="2">
        <v>0</v>
      </c>
      <c r="S104" s="191">
        <f t="shared" si="10"/>
        <v>5920000</v>
      </c>
      <c r="T104" s="191">
        <f t="shared" si="8"/>
        <v>11190000</v>
      </c>
    </row>
    <row r="105" spans="1:20" s="194" customFormat="1" x14ac:dyDescent="0.3">
      <c r="A105" s="261"/>
      <c r="B105" s="194" t="s">
        <v>78</v>
      </c>
      <c r="C105" s="195">
        <f t="shared" si="9"/>
        <v>18780000</v>
      </c>
      <c r="D105" s="2">
        <v>3000000</v>
      </c>
      <c r="E105" s="197">
        <v>300000</v>
      </c>
      <c r="F105" s="2">
        <v>420000</v>
      </c>
      <c r="G105" s="196">
        <v>300000</v>
      </c>
      <c r="H105" s="189">
        <v>100000</v>
      </c>
      <c r="I105" s="2">
        <v>1300000</v>
      </c>
      <c r="J105" s="2">
        <v>0</v>
      </c>
      <c r="K105" s="2">
        <v>800000</v>
      </c>
      <c r="L105" s="191">
        <v>100000</v>
      </c>
      <c r="M105" s="199">
        <v>200000</v>
      </c>
      <c r="N105" s="191">
        <v>0</v>
      </c>
      <c r="O105" s="2">
        <v>400000</v>
      </c>
      <c r="P105" s="2">
        <v>0</v>
      </c>
      <c r="Q105" s="2">
        <v>2000000</v>
      </c>
      <c r="R105" s="2">
        <v>0</v>
      </c>
      <c r="S105" s="191">
        <f t="shared" si="10"/>
        <v>8920000</v>
      </c>
      <c r="T105" s="191">
        <f t="shared" si="8"/>
        <v>9860000</v>
      </c>
    </row>
    <row r="106" spans="1:20" s="194" customFormat="1" x14ac:dyDescent="0.3">
      <c r="A106" s="261"/>
      <c r="B106" s="194" t="s">
        <v>79</v>
      </c>
      <c r="C106" s="187">
        <f t="shared" si="9"/>
        <v>17450000</v>
      </c>
      <c r="D106" s="188">
        <v>0</v>
      </c>
      <c r="E106" s="197">
        <v>300000</v>
      </c>
      <c r="F106" s="2">
        <v>420000</v>
      </c>
      <c r="G106" s="196">
        <v>300000</v>
      </c>
      <c r="H106" s="189">
        <v>100000</v>
      </c>
      <c r="I106" s="2">
        <v>1300000</v>
      </c>
      <c r="J106" s="2">
        <v>0</v>
      </c>
      <c r="K106" s="2">
        <v>800000</v>
      </c>
      <c r="L106" s="191">
        <v>100000</v>
      </c>
      <c r="M106" s="199">
        <v>200000</v>
      </c>
      <c r="N106" s="191">
        <v>0</v>
      </c>
      <c r="O106" s="2">
        <v>400000</v>
      </c>
      <c r="P106" s="2">
        <v>1000000</v>
      </c>
      <c r="Q106" s="2">
        <v>2000000</v>
      </c>
      <c r="R106" s="2">
        <v>0</v>
      </c>
      <c r="S106" s="191">
        <f t="shared" si="10"/>
        <v>6920000</v>
      </c>
      <c r="T106" s="191">
        <f t="shared" si="8"/>
        <v>10530000</v>
      </c>
    </row>
    <row r="107" spans="1:20" s="194" customFormat="1" x14ac:dyDescent="0.3">
      <c r="A107" s="261"/>
      <c r="B107" s="194" t="s">
        <v>80</v>
      </c>
      <c r="C107" s="195">
        <f t="shared" si="9"/>
        <v>18120000</v>
      </c>
      <c r="D107" s="188">
        <v>0</v>
      </c>
      <c r="E107" s="197">
        <v>300000</v>
      </c>
      <c r="F107" s="2">
        <v>420000</v>
      </c>
      <c r="G107" s="196">
        <v>300000</v>
      </c>
      <c r="H107" s="189">
        <v>100000</v>
      </c>
      <c r="I107" s="2">
        <v>1300000</v>
      </c>
      <c r="J107" s="2">
        <v>0</v>
      </c>
      <c r="K107" s="2">
        <v>800000</v>
      </c>
      <c r="L107" s="191">
        <v>100000</v>
      </c>
      <c r="M107" s="199">
        <v>200000</v>
      </c>
      <c r="N107" s="191">
        <v>0</v>
      </c>
      <c r="O107" s="2">
        <v>400000</v>
      </c>
      <c r="P107" s="2">
        <v>0</v>
      </c>
      <c r="Q107" s="2">
        <v>2000000</v>
      </c>
      <c r="R107" s="2">
        <v>600000</v>
      </c>
      <c r="S107" s="191">
        <f t="shared" si="10"/>
        <v>6520000</v>
      </c>
      <c r="T107" s="191">
        <f t="shared" si="8"/>
        <v>11600000</v>
      </c>
    </row>
    <row r="108" spans="1:20" s="194" customFormat="1" x14ac:dyDescent="0.3">
      <c r="A108" s="261"/>
      <c r="B108" s="194" t="s">
        <v>81</v>
      </c>
      <c r="C108" s="187">
        <f t="shared" si="9"/>
        <v>19190000</v>
      </c>
      <c r="D108" s="188">
        <v>0</v>
      </c>
      <c r="E108" s="197">
        <v>300000</v>
      </c>
      <c r="F108" s="2">
        <v>420000</v>
      </c>
      <c r="G108" s="196">
        <v>300000</v>
      </c>
      <c r="H108" s="189">
        <v>100000</v>
      </c>
      <c r="I108" s="2">
        <v>1300000</v>
      </c>
      <c r="J108" s="2">
        <v>0</v>
      </c>
      <c r="K108" s="2">
        <v>800000</v>
      </c>
      <c r="L108" s="191">
        <v>100000</v>
      </c>
      <c r="M108" s="199">
        <v>200000</v>
      </c>
      <c r="N108" s="191">
        <v>0</v>
      </c>
      <c r="O108" s="2">
        <v>400000</v>
      </c>
      <c r="P108" s="2">
        <v>0</v>
      </c>
      <c r="Q108" s="2">
        <v>2000000</v>
      </c>
      <c r="R108" s="2">
        <v>0</v>
      </c>
      <c r="S108" s="191">
        <f t="shared" si="10"/>
        <v>5920000</v>
      </c>
      <c r="T108" s="191">
        <f t="shared" si="8"/>
        <v>13270000</v>
      </c>
    </row>
    <row r="109" spans="1:20" s="194" customFormat="1" x14ac:dyDescent="0.3">
      <c r="A109" s="261"/>
      <c r="B109" s="194" t="s">
        <v>82</v>
      </c>
      <c r="C109" s="195">
        <f t="shared" si="9"/>
        <v>20860000</v>
      </c>
      <c r="D109" s="188">
        <v>0</v>
      </c>
      <c r="E109" s="197">
        <v>300000</v>
      </c>
      <c r="F109" s="2">
        <v>420000</v>
      </c>
      <c r="G109" s="196">
        <v>300000</v>
      </c>
      <c r="H109" s="189">
        <v>100000</v>
      </c>
      <c r="I109" s="2">
        <v>1300000</v>
      </c>
      <c r="J109" s="2">
        <v>0</v>
      </c>
      <c r="K109" s="2">
        <v>800000</v>
      </c>
      <c r="L109" s="191">
        <v>100000</v>
      </c>
      <c r="M109" s="199">
        <v>200000</v>
      </c>
      <c r="N109" s="191">
        <v>0</v>
      </c>
      <c r="O109" s="2">
        <v>400000</v>
      </c>
      <c r="P109" s="2">
        <v>1000000</v>
      </c>
      <c r="Q109" s="2">
        <v>2000000</v>
      </c>
      <c r="R109" s="2">
        <v>0</v>
      </c>
      <c r="S109" s="191">
        <f t="shared" si="10"/>
        <v>6920000</v>
      </c>
      <c r="T109" s="191">
        <f t="shared" ref="T109:T122" si="11" xml:space="preserve"> C109 - S109</f>
        <v>13940000</v>
      </c>
    </row>
    <row r="110" spans="1:20" s="216" customFormat="1" x14ac:dyDescent="0.3">
      <c r="A110" s="261"/>
      <c r="B110" s="216" t="s">
        <v>83</v>
      </c>
      <c r="C110" s="187">
        <f t="shared" si="9"/>
        <v>21530000</v>
      </c>
      <c r="D110" s="217">
        <v>0</v>
      </c>
      <c r="E110" s="197">
        <v>300000</v>
      </c>
      <c r="F110" s="217">
        <v>420000</v>
      </c>
      <c r="G110" s="218">
        <v>300000</v>
      </c>
      <c r="H110" s="217">
        <v>100000</v>
      </c>
      <c r="I110" s="2">
        <v>1300000</v>
      </c>
      <c r="J110" s="2">
        <v>0</v>
      </c>
      <c r="K110" s="2">
        <v>800000</v>
      </c>
      <c r="L110" s="217">
        <v>100000</v>
      </c>
      <c r="M110" s="199">
        <v>200000</v>
      </c>
      <c r="N110" s="217">
        <v>0</v>
      </c>
      <c r="O110" s="2">
        <v>400000</v>
      </c>
      <c r="P110" s="217">
        <v>0</v>
      </c>
      <c r="Q110" s="2">
        <v>2000000</v>
      </c>
      <c r="R110" s="217">
        <v>0</v>
      </c>
      <c r="S110" s="217">
        <f t="shared" si="10"/>
        <v>5920000</v>
      </c>
      <c r="T110" s="217">
        <f t="shared" si="11"/>
        <v>15610000</v>
      </c>
    </row>
    <row r="111" spans="1:20" s="194" customFormat="1" x14ac:dyDescent="0.3">
      <c r="A111" s="261">
        <v>2032</v>
      </c>
      <c r="B111" s="194" t="s">
        <v>72</v>
      </c>
      <c r="C111" s="195">
        <f t="shared" si="9"/>
        <v>23200000</v>
      </c>
      <c r="D111" s="2">
        <v>3000000</v>
      </c>
      <c r="E111" s="197">
        <v>300000</v>
      </c>
      <c r="F111" s="2">
        <v>420000</v>
      </c>
      <c r="G111" s="196">
        <v>300000</v>
      </c>
      <c r="H111" s="189">
        <v>100000</v>
      </c>
      <c r="I111" s="2">
        <v>1300000</v>
      </c>
      <c r="J111" s="2">
        <v>0</v>
      </c>
      <c r="K111" s="2">
        <v>800000</v>
      </c>
      <c r="L111" s="191">
        <v>100000</v>
      </c>
      <c r="M111" s="199">
        <v>200000</v>
      </c>
      <c r="N111" s="191">
        <v>0</v>
      </c>
      <c r="O111" s="2">
        <v>400000</v>
      </c>
      <c r="P111" s="200">
        <v>0</v>
      </c>
      <c r="Q111" s="2">
        <v>2000000</v>
      </c>
      <c r="R111" s="2">
        <v>0</v>
      </c>
      <c r="S111" s="191">
        <f t="shared" si="10"/>
        <v>8920000</v>
      </c>
      <c r="T111" s="191">
        <f t="shared" si="11"/>
        <v>14280000</v>
      </c>
    </row>
    <row r="112" spans="1:20" s="194" customFormat="1" x14ac:dyDescent="0.3">
      <c r="A112" s="261"/>
      <c r="B112" s="194" t="s">
        <v>73</v>
      </c>
      <c r="C112" s="187">
        <f t="shared" si="9"/>
        <v>21870000</v>
      </c>
      <c r="D112" s="188">
        <v>0</v>
      </c>
      <c r="E112" s="197">
        <v>300000</v>
      </c>
      <c r="F112" s="2">
        <v>420000</v>
      </c>
      <c r="G112" s="196">
        <v>300000</v>
      </c>
      <c r="H112" s="189">
        <v>100000</v>
      </c>
      <c r="I112" s="2">
        <v>1300000</v>
      </c>
      <c r="J112" s="2">
        <v>0</v>
      </c>
      <c r="K112" s="2">
        <v>800000</v>
      </c>
      <c r="L112" s="191">
        <v>100000</v>
      </c>
      <c r="M112" s="199">
        <v>200000</v>
      </c>
      <c r="N112" s="191">
        <v>0</v>
      </c>
      <c r="O112" s="2">
        <v>400000</v>
      </c>
      <c r="P112" s="2">
        <v>1000000</v>
      </c>
      <c r="Q112" s="2">
        <v>2000000</v>
      </c>
      <c r="R112" s="2">
        <v>600000</v>
      </c>
      <c r="S112" s="191">
        <f t="shared" si="10"/>
        <v>7520000</v>
      </c>
      <c r="T112" s="191">
        <f t="shared" si="11"/>
        <v>14350000</v>
      </c>
    </row>
    <row r="113" spans="1:20" s="194" customFormat="1" x14ac:dyDescent="0.3">
      <c r="A113" s="261"/>
      <c r="B113" s="194" t="s">
        <v>74</v>
      </c>
      <c r="C113" s="195">
        <f t="shared" si="9"/>
        <v>21940000</v>
      </c>
      <c r="D113" s="188">
        <v>0</v>
      </c>
      <c r="E113" s="197">
        <v>300000</v>
      </c>
      <c r="F113" s="2">
        <v>420000</v>
      </c>
      <c r="G113" s="196">
        <v>300000</v>
      </c>
      <c r="H113" s="189">
        <v>100000</v>
      </c>
      <c r="I113" s="2">
        <v>1300000</v>
      </c>
      <c r="J113" s="2">
        <v>0</v>
      </c>
      <c r="K113" s="2">
        <v>800000</v>
      </c>
      <c r="L113" s="191">
        <v>100000</v>
      </c>
      <c r="M113" s="199">
        <v>200000</v>
      </c>
      <c r="N113" s="191">
        <v>0</v>
      </c>
      <c r="O113" s="2">
        <v>400000</v>
      </c>
      <c r="P113" s="188">
        <v>0</v>
      </c>
      <c r="Q113" s="2">
        <v>2000000</v>
      </c>
      <c r="R113" s="2">
        <v>0</v>
      </c>
      <c r="S113" s="191">
        <f t="shared" si="10"/>
        <v>5920000</v>
      </c>
      <c r="T113" s="191">
        <f t="shared" si="11"/>
        <v>16020000</v>
      </c>
    </row>
    <row r="114" spans="1:20" s="194" customFormat="1" x14ac:dyDescent="0.3">
      <c r="A114" s="261"/>
      <c r="B114" s="194" t="s">
        <v>75</v>
      </c>
      <c r="C114" s="187">
        <f t="shared" si="9"/>
        <v>23610000</v>
      </c>
      <c r="D114" s="188">
        <v>0</v>
      </c>
      <c r="E114" s="197">
        <v>300000</v>
      </c>
      <c r="F114" s="2">
        <v>420000</v>
      </c>
      <c r="G114" s="196">
        <v>300000</v>
      </c>
      <c r="H114" s="189">
        <v>100000</v>
      </c>
      <c r="I114" s="2">
        <v>1300000</v>
      </c>
      <c r="J114" s="2">
        <v>0</v>
      </c>
      <c r="K114" s="2">
        <v>800000</v>
      </c>
      <c r="L114" s="191">
        <v>100000</v>
      </c>
      <c r="M114" s="199">
        <v>200000</v>
      </c>
      <c r="N114" s="191">
        <v>0</v>
      </c>
      <c r="O114" s="2">
        <v>400000</v>
      </c>
      <c r="P114" s="188">
        <v>0</v>
      </c>
      <c r="Q114" s="2">
        <v>2000000</v>
      </c>
      <c r="R114" s="2">
        <v>0</v>
      </c>
      <c r="S114" s="191">
        <f t="shared" si="10"/>
        <v>5920000</v>
      </c>
      <c r="T114" s="191">
        <f t="shared" si="11"/>
        <v>17690000</v>
      </c>
    </row>
    <row r="115" spans="1:20" s="194" customFormat="1" x14ac:dyDescent="0.3">
      <c r="A115" s="261"/>
      <c r="B115" s="194" t="s">
        <v>76</v>
      </c>
      <c r="C115" s="195">
        <f t="shared" si="9"/>
        <v>25280000</v>
      </c>
      <c r="D115" s="188">
        <v>3000000</v>
      </c>
      <c r="E115" s="197">
        <v>300000</v>
      </c>
      <c r="F115" s="2">
        <v>420000</v>
      </c>
      <c r="G115" s="196">
        <v>300000</v>
      </c>
      <c r="H115" s="189">
        <v>100000</v>
      </c>
      <c r="I115" s="2">
        <v>1300000</v>
      </c>
      <c r="J115" s="2">
        <v>0</v>
      </c>
      <c r="K115" s="2">
        <v>800000</v>
      </c>
      <c r="L115" s="191">
        <v>100000</v>
      </c>
      <c r="M115" s="199">
        <v>200000</v>
      </c>
      <c r="N115" s="191">
        <v>0</v>
      </c>
      <c r="O115" s="2">
        <v>400000</v>
      </c>
      <c r="P115" s="2">
        <v>1000000</v>
      </c>
      <c r="Q115" s="2">
        <v>2000000</v>
      </c>
      <c r="R115" s="2">
        <v>600000</v>
      </c>
      <c r="S115" s="191">
        <f t="shared" si="10"/>
        <v>10520000</v>
      </c>
      <c r="T115" s="191">
        <f t="shared" si="11"/>
        <v>14760000</v>
      </c>
    </row>
    <row r="116" spans="1:20" s="194" customFormat="1" x14ac:dyDescent="0.3">
      <c r="A116" s="261"/>
      <c r="B116" s="194" t="s">
        <v>77</v>
      </c>
      <c r="C116" s="187">
        <f t="shared" si="9"/>
        <v>22350000</v>
      </c>
      <c r="D116" s="188">
        <v>0</v>
      </c>
      <c r="E116" s="197">
        <v>300000</v>
      </c>
      <c r="F116" s="2">
        <v>420000</v>
      </c>
      <c r="G116" s="196">
        <v>300000</v>
      </c>
      <c r="H116" s="189">
        <v>100000</v>
      </c>
      <c r="I116" s="2">
        <v>1300000</v>
      </c>
      <c r="J116" s="2">
        <v>0</v>
      </c>
      <c r="K116" s="2">
        <v>800000</v>
      </c>
      <c r="L116" s="191">
        <v>100000</v>
      </c>
      <c r="M116" s="199">
        <v>200000</v>
      </c>
      <c r="N116" s="191">
        <v>0</v>
      </c>
      <c r="O116" s="2">
        <v>400000</v>
      </c>
      <c r="P116" s="2">
        <v>0</v>
      </c>
      <c r="Q116" s="2">
        <v>2000000</v>
      </c>
      <c r="R116" s="2">
        <v>0</v>
      </c>
      <c r="S116" s="191">
        <f t="shared" si="10"/>
        <v>5920000</v>
      </c>
      <c r="T116" s="191">
        <f t="shared" si="11"/>
        <v>16430000</v>
      </c>
    </row>
    <row r="117" spans="1:20" s="194" customFormat="1" x14ac:dyDescent="0.3">
      <c r="A117" s="261"/>
      <c r="B117" s="194" t="s">
        <v>78</v>
      </c>
      <c r="C117" s="195">
        <f t="shared" si="9"/>
        <v>24020000</v>
      </c>
      <c r="D117" s="2">
        <v>3000000</v>
      </c>
      <c r="E117" s="197">
        <v>300000</v>
      </c>
      <c r="F117" s="2">
        <v>420000</v>
      </c>
      <c r="G117" s="196">
        <v>300000</v>
      </c>
      <c r="H117" s="189">
        <v>100000</v>
      </c>
      <c r="I117" s="2">
        <v>1300000</v>
      </c>
      <c r="J117" s="2">
        <v>0</v>
      </c>
      <c r="K117" s="2">
        <v>800000</v>
      </c>
      <c r="L117" s="191">
        <v>100000</v>
      </c>
      <c r="M117" s="199">
        <v>200000</v>
      </c>
      <c r="N117" s="191">
        <v>0</v>
      </c>
      <c r="O117" s="2">
        <v>400000</v>
      </c>
      <c r="P117" s="2">
        <v>0</v>
      </c>
      <c r="Q117" s="2">
        <v>2000000</v>
      </c>
      <c r="R117" s="2">
        <v>0</v>
      </c>
      <c r="S117" s="191">
        <f t="shared" si="10"/>
        <v>8920000</v>
      </c>
      <c r="T117" s="191">
        <f t="shared" si="11"/>
        <v>15100000</v>
      </c>
    </row>
    <row r="118" spans="1:20" s="194" customFormat="1" x14ac:dyDescent="0.3">
      <c r="A118" s="261"/>
      <c r="B118" s="194" t="s">
        <v>79</v>
      </c>
      <c r="C118" s="187">
        <f t="shared" si="9"/>
        <v>22690000</v>
      </c>
      <c r="D118" s="188">
        <v>0</v>
      </c>
      <c r="E118" s="197">
        <v>300000</v>
      </c>
      <c r="F118" s="2">
        <v>420000</v>
      </c>
      <c r="G118" s="196">
        <v>300000</v>
      </c>
      <c r="H118" s="189">
        <v>100000</v>
      </c>
      <c r="I118" s="2">
        <v>1300000</v>
      </c>
      <c r="J118" s="2">
        <v>0</v>
      </c>
      <c r="K118" s="2">
        <v>800000</v>
      </c>
      <c r="L118" s="191">
        <v>100000</v>
      </c>
      <c r="M118" s="199">
        <v>200000</v>
      </c>
      <c r="N118" s="191">
        <v>0</v>
      </c>
      <c r="O118" s="2">
        <v>400000</v>
      </c>
      <c r="P118" s="2">
        <v>1000000</v>
      </c>
      <c r="Q118" s="2">
        <v>2000000</v>
      </c>
      <c r="R118" s="2">
        <v>0</v>
      </c>
      <c r="S118" s="191">
        <f t="shared" si="10"/>
        <v>6920000</v>
      </c>
      <c r="T118" s="191">
        <f t="shared" si="11"/>
        <v>15770000</v>
      </c>
    </row>
    <row r="119" spans="1:20" s="194" customFormat="1" x14ac:dyDescent="0.3">
      <c r="A119" s="261"/>
      <c r="B119" s="194" t="s">
        <v>80</v>
      </c>
      <c r="C119" s="195">
        <f t="shared" si="9"/>
        <v>23360000</v>
      </c>
      <c r="D119" s="188">
        <v>0</v>
      </c>
      <c r="E119" s="197">
        <v>300000</v>
      </c>
      <c r="F119" s="2">
        <v>420000</v>
      </c>
      <c r="G119" s="196">
        <v>300000</v>
      </c>
      <c r="H119" s="189">
        <v>100000</v>
      </c>
      <c r="I119" s="2">
        <v>1300000</v>
      </c>
      <c r="J119" s="2">
        <v>0</v>
      </c>
      <c r="K119" s="2">
        <v>800000</v>
      </c>
      <c r="L119" s="191">
        <v>100000</v>
      </c>
      <c r="M119" s="199">
        <v>200000</v>
      </c>
      <c r="N119" s="191">
        <v>0</v>
      </c>
      <c r="O119" s="2">
        <v>400000</v>
      </c>
      <c r="P119" s="2">
        <v>0</v>
      </c>
      <c r="Q119" s="2">
        <v>2000000</v>
      </c>
      <c r="R119" s="2">
        <v>600000</v>
      </c>
      <c r="S119" s="191">
        <f t="shared" si="10"/>
        <v>6520000</v>
      </c>
      <c r="T119" s="191">
        <f t="shared" si="11"/>
        <v>16840000</v>
      </c>
    </row>
    <row r="120" spans="1:20" s="194" customFormat="1" x14ac:dyDescent="0.3">
      <c r="A120" s="261"/>
      <c r="B120" s="194" t="s">
        <v>81</v>
      </c>
      <c r="C120" s="187">
        <f t="shared" si="9"/>
        <v>24430000</v>
      </c>
      <c r="D120" s="188">
        <v>0</v>
      </c>
      <c r="E120" s="197">
        <v>300000</v>
      </c>
      <c r="F120" s="2">
        <v>420000</v>
      </c>
      <c r="G120" s="196">
        <v>300000</v>
      </c>
      <c r="H120" s="189">
        <v>100000</v>
      </c>
      <c r="I120" s="2">
        <v>1300000</v>
      </c>
      <c r="J120" s="2">
        <v>0</v>
      </c>
      <c r="K120" s="2">
        <v>800000</v>
      </c>
      <c r="L120" s="191">
        <v>100000</v>
      </c>
      <c r="M120" s="199">
        <v>200000</v>
      </c>
      <c r="N120" s="191">
        <v>0</v>
      </c>
      <c r="O120" s="2">
        <v>400000</v>
      </c>
      <c r="P120" s="2">
        <v>0</v>
      </c>
      <c r="Q120" s="2">
        <v>2000000</v>
      </c>
      <c r="R120" s="2">
        <v>0</v>
      </c>
      <c r="S120" s="191">
        <f t="shared" si="10"/>
        <v>5920000</v>
      </c>
      <c r="T120" s="191">
        <f t="shared" si="11"/>
        <v>18510000</v>
      </c>
    </row>
    <row r="121" spans="1:20" s="194" customFormat="1" x14ac:dyDescent="0.3">
      <c r="A121" s="261"/>
      <c r="B121" s="194" t="s">
        <v>82</v>
      </c>
      <c r="C121" s="195">
        <f t="shared" si="9"/>
        <v>26100000</v>
      </c>
      <c r="D121" s="188">
        <v>0</v>
      </c>
      <c r="E121" s="197">
        <v>300000</v>
      </c>
      <c r="F121" s="2">
        <v>420000</v>
      </c>
      <c r="G121" s="196">
        <v>300000</v>
      </c>
      <c r="H121" s="189">
        <v>100000</v>
      </c>
      <c r="I121" s="2">
        <v>1300000</v>
      </c>
      <c r="J121" s="2">
        <v>0</v>
      </c>
      <c r="K121" s="2">
        <v>800000</v>
      </c>
      <c r="L121" s="191">
        <v>100000</v>
      </c>
      <c r="M121" s="199">
        <v>200000</v>
      </c>
      <c r="N121" s="191">
        <v>0</v>
      </c>
      <c r="O121" s="2">
        <v>400000</v>
      </c>
      <c r="P121" s="2">
        <v>1000000</v>
      </c>
      <c r="Q121" s="2">
        <v>2000000</v>
      </c>
      <c r="R121" s="2">
        <v>0</v>
      </c>
      <c r="S121" s="191">
        <f t="shared" si="10"/>
        <v>6920000</v>
      </c>
      <c r="T121" s="191">
        <f t="shared" si="11"/>
        <v>19180000</v>
      </c>
    </row>
    <row r="122" spans="1:20" s="216" customFormat="1" x14ac:dyDescent="0.3">
      <c r="A122" s="261"/>
      <c r="B122" s="216" t="s">
        <v>83</v>
      </c>
      <c r="C122" s="187">
        <f t="shared" si="9"/>
        <v>26770000</v>
      </c>
      <c r="D122" s="217">
        <v>0</v>
      </c>
      <c r="E122" s="197">
        <v>300000</v>
      </c>
      <c r="F122" s="217">
        <v>420000</v>
      </c>
      <c r="G122" s="218">
        <v>300000</v>
      </c>
      <c r="H122" s="217">
        <v>100000</v>
      </c>
      <c r="I122" s="2">
        <v>1300000</v>
      </c>
      <c r="J122" s="2">
        <v>0</v>
      </c>
      <c r="K122" s="2">
        <v>800000</v>
      </c>
      <c r="L122" s="217">
        <v>100000</v>
      </c>
      <c r="M122" s="199">
        <v>200000</v>
      </c>
      <c r="N122" s="217">
        <v>0</v>
      </c>
      <c r="O122" s="2">
        <v>400000</v>
      </c>
      <c r="P122" s="217">
        <v>0</v>
      </c>
      <c r="Q122" s="2">
        <v>2000000</v>
      </c>
      <c r="R122" s="217">
        <v>0</v>
      </c>
      <c r="S122" s="217">
        <f t="shared" si="10"/>
        <v>5920000</v>
      </c>
      <c r="T122" s="217">
        <f t="shared" si="11"/>
        <v>20850000</v>
      </c>
    </row>
    <row r="123" spans="1:20" x14ac:dyDescent="0.3">
      <c r="F123" s="2">
        <f>SUM(F7:F122)</f>
        <v>48720000</v>
      </c>
      <c r="G123" s="2">
        <f>SUM(G7:G122)</f>
        <v>34650000</v>
      </c>
    </row>
  </sheetData>
  <mergeCells count="11">
    <mergeCell ref="A111:A122"/>
    <mergeCell ref="A51:A62"/>
    <mergeCell ref="A63:A74"/>
    <mergeCell ref="A75:A86"/>
    <mergeCell ref="A87:A98"/>
    <mergeCell ref="A99:A110"/>
    <mergeCell ref="G1:H1"/>
    <mergeCell ref="A3:A14"/>
    <mergeCell ref="A15:A26"/>
    <mergeCell ref="A27:A38"/>
    <mergeCell ref="A39:A5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69AB9-7A1F-4DFC-93D8-D4732EBA59F2}">
  <dimension ref="A3:N68"/>
  <sheetViews>
    <sheetView topLeftCell="A62" workbookViewId="0">
      <selection activeCell="D61" sqref="D61"/>
    </sheetView>
  </sheetViews>
  <sheetFormatPr defaultRowHeight="16.5" x14ac:dyDescent="0.3"/>
  <cols>
    <col min="2" max="2" width="16.875" customWidth="1"/>
    <col min="3" max="3" width="20.75" customWidth="1"/>
    <col min="4" max="4" width="32.375" customWidth="1"/>
    <col min="5" max="5" width="21.375" customWidth="1"/>
    <col min="6" max="6" width="22.75" customWidth="1"/>
    <col min="7" max="7" width="20.125" bestFit="1" customWidth="1"/>
    <col min="8" max="8" width="16" customWidth="1"/>
    <col min="9" max="9" width="26.875" customWidth="1"/>
    <col min="10" max="10" width="17.875" bestFit="1" customWidth="1"/>
    <col min="11" max="11" width="16" bestFit="1" customWidth="1"/>
    <col min="12" max="12" width="14.5" customWidth="1"/>
    <col min="13" max="13" width="25.75" customWidth="1"/>
  </cols>
  <sheetData>
    <row r="3" spans="3:14" x14ac:dyDescent="0.3">
      <c r="D3" s="251" t="s">
        <v>36</v>
      </c>
      <c r="E3" s="251"/>
      <c r="F3" s="251"/>
      <c r="G3" s="251"/>
      <c r="H3" s="251"/>
      <c r="I3" s="251"/>
      <c r="J3" s="251"/>
      <c r="K3" s="251"/>
      <c r="L3" s="251"/>
      <c r="M3" s="251"/>
      <c r="N3" s="251"/>
    </row>
    <row r="4" spans="3:14" x14ac:dyDescent="0.3">
      <c r="D4" s="251"/>
      <c r="E4" s="251"/>
      <c r="F4" s="251"/>
      <c r="G4" s="251"/>
      <c r="H4" s="251"/>
      <c r="I4" s="251"/>
      <c r="J4" s="251"/>
      <c r="K4" s="251"/>
      <c r="L4" s="251"/>
      <c r="M4" s="251"/>
      <c r="N4" s="251"/>
    </row>
    <row r="5" spans="3:14" x14ac:dyDescent="0.3">
      <c r="C5" t="s">
        <v>37</v>
      </c>
      <c r="D5" s="12" t="s">
        <v>39</v>
      </c>
      <c r="G5" t="s">
        <v>38</v>
      </c>
    </row>
    <row r="7" spans="3:14" x14ac:dyDescent="0.3">
      <c r="C7" s="14" t="s">
        <v>40</v>
      </c>
    </row>
    <row r="8" spans="3:14" x14ac:dyDescent="0.3">
      <c r="C8" s="15" t="s">
        <v>41</v>
      </c>
      <c r="D8" s="15" t="s">
        <v>42</v>
      </c>
      <c r="E8" s="15" t="s">
        <v>43</v>
      </c>
      <c r="F8" s="15" t="s">
        <v>44</v>
      </c>
      <c r="G8" s="15" t="s">
        <v>45</v>
      </c>
      <c r="H8" s="15" t="s">
        <v>46</v>
      </c>
      <c r="I8" s="15" t="s">
        <v>47</v>
      </c>
      <c r="J8" s="15" t="s">
        <v>48</v>
      </c>
      <c r="K8" s="15" t="s">
        <v>49</v>
      </c>
    </row>
    <row r="9" spans="3:14" ht="17.25" thickBot="1" x14ac:dyDescent="0.35">
      <c r="C9" s="41" t="s">
        <v>50</v>
      </c>
      <c r="D9" s="41">
        <v>3.46</v>
      </c>
      <c r="E9" s="41">
        <v>3.49</v>
      </c>
      <c r="F9" s="41">
        <v>3.52</v>
      </c>
      <c r="G9" s="41">
        <v>3.51</v>
      </c>
      <c r="H9" s="41">
        <v>3.44</v>
      </c>
      <c r="I9" s="41">
        <v>3.36</v>
      </c>
      <c r="J9" s="41">
        <v>3.27</v>
      </c>
      <c r="K9" s="41">
        <v>3.23</v>
      </c>
    </row>
    <row r="10" spans="3:14" ht="17.25" thickBot="1" x14ac:dyDescent="0.35">
      <c r="C10" s="41" t="s">
        <v>51</v>
      </c>
      <c r="D10" s="41">
        <v>3.94</v>
      </c>
      <c r="E10" s="41">
        <v>4.0599999999999996</v>
      </c>
      <c r="F10" s="41">
        <v>4.08</v>
      </c>
      <c r="G10" s="41">
        <v>4.09</v>
      </c>
      <c r="H10" s="41">
        <v>4.0999999999999996</v>
      </c>
      <c r="I10" s="41">
        <v>4.1100000000000003</v>
      </c>
      <c r="J10" s="41">
        <v>4.12</v>
      </c>
      <c r="K10" s="41">
        <v>4.28</v>
      </c>
    </row>
    <row r="11" spans="3:14" ht="17.25" thickBot="1" x14ac:dyDescent="0.35">
      <c r="C11" s="41" t="s">
        <v>52</v>
      </c>
      <c r="D11" s="41">
        <v>4.03</v>
      </c>
      <c r="E11" s="41">
        <v>4.17</v>
      </c>
      <c r="F11" s="41">
        <v>4.17</v>
      </c>
      <c r="G11" s="41">
        <v>4.18</v>
      </c>
      <c r="H11" s="41">
        <v>4.1900000000000004</v>
      </c>
      <c r="I11" s="41">
        <v>4.21</v>
      </c>
      <c r="J11" s="41">
        <v>4.24</v>
      </c>
      <c r="K11" s="41">
        <v>4.4000000000000004</v>
      </c>
    </row>
    <row r="12" spans="3:14" ht="17.25" thickBot="1" x14ac:dyDescent="0.35">
      <c r="C12" s="41" t="s">
        <v>53</v>
      </c>
      <c r="D12" s="41">
        <v>4.08</v>
      </c>
      <c r="E12" s="41">
        <v>4.21</v>
      </c>
      <c r="F12" s="41">
        <v>4.22</v>
      </c>
      <c r="G12" s="41">
        <v>4.22</v>
      </c>
      <c r="H12" s="41">
        <v>4.2300000000000004</v>
      </c>
      <c r="I12" s="41">
        <v>4.24</v>
      </c>
      <c r="J12" s="41">
        <v>4.28</v>
      </c>
      <c r="K12" s="41">
        <v>4.46</v>
      </c>
    </row>
    <row r="13" spans="3:14" ht="17.25" thickBot="1" x14ac:dyDescent="0.35">
      <c r="C13" s="41" t="s">
        <v>54</v>
      </c>
      <c r="D13" s="41">
        <v>4.0999999999999996</v>
      </c>
      <c r="E13" s="41">
        <v>4.2300000000000004</v>
      </c>
      <c r="F13" s="41">
        <v>4.24</v>
      </c>
      <c r="G13" s="41">
        <v>4.25</v>
      </c>
      <c r="H13" s="41">
        <v>4.2699999999999996</v>
      </c>
      <c r="I13" s="41">
        <v>4.29</v>
      </c>
      <c r="J13" s="41">
        <v>4.33</v>
      </c>
      <c r="K13" s="41">
        <v>4.55</v>
      </c>
    </row>
    <row r="14" spans="3:14" ht="17.25" thickBot="1" x14ac:dyDescent="0.35">
      <c r="C14" s="41" t="s">
        <v>55</v>
      </c>
      <c r="D14" s="41">
        <v>4.59</v>
      </c>
      <c r="E14" s="41">
        <v>4.8</v>
      </c>
      <c r="F14" s="41">
        <v>4.8</v>
      </c>
      <c r="G14" s="41">
        <v>4.8099999999999996</v>
      </c>
      <c r="H14" s="41">
        <v>4.83</v>
      </c>
      <c r="I14" s="41">
        <v>4.84</v>
      </c>
      <c r="J14" s="41">
        <v>4.8899999999999997</v>
      </c>
      <c r="K14" s="41">
        <v>5.19</v>
      </c>
    </row>
    <row r="15" spans="3:14" ht="17.25" thickBot="1" x14ac:dyDescent="0.35">
      <c r="C15" s="41" t="s">
        <v>56</v>
      </c>
      <c r="D15" s="41">
        <v>4.7300000000000004</v>
      </c>
      <c r="E15" s="41">
        <v>4.96</v>
      </c>
      <c r="F15" s="41">
        <v>4.96</v>
      </c>
      <c r="G15" s="41">
        <v>4.97</v>
      </c>
      <c r="H15" s="41">
        <v>5</v>
      </c>
      <c r="I15" s="41">
        <v>5.01</v>
      </c>
      <c r="J15" s="41">
        <v>5.16</v>
      </c>
      <c r="K15" s="41">
        <v>5.65</v>
      </c>
    </row>
    <row r="16" spans="3:14" ht="17.25" thickBot="1" x14ac:dyDescent="0.35">
      <c r="C16" s="41" t="s">
        <v>57</v>
      </c>
      <c r="D16" s="41">
        <v>4.9400000000000004</v>
      </c>
      <c r="E16" s="41">
        <v>5.18</v>
      </c>
      <c r="F16" s="41">
        <v>5.21</v>
      </c>
      <c r="G16" s="41">
        <v>5.23</v>
      </c>
      <c r="H16" s="41">
        <v>5.3</v>
      </c>
      <c r="I16" s="41">
        <v>5.35</v>
      </c>
      <c r="J16" s="41">
        <v>5.61</v>
      </c>
      <c r="K16" s="41">
        <v>6.25</v>
      </c>
    </row>
    <row r="17" spans="2:12" ht="17.25" thickBot="1" x14ac:dyDescent="0.35">
      <c r="C17" s="41" t="s">
        <v>58</v>
      </c>
      <c r="D17" s="41">
        <v>5.6</v>
      </c>
      <c r="E17" s="41">
        <v>6.16</v>
      </c>
      <c r="F17" s="41">
        <v>6.5</v>
      </c>
      <c r="G17" s="41">
        <v>6.71</v>
      </c>
      <c r="H17" s="41">
        <v>7.07</v>
      </c>
      <c r="I17" s="41">
        <v>7.59</v>
      </c>
      <c r="J17" s="41">
        <v>8.1300000000000008</v>
      </c>
      <c r="K17" s="41">
        <v>8.34</v>
      </c>
    </row>
    <row r="18" spans="2:12" ht="17.25" thickBot="1" x14ac:dyDescent="0.35">
      <c r="C18" s="41" t="s">
        <v>59</v>
      </c>
      <c r="D18" s="41">
        <v>5.98</v>
      </c>
      <c r="E18" s="41">
        <v>6.66</v>
      </c>
      <c r="F18" s="41">
        <v>7.08</v>
      </c>
      <c r="G18" s="41">
        <v>7.38</v>
      </c>
      <c r="H18" s="41">
        <v>7.88</v>
      </c>
      <c r="I18" s="41">
        <v>8.5299999999999994</v>
      </c>
      <c r="J18" s="41">
        <v>9.18</v>
      </c>
      <c r="K18" s="41">
        <v>9.39</v>
      </c>
    </row>
    <row r="19" spans="2:12" ht="17.25" thickBot="1" x14ac:dyDescent="0.35">
      <c r="C19" s="41" t="s">
        <v>60</v>
      </c>
      <c r="D19" s="41">
        <v>6.66</v>
      </c>
      <c r="E19" s="41">
        <v>7.45</v>
      </c>
      <c r="F19" s="41">
        <v>8.02</v>
      </c>
      <c r="G19" s="41">
        <v>8.36</v>
      </c>
      <c r="H19" s="41">
        <v>8.99</v>
      </c>
      <c r="I19" s="41">
        <v>9.68</v>
      </c>
      <c r="J19" s="41">
        <v>10.55</v>
      </c>
      <c r="K19" s="41">
        <v>10.81</v>
      </c>
      <c r="L19" s="13">
        <f xml:space="preserve"> K19 / 100</f>
        <v>0.1081</v>
      </c>
    </row>
    <row r="21" spans="2:12" x14ac:dyDescent="0.3">
      <c r="C21" s="43" t="s">
        <v>88</v>
      </c>
      <c r="D21" s="43" t="s">
        <v>90</v>
      </c>
      <c r="E21" s="43" t="s">
        <v>91</v>
      </c>
      <c r="F21" s="43" t="s">
        <v>93</v>
      </c>
      <c r="G21" s="43" t="s">
        <v>92</v>
      </c>
      <c r="H21" s="43" t="s">
        <v>89</v>
      </c>
      <c r="I21" s="43" t="s">
        <v>94</v>
      </c>
    </row>
    <row r="22" spans="2:12" x14ac:dyDescent="0.3">
      <c r="C22" s="2">
        <v>3340000</v>
      </c>
      <c r="D22" s="2">
        <v>5220000</v>
      </c>
      <c r="E22" s="2">
        <v>777170</v>
      </c>
      <c r="F22" s="2">
        <v>3748135</v>
      </c>
      <c r="G22" s="2">
        <v>9176143</v>
      </c>
      <c r="H22" s="2">
        <v>0</v>
      </c>
      <c r="I22" s="2">
        <f xml:space="preserve"> SUM(C22:H22)</f>
        <v>22261448</v>
      </c>
    </row>
    <row r="23" spans="2:12" x14ac:dyDescent="0.3">
      <c r="C23" s="2">
        <v>3340000</v>
      </c>
      <c r="D23" s="262">
        <f xml:space="preserve"> D22 + E22 + F22 + G22</f>
        <v>18921448</v>
      </c>
      <c r="E23" s="260"/>
      <c r="F23" s="260"/>
      <c r="G23" s="260"/>
      <c r="H23" s="2">
        <v>0</v>
      </c>
      <c r="I23" s="2">
        <f xml:space="preserve"> SUM(C23:H23)</f>
        <v>22261448</v>
      </c>
    </row>
    <row r="24" spans="2:12" x14ac:dyDescent="0.3">
      <c r="C24" s="44">
        <f xml:space="preserve"> C23/ I23 * 100</f>
        <v>15.003516393003727</v>
      </c>
      <c r="D24" s="263">
        <f xml:space="preserve"> D23 / I23 * 100</f>
        <v>84.996483606996279</v>
      </c>
      <c r="E24" s="264"/>
      <c r="F24" s="264"/>
      <c r="G24" s="265"/>
      <c r="H24" s="44">
        <f xml:space="preserve"> H23 / I23 * 100</f>
        <v>0</v>
      </c>
      <c r="I24" s="44">
        <f xml:space="preserve"> SUM(C24:H24)</f>
        <v>100</v>
      </c>
    </row>
    <row r="25" spans="2:12" x14ac:dyDescent="0.3">
      <c r="C25" s="42"/>
      <c r="D25" s="45">
        <f xml:space="preserve"> D22 / D23 * 100</f>
        <v>27.587740642259512</v>
      </c>
      <c r="E25" s="45">
        <f xml:space="preserve"> E22 / D23 * 100</f>
        <v>4.1073495009472847</v>
      </c>
      <c r="F25" s="45">
        <f xml:space="preserve"> F22 / D23 * 100</f>
        <v>19.808922657504858</v>
      </c>
      <c r="G25" s="45">
        <f xml:space="preserve"> G22 / D23 * 100</f>
        <v>48.495987199288344</v>
      </c>
      <c r="H25" s="1"/>
      <c r="I25" s="1"/>
    </row>
    <row r="26" spans="2:12" ht="17.25" thickBot="1" x14ac:dyDescent="0.35"/>
    <row r="27" spans="2:12" ht="17.25" thickBot="1" x14ac:dyDescent="0.35">
      <c r="B27" s="271" t="s">
        <v>101</v>
      </c>
      <c r="C27" s="275" t="s">
        <v>117</v>
      </c>
      <c r="D27" s="266" t="s">
        <v>99</v>
      </c>
      <c r="E27" s="267"/>
      <c r="F27" s="268"/>
      <c r="G27" s="271" t="s">
        <v>104</v>
      </c>
      <c r="H27" s="269" t="s">
        <v>120</v>
      </c>
      <c r="I27" s="272" t="s">
        <v>97</v>
      </c>
      <c r="J27" s="271" t="s">
        <v>107</v>
      </c>
      <c r="K27" s="271" t="s">
        <v>118</v>
      </c>
    </row>
    <row r="28" spans="2:12" ht="17.25" thickBot="1" x14ac:dyDescent="0.35">
      <c r="B28" s="270"/>
      <c r="C28" s="276"/>
      <c r="D28" s="271" t="s">
        <v>98</v>
      </c>
      <c r="E28" s="269" t="s">
        <v>103</v>
      </c>
      <c r="F28" s="277" t="s">
        <v>106</v>
      </c>
      <c r="G28" s="270"/>
      <c r="H28" s="270"/>
      <c r="I28" s="273"/>
      <c r="J28" s="270"/>
      <c r="K28" s="270"/>
    </row>
    <row r="29" spans="2:12" ht="37.5" customHeight="1" thickBot="1" x14ac:dyDescent="0.35">
      <c r="B29" s="270"/>
      <c r="C29" s="276"/>
      <c r="D29" s="270"/>
      <c r="E29" s="270"/>
      <c r="F29" s="278"/>
      <c r="G29" s="270"/>
      <c r="H29" s="270"/>
      <c r="I29" s="58" t="s">
        <v>100</v>
      </c>
      <c r="J29" s="274"/>
      <c r="K29" s="274"/>
    </row>
    <row r="30" spans="2:12" x14ac:dyDescent="0.3">
      <c r="B30" s="284" t="s">
        <v>102</v>
      </c>
      <c r="C30" s="282">
        <v>521300000000</v>
      </c>
      <c r="D30" s="61">
        <v>521300000000</v>
      </c>
      <c r="E30" s="60">
        <v>0.46</v>
      </c>
      <c r="F30" s="62">
        <v>10.81</v>
      </c>
      <c r="G30" s="286">
        <f xml:space="preserve"> C30 + D31</f>
        <v>22182978723.404297</v>
      </c>
      <c r="H30" s="282">
        <v>65480000</v>
      </c>
      <c r="I30" s="287">
        <f xml:space="preserve"> G30 / H30</f>
        <v>338.77487360116521</v>
      </c>
      <c r="J30" s="290" t="s">
        <v>105</v>
      </c>
      <c r="K30" s="286">
        <f xml:space="preserve"> D30 / H30</f>
        <v>7961.2095296273674</v>
      </c>
    </row>
    <row r="31" spans="2:12" ht="17.25" thickBot="1" x14ac:dyDescent="0.35">
      <c r="B31" s="285"/>
      <c r="C31" s="283"/>
      <c r="D31" s="279">
        <f xml:space="preserve"> (D30 * (E30 - F30)) / F30</f>
        <v>-499117021276.5957</v>
      </c>
      <c r="E31" s="280"/>
      <c r="F31" s="281"/>
      <c r="G31" s="285"/>
      <c r="H31" s="283"/>
      <c r="I31" s="288"/>
      <c r="J31" s="291"/>
      <c r="K31" s="289"/>
    </row>
    <row r="32" spans="2:12" x14ac:dyDescent="0.3">
      <c r="B32" s="284" t="s">
        <v>116</v>
      </c>
      <c r="C32" s="282">
        <v>4679754000</v>
      </c>
      <c r="D32" s="61">
        <v>4679754000</v>
      </c>
      <c r="E32" s="60">
        <v>0</v>
      </c>
      <c r="F32" s="62">
        <v>10.81</v>
      </c>
      <c r="G32" s="286">
        <f xml:space="preserve"> C32 + D33</f>
        <v>0</v>
      </c>
      <c r="H32" s="282">
        <v>583000000</v>
      </c>
      <c r="I32" s="287">
        <f xml:space="preserve"> G32 / H32</f>
        <v>0</v>
      </c>
      <c r="J32" s="290" t="s">
        <v>105</v>
      </c>
      <c r="K32" s="286">
        <f xml:space="preserve"> D32 / H32</f>
        <v>8.0270222984562611</v>
      </c>
    </row>
    <row r="33" spans="1:11" ht="17.25" thickBot="1" x14ac:dyDescent="0.35">
      <c r="B33" s="285"/>
      <c r="C33" s="283"/>
      <c r="D33" s="279">
        <f xml:space="preserve"> (D32 * (E32 - F32)) / F32</f>
        <v>-4679754000</v>
      </c>
      <c r="E33" s="280"/>
      <c r="F33" s="281"/>
      <c r="G33" s="285"/>
      <c r="H33" s="283"/>
      <c r="I33" s="288"/>
      <c r="J33" s="291"/>
      <c r="K33" s="289"/>
    </row>
    <row r="34" spans="1:11" x14ac:dyDescent="0.3">
      <c r="B34" s="284" t="s">
        <v>122</v>
      </c>
      <c r="C34" s="282">
        <v>10054000000</v>
      </c>
      <c r="D34" s="61">
        <v>10054000000</v>
      </c>
      <c r="E34" s="60">
        <v>2.72</v>
      </c>
      <c r="F34" s="62">
        <v>10.81</v>
      </c>
      <c r="G34" s="286">
        <f xml:space="preserve"> C34 + D35</f>
        <v>2529776133.2099915</v>
      </c>
      <c r="H34" s="282">
        <v>1792000000</v>
      </c>
      <c r="I34" s="287">
        <f xml:space="preserve"> G34 / H34</f>
        <v>1.4117054314787898</v>
      </c>
      <c r="J34" s="290" t="s">
        <v>105</v>
      </c>
      <c r="K34" s="286">
        <f xml:space="preserve"> D34 / H34</f>
        <v>5.6104910714285712</v>
      </c>
    </row>
    <row r="35" spans="1:11" ht="17.25" thickBot="1" x14ac:dyDescent="0.35">
      <c r="B35" s="285"/>
      <c r="C35" s="283"/>
      <c r="D35" s="279">
        <f xml:space="preserve"> (D34 * (E34 - F34)) / F34</f>
        <v>-7524223866.7900085</v>
      </c>
      <c r="E35" s="280"/>
      <c r="F35" s="281"/>
      <c r="G35" s="285"/>
      <c r="H35" s="283"/>
      <c r="I35" s="288"/>
      <c r="J35" s="291"/>
      <c r="K35" s="289"/>
    </row>
    <row r="36" spans="1:11" x14ac:dyDescent="0.3">
      <c r="B36" s="1"/>
      <c r="C36" s="1"/>
      <c r="D36" s="1"/>
      <c r="E36" s="1"/>
      <c r="F36" s="1"/>
      <c r="H36" s="3"/>
      <c r="I36" s="1"/>
      <c r="J36" s="1"/>
    </row>
    <row r="37" spans="1:11" x14ac:dyDescent="0.3">
      <c r="B37" s="1"/>
      <c r="C37" s="1"/>
      <c r="D37" s="1"/>
      <c r="E37" s="1"/>
      <c r="F37" s="1"/>
      <c r="H37" s="4"/>
      <c r="I37" s="1"/>
      <c r="J37" s="1"/>
    </row>
    <row r="38" spans="1:11" x14ac:dyDescent="0.3">
      <c r="B38" s="1"/>
      <c r="C38" s="1"/>
      <c r="D38" s="1"/>
      <c r="E38" s="1"/>
      <c r="F38" s="1"/>
      <c r="H38" s="1"/>
      <c r="I38" s="1"/>
      <c r="J38" s="1"/>
    </row>
    <row r="40" spans="1:11" s="69" customFormat="1" x14ac:dyDescent="0.3"/>
    <row r="41" spans="1:11" ht="17.25" thickBot="1" x14ac:dyDescent="0.35"/>
    <row r="42" spans="1:11" ht="50.25" thickBot="1" x14ac:dyDescent="0.35">
      <c r="B42" s="64" t="s">
        <v>119</v>
      </c>
      <c r="C42" s="65" t="s">
        <v>110</v>
      </c>
      <c r="D42" s="65" t="s">
        <v>108</v>
      </c>
      <c r="E42" s="66" t="s">
        <v>109</v>
      </c>
      <c r="F42" s="75"/>
    </row>
    <row r="43" spans="1:11" x14ac:dyDescent="0.3">
      <c r="A43" s="74">
        <v>2021</v>
      </c>
      <c r="B43" s="63" t="s">
        <v>111</v>
      </c>
      <c r="C43" s="59">
        <v>5950076000</v>
      </c>
      <c r="D43" s="59">
        <v>1344380000</v>
      </c>
      <c r="E43" s="59">
        <f xml:space="preserve"> C43 - D43</f>
        <v>4605696000</v>
      </c>
      <c r="F43" s="76"/>
    </row>
    <row r="44" spans="1:11" x14ac:dyDescent="0.3">
      <c r="A44" s="74">
        <v>2022</v>
      </c>
      <c r="B44" s="63" t="s">
        <v>111</v>
      </c>
      <c r="C44" s="59">
        <v>5764276000</v>
      </c>
      <c r="D44" s="59">
        <v>1704062000</v>
      </c>
      <c r="E44" s="59">
        <f xml:space="preserve"> C44 - D44</f>
        <v>4060214000</v>
      </c>
      <c r="F44" s="76"/>
    </row>
    <row r="45" spans="1:11" x14ac:dyDescent="0.3">
      <c r="A45" s="87" t="s">
        <v>161</v>
      </c>
      <c r="B45" s="63" t="s">
        <v>111</v>
      </c>
      <c r="C45" s="59">
        <v>5654093000</v>
      </c>
      <c r="D45" s="59">
        <v>1732443000</v>
      </c>
      <c r="E45" s="59">
        <f xml:space="preserve"> C45 - D45</f>
        <v>3921650000</v>
      </c>
      <c r="F45" s="76"/>
    </row>
    <row r="46" spans="1:11" x14ac:dyDescent="0.3">
      <c r="A46" s="87" t="s">
        <v>176</v>
      </c>
      <c r="B46" s="63" t="s">
        <v>111</v>
      </c>
      <c r="C46" s="59">
        <v>5583277000</v>
      </c>
      <c r="D46" s="59">
        <v>1844192000</v>
      </c>
      <c r="E46" s="59">
        <f xml:space="preserve"> C46 - D46</f>
        <v>3739085000</v>
      </c>
      <c r="F46" s="76"/>
    </row>
    <row r="47" spans="1:11" x14ac:dyDescent="0.3">
      <c r="A47" s="87" t="s">
        <v>185</v>
      </c>
      <c r="B47" s="63" t="s">
        <v>111</v>
      </c>
      <c r="C47" s="59">
        <v>5452121000</v>
      </c>
      <c r="D47" s="59">
        <v>1942835000</v>
      </c>
      <c r="E47" s="59">
        <f xml:space="preserve"> C47 - D47</f>
        <v>3509286000</v>
      </c>
      <c r="F47" s="76"/>
    </row>
    <row r="48" spans="1:11" ht="17.25" thickBot="1" x14ac:dyDescent="0.35"/>
    <row r="49" spans="1:7" ht="33.75" thickBot="1" x14ac:dyDescent="0.35">
      <c r="B49" s="64" t="s">
        <v>119</v>
      </c>
      <c r="C49" s="67" t="s">
        <v>112</v>
      </c>
      <c r="D49" s="65" t="s">
        <v>113</v>
      </c>
      <c r="E49" s="65" t="s">
        <v>114</v>
      </c>
      <c r="F49" s="68" t="s">
        <v>98</v>
      </c>
    </row>
    <row r="50" spans="1:7" x14ac:dyDescent="0.3">
      <c r="A50" s="86">
        <v>2021</v>
      </c>
      <c r="B50" s="63" t="s">
        <v>111</v>
      </c>
      <c r="C50" s="59">
        <v>5947000</v>
      </c>
      <c r="D50" s="59">
        <v>7070710000</v>
      </c>
      <c r="E50" s="59">
        <v>2396903000</v>
      </c>
      <c r="F50" s="59">
        <f xml:space="preserve"> D50 + C50 - E50</f>
        <v>4679754000</v>
      </c>
    </row>
    <row r="51" spans="1:7" x14ac:dyDescent="0.3">
      <c r="A51" s="86">
        <v>2022</v>
      </c>
      <c r="B51" s="63" t="s">
        <v>111</v>
      </c>
      <c r="C51" s="59">
        <v>6084000</v>
      </c>
      <c r="D51" s="59">
        <v>7297306000</v>
      </c>
      <c r="E51" s="59">
        <v>3120911000</v>
      </c>
      <c r="F51" s="59">
        <f xml:space="preserve"> D51 + C51 - E51</f>
        <v>4182479000</v>
      </c>
      <c r="G51" s="181">
        <f xml:space="preserve">  (F51 / F50 * 100) - 100</f>
        <v>-10.62609273906277</v>
      </c>
    </row>
    <row r="52" spans="1:7" x14ac:dyDescent="0.3">
      <c r="A52" s="87" t="s">
        <v>161</v>
      </c>
      <c r="B52" s="63" t="s">
        <v>111</v>
      </c>
      <c r="C52" s="59">
        <v>6120000</v>
      </c>
      <c r="D52" s="59">
        <v>7360887000</v>
      </c>
      <c r="E52" s="59">
        <v>3327472000</v>
      </c>
      <c r="F52" s="59">
        <f xml:space="preserve"> D52 + C52 - E52</f>
        <v>4039535000</v>
      </c>
      <c r="G52" s="181">
        <f xml:space="preserve">  (F52 / F51 * 100) - 100</f>
        <v>-3.4176860182681139</v>
      </c>
    </row>
    <row r="53" spans="1:7" x14ac:dyDescent="0.3">
      <c r="A53" s="87" t="s">
        <v>176</v>
      </c>
      <c r="B53" s="63" t="s">
        <v>111</v>
      </c>
      <c r="C53" s="59">
        <v>6201000</v>
      </c>
      <c r="D53" s="59">
        <v>7409733000</v>
      </c>
      <c r="E53" s="59">
        <v>3563870000</v>
      </c>
      <c r="F53" s="59">
        <f xml:space="preserve"> D53 + C53 - E53</f>
        <v>3852064000</v>
      </c>
      <c r="G53" s="181">
        <f xml:space="preserve">  (F53 / F52 * 100) - 100</f>
        <v>-4.6409054507511485</v>
      </c>
    </row>
    <row r="54" spans="1:7" x14ac:dyDescent="0.3">
      <c r="A54" s="87" t="s">
        <v>185</v>
      </c>
      <c r="B54" s="63" t="s">
        <v>111</v>
      </c>
      <c r="C54" s="59">
        <v>6243000</v>
      </c>
      <c r="D54" s="59">
        <v>7456196000</v>
      </c>
      <c r="E54" s="59">
        <v>3847349000</v>
      </c>
      <c r="F54" s="59">
        <f xml:space="preserve"> D54 + C54 - E54</f>
        <v>3615090000</v>
      </c>
      <c r="G54" s="181">
        <f xml:space="preserve">  (F54 / F53 * 100) - 100</f>
        <v>-6.1518707892703759</v>
      </c>
    </row>
    <row r="55" spans="1:7" ht="17.25" thickBot="1" x14ac:dyDescent="0.35"/>
    <row r="56" spans="1:7" ht="66.75" thickBot="1" x14ac:dyDescent="0.35">
      <c r="B56" s="64" t="s">
        <v>119</v>
      </c>
      <c r="C56" s="72" t="s">
        <v>115</v>
      </c>
      <c r="D56" s="73" t="s">
        <v>123</v>
      </c>
      <c r="E56" s="77" t="s">
        <v>124</v>
      </c>
      <c r="F56" s="78" t="s">
        <v>126</v>
      </c>
      <c r="G56" s="78" t="s">
        <v>125</v>
      </c>
    </row>
    <row r="57" spans="1:7" x14ac:dyDescent="0.3">
      <c r="A57" s="74">
        <v>2021</v>
      </c>
      <c r="B57" s="63" t="s">
        <v>111</v>
      </c>
      <c r="C57" s="70">
        <f xml:space="preserve"> F50 / C43 * 100</f>
        <v>78.650323121923151</v>
      </c>
      <c r="D57" s="71">
        <f>(C50-F50)/C50 *100</f>
        <v>-78591.003867496212</v>
      </c>
      <c r="E57" s="79">
        <v>50</v>
      </c>
      <c r="F57" s="80">
        <v>594729610</v>
      </c>
      <c r="G57" s="81">
        <f xml:space="preserve"> E57 * F57</f>
        <v>29736480500</v>
      </c>
    </row>
    <row r="58" spans="1:7" x14ac:dyDescent="0.3">
      <c r="A58" s="74">
        <v>2022</v>
      </c>
      <c r="B58" s="63" t="s">
        <v>111</v>
      </c>
      <c r="C58" s="70">
        <f xml:space="preserve"> F51 / C44 * 100</f>
        <v>72.55861794265229</v>
      </c>
      <c r="D58" s="71">
        <f>(C51-F51)/C51 *100</f>
        <v>-68645.545693622611</v>
      </c>
      <c r="E58" s="1">
        <v>13.33</v>
      </c>
      <c r="F58" s="80">
        <v>608421785</v>
      </c>
      <c r="G58" s="81">
        <f xml:space="preserve"> E58 * F58</f>
        <v>8110262394.0500002</v>
      </c>
    </row>
    <row r="59" spans="1:7" x14ac:dyDescent="0.3">
      <c r="A59" s="87" t="s">
        <v>161</v>
      </c>
      <c r="B59" s="63" t="s">
        <v>111</v>
      </c>
      <c r="C59" s="70">
        <f xml:space="preserve"> F52 / C45 * 100</f>
        <v>71.444438568661667</v>
      </c>
      <c r="D59" s="71">
        <f>(C52-F52)/C52 *100</f>
        <v>-65905.473856209152</v>
      </c>
      <c r="E59" s="1">
        <v>8</v>
      </c>
      <c r="F59" s="80">
        <v>611951626</v>
      </c>
      <c r="G59" s="81">
        <f xml:space="preserve"> E59 * F59</f>
        <v>4895613008</v>
      </c>
    </row>
    <row r="60" spans="1:7" x14ac:dyDescent="0.3">
      <c r="A60" s="87" t="s">
        <v>176</v>
      </c>
      <c r="B60" s="63" t="s">
        <v>111</v>
      </c>
      <c r="C60" s="70">
        <f xml:space="preserve"> F53 / C46 * 100</f>
        <v>68.992887152115145</v>
      </c>
      <c r="D60" s="71">
        <f>(C53-F53)/C53 *100</f>
        <v>-62020.045154007414</v>
      </c>
      <c r="E60" s="1">
        <v>7.54</v>
      </c>
      <c r="F60" s="80">
        <v>620087507</v>
      </c>
      <c r="G60" s="81">
        <f xml:space="preserve"> E60 * F60</f>
        <v>4675459802.7799997</v>
      </c>
    </row>
    <row r="61" spans="1:7" x14ac:dyDescent="0.3">
      <c r="A61" s="87" t="s">
        <v>185</v>
      </c>
      <c r="B61" s="63" t="s">
        <v>111</v>
      </c>
      <c r="C61" s="70">
        <f xml:space="preserve"> F54 / C47 * 100</f>
        <v>66.306121966111903</v>
      </c>
      <c r="D61" s="71">
        <f>(C54-F54)/C54 *100</f>
        <v>-57806.295050456516</v>
      </c>
      <c r="E61" s="1">
        <v>3.54</v>
      </c>
      <c r="F61" s="80">
        <v>624267053</v>
      </c>
      <c r="G61" s="81">
        <f xml:space="preserve"> E61 * F61</f>
        <v>2209905367.6199999</v>
      </c>
    </row>
    <row r="62" spans="1:7" ht="17.25" thickBot="1" x14ac:dyDescent="0.35"/>
    <row r="63" spans="1:7" ht="17.25" thickBot="1" x14ac:dyDescent="0.35">
      <c r="B63" s="64" t="s">
        <v>119</v>
      </c>
      <c r="C63" s="82" t="s">
        <v>127</v>
      </c>
      <c r="D63" s="84" t="s">
        <v>128</v>
      </c>
      <c r="E63" s="34" t="s">
        <v>130</v>
      </c>
      <c r="F63" s="34" t="s">
        <v>129</v>
      </c>
      <c r="G63" s="83" t="s">
        <v>131</v>
      </c>
    </row>
    <row r="64" spans="1:7" x14ac:dyDescent="0.3">
      <c r="A64" s="74">
        <v>2021</v>
      </c>
      <c r="B64" s="63" t="s">
        <v>111</v>
      </c>
      <c r="C64" s="79">
        <v>4208</v>
      </c>
      <c r="D64" s="79">
        <v>24.3</v>
      </c>
      <c r="E64" s="79"/>
      <c r="F64" s="79"/>
      <c r="G64" s="79"/>
    </row>
    <row r="65" spans="1:8" x14ac:dyDescent="0.3">
      <c r="A65" s="74">
        <v>2022</v>
      </c>
      <c r="B65" s="63" t="s">
        <v>111</v>
      </c>
      <c r="C65" s="1">
        <v>3939</v>
      </c>
      <c r="D65" s="1">
        <v>13.33</v>
      </c>
      <c r="E65" s="42">
        <f xml:space="preserve"> C58 - C57</f>
        <v>-6.0917051792708605</v>
      </c>
      <c r="F65" s="1">
        <f xml:space="preserve"> (C65 - C64) / C64 * 100</f>
        <v>-6.3925855513307983</v>
      </c>
      <c r="G65" s="85">
        <f xml:space="preserve">  D64 * ((100 + E65) / 100) * ((100 + F65) / 100)</f>
        <v>21.360945796487893</v>
      </c>
    </row>
    <row r="66" spans="1:8" x14ac:dyDescent="0.3">
      <c r="A66" s="87" t="s">
        <v>161</v>
      </c>
      <c r="B66" s="63" t="s">
        <v>111</v>
      </c>
      <c r="C66" s="1">
        <v>4119</v>
      </c>
      <c r="D66" s="1">
        <v>8</v>
      </c>
      <c r="E66" s="42">
        <f xml:space="preserve"> C59 - C58</f>
        <v>-1.1141793739906234</v>
      </c>
      <c r="F66" s="1">
        <f xml:space="preserve"> (C66 - C65) / C65 * 100</f>
        <v>4.5696877380045704</v>
      </c>
      <c r="G66" s="85">
        <f xml:space="preserve">  D65 * ((100 + E66) / 100) * ((100 + F66) / 100)</f>
        <v>13.78383235964265</v>
      </c>
      <c r="H66" s="144">
        <f xml:space="preserve"> G66 / G65</f>
        <v>0.64528193137913159</v>
      </c>
    </row>
    <row r="67" spans="1:8" x14ac:dyDescent="0.3">
      <c r="A67" s="87" t="s">
        <v>176</v>
      </c>
      <c r="B67" s="63" t="s">
        <v>111</v>
      </c>
      <c r="C67" s="1">
        <v>4377</v>
      </c>
      <c r="D67" s="1">
        <v>7.54</v>
      </c>
      <c r="E67" s="42">
        <f xml:space="preserve"> C60 - C59</f>
        <v>-2.451551416546522</v>
      </c>
      <c r="F67" s="1">
        <f xml:space="preserve"> (C67 - C66) / C66 * 100</f>
        <v>6.263656227239621</v>
      </c>
      <c r="G67" s="85">
        <f xml:space="preserve">  D66 * ((100 + E67) / 100) * ((100 + F67) / 100)</f>
        <v>8.2926838446181268</v>
      </c>
      <c r="H67" s="144">
        <f xml:space="preserve"> G67 / G66</f>
        <v>0.60162396264322504</v>
      </c>
    </row>
    <row r="68" spans="1:8" x14ac:dyDescent="0.3">
      <c r="A68" s="87" t="s">
        <v>185</v>
      </c>
      <c r="B68" s="63" t="s">
        <v>111</v>
      </c>
      <c r="C68" s="1">
        <v>4415</v>
      </c>
      <c r="D68" s="1">
        <v>3.54</v>
      </c>
      <c r="E68" s="42">
        <f xml:space="preserve"> C61 - C60</f>
        <v>-2.6867651860032424</v>
      </c>
      <c r="F68" s="1">
        <f xml:space="preserve"> (C68 - C67) / C67 * 100</f>
        <v>0.86817454877770162</v>
      </c>
      <c r="G68" s="85">
        <f xml:space="preserve">  D67 * ((100 + E68) / 100) * ((100 + F68) / 100)</f>
        <v>7.4011194997638103</v>
      </c>
      <c r="H68" s="144">
        <f xml:space="preserve"> G68 / G67</f>
        <v>0.89248784090172051</v>
      </c>
    </row>
  </sheetData>
  <mergeCells count="38">
    <mergeCell ref="J34:J35"/>
    <mergeCell ref="K34:K35"/>
    <mergeCell ref="D35:F35"/>
    <mergeCell ref="B34:B35"/>
    <mergeCell ref="C34:C35"/>
    <mergeCell ref="G34:G35"/>
    <mergeCell ref="H34:H35"/>
    <mergeCell ref="I34:I35"/>
    <mergeCell ref="K30:K31"/>
    <mergeCell ref="K32:K33"/>
    <mergeCell ref="I30:I31"/>
    <mergeCell ref="J30:J31"/>
    <mergeCell ref="J32:J33"/>
    <mergeCell ref="B32:B33"/>
    <mergeCell ref="C32:C33"/>
    <mergeCell ref="G32:G33"/>
    <mergeCell ref="H32:H33"/>
    <mergeCell ref="I32:I33"/>
    <mergeCell ref="D33:F33"/>
    <mergeCell ref="D31:F31"/>
    <mergeCell ref="C30:C31"/>
    <mergeCell ref="B30:B31"/>
    <mergeCell ref="H30:H31"/>
    <mergeCell ref="G30:G31"/>
    <mergeCell ref="B27:B29"/>
    <mergeCell ref="C27:C29"/>
    <mergeCell ref="D28:D29"/>
    <mergeCell ref="E28:E29"/>
    <mergeCell ref="F28:F29"/>
    <mergeCell ref="D3:N4"/>
    <mergeCell ref="D23:G23"/>
    <mergeCell ref="D24:G24"/>
    <mergeCell ref="D27:F27"/>
    <mergeCell ref="H27:H29"/>
    <mergeCell ref="G27:G29"/>
    <mergeCell ref="I27:I28"/>
    <mergeCell ref="J27:J29"/>
    <mergeCell ref="K27:K29"/>
  </mergeCells>
  <phoneticPr fontId="1" type="noConversion"/>
  <hyperlinks>
    <hyperlink ref="D5" r:id="rId1" xr:uid="{EE3CE8B6-470F-49A2-989A-1F8221A2B6F9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5C462-E1A2-442F-BFD3-B96C7F90CA43}">
  <dimension ref="A1:G13"/>
  <sheetViews>
    <sheetView topLeftCell="A4" workbookViewId="0">
      <selection activeCell="G5" sqref="G5"/>
    </sheetView>
  </sheetViews>
  <sheetFormatPr defaultRowHeight="16.5" x14ac:dyDescent="0.3"/>
  <cols>
    <col min="2" max="2" width="9.875" bestFit="1" customWidth="1"/>
    <col min="3" max="5" width="12.875" bestFit="1" customWidth="1"/>
    <col min="6" max="6" width="28.875" bestFit="1" customWidth="1"/>
    <col min="7" max="7" width="22.75" bestFit="1" customWidth="1"/>
  </cols>
  <sheetData>
    <row r="1" spans="1:7" ht="17.25" thickBot="1" x14ac:dyDescent="0.35"/>
    <row r="2" spans="1:7" ht="66.75" thickBot="1" x14ac:dyDescent="0.35">
      <c r="B2" s="64" t="s">
        <v>119</v>
      </c>
      <c r="C2" s="65" t="s">
        <v>110</v>
      </c>
      <c r="D2" s="65" t="s">
        <v>108</v>
      </c>
      <c r="E2" s="66" t="s">
        <v>109</v>
      </c>
      <c r="F2" s="75"/>
    </row>
    <row r="3" spans="1:7" x14ac:dyDescent="0.3">
      <c r="A3" s="74">
        <v>2022</v>
      </c>
      <c r="B3" s="63" t="s">
        <v>136</v>
      </c>
      <c r="C3" s="59">
        <v>904912596</v>
      </c>
      <c r="D3" s="59">
        <v>380745977</v>
      </c>
      <c r="E3" s="59">
        <f xml:space="preserve"> C3 - D3</f>
        <v>524166619</v>
      </c>
      <c r="F3" s="76"/>
    </row>
    <row r="4" spans="1:7" ht="17.25" thickBot="1" x14ac:dyDescent="0.35"/>
    <row r="5" spans="1:7" ht="66.75" thickBot="1" x14ac:dyDescent="0.35">
      <c r="B5" s="64" t="s">
        <v>119</v>
      </c>
      <c r="C5" s="67" t="s">
        <v>112</v>
      </c>
      <c r="D5" s="65" t="s">
        <v>113</v>
      </c>
      <c r="E5" s="65" t="s">
        <v>114</v>
      </c>
      <c r="F5" s="68" t="s">
        <v>98</v>
      </c>
    </row>
    <row r="6" spans="1:7" x14ac:dyDescent="0.3">
      <c r="A6" s="74">
        <v>2022</v>
      </c>
      <c r="B6" s="63" t="s">
        <v>136</v>
      </c>
      <c r="C6" s="59"/>
      <c r="D6" s="59"/>
      <c r="E6" s="59"/>
      <c r="F6" s="59"/>
    </row>
    <row r="7" spans="1:7" ht="17.25" thickBot="1" x14ac:dyDescent="0.35"/>
    <row r="8" spans="1:7" ht="116.25" thickBot="1" x14ac:dyDescent="0.35">
      <c r="B8" s="64" t="s">
        <v>119</v>
      </c>
      <c r="C8" s="72" t="s">
        <v>115</v>
      </c>
      <c r="D8" s="73" t="s">
        <v>123</v>
      </c>
      <c r="E8" s="77" t="s">
        <v>124</v>
      </c>
      <c r="F8" s="78" t="s">
        <v>126</v>
      </c>
      <c r="G8" s="78" t="s">
        <v>125</v>
      </c>
    </row>
    <row r="9" spans="1:7" x14ac:dyDescent="0.3">
      <c r="A9" s="74">
        <v>2022</v>
      </c>
      <c r="B9" s="63" t="s">
        <v>136</v>
      </c>
      <c r="C9" s="70">
        <f xml:space="preserve"> F6 / C3 * 100</f>
        <v>0</v>
      </c>
      <c r="D9" s="71" t="e">
        <f>(C6-F6)/C6 *100</f>
        <v>#DIV/0!</v>
      </c>
      <c r="E9" s="1">
        <v>5.6</v>
      </c>
      <c r="F9" s="80">
        <v>175430235</v>
      </c>
      <c r="G9" s="81">
        <f xml:space="preserve"> E9 * F9</f>
        <v>982409315.99999988</v>
      </c>
    </row>
    <row r="11" spans="1:7" ht="17.25" thickBot="1" x14ac:dyDescent="0.35"/>
    <row r="12" spans="1:7" ht="17.25" thickBot="1" x14ac:dyDescent="0.35">
      <c r="B12" s="64" t="s">
        <v>119</v>
      </c>
      <c r="C12" s="82" t="s">
        <v>127</v>
      </c>
      <c r="D12" s="84" t="s">
        <v>128</v>
      </c>
      <c r="E12" s="34" t="s">
        <v>130</v>
      </c>
      <c r="F12" s="34" t="s">
        <v>129</v>
      </c>
      <c r="G12" s="83" t="s">
        <v>131</v>
      </c>
    </row>
    <row r="13" spans="1:7" x14ac:dyDescent="0.3">
      <c r="A13" s="74">
        <v>2022</v>
      </c>
      <c r="B13" s="63" t="s">
        <v>136</v>
      </c>
      <c r="C13" s="1">
        <v>3939</v>
      </c>
      <c r="D13" s="1">
        <v>5.6</v>
      </c>
      <c r="E13" s="42" t="e">
        <f xml:space="preserve"> C9 -#REF!</f>
        <v>#REF!</v>
      </c>
      <c r="F13" s="1" t="e">
        <f xml:space="preserve"> (C13 -#REF!) /#REF! * 100</f>
        <v>#REF!</v>
      </c>
      <c r="G13" s="85" t="e">
        <f>#REF! * ((  100 + E13) / 100) * ((100 + F13) / 100)</f>
        <v>#REF!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5E69-D134-4A4B-8C90-1AB5E24247D8}">
  <dimension ref="A1:L38"/>
  <sheetViews>
    <sheetView topLeftCell="A122" workbookViewId="0">
      <selection activeCell="H131" sqref="H131"/>
    </sheetView>
  </sheetViews>
  <sheetFormatPr defaultRowHeight="16.5" x14ac:dyDescent="0.3"/>
  <cols>
    <col min="1" max="1" width="24.25" customWidth="1"/>
    <col min="2" max="2" width="25.5" bestFit="1" customWidth="1"/>
    <col min="3" max="3" width="35" bestFit="1" customWidth="1"/>
    <col min="4" max="5" width="16.875" customWidth="1"/>
    <col min="11" max="11" width="13" customWidth="1"/>
    <col min="12" max="12" width="11.25" customWidth="1"/>
  </cols>
  <sheetData>
    <row r="1" spans="1:12" x14ac:dyDescent="0.3">
      <c r="A1" t="s">
        <v>160</v>
      </c>
    </row>
    <row r="3" spans="1:12" x14ac:dyDescent="0.3">
      <c r="C3" t="s">
        <v>19</v>
      </c>
      <c r="D3" t="s">
        <v>20</v>
      </c>
      <c r="E3" t="s">
        <v>21</v>
      </c>
      <c r="I3" t="s">
        <v>132</v>
      </c>
      <c r="J3" t="s">
        <v>133</v>
      </c>
      <c r="K3" t="s">
        <v>134</v>
      </c>
      <c r="L3" t="s">
        <v>135</v>
      </c>
    </row>
    <row r="4" spans="1:12" x14ac:dyDescent="0.3">
      <c r="A4" s="10">
        <v>44837</v>
      </c>
      <c r="B4" t="s">
        <v>22</v>
      </c>
      <c r="C4">
        <v>52.8</v>
      </c>
      <c r="D4">
        <v>52.2</v>
      </c>
      <c r="E4">
        <v>50.9</v>
      </c>
      <c r="I4">
        <v>6.4</v>
      </c>
      <c r="J4">
        <v>0.7</v>
      </c>
      <c r="K4">
        <v>47.3</v>
      </c>
      <c r="L4">
        <v>50.6</v>
      </c>
    </row>
    <row r="5" spans="1:12" x14ac:dyDescent="0.3">
      <c r="A5" s="10">
        <v>44839</v>
      </c>
      <c r="B5" t="s">
        <v>23</v>
      </c>
      <c r="C5">
        <v>56.9</v>
      </c>
      <c r="D5">
        <v>56</v>
      </c>
      <c r="E5">
        <v>56.7</v>
      </c>
    </row>
    <row r="6" spans="1:12" x14ac:dyDescent="0.3">
      <c r="A6" s="10">
        <v>44846</v>
      </c>
      <c r="B6" t="s">
        <v>24</v>
      </c>
      <c r="C6">
        <v>8.6999999999999993</v>
      </c>
      <c r="D6">
        <v>8.4</v>
      </c>
      <c r="E6">
        <v>8.5</v>
      </c>
    </row>
    <row r="7" spans="1:12" x14ac:dyDescent="0.3">
      <c r="A7" s="10"/>
      <c r="B7" t="s">
        <v>35</v>
      </c>
      <c r="C7">
        <v>7.2</v>
      </c>
      <c r="D7">
        <v>7.3</v>
      </c>
      <c r="E7">
        <v>7.2</v>
      </c>
    </row>
    <row r="8" spans="1:12" x14ac:dyDescent="0.3">
      <c r="A8" s="10">
        <v>44847</v>
      </c>
      <c r="B8" t="s">
        <v>25</v>
      </c>
      <c r="C8">
        <v>8.3000000000000007</v>
      </c>
      <c r="D8">
        <v>8.1</v>
      </c>
    </row>
    <row r="9" spans="1:12" x14ac:dyDescent="0.3">
      <c r="B9" t="s">
        <v>26</v>
      </c>
      <c r="C9">
        <v>6.3</v>
      </c>
      <c r="D9">
        <v>6.5</v>
      </c>
    </row>
    <row r="10" spans="1:12" x14ac:dyDescent="0.3">
      <c r="B10" t="s">
        <v>27</v>
      </c>
      <c r="C10" s="11" t="s">
        <v>28</v>
      </c>
      <c r="D10" s="11" t="s">
        <v>29</v>
      </c>
    </row>
    <row r="11" spans="1:12" x14ac:dyDescent="0.3">
      <c r="A11" s="10">
        <v>44848</v>
      </c>
      <c r="B11" t="s">
        <v>30</v>
      </c>
    </row>
    <row r="12" spans="1:12" x14ac:dyDescent="0.3">
      <c r="A12" s="10">
        <v>44853</v>
      </c>
      <c r="B12" t="s">
        <v>31</v>
      </c>
    </row>
    <row r="13" spans="1:12" x14ac:dyDescent="0.3">
      <c r="A13" s="10"/>
      <c r="B13" t="s">
        <v>32</v>
      </c>
    </row>
    <row r="14" spans="1:12" x14ac:dyDescent="0.3">
      <c r="A14" s="10">
        <v>44854</v>
      </c>
      <c r="B14" t="s">
        <v>33</v>
      </c>
    </row>
    <row r="15" spans="1:12" x14ac:dyDescent="0.3">
      <c r="B15" t="s">
        <v>34</v>
      </c>
    </row>
    <row r="18" spans="1:11" ht="17.25" thickBot="1" x14ac:dyDescent="0.35">
      <c r="A18" t="s">
        <v>62</v>
      </c>
      <c r="B18" s="16">
        <v>46.2</v>
      </c>
      <c r="G18" t="s">
        <v>64</v>
      </c>
    </row>
    <row r="19" spans="1:11" x14ac:dyDescent="0.3">
      <c r="A19" t="s">
        <v>61</v>
      </c>
      <c r="B19" s="12" t="s">
        <v>65</v>
      </c>
      <c r="G19" t="s">
        <v>61</v>
      </c>
      <c r="K19" t="s">
        <v>63</v>
      </c>
    </row>
    <row r="22" spans="1:11" x14ac:dyDescent="0.3">
      <c r="A22" t="s">
        <v>143</v>
      </c>
      <c r="B22" t="s">
        <v>137</v>
      </c>
      <c r="C22" t="s">
        <v>138</v>
      </c>
      <c r="D22" t="s">
        <v>139</v>
      </c>
    </row>
    <row r="23" spans="1:11" x14ac:dyDescent="0.3">
      <c r="A23" t="s">
        <v>146</v>
      </c>
    </row>
    <row r="24" spans="1:11" x14ac:dyDescent="0.3">
      <c r="A24" t="s">
        <v>144</v>
      </c>
    </row>
    <row r="25" spans="1:11" x14ac:dyDescent="0.3">
      <c r="A25" t="s">
        <v>145</v>
      </c>
    </row>
    <row r="26" spans="1:11" x14ac:dyDescent="0.3">
      <c r="A26" t="s">
        <v>142</v>
      </c>
    </row>
    <row r="27" spans="1:11" x14ac:dyDescent="0.3">
      <c r="A27" t="s">
        <v>141</v>
      </c>
      <c r="B27" t="s">
        <v>140</v>
      </c>
    </row>
    <row r="29" spans="1:11" x14ac:dyDescent="0.3">
      <c r="A29" s="260" t="s">
        <v>147</v>
      </c>
      <c r="B29" s="260"/>
      <c r="C29" s="260"/>
    </row>
    <row r="30" spans="1:11" x14ac:dyDescent="0.3">
      <c r="A30" s="1">
        <v>1</v>
      </c>
      <c r="B30" s="260" t="s">
        <v>148</v>
      </c>
      <c r="C30" s="1" t="s">
        <v>149</v>
      </c>
    </row>
    <row r="31" spans="1:11" x14ac:dyDescent="0.3">
      <c r="A31" s="1">
        <v>2</v>
      </c>
      <c r="B31" s="260"/>
      <c r="C31" s="1" t="s">
        <v>150</v>
      </c>
    </row>
    <row r="32" spans="1:11" x14ac:dyDescent="0.3">
      <c r="A32" s="1">
        <v>3</v>
      </c>
      <c r="B32" s="260"/>
      <c r="C32" s="1" t="s">
        <v>151</v>
      </c>
    </row>
    <row r="33" spans="1:3" x14ac:dyDescent="0.3">
      <c r="A33" s="1">
        <v>4</v>
      </c>
      <c r="B33" s="260"/>
      <c r="C33" s="1" t="s">
        <v>152</v>
      </c>
    </row>
    <row r="34" spans="1:3" x14ac:dyDescent="0.3">
      <c r="A34" s="1">
        <v>5</v>
      </c>
      <c r="B34" s="260" t="s">
        <v>156</v>
      </c>
      <c r="C34" s="1" t="s">
        <v>153</v>
      </c>
    </row>
    <row r="35" spans="1:3" x14ac:dyDescent="0.3">
      <c r="A35" s="1">
        <v>6</v>
      </c>
      <c r="B35" s="260"/>
      <c r="C35" s="1" t="s">
        <v>154</v>
      </c>
    </row>
    <row r="36" spans="1:3" x14ac:dyDescent="0.3">
      <c r="A36" s="1">
        <v>7</v>
      </c>
      <c r="B36" s="260"/>
      <c r="C36" s="1" t="s">
        <v>155</v>
      </c>
    </row>
    <row r="37" spans="1:3" x14ac:dyDescent="0.3">
      <c r="A37" s="1">
        <v>8</v>
      </c>
      <c r="B37" s="260" t="s">
        <v>157</v>
      </c>
      <c r="C37" s="1" t="s">
        <v>158</v>
      </c>
    </row>
    <row r="38" spans="1:3" x14ac:dyDescent="0.3">
      <c r="A38" s="1">
        <v>9</v>
      </c>
      <c r="B38" s="260"/>
      <c r="C38" s="1" t="s">
        <v>159</v>
      </c>
    </row>
  </sheetData>
  <mergeCells count="4">
    <mergeCell ref="A29:C29"/>
    <mergeCell ref="B30:B33"/>
    <mergeCell ref="B34:B36"/>
    <mergeCell ref="B37:B38"/>
  </mergeCells>
  <phoneticPr fontId="1" type="noConversion"/>
  <hyperlinks>
    <hyperlink ref="B19" r:id="rId1" xr:uid="{3A766F5B-F863-447A-B8EF-553FA28A5327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61AFE-825F-4669-B78F-E10BDCEEF433}">
  <dimension ref="A1:R37"/>
  <sheetViews>
    <sheetView topLeftCell="A16" workbookViewId="0">
      <selection activeCell="K25" sqref="K25"/>
    </sheetView>
  </sheetViews>
  <sheetFormatPr defaultRowHeight="16.5" x14ac:dyDescent="0.3"/>
  <cols>
    <col min="1" max="1" width="7.25" customWidth="1"/>
    <col min="2" max="2" width="11.125" bestFit="1" customWidth="1"/>
    <col min="3" max="3" width="11.375" customWidth="1"/>
    <col min="4" max="4" width="7.75" customWidth="1"/>
    <col min="6" max="6" width="10.625" bestFit="1" customWidth="1"/>
    <col min="7" max="7" width="10.75" bestFit="1" customWidth="1"/>
    <col min="9" max="9" width="10.75" bestFit="1" customWidth="1"/>
    <col min="11" max="11" width="10.75" bestFit="1" customWidth="1"/>
    <col min="12" max="12" width="10.625" bestFit="1" customWidth="1"/>
    <col min="15" max="15" width="10.625" bestFit="1" customWidth="1"/>
  </cols>
  <sheetData>
    <row r="1" spans="2:18" x14ac:dyDescent="0.3">
      <c r="B1" s="296"/>
      <c r="C1" s="296"/>
    </row>
    <row r="2" spans="2:18" x14ac:dyDescent="0.3">
      <c r="B2" s="295" t="s">
        <v>71</v>
      </c>
      <c r="C2" s="295"/>
      <c r="E2" s="292" t="s">
        <v>71</v>
      </c>
      <c r="F2" s="293"/>
      <c r="G2" s="293"/>
      <c r="H2" s="294"/>
      <c r="J2" s="292" t="s">
        <v>95</v>
      </c>
      <c r="K2" s="293"/>
      <c r="L2" s="293"/>
      <c r="M2" s="294"/>
      <c r="O2" s="292" t="s">
        <v>96</v>
      </c>
      <c r="P2" s="293"/>
      <c r="Q2" s="293"/>
      <c r="R2" s="294"/>
    </row>
    <row r="3" spans="2:18" x14ac:dyDescent="0.3">
      <c r="B3" s="5" t="s">
        <v>13</v>
      </c>
      <c r="C3" s="5" t="s">
        <v>14</v>
      </c>
      <c r="E3" s="5" t="s">
        <v>13</v>
      </c>
      <c r="F3" s="5" t="s">
        <v>10</v>
      </c>
      <c r="G3" s="5" t="s">
        <v>14</v>
      </c>
      <c r="H3" s="5" t="s">
        <v>17</v>
      </c>
      <c r="J3" s="5" t="s">
        <v>13</v>
      </c>
      <c r="K3" s="5" t="s">
        <v>10</v>
      </c>
      <c r="L3" s="5" t="s">
        <v>14</v>
      </c>
      <c r="M3" s="5" t="s">
        <v>17</v>
      </c>
      <c r="O3" s="5" t="s">
        <v>13</v>
      </c>
      <c r="P3" s="5" t="s">
        <v>10</v>
      </c>
      <c r="Q3" s="5" t="s">
        <v>14</v>
      </c>
      <c r="R3" s="5" t="s">
        <v>17</v>
      </c>
    </row>
    <row r="4" spans="2:18" x14ac:dyDescent="0.3">
      <c r="B4" s="4">
        <v>1</v>
      </c>
      <c r="C4" s="8">
        <v>85421</v>
      </c>
      <c r="E4" s="4">
        <v>1</v>
      </c>
      <c r="F4" s="57">
        <v>6895968</v>
      </c>
      <c r="G4" s="57">
        <v>20436</v>
      </c>
      <c r="H4" s="1">
        <f t="shared" ref="H4:H14" si="0">ROUND((G4/IF(F4=0,1,F4))*100,2)</f>
        <v>0.3</v>
      </c>
      <c r="J4" s="4">
        <v>1</v>
      </c>
      <c r="K4" s="57">
        <v>7800000</v>
      </c>
      <c r="L4" s="57">
        <v>-370000</v>
      </c>
      <c r="M4" s="1">
        <f t="shared" ref="M4:M14" si="1">ROUND((L4/IF(K4=0,1,K4))*100,2)</f>
        <v>-4.74</v>
      </c>
      <c r="O4" s="4">
        <v>1</v>
      </c>
      <c r="P4" s="57">
        <v>0</v>
      </c>
      <c r="Q4" s="57">
        <v>0</v>
      </c>
      <c r="R4" s="1">
        <f t="shared" ref="R4:R14" si="2">ROUND((Q4/IF(P4=0,1,P4))*100,2)</f>
        <v>0</v>
      </c>
    </row>
    <row r="5" spans="2:18" x14ac:dyDescent="0.3">
      <c r="B5" s="4">
        <v>2</v>
      </c>
      <c r="C5" s="8">
        <v>65302</v>
      </c>
      <c r="E5" s="4">
        <v>2</v>
      </c>
      <c r="F5" s="57">
        <v>2840710</v>
      </c>
      <c r="G5" s="57">
        <v>-263661</v>
      </c>
      <c r="H5" s="1">
        <f t="shared" si="0"/>
        <v>-9.2799999999999994</v>
      </c>
      <c r="J5" s="4">
        <v>2</v>
      </c>
      <c r="K5" s="57">
        <v>5700000</v>
      </c>
      <c r="L5" s="57">
        <v>56335</v>
      </c>
      <c r="M5" s="1">
        <f t="shared" si="1"/>
        <v>0.99</v>
      </c>
      <c r="O5" s="4">
        <v>2</v>
      </c>
      <c r="P5" s="57">
        <v>0</v>
      </c>
      <c r="Q5" s="57">
        <v>0</v>
      </c>
      <c r="R5" s="1">
        <f t="shared" si="2"/>
        <v>0</v>
      </c>
    </row>
    <row r="6" spans="2:18" x14ac:dyDescent="0.3">
      <c r="B6" s="4">
        <v>3</v>
      </c>
      <c r="C6" s="8">
        <v>93332</v>
      </c>
      <c r="E6" s="4">
        <v>3</v>
      </c>
      <c r="F6" s="57">
        <v>6714000</v>
      </c>
      <c r="G6" s="57">
        <v>-70497</v>
      </c>
      <c r="H6" s="1">
        <f t="shared" si="0"/>
        <v>-1.05</v>
      </c>
      <c r="J6" s="4">
        <v>3</v>
      </c>
      <c r="K6" s="57">
        <v>1271879</v>
      </c>
      <c r="L6" s="57">
        <v>-55655</v>
      </c>
      <c r="M6" s="1">
        <f t="shared" si="1"/>
        <v>-4.38</v>
      </c>
      <c r="O6" s="4">
        <v>3</v>
      </c>
      <c r="P6" s="57">
        <v>0</v>
      </c>
      <c r="Q6" s="57">
        <v>0</v>
      </c>
      <c r="R6" s="1">
        <f t="shared" si="2"/>
        <v>0</v>
      </c>
    </row>
    <row r="7" spans="2:18" x14ac:dyDescent="0.3">
      <c r="B7" s="4">
        <v>4</v>
      </c>
      <c r="C7" s="8">
        <v>0</v>
      </c>
      <c r="E7" s="4">
        <v>4</v>
      </c>
      <c r="F7" s="57">
        <v>3403333</v>
      </c>
      <c r="G7" s="2">
        <v>-11231</v>
      </c>
      <c r="H7" s="1">
        <f t="shared" si="0"/>
        <v>-0.33</v>
      </c>
      <c r="J7" s="4">
        <v>4</v>
      </c>
      <c r="K7" s="57">
        <v>2876888</v>
      </c>
      <c r="L7" s="2">
        <v>-12946</v>
      </c>
      <c r="M7" s="1">
        <f t="shared" si="1"/>
        <v>-0.45</v>
      </c>
      <c r="O7" s="4">
        <v>4</v>
      </c>
      <c r="P7" s="57">
        <v>0</v>
      </c>
      <c r="Q7" s="2">
        <v>0</v>
      </c>
      <c r="R7" s="1">
        <f t="shared" si="2"/>
        <v>0</v>
      </c>
    </row>
    <row r="8" spans="2:18" x14ac:dyDescent="0.3">
      <c r="B8" s="4">
        <v>5</v>
      </c>
      <c r="C8" s="8">
        <v>0</v>
      </c>
      <c r="E8" s="4">
        <v>5</v>
      </c>
      <c r="F8" s="57">
        <v>6778491</v>
      </c>
      <c r="G8" s="2">
        <v>156448</v>
      </c>
      <c r="H8" s="1">
        <f t="shared" si="0"/>
        <v>2.31</v>
      </c>
      <c r="J8" s="4">
        <v>5</v>
      </c>
      <c r="K8" s="57">
        <v>0</v>
      </c>
      <c r="L8" s="2">
        <v>0</v>
      </c>
      <c r="M8" s="1">
        <f t="shared" si="1"/>
        <v>0</v>
      </c>
      <c r="O8" s="4">
        <v>5</v>
      </c>
      <c r="P8" s="57">
        <v>0</v>
      </c>
      <c r="Q8" s="2">
        <v>0</v>
      </c>
      <c r="R8" s="1">
        <f t="shared" si="2"/>
        <v>0</v>
      </c>
    </row>
    <row r="9" spans="2:18" x14ac:dyDescent="0.3">
      <c r="B9" s="4">
        <v>6</v>
      </c>
      <c r="C9" s="9">
        <v>0</v>
      </c>
      <c r="E9" s="4">
        <v>6</v>
      </c>
      <c r="F9" s="57">
        <v>0</v>
      </c>
      <c r="G9" s="57">
        <v>0</v>
      </c>
      <c r="H9" s="1">
        <f t="shared" si="0"/>
        <v>0</v>
      </c>
      <c r="J9" s="4">
        <v>6</v>
      </c>
      <c r="K9" s="57">
        <v>0</v>
      </c>
      <c r="L9" s="57">
        <v>0</v>
      </c>
      <c r="M9" s="1">
        <f t="shared" si="1"/>
        <v>0</v>
      </c>
      <c r="O9" s="4">
        <v>6</v>
      </c>
      <c r="P9" s="57">
        <v>0</v>
      </c>
      <c r="Q9" s="57">
        <v>0</v>
      </c>
      <c r="R9" s="1">
        <f t="shared" si="2"/>
        <v>0</v>
      </c>
    </row>
    <row r="10" spans="2:18" x14ac:dyDescent="0.3">
      <c r="B10" s="4">
        <v>7</v>
      </c>
      <c r="C10" s="8">
        <v>0</v>
      </c>
      <c r="E10" s="4">
        <v>7</v>
      </c>
      <c r="F10" s="57">
        <v>0</v>
      </c>
      <c r="G10" s="2">
        <v>0</v>
      </c>
      <c r="H10" s="1">
        <f t="shared" si="0"/>
        <v>0</v>
      </c>
      <c r="J10" s="4">
        <v>7</v>
      </c>
      <c r="K10" s="57">
        <v>0</v>
      </c>
      <c r="L10" s="2">
        <v>0</v>
      </c>
      <c r="M10" s="1">
        <f t="shared" si="1"/>
        <v>0</v>
      </c>
      <c r="O10" s="4">
        <v>7</v>
      </c>
      <c r="P10" s="57">
        <v>0</v>
      </c>
      <c r="Q10" s="2">
        <v>0</v>
      </c>
      <c r="R10" s="1">
        <f t="shared" si="2"/>
        <v>0</v>
      </c>
    </row>
    <row r="11" spans="2:18" x14ac:dyDescent="0.3">
      <c r="B11" s="4">
        <v>8</v>
      </c>
      <c r="C11" s="8">
        <v>0</v>
      </c>
      <c r="E11" s="4">
        <v>8</v>
      </c>
      <c r="F11" s="57">
        <v>0</v>
      </c>
      <c r="G11" s="2">
        <v>0</v>
      </c>
      <c r="H11" s="1">
        <f t="shared" si="0"/>
        <v>0</v>
      </c>
      <c r="J11" s="4">
        <v>8</v>
      </c>
      <c r="K11" s="57">
        <v>0</v>
      </c>
      <c r="L11" s="2">
        <v>0</v>
      </c>
      <c r="M11" s="1">
        <f t="shared" si="1"/>
        <v>0</v>
      </c>
      <c r="O11" s="4">
        <v>8</v>
      </c>
      <c r="P11" s="57">
        <v>0</v>
      </c>
      <c r="Q11" s="2">
        <v>0</v>
      </c>
      <c r="R11" s="1">
        <f t="shared" si="2"/>
        <v>0</v>
      </c>
    </row>
    <row r="12" spans="2:18" x14ac:dyDescent="0.3">
      <c r="B12" s="7">
        <v>9</v>
      </c>
      <c r="C12" s="9">
        <v>0</v>
      </c>
      <c r="E12" s="7">
        <v>9</v>
      </c>
      <c r="F12" s="57">
        <v>0</v>
      </c>
      <c r="G12" s="57">
        <v>0</v>
      </c>
      <c r="H12" s="1">
        <f t="shared" si="0"/>
        <v>0</v>
      </c>
      <c r="J12" s="7">
        <v>9</v>
      </c>
      <c r="K12" s="57">
        <v>0</v>
      </c>
      <c r="L12" s="57">
        <v>0</v>
      </c>
      <c r="M12" s="1">
        <f t="shared" si="1"/>
        <v>0</v>
      </c>
      <c r="O12" s="7">
        <v>9</v>
      </c>
      <c r="P12" s="57">
        <v>0</v>
      </c>
      <c r="Q12" s="57">
        <v>0</v>
      </c>
      <c r="R12" s="1">
        <f t="shared" si="2"/>
        <v>0</v>
      </c>
    </row>
    <row r="13" spans="2:18" x14ac:dyDescent="0.3">
      <c r="B13" s="4">
        <v>10</v>
      </c>
      <c r="C13" s="8">
        <v>0</v>
      </c>
      <c r="E13" s="4">
        <v>10</v>
      </c>
      <c r="F13" s="57">
        <v>0</v>
      </c>
      <c r="G13" s="2">
        <v>0</v>
      </c>
      <c r="H13" s="1">
        <f t="shared" si="0"/>
        <v>0</v>
      </c>
      <c r="J13" s="4">
        <v>10</v>
      </c>
      <c r="K13" s="57">
        <v>0</v>
      </c>
      <c r="L13" s="2">
        <v>0</v>
      </c>
      <c r="M13" s="1">
        <f t="shared" si="1"/>
        <v>0</v>
      </c>
      <c r="O13" s="4">
        <v>10</v>
      </c>
      <c r="P13" s="57">
        <v>0</v>
      </c>
      <c r="Q13" s="2">
        <v>0</v>
      </c>
      <c r="R13" s="1">
        <f t="shared" si="2"/>
        <v>0</v>
      </c>
    </row>
    <row r="14" spans="2:18" x14ac:dyDescent="0.3">
      <c r="B14" s="5" t="s">
        <v>15</v>
      </c>
      <c r="C14" s="6">
        <f>SUM(C4:C13)</f>
        <v>244055</v>
      </c>
      <c r="E14" s="56"/>
      <c r="F14" s="2">
        <f>SUM(F4:F13)/IF(COUNTIF(F4:F13,"&gt;1")=0,1,COUNTIF(F4:F13,"&gt;1"))</f>
        <v>5326500.4000000004</v>
      </c>
      <c r="G14" s="2">
        <f>SUM(G4:G13)</f>
        <v>-168505</v>
      </c>
      <c r="H14" s="1">
        <f t="shared" si="0"/>
        <v>-3.16</v>
      </c>
      <c r="J14" s="56"/>
      <c r="K14" s="2">
        <f>SUM(K4:K13)/IF(COUNTIF(K4:K13,"&gt;1")=0,1,COUNTIF(K4:K13,"&gt;1"))</f>
        <v>4412191.75</v>
      </c>
      <c r="L14" s="2">
        <f>SUM(L4:L13)</f>
        <v>-382266</v>
      </c>
      <c r="M14" s="1">
        <f t="shared" si="1"/>
        <v>-8.66</v>
      </c>
      <c r="O14" s="56"/>
      <c r="P14" s="2">
        <f>SUM(P4:P13)/IF(COUNTIF(P4:P13,"&gt;1")=0,1,COUNTIF(P4:P13,"&gt;1"))</f>
        <v>0</v>
      </c>
      <c r="Q14" s="2">
        <f>SUM(Q4:Q13)</f>
        <v>0</v>
      </c>
      <c r="R14" s="1">
        <f t="shared" si="2"/>
        <v>0</v>
      </c>
    </row>
    <row r="15" spans="2:18" x14ac:dyDescent="0.3">
      <c r="B15" s="5" t="s">
        <v>10</v>
      </c>
      <c r="C15" s="6">
        <v>1342771</v>
      </c>
    </row>
    <row r="16" spans="2:18" x14ac:dyDescent="0.3">
      <c r="B16" s="5" t="s">
        <v>17</v>
      </c>
      <c r="C16" s="4">
        <f xml:space="preserve">  ROUND( (C14 / C15) * 100, 2 )</f>
        <v>18.18</v>
      </c>
    </row>
    <row r="17" spans="1:8" x14ac:dyDescent="0.3">
      <c r="B17" s="5" t="s">
        <v>18</v>
      </c>
      <c r="C17" s="2">
        <f xml:space="preserve"> C15 + C14</f>
        <v>1586826</v>
      </c>
    </row>
    <row r="18" spans="1:8" x14ac:dyDescent="0.3">
      <c r="B18" s="3"/>
    </row>
    <row r="19" spans="1:8" x14ac:dyDescent="0.3">
      <c r="B19">
        <v>1.1599999999999999</v>
      </c>
      <c r="C19">
        <f xml:space="preserve"> B19 /100</f>
        <v>1.1599999999999999E-2</v>
      </c>
    </row>
    <row r="20" spans="1:8" x14ac:dyDescent="0.3">
      <c r="A20" t="s">
        <v>121</v>
      </c>
      <c r="B20">
        <v>2833000</v>
      </c>
      <c r="C20">
        <f xml:space="preserve"> B20 / C19</f>
        <v>244224137.93103451</v>
      </c>
    </row>
    <row r="22" spans="1:8" x14ac:dyDescent="0.3">
      <c r="B22">
        <v>0.45</v>
      </c>
      <c r="C22">
        <f xml:space="preserve"> B22 /100</f>
        <v>4.5000000000000005E-3</v>
      </c>
    </row>
    <row r="23" spans="1:8" x14ac:dyDescent="0.3">
      <c r="B23">
        <v>12946</v>
      </c>
      <c r="C23">
        <f xml:space="preserve"> B23 / C22</f>
        <v>2876888.8888888885</v>
      </c>
    </row>
    <row r="25" spans="1:8" x14ac:dyDescent="0.3">
      <c r="B25" s="124" t="s">
        <v>172</v>
      </c>
      <c r="C25" s="124">
        <v>16696980</v>
      </c>
      <c r="E25" s="292" t="s">
        <v>173</v>
      </c>
      <c r="F25" s="293"/>
      <c r="G25" s="293"/>
      <c r="H25" s="294"/>
    </row>
    <row r="26" spans="1:8" x14ac:dyDescent="0.3">
      <c r="B26" s="126">
        <v>45301</v>
      </c>
      <c r="C26" s="1">
        <f xml:space="preserve"> C25 / 2</f>
        <v>8348490</v>
      </c>
      <c r="E26" s="125" t="s">
        <v>13</v>
      </c>
      <c r="F26" s="125" t="s">
        <v>10</v>
      </c>
      <c r="G26" s="125" t="s">
        <v>14</v>
      </c>
      <c r="H26" s="125" t="s">
        <v>17</v>
      </c>
    </row>
    <row r="27" spans="1:8" x14ac:dyDescent="0.3">
      <c r="B27" s="126">
        <v>45422</v>
      </c>
      <c r="C27" s="1">
        <f xml:space="preserve"> C25 / 2</f>
        <v>8348490</v>
      </c>
      <c r="E27" s="124">
        <v>1</v>
      </c>
      <c r="F27" s="57">
        <v>0</v>
      </c>
      <c r="G27" s="57">
        <v>0</v>
      </c>
      <c r="H27" s="1">
        <f t="shared" ref="H27:H37" si="3">ROUND((G27/IF(F27=0,1,F27))*100,2)</f>
        <v>0</v>
      </c>
    </row>
    <row r="28" spans="1:8" x14ac:dyDescent="0.3">
      <c r="E28" s="124">
        <v>2</v>
      </c>
      <c r="F28" s="57">
        <v>0</v>
      </c>
      <c r="G28" s="57">
        <v>0</v>
      </c>
      <c r="H28" s="1">
        <f t="shared" si="3"/>
        <v>0</v>
      </c>
    </row>
    <row r="29" spans="1:8" x14ac:dyDescent="0.3">
      <c r="E29" s="124">
        <v>3</v>
      </c>
      <c r="F29" s="57">
        <v>0</v>
      </c>
      <c r="G29" s="57">
        <v>0</v>
      </c>
      <c r="H29" s="1">
        <f t="shared" si="3"/>
        <v>0</v>
      </c>
    </row>
    <row r="30" spans="1:8" x14ac:dyDescent="0.3">
      <c r="E30" s="124">
        <v>4</v>
      </c>
      <c r="F30" s="57">
        <v>0</v>
      </c>
      <c r="G30" s="2">
        <v>0</v>
      </c>
      <c r="H30" s="1">
        <f t="shared" si="3"/>
        <v>0</v>
      </c>
    </row>
    <row r="31" spans="1:8" x14ac:dyDescent="0.3">
      <c r="E31" s="124">
        <v>5</v>
      </c>
      <c r="F31" s="57">
        <v>0</v>
      </c>
      <c r="G31" s="2">
        <v>0</v>
      </c>
      <c r="H31" s="1">
        <f t="shared" si="3"/>
        <v>0</v>
      </c>
    </row>
    <row r="32" spans="1:8" x14ac:dyDescent="0.3">
      <c r="E32" s="124">
        <v>6</v>
      </c>
      <c r="F32" s="57">
        <v>0</v>
      </c>
      <c r="G32" s="57">
        <v>0</v>
      </c>
      <c r="H32" s="1">
        <f t="shared" si="3"/>
        <v>0</v>
      </c>
    </row>
    <row r="33" spans="5:8" x14ac:dyDescent="0.3">
      <c r="E33" s="124">
        <v>7</v>
      </c>
      <c r="F33" s="57">
        <v>0</v>
      </c>
      <c r="G33" s="2">
        <v>0</v>
      </c>
      <c r="H33" s="1">
        <f t="shared" si="3"/>
        <v>0</v>
      </c>
    </row>
    <row r="34" spans="5:8" x14ac:dyDescent="0.3">
      <c r="E34" s="124">
        <v>8</v>
      </c>
      <c r="F34" s="57">
        <v>0</v>
      </c>
      <c r="G34" s="2">
        <v>0</v>
      </c>
      <c r="H34" s="1">
        <f t="shared" si="3"/>
        <v>0</v>
      </c>
    </row>
    <row r="35" spans="5:8" x14ac:dyDescent="0.3">
      <c r="E35" s="7">
        <v>9</v>
      </c>
      <c r="F35" s="57">
        <v>0</v>
      </c>
      <c r="G35" s="57">
        <v>0</v>
      </c>
      <c r="H35" s="1">
        <f t="shared" si="3"/>
        <v>0</v>
      </c>
    </row>
    <row r="36" spans="5:8" x14ac:dyDescent="0.3">
      <c r="E36" s="124">
        <v>10</v>
      </c>
      <c r="F36" s="57">
        <v>0</v>
      </c>
      <c r="G36" s="2">
        <v>0</v>
      </c>
      <c r="H36" s="1">
        <f t="shared" si="3"/>
        <v>0</v>
      </c>
    </row>
    <row r="37" spans="5:8" x14ac:dyDescent="0.3">
      <c r="E37" s="56"/>
      <c r="F37" s="2">
        <f>SUM(F27:F36)/IF(COUNTIF(F27:F36,"&gt;1")=0,1,COUNTIF(F27:F36,"&gt;1"))</f>
        <v>0</v>
      </c>
      <c r="G37" s="2">
        <f>SUM(G27:G36)</f>
        <v>0</v>
      </c>
      <c r="H37" s="1">
        <f t="shared" si="3"/>
        <v>0</v>
      </c>
    </row>
  </sheetData>
  <mergeCells count="6">
    <mergeCell ref="E25:H25"/>
    <mergeCell ref="O2:R2"/>
    <mergeCell ref="B2:C2"/>
    <mergeCell ref="B1:C1"/>
    <mergeCell ref="E2:H2"/>
    <mergeCell ref="J2:M2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3752C-641E-4C09-9624-C882FA38F7BF}">
  <dimension ref="B2:O17"/>
  <sheetViews>
    <sheetView workbookViewId="0">
      <selection activeCell="Q9" sqref="Q9"/>
    </sheetView>
  </sheetViews>
  <sheetFormatPr defaultRowHeight="16.5" x14ac:dyDescent="0.3"/>
  <cols>
    <col min="2" max="2" width="10.25" bestFit="1" customWidth="1"/>
    <col min="3" max="3" width="10.75" bestFit="1" customWidth="1"/>
    <col min="5" max="5" width="10.25" bestFit="1" customWidth="1"/>
    <col min="6" max="6" width="10.75" bestFit="1" customWidth="1"/>
    <col min="8" max="8" width="10.25" bestFit="1" customWidth="1"/>
    <col min="9" max="9" width="10.75" bestFit="1" customWidth="1"/>
    <col min="11" max="11" width="10.25" bestFit="1" customWidth="1"/>
    <col min="12" max="12" width="10.75" bestFit="1" customWidth="1"/>
    <col min="14" max="14" width="10.25" bestFit="1" customWidth="1"/>
    <col min="15" max="15" width="10.75" bestFit="1" customWidth="1"/>
  </cols>
  <sheetData>
    <row r="2" spans="2:15" x14ac:dyDescent="0.3">
      <c r="B2" s="295" t="s">
        <v>66</v>
      </c>
      <c r="C2" s="295"/>
      <c r="E2" s="295" t="s">
        <v>67</v>
      </c>
      <c r="F2" s="295"/>
      <c r="H2" s="295" t="s">
        <v>68</v>
      </c>
      <c r="I2" s="295"/>
      <c r="K2" s="295" t="s">
        <v>69</v>
      </c>
      <c r="L2" s="295"/>
      <c r="N2" s="295" t="s">
        <v>70</v>
      </c>
      <c r="O2" s="295"/>
    </row>
    <row r="3" spans="2:15" x14ac:dyDescent="0.3">
      <c r="B3" s="5" t="s">
        <v>13</v>
      </c>
      <c r="C3" s="5" t="s">
        <v>14</v>
      </c>
      <c r="E3" s="5" t="s">
        <v>13</v>
      </c>
      <c r="F3" s="5" t="s">
        <v>14</v>
      </c>
      <c r="H3" s="5" t="s">
        <v>13</v>
      </c>
      <c r="I3" s="5" t="s">
        <v>14</v>
      </c>
      <c r="K3" s="5" t="s">
        <v>13</v>
      </c>
      <c r="L3" s="5" t="s">
        <v>14</v>
      </c>
      <c r="N3" s="5" t="s">
        <v>13</v>
      </c>
      <c r="O3" s="5" t="s">
        <v>14</v>
      </c>
    </row>
    <row r="4" spans="2:15" x14ac:dyDescent="0.3">
      <c r="B4" s="4">
        <v>1</v>
      </c>
      <c r="C4" s="8">
        <v>17215</v>
      </c>
      <c r="E4" s="4">
        <v>1</v>
      </c>
      <c r="F4" s="8">
        <v>3020</v>
      </c>
      <c r="H4" s="4">
        <v>1</v>
      </c>
      <c r="I4" s="8">
        <v>0</v>
      </c>
      <c r="K4" s="4">
        <v>1</v>
      </c>
      <c r="L4" s="8">
        <v>39527</v>
      </c>
      <c r="N4" s="4">
        <v>1</v>
      </c>
      <c r="O4" s="8">
        <v>19976</v>
      </c>
    </row>
    <row r="5" spans="2:15" x14ac:dyDescent="0.3">
      <c r="B5" s="4">
        <v>2</v>
      </c>
      <c r="C5" s="8">
        <v>-77107</v>
      </c>
      <c r="E5" s="4">
        <v>2</v>
      </c>
      <c r="F5" s="8">
        <v>-3342</v>
      </c>
      <c r="H5" s="4">
        <v>2</v>
      </c>
      <c r="I5" s="8">
        <v>0</v>
      </c>
      <c r="K5" s="4">
        <v>2</v>
      </c>
      <c r="L5" s="8">
        <v>47051</v>
      </c>
      <c r="N5" s="4">
        <v>2</v>
      </c>
      <c r="O5" s="8">
        <v>35716</v>
      </c>
    </row>
    <row r="6" spans="2:15" x14ac:dyDescent="0.3">
      <c r="B6" s="4">
        <v>3</v>
      </c>
      <c r="C6" s="8">
        <v>77453</v>
      </c>
      <c r="E6" s="4">
        <v>3</v>
      </c>
      <c r="F6" s="9">
        <v>38771</v>
      </c>
      <c r="H6" s="4">
        <v>3</v>
      </c>
      <c r="I6" s="9">
        <v>0</v>
      </c>
      <c r="K6" s="4">
        <v>3</v>
      </c>
      <c r="L6" s="9">
        <v>-8281</v>
      </c>
      <c r="N6" s="4">
        <v>3</v>
      </c>
      <c r="O6" s="9">
        <v>64079</v>
      </c>
    </row>
    <row r="7" spans="2:15" x14ac:dyDescent="0.3">
      <c r="B7" s="4">
        <v>4</v>
      </c>
      <c r="C7" s="8">
        <v>16450</v>
      </c>
      <c r="E7" s="4">
        <v>4</v>
      </c>
      <c r="F7" s="8">
        <v>0</v>
      </c>
      <c r="H7" s="4">
        <v>4</v>
      </c>
      <c r="I7" s="8">
        <v>0</v>
      </c>
      <c r="K7" s="4">
        <v>4</v>
      </c>
      <c r="L7" s="8">
        <v>0</v>
      </c>
      <c r="N7" s="4">
        <v>4</v>
      </c>
      <c r="O7" s="8">
        <v>0</v>
      </c>
    </row>
    <row r="8" spans="2:15" x14ac:dyDescent="0.3">
      <c r="B8" s="4">
        <v>5</v>
      </c>
      <c r="C8" s="8">
        <v>6818</v>
      </c>
      <c r="E8" s="4">
        <v>5</v>
      </c>
      <c r="F8" s="8">
        <v>0</v>
      </c>
      <c r="H8" s="4">
        <v>5</v>
      </c>
      <c r="I8" s="8">
        <v>0</v>
      </c>
      <c r="K8" s="4">
        <v>5</v>
      </c>
      <c r="L8" s="8">
        <v>0</v>
      </c>
      <c r="N8" s="4">
        <v>5</v>
      </c>
      <c r="O8" s="8">
        <v>0</v>
      </c>
    </row>
    <row r="9" spans="2:15" x14ac:dyDescent="0.3">
      <c r="B9" s="4">
        <v>6</v>
      </c>
      <c r="C9" s="8">
        <v>24585</v>
      </c>
      <c r="E9" s="4">
        <v>6</v>
      </c>
      <c r="F9" s="9">
        <v>0</v>
      </c>
      <c r="H9" s="4">
        <v>6</v>
      </c>
      <c r="I9" s="9">
        <v>0</v>
      </c>
      <c r="K9" s="4">
        <v>6</v>
      </c>
      <c r="L9" s="9">
        <v>0</v>
      </c>
      <c r="N9" s="4">
        <v>6</v>
      </c>
      <c r="O9" s="9">
        <v>0</v>
      </c>
    </row>
    <row r="10" spans="2:15" x14ac:dyDescent="0.3">
      <c r="B10" s="4">
        <v>7</v>
      </c>
      <c r="C10" s="8">
        <v>0</v>
      </c>
      <c r="E10" s="4">
        <v>7</v>
      </c>
      <c r="F10" s="8">
        <v>0</v>
      </c>
      <c r="H10" s="4">
        <v>7</v>
      </c>
      <c r="I10" s="8">
        <v>0</v>
      </c>
      <c r="K10" s="4">
        <v>7</v>
      </c>
      <c r="L10" s="8">
        <v>0</v>
      </c>
      <c r="N10" s="4">
        <v>7</v>
      </c>
      <c r="O10" s="8">
        <v>0</v>
      </c>
    </row>
    <row r="11" spans="2:15" x14ac:dyDescent="0.3">
      <c r="B11" s="4">
        <v>8</v>
      </c>
      <c r="C11" s="8">
        <v>0</v>
      </c>
      <c r="E11" s="4">
        <v>8</v>
      </c>
      <c r="F11" s="8">
        <v>0</v>
      </c>
      <c r="H11" s="4">
        <v>8</v>
      </c>
      <c r="I11" s="8">
        <v>0</v>
      </c>
      <c r="K11" s="4">
        <v>8</v>
      </c>
      <c r="L11" s="8">
        <v>0</v>
      </c>
      <c r="N11" s="4">
        <v>8</v>
      </c>
      <c r="O11" s="8">
        <v>0</v>
      </c>
    </row>
    <row r="12" spans="2:15" x14ac:dyDescent="0.3">
      <c r="B12" s="7">
        <v>9</v>
      </c>
      <c r="C12" s="9">
        <v>0</v>
      </c>
      <c r="E12" s="7">
        <v>9</v>
      </c>
      <c r="F12" s="9">
        <v>0</v>
      </c>
      <c r="H12" s="7">
        <v>9</v>
      </c>
      <c r="I12" s="9">
        <v>0</v>
      </c>
      <c r="K12" s="7">
        <v>9</v>
      </c>
      <c r="L12" s="9">
        <v>0</v>
      </c>
      <c r="N12" s="7">
        <v>9</v>
      </c>
      <c r="O12" s="9">
        <v>0</v>
      </c>
    </row>
    <row r="13" spans="2:15" x14ac:dyDescent="0.3">
      <c r="B13" s="4">
        <v>10</v>
      </c>
      <c r="C13" s="8">
        <v>0</v>
      </c>
      <c r="E13" s="4">
        <v>10</v>
      </c>
      <c r="F13" s="8">
        <v>0</v>
      </c>
      <c r="H13" s="4">
        <v>10</v>
      </c>
      <c r="I13" s="8">
        <v>0</v>
      </c>
      <c r="K13" s="4">
        <v>10</v>
      </c>
      <c r="L13" s="8">
        <v>0</v>
      </c>
      <c r="N13" s="4">
        <v>10</v>
      </c>
      <c r="O13" s="8">
        <v>0</v>
      </c>
    </row>
    <row r="14" spans="2:15" x14ac:dyDescent="0.3">
      <c r="B14" s="5" t="s">
        <v>15</v>
      </c>
      <c r="C14" s="6">
        <f>SUM(C4:C13)</f>
        <v>65414</v>
      </c>
      <c r="E14" s="5" t="s">
        <v>15</v>
      </c>
      <c r="F14" s="6">
        <f>SUM(F4:F13)</f>
        <v>38449</v>
      </c>
      <c r="H14" s="5" t="s">
        <v>15</v>
      </c>
      <c r="I14" s="6">
        <f>SUM(I4:I13)</f>
        <v>0</v>
      </c>
      <c r="K14" s="5" t="s">
        <v>15</v>
      </c>
      <c r="L14" s="6">
        <f>SUM(L4:L13)</f>
        <v>78297</v>
      </c>
      <c r="N14" s="5" t="s">
        <v>15</v>
      </c>
      <c r="O14" s="6">
        <f>SUM(O4:O13)</f>
        <v>119771</v>
      </c>
    </row>
    <row r="15" spans="2:15" x14ac:dyDescent="0.3">
      <c r="B15" s="5" t="s">
        <v>16</v>
      </c>
      <c r="C15" s="6">
        <v>1061029</v>
      </c>
      <c r="E15" s="5" t="s">
        <v>10</v>
      </c>
      <c r="F15" s="6">
        <v>1126443</v>
      </c>
      <c r="H15" s="5" t="s">
        <v>10</v>
      </c>
      <c r="I15" s="6">
        <v>1200000</v>
      </c>
      <c r="K15" s="5" t="s">
        <v>10</v>
      </c>
      <c r="L15" s="6">
        <v>1200000</v>
      </c>
      <c r="N15" s="5" t="s">
        <v>10</v>
      </c>
      <c r="O15" s="6">
        <v>1223000</v>
      </c>
    </row>
    <row r="16" spans="2:15" x14ac:dyDescent="0.3">
      <c r="B16" s="5" t="s">
        <v>17</v>
      </c>
      <c r="C16" s="4">
        <f xml:space="preserve">  ROUND( (C14 / C15) * 100, 2 )</f>
        <v>6.17</v>
      </c>
      <c r="E16" s="5" t="s">
        <v>17</v>
      </c>
      <c r="F16" s="4">
        <f xml:space="preserve">  ROUND( (F14 / F15) * 100, 2 )</f>
        <v>3.41</v>
      </c>
      <c r="H16" s="5" t="s">
        <v>17</v>
      </c>
      <c r="I16" s="4">
        <f xml:space="preserve">  ROUND( (I14 / I15) * 100, 2 )</f>
        <v>0</v>
      </c>
      <c r="K16" s="5" t="s">
        <v>17</v>
      </c>
      <c r="L16" s="4">
        <f xml:space="preserve">  ROUND( (L14 / L15) * 100, 2 )</f>
        <v>6.52</v>
      </c>
      <c r="N16" s="5" t="s">
        <v>17</v>
      </c>
      <c r="O16" s="4">
        <f xml:space="preserve">  ROUND( (O14 / O15) * 100, 2 )</f>
        <v>9.7899999999999991</v>
      </c>
    </row>
    <row r="17" spans="2:15" x14ac:dyDescent="0.3">
      <c r="B17" s="5" t="s">
        <v>18</v>
      </c>
      <c r="C17" s="2">
        <f xml:space="preserve"> C15 + C14</f>
        <v>1126443</v>
      </c>
      <c r="E17" s="5" t="s">
        <v>18</v>
      </c>
      <c r="F17" s="2">
        <f xml:space="preserve"> F15 + F14</f>
        <v>1164892</v>
      </c>
      <c r="H17" s="5" t="s">
        <v>18</v>
      </c>
      <c r="I17" s="2">
        <f xml:space="preserve"> I15 + I14</f>
        <v>1200000</v>
      </c>
      <c r="K17" s="5" t="s">
        <v>18</v>
      </c>
      <c r="L17" s="2">
        <f xml:space="preserve"> L15 + L14</f>
        <v>1278297</v>
      </c>
      <c r="N17" s="5" t="s">
        <v>18</v>
      </c>
      <c r="O17" s="2">
        <f xml:space="preserve"> O15 + O14</f>
        <v>1342771</v>
      </c>
    </row>
  </sheetData>
  <mergeCells count="5">
    <mergeCell ref="N2:O2"/>
    <mergeCell ref="B2:C2"/>
    <mergeCell ref="E2:F2"/>
    <mergeCell ref="H2:I2"/>
    <mergeCell ref="K2:L2"/>
  </mergeCells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0C5AAF-38D7-4F3B-B615-26C42851F2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시나리오</vt:lpstr>
      <vt:lpstr>생활패턴</vt:lpstr>
      <vt:lpstr>플러그파워</vt:lpstr>
      <vt:lpstr>리사이클</vt:lpstr>
      <vt:lpstr>금융사이클</vt:lpstr>
      <vt:lpstr>단타일지</vt:lpstr>
      <vt:lpstr>2022단타일지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송병근/HR서비스팀-협력사/KBN</cp:lastModifiedBy>
  <dcterms:created xsi:type="dcterms:W3CDTF">2022-01-13T04:25:16Z</dcterms:created>
  <dcterms:modified xsi:type="dcterms:W3CDTF">2024-03-05T02:24:58Z</dcterms:modified>
</cp:coreProperties>
</file>