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2B54BD8-FEFD-4633-AC50-EFBC7D4FB02B}" xr6:coauthVersionLast="36" xr6:coauthVersionMax="47" xr10:uidLastSave="{00000000-0000-0000-0000-000000000000}"/>
  <bookViews>
    <workbookView xWindow="780" yWindow="0" windowWidth="18330" windowHeight="15480" activeTab="3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3" l="1"/>
  <c r="H4" i="23"/>
  <c r="F4" i="23"/>
  <c r="D4" i="23"/>
  <c r="B4" i="23"/>
  <c r="L4" i="23" s="1"/>
  <c r="L3" i="23"/>
  <c r="F18" i="26"/>
  <c r="E18" i="26"/>
  <c r="C18" i="26"/>
  <c r="K4" i="23" l="1"/>
  <c r="C4" i="23"/>
  <c r="I4" i="23"/>
  <c r="G4" i="23"/>
  <c r="E4" i="23"/>
  <c r="D34" i="25" l="1"/>
  <c r="D46" i="25"/>
  <c r="D70" i="25"/>
  <c r="D130" i="25"/>
  <c r="D118" i="25"/>
  <c r="D106" i="25"/>
  <c r="D94" i="25"/>
  <c r="D82" i="25"/>
  <c r="D58" i="25"/>
  <c r="C130" i="25"/>
  <c r="C118" i="25"/>
  <c r="C106" i="25"/>
  <c r="C94" i="25"/>
  <c r="C82" i="25"/>
  <c r="C70" i="25"/>
  <c r="C58" i="25"/>
  <c r="C46" i="25"/>
  <c r="C34" i="25"/>
  <c r="D22" i="25"/>
  <c r="C22" i="25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l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I130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F70" i="25" l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M8" i="25"/>
  <c r="N8" i="25" s="1"/>
  <c r="K9" i="25"/>
  <c r="Q160" i="18"/>
  <c r="D32" i="5"/>
  <c r="F82" i="25" l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M9" i="25"/>
  <c r="N9" i="25" s="1"/>
  <c r="K10" i="25"/>
  <c r="Q161" i="18"/>
  <c r="F106" i="25" l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F118" i="25" l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3" i="25" l="1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C147" i="5" l="1"/>
  <c r="U147" i="5" s="1"/>
  <c r="C148" i="5" s="1"/>
  <c r="U148" i="5" s="1"/>
  <c r="K139" i="18"/>
  <c r="R139" i="18" s="1"/>
  <c r="C149" i="5" l="1"/>
  <c r="U149" i="5" s="1"/>
  <c r="C150" i="5" s="1"/>
  <c r="U150" i="5" s="1"/>
  <c r="C151" i="5" s="1"/>
  <c r="U151" i="5" s="1"/>
  <c r="K140" i="18"/>
  <c r="R140" i="18" s="1"/>
  <c r="C152" i="5" l="1"/>
  <c r="U152" i="5" s="1"/>
  <c r="K141" i="18"/>
  <c r="R141" i="18" s="1"/>
  <c r="C153" i="5" l="1"/>
  <c r="U153" i="5" s="1"/>
  <c r="K142" i="18"/>
  <c r="R142" i="18" s="1"/>
  <c r="C154" i="5" l="1"/>
  <c r="U154" i="5" s="1"/>
  <c r="K143" i="18"/>
  <c r="R143" i="18" s="1"/>
  <c r="C155" i="5" l="1"/>
  <c r="U155" i="5" s="1"/>
  <c r="K144" i="18"/>
  <c r="R144" i="18" s="1"/>
  <c r="C156" i="5" l="1"/>
  <c r="U156" i="5" s="1"/>
  <c r="K145" i="18"/>
  <c r="R145" i="18" s="1"/>
  <c r="C157" i="5" l="1"/>
  <c r="U157" i="5" s="1"/>
  <c r="K146" i="18"/>
  <c r="R146" i="18" s="1"/>
  <c r="C158" i="5" l="1"/>
  <c r="U158" i="5" s="1"/>
  <c r="K147" i="18"/>
  <c r="R147" i="18" l="1"/>
  <c r="K148" i="18"/>
  <c r="K149" i="18" l="1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<sst xmlns="http://schemas.openxmlformats.org/spreadsheetml/2006/main" count="743" uniqueCount="331">
  <si>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</si>
  <si>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</si>
  <si>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</si>
  <si>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</si>
  <si>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</si>
  <si>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</si>
  <si>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</si>
  <si>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</si>
  <si>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</si>
  <si>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</si>
  <si>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</si>
  <si>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</si>
  <si>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</si>
  <si>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</si>
  <si>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</si>
  <si>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</si>
  <si>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</si>
  <si>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</si>
  <si>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</si>
  <si>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</si>
  <si>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</si>
  <si>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</si>
  <si>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</si>
  <si>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</si>
  <si>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</si>
  <si>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</si>
  <si>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</si>
  <si>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</si>
  <si>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</si>
  <si>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</si>
  <si>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</si>
  <si>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</si>
  <si>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</si>
  <si>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</si>
  <si>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</si>
  <si>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</si>
  <si>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</si>
  <si>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</si>
  <si>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</si>
  <si>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</si>
  <si>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</si>
  <si>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</si>
  <si>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</si>
  <si>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</si>
  <si>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</si>
  <si>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</si>
  <si>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</si>
  <si>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</si>
  <si>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</si>
  <si>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</si>
  <si>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</si>
  <si>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</si>
  <si>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</si>
  <si>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</si>
  <si>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</si>
  <si>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</si>
  <si>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</si>
  <si>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</si>
  <si>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</si>
  <si>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</si>
  <si>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</si>
  <si>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</si>
  <si>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</si>
  <si>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</si>
  <si>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</si>
  <si>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</si>
  <si>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</si>
  <si>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</si>
  <si>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</si>
  <si>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</si>
  <si>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</si>
  <si>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</si>
  <si>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</si>
  <si>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</si>
  <si>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</si>
  <si>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</si>
  <si>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</si>
  <si>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</si>
  <si>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</si>
  <si>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</si>
  <si>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</si>
  <si>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</si>
  <si>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</si>
  <si>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</si>
  <si>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</si>
  <si>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</si>
  <si>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</si>
  <si>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</si>
  <si>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</si>
  <si>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</si>
  <si>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</si>
  <si>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</si>
  <si>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</si>
  <si>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</si>
  <si>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</si>
  <si>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</si>
  <si>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</si>
  <si>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</si>
  <si>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</si>
  <si>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</si>
  <si>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</si>
  <si>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</si>
  <si>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</si>
  <si>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</si>
  <si>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</si>
  <si>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</si>
  <si>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</si>
  <si>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</si>
  <si>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</si>
  <si>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</si>
  <si>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</si>
  <si>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</si>
  <si>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</si>
  <si>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</si>
  <si>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</si>
  <si>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</si>
  <si>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</si>
  <si>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</si>
  <si>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</si>
  <si>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</si>
  <si>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</si>
  <si>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</si>
  <si>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</si>
  <si>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</si>
  <si>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</si>
  <si>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</si>
  <si>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</si>
  <si>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</si>
  <si>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</si>
  <si>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</si>
  <si>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</si>
  <si>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</si>
  <si>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</si>
  <si>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</si>
  <si>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</si>
  <si>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</si>
  <si>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</si>
  <si>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</si>
  <si>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</si>
  <si>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</si>
  <si>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</si>
  <si>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</si>
  <si>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</si>
  <si>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</si>
  <si>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</si>
  <si>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</si>
  <si>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</si>
  <si>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</si>
  <si>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</si>
  <si>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</si>
  <si>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</si>
  <si>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</si>
  <si>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</si>
  <si>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</si>
  <si>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</si>
  <si>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</si>
  <si>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</si>
  <si>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</si>
  <si>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</si>
  <si>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</si>
  <si>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</si>
  <si>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</si>
  <si>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</si>
  <si>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</si>
  <si>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</si>
  <si>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</si>
  <si>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</si>
  <si>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</si>
  <si>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</si>
  <si>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</si>
  <si>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</si>
  <si>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</si>
  <si>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</si>
  <si>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</si>
  <si>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</si>
  <si>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</si>
  <si>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</si>
  <si>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</si>
  <si>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</si>
  <si>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</si>
  <si>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</si>
  <si>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</si>
  <si>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</si>
  <si>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</si>
  <si>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</si>
  <si>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</si>
  <si>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</si>
  <si>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</si>
  <si>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</si>
  <si>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</si>
  <si>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</si>
  <si>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</si>
  <si>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</si>
  <si>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</si>
  <si>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</si>
  <si>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</si>
  <si>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</si>
  <si>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</si>
  <si>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</si>
  <si>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</si>
  <si>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</si>
  <si>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</si>
  <si>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</si>
  <si>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</si>
  <si>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</si>
  <si>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</si>
  <si>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</si>
  <si>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</si>
  <si>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</si>
  <si>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</si>
  <si>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</si>
  <si>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</si>
  <si>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</si>
  <si>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</si>
  <si>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</si>
  <si>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</si>
  <si>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</si>
  <si>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</si>
  <si>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</si>
  <si>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</si>
  <si>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</si>
  <si>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</si>
  <si>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</si>
  <si>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</si>
  <si>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</si>
  <si>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</si>
  <si>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</si>
  <si>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</si>
  <si>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</si>
  <si>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</si>
  <si>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</si>
  <si>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</si>
  <si>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</si>
  <si>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</si>
  <si>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</si>
  <si>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</si>
  <si>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</si>
  <si>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</si>
  <si>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</si>
  <si>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</si>
  <si>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</si>
  <si>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</si>
  <si>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</si>
  <si>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</si>
  <si>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</si>
  <si>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</si>
  <si>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</si>
  <si>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</si>
  <si>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</si>
  <si>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</si>
  <si>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2035
은퇴
???</t>
    <phoneticPr fontId="1" type="noConversion"/>
  </si>
  <si>
    <t>집대출완료</t>
    <phoneticPr fontId="1" type="noConversion"/>
  </si>
  <si>
    <t>2035
은퇴시작
???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</si>
  <si>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</si>
  <si>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</si>
  <si>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</si>
  <si>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</si>
  <si>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</si>
  <si>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</si>
  <si>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</si>
  <si>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</si>
  <si>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</si>
  <si>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</si>
  <si>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</si>
  <si>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</si>
  <si>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</si>
  <si>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</si>
  <si>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</si>
  <si>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</si>
  <si>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</si>
  <si>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</si>
  <si>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</si>
  <si>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</si>
  <si>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</si>
  <si>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</si>
  <si>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</si>
  <si>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</si>
  <si>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</si>
  <si>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</si>
  <si>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거실책장</t>
    <phoneticPr fontId="1" type="noConversion"/>
  </si>
  <si>
    <t>냉장고 틈새장</t>
    <phoneticPr fontId="1" type="noConversion"/>
  </si>
  <si>
    <t>https://smartstore.naver.com/itus/products/6711843939</t>
    <phoneticPr fontId="1" type="noConversion"/>
  </si>
  <si>
    <t>이동식 TV</t>
    <phoneticPr fontId="1" type="noConversion"/>
  </si>
  <si>
    <t>https://brand.naver.com/widevu/products/10192893508</t>
    <phoneticPr fontId="1" type="noConversion"/>
  </si>
  <si>
    <t>총비용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</si>
  <si>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</si>
  <si>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</si>
  <si>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</si>
  <si>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거실 의자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</si>
  <si>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</si>
  <si>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</si>
  <si>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</si>
  <si>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견젹요청함 010 6563 8809 드레스룸백경 : 8월1일실측후 예약</t>
    <phoneticPr fontId="1" type="noConversion"/>
  </si>
  <si>
    <t>https://brand.naver.com/trini/products/9898880651
차콜 항하부 유리도어 * 2
800mm * 414mm * 1900mm</t>
    <phoneticPr fontId="1" type="noConversion"/>
  </si>
  <si>
    <t>소파 + 작은소파</t>
    <phoneticPr fontId="1" type="noConversion"/>
  </si>
  <si>
    <t>8월 1일</t>
    <phoneticPr fontId="1" type="noConversion"/>
  </si>
  <si>
    <t>거실테이블</t>
    <phoneticPr fontId="1" type="noConversion"/>
  </si>
  <si>
    <t>8월 1일</t>
  </si>
  <si>
    <t>음식물처리기</t>
    <phoneticPr fontId="1" type="noConversion"/>
  </si>
  <si>
    <t>7월2일</t>
    <phoneticPr fontId="1" type="noConversion"/>
  </si>
  <si>
    <t>화분</t>
    <phoneticPr fontId="1" type="noConversion"/>
  </si>
  <si>
    <t>https://smartstore.naver.com/flowervineshop/products/5641291421
https://smartstore.naver.com/flowervineshop/category/cc04b203caa24bd3820d1f1814fdde0b?cp=1</t>
    <phoneticPr fontId="1" type="noConversion"/>
  </si>
  <si>
    <t>SQQQ</t>
    <phoneticPr fontId="1" type="noConversion"/>
  </si>
  <si>
    <t>전기요금</t>
  </si>
  <si>
    <t>한국전력(☎123) 또는 스마트한전 앱으로 최종 사용량 정산</t>
  </si>
  <si>
    <t>수도요금</t>
  </si>
  <si>
    <t>https://water.suwon.go.kr/waterpay/ncoe/fee/minapSearch.do?utm_source=chatgpt.com</t>
  </si>
  <si>
    <t>가스요금</t>
  </si>
  <si>
    <t>삼천리 도시가스 정산 1544-3002</t>
  </si>
  <si>
    <t xml:space="preserve">인터넷/IPTV </t>
  </si>
  <si>
    <t xml:space="preserve">LG U+ 고객센터 ☎ 101 → 4번(설치 변경) → 1번(이사/이전 관련) </t>
  </si>
  <si>
    <t>관리비</t>
  </si>
  <si>
    <t>이사후 전입신고 === 은행에 제출서류 체크</t>
  </si>
  <si>
    <t>[지금]</t>
  </si>
  <si>
    <t>= 78,000,000</t>
  </si>
  <si>
    <t>31일  - 38,000,000</t>
  </si>
  <si>
    <t>= 80,000,000</t>
  </si>
  <si>
    <t>8월1일 - 5,000,000</t>
  </si>
  <si>
    <t>= 75,000,000</t>
  </si>
  <si>
    <t>8월5일 - 1,520,000</t>
  </si>
  <si>
    <t>= 73,480,000</t>
  </si>
  <si>
    <t>8월7일 - 870,000</t>
  </si>
  <si>
    <t>= 72,610,000</t>
  </si>
  <si>
    <t>8월8일 + 256,000,000</t>
  </si>
  <si>
    <t>= 19,360,000</t>
  </si>
  <si>
    <t xml:space="preserve">  </t>
  </si>
  <si>
    <t>8월9일 + 15,000,000</t>
  </si>
  <si>
    <t>= 32,560,000</t>
  </si>
  <si>
    <t>8월11일 +6,800,000</t>
  </si>
  <si>
    <t>= 39,360,000</t>
  </si>
  <si>
    <t>와이프 현금 10000000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</si>
</sst>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0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right"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right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49" fontId="26" fillId="50" borderId="1" xfId="0" applyNumberFormat="1" applyFont="1" applyFill="1" applyBorder="1" applyAlignment="1">
      <alignment horizontal="center" vertical="center"/>
    </xf>
    <xf numFmtId="177" fontId="0" fillId="50" borderId="1" xfId="0" applyNumberFormat="1" applyFill="1" applyBorder="1">
      <alignment vertical="center"/>
    </xf>
    <xf numFmtId="176" fontId="0" fillId="50" borderId="1" xfId="0" applyNumberFormat="1" applyFill="1" applyBorder="1" applyAlignment="1">
      <alignment horizontal="right" vertical="center"/>
    </xf>
    <xf numFmtId="177" fontId="2" fillId="50" borderId="1" xfId="0" applyNumberFormat="1" applyFont="1" applyFill="1" applyBorder="1">
      <alignment vertical="center"/>
    </xf>
    <xf numFmtId="185" fontId="0" fillId="50" borderId="1" xfId="0" applyNumberFormat="1" applyFill="1" applyBorder="1">
      <alignment vertical="center"/>
    </xf>
    <xf numFmtId="177" fontId="2" fillId="50" borderId="4" xfId="0" applyNumberFormat="1" applyFont="1" applyFill="1" applyBorder="1">
      <alignment vertical="center"/>
    </xf>
    <xf numFmtId="0" fontId="0" fillId="50" borderId="0" xfId="0" applyFill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0" fontId="2" fillId="38" borderId="1" xfId="0" applyFont="1" applyFill="1" applyBorder="1" applyAlignment="1">
      <alignment horizontal="center"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19" fillId="38" borderId="0" xfId="35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35" applyFill="1" applyAlignment="1">
      <alignment vertical="center" wrapText="1"/>
    </xf>
    <xf numFmtId="0" fontId="24" fillId="38" borderId="1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3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.naver.com/trini/products/9898880651&#52264;&#53084;%20&#54637;&#54616;&#48512;%20&#50976;&#47532;&#46020;&#50612;%20*%202800mm%20*%20414mm%20*%201900mm" TargetMode="External"/><Relationship Id="rId2" Type="http://schemas.openxmlformats.org/officeDocument/2006/relationships/hyperlink" Target="https://brand.naver.com/widevu/products/10192893508" TargetMode="External"/><Relationship Id="rId1" Type="http://schemas.openxmlformats.org/officeDocument/2006/relationships/hyperlink" Target="https://smartstore.naver.com/itus/products/6711843939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42"/>
  <sheetViews>
    <sheetView workbookViewId="0">
      <selection activeCell="F5" sqref="F5"/>
    </sheetView>
  </sheetViews>
  <sheetFormatPr defaultRowHeight="16.5" x14ac:dyDescent="0.3"/>
  <cols>
    <col min="1" max="1" width="9" style="255"/>
    <col min="2" max="2" width="4.875" style="256" customWidth="1"/>
    <col min="3" max="3" width="13.25" bestFit="1" customWidth="1"/>
    <col min="4" max="4" width="13.125" bestFit="1" customWidth="1"/>
    <col min="5" max="5" width="12.5" style="259" bestFit="1" customWidth="1"/>
    <col min="6" max="7" width="12.875" bestFit="1" customWidth="1"/>
    <col min="8" max="8" width="12.5" style="281" bestFit="1" customWidth="1"/>
    <col min="9" max="9" width="14.25" style="288" bestFit="1" customWidth="1"/>
    <col min="10" max="10" width="7.375" bestFit="1" customWidth="1"/>
    <col min="11" max="11" width="13.625" style="288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13.625" bestFit="1" customWidth="1"/>
    <col min="16" max="16" width="20" bestFit="1" customWidth="1"/>
  </cols>
  <sheetData>
    <row r="1" spans="1:14" x14ac:dyDescent="0.3">
      <c r="A1" s="192" t="s">
        <v>244</v>
      </c>
    </row>
    <row r="2" spans="1:14" x14ac:dyDescent="0.3">
      <c r="C2" s="348" t="s">
        <v>84</v>
      </c>
      <c r="D2" s="348"/>
      <c r="E2" s="339" t="s">
        <v>169</v>
      </c>
      <c r="F2" s="339"/>
      <c r="G2" s="341" t="s">
        <v>161</v>
      </c>
      <c r="H2" s="342"/>
      <c r="I2" s="343" t="s">
        <v>162</v>
      </c>
      <c r="J2" s="343"/>
      <c r="K2" s="343"/>
      <c r="L2" s="344"/>
      <c r="M2" s="340" t="s">
        <v>240</v>
      </c>
      <c r="N2" s="345" t="s">
        <v>246</v>
      </c>
    </row>
    <row r="3" spans="1:14" ht="33" x14ac:dyDescent="0.3">
      <c r="C3" s="276" t="s">
        <v>241</v>
      </c>
      <c r="D3" s="276" t="s">
        <v>242</v>
      </c>
      <c r="E3" s="258" t="s">
        <v>170</v>
      </c>
      <c r="F3" s="124" t="s">
        <v>171</v>
      </c>
      <c r="G3" s="257" t="s">
        <v>168</v>
      </c>
      <c r="H3" s="293" t="s">
        <v>247</v>
      </c>
      <c r="I3" s="293" t="s">
        <v>248</v>
      </c>
      <c r="J3" s="289" t="s">
        <v>245</v>
      </c>
      <c r="K3" s="254" t="s">
        <v>243</v>
      </c>
      <c r="L3" s="289" t="s">
        <v>245</v>
      </c>
      <c r="M3" s="340"/>
      <c r="N3" s="345"/>
    </row>
    <row r="4" spans="1:14" s="57" customFormat="1" x14ac:dyDescent="0.3">
      <c r="A4" s="346">
        <v>2025</v>
      </c>
      <c r="B4" s="320" t="s">
        <v>227</v>
      </c>
      <c r="C4" s="177">
        <v>5000000</v>
      </c>
      <c r="D4" s="177">
        <v>31000000</v>
      </c>
      <c r="E4" s="321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22">
        <v>-8.0000000000000002E-3</v>
      </c>
      <c r="K4" s="180">
        <f xml:space="preserve"> (D4) * L4 +  (D4)</f>
        <v>30318000</v>
      </c>
      <c r="L4" s="322">
        <v>-2.1999999999999999E-2</v>
      </c>
      <c r="M4" s="323">
        <f>I4 + K4</f>
        <v>35278000</v>
      </c>
      <c r="N4" s="180">
        <f xml:space="preserve"> M4 + H4 + G4 - F4 - E4</f>
        <v>1198000</v>
      </c>
    </row>
    <row r="5" spans="1:14" x14ac:dyDescent="0.3">
      <c r="A5" s="346"/>
      <c r="B5" s="256" t="s">
        <v>229</v>
      </c>
      <c r="C5" s="262">
        <v>0</v>
      </c>
      <c r="D5" s="262">
        <v>0</v>
      </c>
      <c r="E5" s="263">
        <v>60000000</v>
      </c>
      <c r="F5" s="262">
        <v>0</v>
      </c>
      <c r="G5" s="262">
        <v>15000000</v>
      </c>
      <c r="H5" s="92">
        <f xml:space="preserve"> H4 + 420000</f>
        <v>11340000</v>
      </c>
      <c r="I5" s="153">
        <f t="shared" ref="I5:I36" si="0" xml:space="preserve"> (I4 * J5) + (I4 + C5)</f>
        <v>4999680</v>
      </c>
      <c r="J5" s="264">
        <v>8.0000000000000002E-3</v>
      </c>
      <c r="K5" s="153">
        <f t="shared" ref="K5:K36" si="1" xml:space="preserve">  K4 * L5 + D5 + K4</f>
        <v>30863724</v>
      </c>
      <c r="L5" s="264">
        <v>1.7999999999999999E-2</v>
      </c>
      <c r="M5" s="290">
        <f>I5 + K5</f>
        <v>35863404</v>
      </c>
      <c r="N5" s="286">
        <f xml:space="preserve"> M5 + H5 + G5 - F5 - E5</f>
        <v>2203404</v>
      </c>
    </row>
    <row r="6" spans="1:14" x14ac:dyDescent="0.3">
      <c r="A6" s="346"/>
      <c r="B6" s="256" t="s">
        <v>230</v>
      </c>
      <c r="C6" s="262">
        <v>0</v>
      </c>
      <c r="D6" s="262">
        <v>0</v>
      </c>
      <c r="E6" s="8">
        <v>50000000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4">
        <v>8.0000000000000002E-3</v>
      </c>
      <c r="K6" s="153">
        <f t="shared" si="1"/>
        <v>31419271.032000002</v>
      </c>
      <c r="L6" s="264">
        <v>1.7999999999999999E-2</v>
      </c>
      <c r="M6" s="290">
        <f t="shared" ref="M6:M69" si="2">I6 + K6</f>
        <v>36458948.472000003</v>
      </c>
      <c r="N6" s="286">
        <f t="shared" ref="N6:N69" si="3" xml:space="preserve"> M6 + H6 + G6 - F6 - E6</f>
        <v>122218948.472</v>
      </c>
    </row>
    <row r="7" spans="1:14" x14ac:dyDescent="0.3">
      <c r="A7" s="346"/>
      <c r="B7" s="256" t="s">
        <v>231</v>
      </c>
      <c r="C7" s="262">
        <v>0</v>
      </c>
      <c r="D7" s="262">
        <v>0</v>
      </c>
      <c r="E7" s="277">
        <v>10000000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4">
        <v>8.0000000000000002E-3</v>
      </c>
      <c r="K7" s="153">
        <f t="shared" si="1"/>
        <v>31984817.910576001</v>
      </c>
      <c r="L7" s="264">
        <v>1.7999999999999999E-2</v>
      </c>
      <c r="M7" s="290">
        <f t="shared" si="2"/>
        <v>37064812.770096004</v>
      </c>
      <c r="N7" s="286">
        <f t="shared" si="3"/>
        <v>163954812.770096</v>
      </c>
    </row>
    <row r="8" spans="1:14" x14ac:dyDescent="0.3">
      <c r="A8" s="346"/>
      <c r="B8" s="256" t="s">
        <v>232</v>
      </c>
      <c r="C8" s="262">
        <v>0</v>
      </c>
      <c r="D8" s="262">
        <v>0</v>
      </c>
      <c r="E8" s="277">
        <v>10000000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4">
        <v>8.0000000000000002E-3</v>
      </c>
      <c r="K8" s="153">
        <f t="shared" si="1"/>
        <v>32560544.632966369</v>
      </c>
      <c r="L8" s="264">
        <v>1.7999999999999999E-2</v>
      </c>
      <c r="M8" s="290">
        <f t="shared" si="2"/>
        <v>37681179.451362528</v>
      </c>
      <c r="N8" s="286">
        <f t="shared" si="3"/>
        <v>165701179.45136255</v>
      </c>
    </row>
    <row r="9" spans="1:14" x14ac:dyDescent="0.3">
      <c r="A9" s="346"/>
      <c r="B9" s="261" t="s">
        <v>233</v>
      </c>
      <c r="C9" s="262">
        <v>0</v>
      </c>
      <c r="D9" s="262">
        <v>0</v>
      </c>
      <c r="E9" s="277">
        <v>10000000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4">
        <v>8.0000000000000002E-3</v>
      </c>
      <c r="K9" s="153">
        <f t="shared" si="1"/>
        <v>33146634.436359763</v>
      </c>
      <c r="L9" s="264">
        <v>1.7999999999999999E-2</v>
      </c>
      <c r="M9" s="290">
        <f t="shared" si="2"/>
        <v>38308234.333303094</v>
      </c>
      <c r="N9" s="286">
        <f t="shared" si="3"/>
        <v>167458234.33330309</v>
      </c>
    </row>
    <row r="10" spans="1:14" s="270" customFormat="1" ht="17.25" thickBot="1" x14ac:dyDescent="0.35">
      <c r="A10" s="346"/>
      <c r="B10" s="265" t="s">
        <v>234</v>
      </c>
      <c r="C10" s="266">
        <v>0</v>
      </c>
      <c r="D10" s="266">
        <v>0</v>
      </c>
      <c r="E10" s="267">
        <v>0</v>
      </c>
      <c r="F10" s="268">
        <f t="shared" si="5"/>
        <v>253160000</v>
      </c>
      <c r="G10" s="268">
        <v>380000000</v>
      </c>
      <c r="H10" s="266">
        <f t="shared" si="4"/>
        <v>13440000</v>
      </c>
      <c r="I10" s="287">
        <f t="shared" si="0"/>
        <v>5202892.6961188763</v>
      </c>
      <c r="J10" s="269">
        <v>8.0000000000000002E-3</v>
      </c>
      <c r="K10" s="287">
        <f t="shared" si="1"/>
        <v>33743273.85621424</v>
      </c>
      <c r="L10" s="269">
        <v>1.7999999999999999E-2</v>
      </c>
      <c r="M10" s="291">
        <f t="shared" si="2"/>
        <v>38946166.552333117</v>
      </c>
      <c r="N10" s="287">
        <f t="shared" si="3"/>
        <v>179226166.55233312</v>
      </c>
    </row>
    <row r="11" spans="1:14" x14ac:dyDescent="0.3">
      <c r="A11" s="346">
        <v>2026</v>
      </c>
      <c r="B11" s="260" t="s">
        <v>235</v>
      </c>
      <c r="C11" s="262">
        <v>100000</v>
      </c>
      <c r="D11" s="262">
        <v>400000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5344515.8376878276</v>
      </c>
      <c r="J11" s="264">
        <v>8.0000000000000002E-3</v>
      </c>
      <c r="K11" s="153">
        <f t="shared" si="1"/>
        <v>34750652.785626099</v>
      </c>
      <c r="L11" s="264">
        <v>1.7999999999999999E-2</v>
      </c>
      <c r="M11" s="290">
        <f t="shared" si="2"/>
        <v>40095168.623313926</v>
      </c>
      <c r="N11" s="286">
        <f t="shared" si="3"/>
        <v>181505168.6233139</v>
      </c>
    </row>
    <row r="12" spans="1:14" x14ac:dyDescent="0.3">
      <c r="A12" s="346"/>
      <c r="B12" s="256" t="s">
        <v>236</v>
      </c>
      <c r="C12" s="262">
        <v>100000</v>
      </c>
      <c r="D12" s="262">
        <v>400000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5487271.9643893307</v>
      </c>
      <c r="J12" s="264">
        <v>8.0000000000000002E-3</v>
      </c>
      <c r="K12" s="153">
        <f t="shared" si="1"/>
        <v>35776164.535767369</v>
      </c>
      <c r="L12" s="264">
        <v>1.7999999999999999E-2</v>
      </c>
      <c r="M12" s="290">
        <f t="shared" si="2"/>
        <v>41263436.500156701</v>
      </c>
      <c r="N12" s="286">
        <f t="shared" si="3"/>
        <v>183803436.5001567</v>
      </c>
    </row>
    <row r="13" spans="1:14" x14ac:dyDescent="0.3">
      <c r="A13" s="346"/>
      <c r="B13" s="256" t="s">
        <v>237</v>
      </c>
      <c r="C13" s="262">
        <v>100000</v>
      </c>
      <c r="D13" s="262">
        <v>400000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5631170.1401044456</v>
      </c>
      <c r="J13" s="264">
        <v>8.0000000000000002E-3</v>
      </c>
      <c r="K13" s="153">
        <f t="shared" si="1"/>
        <v>36820135.497411184</v>
      </c>
      <c r="L13" s="264">
        <v>1.7999999999999999E-2</v>
      </c>
      <c r="M13" s="290">
        <f t="shared" si="2"/>
        <v>42451305.637515627</v>
      </c>
      <c r="N13" s="286">
        <f t="shared" si="3"/>
        <v>186121305.6375156</v>
      </c>
    </row>
    <row r="14" spans="1:14" x14ac:dyDescent="0.3">
      <c r="A14" s="346"/>
      <c r="B14" s="256" t="s">
        <v>238</v>
      </c>
      <c r="C14" s="262">
        <v>100000</v>
      </c>
      <c r="D14" s="262">
        <v>400000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5776219.5012252815</v>
      </c>
      <c r="J14" s="264">
        <v>8.0000000000000002E-3</v>
      </c>
      <c r="K14" s="153">
        <f t="shared" si="1"/>
        <v>37882897.936364584</v>
      </c>
      <c r="L14" s="264">
        <v>1.7999999999999999E-2</v>
      </c>
      <c r="M14" s="290">
        <f t="shared" si="2"/>
        <v>43659117.437589869</v>
      </c>
      <c r="N14" s="286">
        <f t="shared" si="3"/>
        <v>188459117.43758988</v>
      </c>
    </row>
    <row r="15" spans="1:14" x14ac:dyDescent="0.3">
      <c r="A15" s="346"/>
      <c r="B15" s="256" t="s">
        <v>239</v>
      </c>
      <c r="C15" s="262">
        <v>100000</v>
      </c>
      <c r="D15" s="262">
        <v>400000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5922429.2572350837</v>
      </c>
      <c r="J15" s="264">
        <v>8.0000000000000002E-3</v>
      </c>
      <c r="K15" s="153">
        <f t="shared" si="1"/>
        <v>38964790.099219143</v>
      </c>
      <c r="L15" s="264">
        <v>1.7999999999999999E-2</v>
      </c>
      <c r="M15" s="290">
        <f t="shared" si="2"/>
        <v>44887219.356454223</v>
      </c>
      <c r="N15" s="286">
        <f t="shared" si="3"/>
        <v>190817219.35645425</v>
      </c>
    </row>
    <row r="16" spans="1:14" x14ac:dyDescent="0.3">
      <c r="A16" s="346"/>
      <c r="B16" s="256" t="s">
        <v>226</v>
      </c>
      <c r="C16" s="262">
        <v>100000</v>
      </c>
      <c r="D16" s="262">
        <v>400000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6069808.6912929649</v>
      </c>
      <c r="J16" s="264">
        <v>8.0000000000000002E-3</v>
      </c>
      <c r="K16" s="153">
        <f t="shared" si="1"/>
        <v>40066156.321005091</v>
      </c>
      <c r="L16" s="264">
        <v>1.7999999999999999E-2</v>
      </c>
      <c r="M16" s="290">
        <f t="shared" si="2"/>
        <v>46135965.012298055</v>
      </c>
      <c r="N16" s="286">
        <f t="shared" si="3"/>
        <v>193195965.01229805</v>
      </c>
    </row>
    <row r="17" spans="1:14" x14ac:dyDescent="0.3">
      <c r="A17" s="346"/>
      <c r="B17" s="256" t="s">
        <v>228</v>
      </c>
      <c r="C17" s="262">
        <v>100000</v>
      </c>
      <c r="D17" s="262">
        <v>400000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6218367.1608233089</v>
      </c>
      <c r="J17" s="264">
        <v>8.0000000000000002E-3</v>
      </c>
      <c r="K17" s="153">
        <f t="shared" si="1"/>
        <v>41187347.134783186</v>
      </c>
      <c r="L17" s="264">
        <v>1.7999999999999999E-2</v>
      </c>
      <c r="M17" s="290">
        <f t="shared" si="2"/>
        <v>47405714.295606494</v>
      </c>
      <c r="N17" s="286">
        <f t="shared" si="3"/>
        <v>195595714.29560649</v>
      </c>
    </row>
    <row r="18" spans="1:14" x14ac:dyDescent="0.3">
      <c r="A18" s="346"/>
      <c r="B18" s="256" t="s">
        <v>230</v>
      </c>
      <c r="C18" s="262">
        <v>100000</v>
      </c>
      <c r="D18" s="262">
        <v>400000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6368114.0981098954</v>
      </c>
      <c r="J18" s="264">
        <v>8.0000000000000002E-3</v>
      </c>
      <c r="K18" s="153">
        <f t="shared" si="1"/>
        <v>42328719.383209281</v>
      </c>
      <c r="L18" s="264">
        <v>1.7999999999999999E-2</v>
      </c>
      <c r="M18" s="290">
        <f t="shared" si="2"/>
        <v>48696833.481319174</v>
      </c>
      <c r="N18" s="286">
        <f t="shared" si="3"/>
        <v>198016833.48131919</v>
      </c>
    </row>
    <row r="19" spans="1:14" x14ac:dyDescent="0.3">
      <c r="A19" s="346"/>
      <c r="B19" s="256" t="s">
        <v>231</v>
      </c>
      <c r="C19" s="262">
        <v>100000</v>
      </c>
      <c r="D19" s="262">
        <v>400000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6519059.0108947745</v>
      </c>
      <c r="J19" s="264">
        <v>8.0000000000000002E-3</v>
      </c>
      <c r="K19" s="153">
        <f t="shared" si="1"/>
        <v>43490636.332107045</v>
      </c>
      <c r="L19" s="264">
        <v>1.7999999999999999E-2</v>
      </c>
      <c r="M19" s="290">
        <f t="shared" si="2"/>
        <v>50009695.34300182</v>
      </c>
      <c r="N19" s="286">
        <f t="shared" si="3"/>
        <v>200459695.34300184</v>
      </c>
    </row>
    <row r="20" spans="1:14" x14ac:dyDescent="0.3">
      <c r="A20" s="346"/>
      <c r="B20" s="256" t="s">
        <v>232</v>
      </c>
      <c r="C20" s="262">
        <v>100000</v>
      </c>
      <c r="D20" s="262">
        <v>400000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6671211.4829819323</v>
      </c>
      <c r="J20" s="264">
        <v>8.0000000000000002E-3</v>
      </c>
      <c r="K20" s="153">
        <f t="shared" si="1"/>
        <v>44673467.786084972</v>
      </c>
      <c r="L20" s="264">
        <v>1.7999999999999999E-2</v>
      </c>
      <c r="M20" s="290">
        <f t="shared" si="2"/>
        <v>51344679.269066907</v>
      </c>
      <c r="N20" s="286">
        <f t="shared" si="3"/>
        <v>202924679.26906693</v>
      </c>
    </row>
    <row r="21" spans="1:14" x14ac:dyDescent="0.3">
      <c r="A21" s="346"/>
      <c r="B21" s="261" t="s">
        <v>233</v>
      </c>
      <c r="C21" s="262">
        <v>100000</v>
      </c>
      <c r="D21" s="262">
        <v>400000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6824581.1748457877</v>
      </c>
      <c r="J21" s="264">
        <v>8.0000000000000002E-3</v>
      </c>
      <c r="K21" s="153">
        <f t="shared" si="1"/>
        <v>45877590.2062345</v>
      </c>
      <c r="L21" s="264">
        <v>1.7999999999999999E-2</v>
      </c>
      <c r="M21" s="290">
        <f t="shared" si="2"/>
        <v>52702171.381080285</v>
      </c>
      <c r="N21" s="286">
        <f t="shared" si="3"/>
        <v>205412171.38108027</v>
      </c>
    </row>
    <row r="22" spans="1:14" s="270" customFormat="1" ht="17.25" thickBot="1" x14ac:dyDescent="0.35">
      <c r="A22" s="346"/>
      <c r="B22" s="265" t="s">
        <v>234</v>
      </c>
      <c r="C22" s="266">
        <f xml:space="preserve"> 100000 + 3000000</f>
        <v>3100000</v>
      </c>
      <c r="D22" s="266">
        <f xml:space="preserve"> 400000 - 3000000</f>
        <v>-2600000</v>
      </c>
      <c r="E22" s="267">
        <v>0</v>
      </c>
      <c r="F22" s="268">
        <f t="shared" si="5"/>
        <v>244640000</v>
      </c>
      <c r="G22" s="268">
        <v>380000000</v>
      </c>
      <c r="H22" s="266">
        <f t="shared" si="4"/>
        <v>18480000</v>
      </c>
      <c r="I22" s="287">
        <f t="shared" si="0"/>
        <v>9979177.8242445551</v>
      </c>
      <c r="J22" s="269">
        <v>8.0000000000000002E-3</v>
      </c>
      <c r="K22" s="287">
        <f t="shared" si="1"/>
        <v>44103386.829946719</v>
      </c>
      <c r="L22" s="269">
        <v>1.7999999999999999E-2</v>
      </c>
      <c r="M22" s="291">
        <f t="shared" si="2"/>
        <v>54082564.65419127</v>
      </c>
      <c r="N22" s="287">
        <f t="shared" si="3"/>
        <v>207922564.65419126</v>
      </c>
    </row>
    <row r="23" spans="1:14" x14ac:dyDescent="0.3">
      <c r="A23" s="346">
        <v>2027</v>
      </c>
      <c r="B23" s="260" t="s">
        <v>235</v>
      </c>
      <c r="C23" s="262">
        <v>100000</v>
      </c>
      <c r="D23" s="262">
        <v>400000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10159011.246838512</v>
      </c>
      <c r="J23" s="264">
        <v>8.0000000000000002E-3</v>
      </c>
      <c r="K23" s="153">
        <f t="shared" si="1"/>
        <v>45297247.792885758</v>
      </c>
      <c r="L23" s="264">
        <v>1.7999999999999999E-2</v>
      </c>
      <c r="M23" s="290">
        <f t="shared" si="2"/>
        <v>55456259.039724268</v>
      </c>
      <c r="N23" s="286">
        <f t="shared" si="3"/>
        <v>210426259.03972423</v>
      </c>
    </row>
    <row r="24" spans="1:14" x14ac:dyDescent="0.3">
      <c r="A24" s="346"/>
      <c r="B24" s="256" t="s">
        <v>236</v>
      </c>
      <c r="C24" s="262">
        <v>100000</v>
      </c>
      <c r="D24" s="262">
        <v>400000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10340283.336813221</v>
      </c>
      <c r="J24" s="264">
        <v>8.0000000000000002E-3</v>
      </c>
      <c r="K24" s="153">
        <f t="shared" si="1"/>
        <v>46512598.253157705</v>
      </c>
      <c r="L24" s="264">
        <v>1.7999999999999999E-2</v>
      </c>
      <c r="M24" s="290">
        <f t="shared" si="2"/>
        <v>56852881.589970924</v>
      </c>
      <c r="N24" s="286">
        <f t="shared" si="3"/>
        <v>212952881.58997095</v>
      </c>
    </row>
    <row r="25" spans="1:14" x14ac:dyDescent="0.3">
      <c r="A25" s="346"/>
      <c r="B25" s="256" t="s">
        <v>237</v>
      </c>
      <c r="C25" s="262">
        <v>100000</v>
      </c>
      <c r="D25" s="262">
        <v>400000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10523005.603507727</v>
      </c>
      <c r="J25" s="264">
        <v>8.0000000000000002E-3</v>
      </c>
      <c r="K25" s="153">
        <f t="shared" si="1"/>
        <v>47749825.021714546</v>
      </c>
      <c r="L25" s="264">
        <v>1.7999999999999999E-2</v>
      </c>
      <c r="M25" s="290">
        <f t="shared" si="2"/>
        <v>58272830.625222273</v>
      </c>
      <c r="N25" s="286">
        <f t="shared" si="3"/>
        <v>215502830.62522227</v>
      </c>
    </row>
    <row r="26" spans="1:14" x14ac:dyDescent="0.3">
      <c r="A26" s="346"/>
      <c r="B26" s="256" t="s">
        <v>238</v>
      </c>
      <c r="C26" s="262">
        <v>100000</v>
      </c>
      <c r="D26" s="262">
        <v>400000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10707189.648335788</v>
      </c>
      <c r="J26" s="264">
        <v>8.0000000000000002E-3</v>
      </c>
      <c r="K26" s="153">
        <f t="shared" si="1"/>
        <v>49009321.872105405</v>
      </c>
      <c r="L26" s="264">
        <v>1.7999999999999999E-2</v>
      </c>
      <c r="M26" s="290">
        <f t="shared" si="2"/>
        <v>59716511.520441189</v>
      </c>
      <c r="N26" s="286">
        <f t="shared" si="3"/>
        <v>218076511.52044117</v>
      </c>
    </row>
    <row r="27" spans="1:14" x14ac:dyDescent="0.3">
      <c r="A27" s="346"/>
      <c r="B27" s="256" t="s">
        <v>239</v>
      </c>
      <c r="C27" s="262">
        <v>100000</v>
      </c>
      <c r="D27" s="262">
        <v>400000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10892847.165522475</v>
      </c>
      <c r="J27" s="264">
        <v>8.0000000000000002E-3</v>
      </c>
      <c r="K27" s="153">
        <f t="shared" si="1"/>
        <v>50291489.665803298</v>
      </c>
      <c r="L27" s="264">
        <v>1.7999999999999999E-2</v>
      </c>
      <c r="M27" s="290">
        <f t="shared" si="2"/>
        <v>61184336.831325769</v>
      </c>
      <c r="N27" s="286">
        <f t="shared" si="3"/>
        <v>220674336.83132577</v>
      </c>
    </row>
    <row r="28" spans="1:14" x14ac:dyDescent="0.3">
      <c r="A28" s="346"/>
      <c r="B28" s="256" t="s">
        <v>226</v>
      </c>
      <c r="C28" s="262">
        <v>100000</v>
      </c>
      <c r="D28" s="262">
        <v>400000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11079989.942846654</v>
      </c>
      <c r="J28" s="264">
        <v>8.0000000000000002E-3</v>
      </c>
      <c r="K28" s="153">
        <f t="shared" si="1"/>
        <v>51596736.479787759</v>
      </c>
      <c r="L28" s="264">
        <v>1.7999999999999999E-2</v>
      </c>
      <c r="M28" s="290">
        <f t="shared" si="2"/>
        <v>62676726.422634415</v>
      </c>
      <c r="N28" s="286">
        <f t="shared" si="3"/>
        <v>223296726.42263442</v>
      </c>
    </row>
    <row r="29" spans="1:14" x14ac:dyDescent="0.3">
      <c r="A29" s="346"/>
      <c r="B29" s="256" t="s">
        <v>228</v>
      </c>
      <c r="C29" s="262">
        <v>100000</v>
      </c>
      <c r="D29" s="262">
        <v>400000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11268629.862389427</v>
      </c>
      <c r="J29" s="264">
        <v>8.0000000000000002E-3</v>
      </c>
      <c r="K29" s="153">
        <f t="shared" si="1"/>
        <v>52925477.736423939</v>
      </c>
      <c r="L29" s="264">
        <v>1.7999999999999999E-2</v>
      </c>
      <c r="M29" s="290">
        <f t="shared" si="2"/>
        <v>64194107.59881337</v>
      </c>
      <c r="N29" s="286">
        <f t="shared" si="3"/>
        <v>225944107.59881335</v>
      </c>
    </row>
    <row r="30" spans="1:14" x14ac:dyDescent="0.3">
      <c r="A30" s="346"/>
      <c r="B30" s="256" t="s">
        <v>230</v>
      </c>
      <c r="C30" s="262">
        <v>100000</v>
      </c>
      <c r="D30" s="262">
        <v>400000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11458778.901288543</v>
      </c>
      <c r="J30" s="264">
        <v>8.0000000000000002E-3</v>
      </c>
      <c r="K30" s="153">
        <f t="shared" si="1"/>
        <v>54278136.335679568</v>
      </c>
      <c r="L30" s="264">
        <v>1.7999999999999999E-2</v>
      </c>
      <c r="M30" s="290">
        <f t="shared" si="2"/>
        <v>65736915.236968115</v>
      </c>
      <c r="N30" s="286">
        <f t="shared" si="3"/>
        <v>228616915.2369681</v>
      </c>
    </row>
    <row r="31" spans="1:14" x14ac:dyDescent="0.3">
      <c r="A31" s="346"/>
      <c r="B31" s="256" t="s">
        <v>231</v>
      </c>
      <c r="C31" s="262">
        <v>100000</v>
      </c>
      <c r="D31" s="262">
        <v>400000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11650449.132498851</v>
      </c>
      <c r="J31" s="264">
        <v>8.0000000000000002E-3</v>
      </c>
      <c r="K31" s="153">
        <f t="shared" si="1"/>
        <v>55655142.789721802</v>
      </c>
      <c r="L31" s="264">
        <v>1.7999999999999999E-2</v>
      </c>
      <c r="M31" s="290">
        <f t="shared" si="2"/>
        <v>67305591.922220647</v>
      </c>
      <c r="N31" s="286">
        <f t="shared" si="3"/>
        <v>231315591.92222065</v>
      </c>
    </row>
    <row r="32" spans="1:14" x14ac:dyDescent="0.3">
      <c r="A32" s="346"/>
      <c r="B32" s="256" t="s">
        <v>232</v>
      </c>
      <c r="C32" s="262">
        <v>100000</v>
      </c>
      <c r="D32" s="262">
        <v>400000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11843652.725558842</v>
      </c>
      <c r="J32" s="264">
        <v>8.0000000000000002E-3</v>
      </c>
      <c r="K32" s="153">
        <f t="shared" si="1"/>
        <v>57056935.359936796</v>
      </c>
      <c r="L32" s="264">
        <v>1.7999999999999999E-2</v>
      </c>
      <c r="M32" s="290">
        <f t="shared" si="2"/>
        <v>68900588.085495636</v>
      </c>
      <c r="N32" s="286">
        <f t="shared" si="3"/>
        <v>234040588.08549565</v>
      </c>
    </row>
    <row r="33" spans="1:14" x14ac:dyDescent="0.3">
      <c r="A33" s="346"/>
      <c r="B33" s="256" t="s">
        <v>233</v>
      </c>
      <c r="C33" s="262">
        <v>100000</v>
      </c>
      <c r="D33" s="262">
        <v>400000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12038401.947363311</v>
      </c>
      <c r="J33" s="264">
        <v>8.0000000000000002E-3</v>
      </c>
      <c r="K33" s="153">
        <f t="shared" si="1"/>
        <v>58483960.196415655</v>
      </c>
      <c r="L33" s="264">
        <v>1.7999999999999999E-2</v>
      </c>
      <c r="M33" s="290">
        <f t="shared" si="2"/>
        <v>70522362.143778965</v>
      </c>
      <c r="N33" s="286">
        <f t="shared" si="3"/>
        <v>236792362.14377898</v>
      </c>
    </row>
    <row r="34" spans="1:14" s="96" customFormat="1" x14ac:dyDescent="0.3">
      <c r="A34" s="346"/>
      <c r="B34" s="275" t="s">
        <v>234</v>
      </c>
      <c r="C34" s="266">
        <f xml:space="preserve"> 100000 + 3000000</f>
        <v>3100000</v>
      </c>
      <c r="D34" s="266">
        <f xml:space="preserve"> 400000 - 3000000 -10000000</f>
        <v>-12600000</v>
      </c>
      <c r="E34" s="267">
        <v>0</v>
      </c>
      <c r="F34" s="268">
        <f t="shared" si="5"/>
        <v>236120000</v>
      </c>
      <c r="G34" s="268">
        <v>380000000</v>
      </c>
      <c r="H34" s="92">
        <f t="shared" si="4"/>
        <v>23520000</v>
      </c>
      <c r="I34" s="153">
        <f t="shared" si="0"/>
        <v>15234709.162942218</v>
      </c>
      <c r="J34" s="269">
        <v>8.0000000000000002E-3</v>
      </c>
      <c r="K34" s="153">
        <f t="shared" si="1"/>
        <v>46936671.479951136</v>
      </c>
      <c r="L34" s="269">
        <v>1.7999999999999999E-2</v>
      </c>
      <c r="M34" s="291">
        <f t="shared" si="2"/>
        <v>62171380.642893352</v>
      </c>
      <c r="N34" s="286">
        <f t="shared" si="3"/>
        <v>229571380.64289331</v>
      </c>
    </row>
    <row r="35" spans="1:14" x14ac:dyDescent="0.3">
      <c r="A35" s="346">
        <v>2028</v>
      </c>
      <c r="B35" s="256" t="s">
        <v>235</v>
      </c>
      <c r="C35" s="262">
        <v>100000</v>
      </c>
      <c r="D35" s="262">
        <v>400000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15456586.836245755</v>
      </c>
      <c r="J35" s="264">
        <v>8.0000000000000002E-3</v>
      </c>
      <c r="K35" s="153">
        <f t="shared" si="1"/>
        <v>48181531.566590257</v>
      </c>
      <c r="L35" s="264">
        <v>1.7999999999999999E-2</v>
      </c>
      <c r="M35" s="290">
        <f t="shared" si="2"/>
        <v>63638118.40283601</v>
      </c>
      <c r="N35" s="286">
        <f t="shared" si="3"/>
        <v>232168118.40283602</v>
      </c>
    </row>
    <row r="36" spans="1:14" x14ac:dyDescent="0.3">
      <c r="A36" s="346"/>
      <c r="B36" s="256" t="s">
        <v>236</v>
      </c>
      <c r="C36" s="262">
        <v>100000</v>
      </c>
      <c r="D36" s="262">
        <v>400000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15680239.530935721</v>
      </c>
      <c r="J36" s="264">
        <v>8.0000000000000002E-3</v>
      </c>
      <c r="K36" s="153">
        <f t="shared" si="1"/>
        <v>49448799.134788878</v>
      </c>
      <c r="L36" s="264">
        <v>1.7999999999999999E-2</v>
      </c>
      <c r="M36" s="290">
        <f t="shared" si="2"/>
        <v>65129038.665724598</v>
      </c>
      <c r="N36" s="286">
        <f t="shared" si="3"/>
        <v>234789038.66572464</v>
      </c>
    </row>
    <row r="37" spans="1:14" x14ac:dyDescent="0.3">
      <c r="A37" s="346"/>
      <c r="B37" s="256" t="s">
        <v>237</v>
      </c>
      <c r="C37" s="262">
        <v>100000</v>
      </c>
      <c r="D37" s="262">
        <v>400000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15905681.447183207</v>
      </c>
      <c r="J37" s="264">
        <v>8.0000000000000002E-3</v>
      </c>
      <c r="K37" s="153">
        <f t="shared" ref="K37:K68" si="7" xml:space="preserve">  K36 * L37 + D37 + K36</f>
        <v>50738877.519215077</v>
      </c>
      <c r="L37" s="264">
        <v>1.7999999999999999E-2</v>
      </c>
      <c r="M37" s="290">
        <f t="shared" si="2"/>
        <v>66644558.966398284</v>
      </c>
      <c r="N37" s="286">
        <f t="shared" si="3"/>
        <v>237434558.9663983</v>
      </c>
    </row>
    <row r="38" spans="1:14" x14ac:dyDescent="0.3">
      <c r="A38" s="346"/>
      <c r="B38" s="256" t="s">
        <v>238</v>
      </c>
      <c r="C38" s="262">
        <v>100000</v>
      </c>
      <c r="D38" s="262">
        <v>400000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16132926.898760673</v>
      </c>
      <c r="J38" s="264">
        <v>8.0000000000000002E-3</v>
      </c>
      <c r="K38" s="153">
        <f t="shared" si="7"/>
        <v>52052177.31456095</v>
      </c>
      <c r="L38" s="264">
        <v>1.7999999999999999E-2</v>
      </c>
      <c r="M38" s="290">
        <f t="shared" si="2"/>
        <v>68185104.213321626</v>
      </c>
      <c r="N38" s="286">
        <f t="shared" si="3"/>
        <v>240105104.21332163</v>
      </c>
    </row>
    <row r="39" spans="1:14" x14ac:dyDescent="0.3">
      <c r="A39" s="346"/>
      <c r="B39" s="256" t="s">
        <v>239</v>
      </c>
      <c r="C39" s="262">
        <v>100000</v>
      </c>
      <c r="D39" s="262">
        <v>400000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16361990.313950758</v>
      </c>
      <c r="J39" s="264">
        <v>8.0000000000000002E-3</v>
      </c>
      <c r="K39" s="153">
        <f t="shared" si="7"/>
        <v>53389116.506223045</v>
      </c>
      <c r="L39" s="264">
        <v>1.7999999999999999E-2</v>
      </c>
      <c r="M39" s="290">
        <f t="shared" si="2"/>
        <v>69751106.8201738</v>
      </c>
      <c r="N39" s="286">
        <f t="shared" si="3"/>
        <v>242801106.8201738</v>
      </c>
    </row>
    <row r="40" spans="1:14" x14ac:dyDescent="0.3">
      <c r="A40" s="346"/>
      <c r="B40" s="256" t="s">
        <v>226</v>
      </c>
      <c r="C40" s="262">
        <v>100000</v>
      </c>
      <c r="D40" s="262">
        <v>400000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16592886.236462364</v>
      </c>
      <c r="J40" s="264">
        <v>8.0000000000000002E-3</v>
      </c>
      <c r="K40" s="153">
        <f t="shared" si="7"/>
        <v>54750120.60333506</v>
      </c>
      <c r="L40" s="264">
        <v>1.7999999999999999E-2</v>
      </c>
      <c r="M40" s="290">
        <f t="shared" si="2"/>
        <v>71343006.839797422</v>
      </c>
      <c r="N40" s="286">
        <f t="shared" si="3"/>
        <v>245523006.83979744</v>
      </c>
    </row>
    <row r="41" spans="1:14" x14ac:dyDescent="0.3">
      <c r="A41" s="346"/>
      <c r="B41" s="256" t="s">
        <v>228</v>
      </c>
      <c r="C41" s="262">
        <v>100000</v>
      </c>
      <c r="D41" s="262">
        <v>400000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16825629.326354064</v>
      </c>
      <c r="J41" s="264">
        <v>8.0000000000000002E-3</v>
      </c>
      <c r="K41" s="153">
        <f t="shared" si="7"/>
        <v>56135622.77419509</v>
      </c>
      <c r="L41" s="264">
        <v>1.7999999999999999E-2</v>
      </c>
      <c r="M41" s="290">
        <f t="shared" si="2"/>
        <v>72961252.100549161</v>
      </c>
      <c r="N41" s="286">
        <f t="shared" si="3"/>
        <v>248271252.10054916</v>
      </c>
    </row>
    <row r="42" spans="1:14" x14ac:dyDescent="0.3">
      <c r="A42" s="346"/>
      <c r="B42" s="256" t="s">
        <v>230</v>
      </c>
      <c r="C42" s="262">
        <v>100000</v>
      </c>
      <c r="D42" s="262">
        <v>400000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17060234.360964898</v>
      </c>
      <c r="J42" s="264">
        <v>8.0000000000000002E-3</v>
      </c>
      <c r="K42" s="153">
        <f t="shared" si="7"/>
        <v>57546063.984130599</v>
      </c>
      <c r="L42" s="264">
        <v>1.7999999999999999E-2</v>
      </c>
      <c r="M42" s="290">
        <f t="shared" si="2"/>
        <v>74606298.3450955</v>
      </c>
      <c r="N42" s="286">
        <f t="shared" si="3"/>
        <v>251046298.34509552</v>
      </c>
    </row>
    <row r="43" spans="1:14" x14ac:dyDescent="0.3">
      <c r="A43" s="346"/>
      <c r="B43" s="256" t="s">
        <v>231</v>
      </c>
      <c r="C43" s="262">
        <v>100000</v>
      </c>
      <c r="D43" s="262">
        <v>400000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17296716.235852618</v>
      </c>
      <c r="J43" s="264">
        <v>8.0000000000000002E-3</v>
      </c>
      <c r="K43" s="153">
        <f t="shared" si="7"/>
        <v>58981893.135844946</v>
      </c>
      <c r="L43" s="264">
        <v>1.7999999999999999E-2</v>
      </c>
      <c r="M43" s="290">
        <f t="shared" si="2"/>
        <v>76278609.37169756</v>
      </c>
      <c r="N43" s="286">
        <f t="shared" si="3"/>
        <v>253848609.37169755</v>
      </c>
    </row>
    <row r="44" spans="1:14" x14ac:dyDescent="0.3">
      <c r="A44" s="346"/>
      <c r="B44" s="256" t="s">
        <v>232</v>
      </c>
      <c r="C44" s="262">
        <v>100000</v>
      </c>
      <c r="D44" s="262">
        <v>400000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17535089.96573944</v>
      </c>
      <c r="J44" s="264">
        <v>8.0000000000000002E-3</v>
      </c>
      <c r="K44" s="153">
        <f t="shared" si="7"/>
        <v>60443567.212290153</v>
      </c>
      <c r="L44" s="264">
        <v>1.7999999999999999E-2</v>
      </c>
      <c r="M44" s="290">
        <f t="shared" si="2"/>
        <v>77978657.178029597</v>
      </c>
      <c r="N44" s="286">
        <f t="shared" si="3"/>
        <v>256678657.1780296</v>
      </c>
    </row>
    <row r="45" spans="1:14" x14ac:dyDescent="0.3">
      <c r="A45" s="346"/>
      <c r="B45" s="256" t="s">
        <v>233</v>
      </c>
      <c r="C45" s="262">
        <v>100000</v>
      </c>
      <c r="D45" s="262">
        <v>400000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17775370.685465354</v>
      </c>
      <c r="J45" s="264">
        <v>8.0000000000000002E-3</v>
      </c>
      <c r="K45" s="153">
        <f t="shared" si="7"/>
        <v>61931551.422111377</v>
      </c>
      <c r="L45" s="264">
        <v>1.7999999999999999E-2</v>
      </c>
      <c r="M45" s="290">
        <f t="shared" si="2"/>
        <v>79706922.107576728</v>
      </c>
      <c r="N45" s="286">
        <f t="shared" si="3"/>
        <v>259536922.10757673</v>
      </c>
    </row>
    <row r="46" spans="1:14" s="281" customFormat="1" x14ac:dyDescent="0.3">
      <c r="A46" s="346"/>
      <c r="B46" s="278" t="s">
        <v>234</v>
      </c>
      <c r="C46" s="92">
        <f xml:space="preserve"> 100000 + 3000000</f>
        <v>3100000</v>
      </c>
      <c r="D46" s="92">
        <f xml:space="preserve"> 400000 - 3000000</f>
        <v>-2600000</v>
      </c>
      <c r="E46" s="279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21017573.650949076</v>
      </c>
      <c r="J46" s="280">
        <v>8.0000000000000002E-3</v>
      </c>
      <c r="K46" s="153">
        <f t="shared" si="7"/>
        <v>60446319.34770938</v>
      </c>
      <c r="L46" s="280">
        <v>1.7999999999999999E-2</v>
      </c>
      <c r="M46" s="292">
        <f t="shared" si="2"/>
        <v>81463892.998658448</v>
      </c>
      <c r="N46" s="286">
        <f t="shared" si="3"/>
        <v>262423892.99865842</v>
      </c>
    </row>
    <row r="47" spans="1:14" x14ac:dyDescent="0.3">
      <c r="A47" s="346">
        <v>2029</v>
      </c>
      <c r="B47" s="256" t="s">
        <v>235</v>
      </c>
      <c r="C47" s="262">
        <v>100000</v>
      </c>
      <c r="D47" s="262">
        <v>400000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21285714.240156669</v>
      </c>
      <c r="J47" s="264">
        <v>8.0000000000000002E-3</v>
      </c>
      <c r="K47" s="153">
        <f t="shared" si="7"/>
        <v>61934353.09596815</v>
      </c>
      <c r="L47" s="264">
        <v>1.7999999999999999E-2</v>
      </c>
      <c r="M47" s="290">
        <f t="shared" si="2"/>
        <v>83220067.336124822</v>
      </c>
      <c r="N47" s="286">
        <f t="shared" si="3"/>
        <v>265310067.33612484</v>
      </c>
    </row>
    <row r="48" spans="1:14" x14ac:dyDescent="0.3">
      <c r="A48" s="346"/>
      <c r="B48" s="256" t="s">
        <v>236</v>
      </c>
      <c r="C48" s="262">
        <v>100000</v>
      </c>
      <c r="D48" s="262">
        <v>400000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21555999.954077922</v>
      </c>
      <c r="J48" s="264">
        <v>8.0000000000000002E-3</v>
      </c>
      <c r="K48" s="153">
        <f t="shared" si="7"/>
        <v>63449171.451695576</v>
      </c>
      <c r="L48" s="264">
        <v>1.7999999999999999E-2</v>
      </c>
      <c r="M48" s="290">
        <f t="shared" si="2"/>
        <v>85005171.405773491</v>
      </c>
      <c r="N48" s="286">
        <f t="shared" si="3"/>
        <v>268225171.40577352</v>
      </c>
    </row>
    <row r="49" spans="1:14" x14ac:dyDescent="0.3">
      <c r="A49" s="346"/>
      <c r="B49" s="256" t="s">
        <v>237</v>
      </c>
      <c r="C49" s="262">
        <v>100000</v>
      </c>
      <c r="D49" s="262">
        <v>400000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21828447.953710545</v>
      </c>
      <c r="J49" s="264">
        <v>8.0000000000000002E-3</v>
      </c>
      <c r="K49" s="153">
        <f t="shared" si="7"/>
        <v>64991256.537826099</v>
      </c>
      <c r="L49" s="264">
        <v>1.7999999999999999E-2</v>
      </c>
      <c r="M49" s="290">
        <f t="shared" si="2"/>
        <v>86819704.491536647</v>
      </c>
      <c r="N49" s="286">
        <f t="shared" si="3"/>
        <v>271169704.49153662</v>
      </c>
    </row>
    <row r="50" spans="1:14" x14ac:dyDescent="0.3">
      <c r="A50" s="346"/>
      <c r="B50" s="256" t="s">
        <v>238</v>
      </c>
      <c r="C50" s="262">
        <v>100000</v>
      </c>
      <c r="D50" s="262">
        <v>400000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22103075.537340228</v>
      </c>
      <c r="J50" s="264">
        <v>8.0000000000000002E-3</v>
      </c>
      <c r="K50" s="153">
        <f t="shared" si="7"/>
        <v>66561099.155506968</v>
      </c>
      <c r="L50" s="264">
        <v>1.7999999999999999E-2</v>
      </c>
      <c r="M50" s="290">
        <f t="shared" si="2"/>
        <v>88664174.692847192</v>
      </c>
      <c r="N50" s="286">
        <f t="shared" si="3"/>
        <v>274144174.69284719</v>
      </c>
    </row>
    <row r="51" spans="1:14" x14ac:dyDescent="0.3">
      <c r="A51" s="346"/>
      <c r="B51" s="256" t="s">
        <v>239</v>
      </c>
      <c r="C51" s="262">
        <v>100000</v>
      </c>
      <c r="D51" s="262">
        <v>400000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22379900.14163895</v>
      </c>
      <c r="J51" s="264">
        <v>8.0000000000000002E-3</v>
      </c>
      <c r="K51" s="153">
        <f t="shared" si="7"/>
        <v>68159198.940306097</v>
      </c>
      <c r="L51" s="264">
        <v>1.7999999999999999E-2</v>
      </c>
      <c r="M51" s="290">
        <f t="shared" si="2"/>
        <v>90539099.081945047</v>
      </c>
      <c r="N51" s="286">
        <f t="shared" si="3"/>
        <v>277149099.08194506</v>
      </c>
    </row>
    <row r="52" spans="1:14" x14ac:dyDescent="0.3">
      <c r="A52" s="346"/>
      <c r="B52" s="256" t="s">
        <v>226</v>
      </c>
      <c r="C52" s="262">
        <v>100000</v>
      </c>
      <c r="D52" s="262">
        <v>400000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22658939.342772063</v>
      </c>
      <c r="J52" s="264">
        <v>8.0000000000000002E-3</v>
      </c>
      <c r="K52" s="153">
        <f t="shared" si="7"/>
        <v>69786064.521231607</v>
      </c>
      <c r="L52" s="264">
        <v>1.7999999999999999E-2</v>
      </c>
      <c r="M52" s="290">
        <f t="shared" si="2"/>
        <v>92445003.864003673</v>
      </c>
      <c r="N52" s="286">
        <f t="shared" si="3"/>
        <v>280185003.86400366</v>
      </c>
    </row>
    <row r="53" spans="1:14" x14ac:dyDescent="0.3">
      <c r="A53" s="346"/>
      <c r="B53" s="256" t="s">
        <v>228</v>
      </c>
      <c r="C53" s="262">
        <v>100000</v>
      </c>
      <c r="D53" s="262">
        <v>400000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22940210.85751424</v>
      </c>
      <c r="J53" s="264">
        <v>8.0000000000000002E-3</v>
      </c>
      <c r="K53" s="153">
        <f t="shared" si="7"/>
        <v>71442213.682613775</v>
      </c>
      <c r="L53" s="264">
        <v>1.7999999999999999E-2</v>
      </c>
      <c r="M53" s="290">
        <f t="shared" si="2"/>
        <v>94382424.540128022</v>
      </c>
      <c r="N53" s="286">
        <f t="shared" si="3"/>
        <v>283252424.54012799</v>
      </c>
    </row>
    <row r="54" spans="1:14" x14ac:dyDescent="0.3">
      <c r="A54" s="346"/>
      <c r="B54" s="256" t="s">
        <v>230</v>
      </c>
      <c r="C54" s="262">
        <v>100000</v>
      </c>
      <c r="D54" s="262">
        <v>400000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23223732.544374354</v>
      </c>
      <c r="J54" s="264">
        <v>8.0000000000000002E-3</v>
      </c>
      <c r="K54" s="153">
        <f t="shared" si="7"/>
        <v>73128173.528900817</v>
      </c>
      <c r="L54" s="264">
        <v>1.7999999999999999E-2</v>
      </c>
      <c r="M54" s="290">
        <f t="shared" si="2"/>
        <v>96351906.073275179</v>
      </c>
      <c r="N54" s="286">
        <f t="shared" si="3"/>
        <v>286351906.07327521</v>
      </c>
    </row>
    <row r="55" spans="1:14" x14ac:dyDescent="0.3">
      <c r="A55" s="346"/>
      <c r="B55" s="256" t="s">
        <v>231</v>
      </c>
      <c r="C55" s="262">
        <v>100000</v>
      </c>
      <c r="D55" s="262">
        <v>400000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23509522.404729348</v>
      </c>
      <c r="J55" s="264">
        <v>8.0000000000000002E-3</v>
      </c>
      <c r="K55" s="153">
        <f t="shared" si="7"/>
        <v>74844480.652421027</v>
      </c>
      <c r="L55" s="264">
        <v>1.7999999999999999E-2</v>
      </c>
      <c r="M55" s="290">
        <f t="shared" si="2"/>
        <v>98354003.057150379</v>
      </c>
      <c r="N55" s="286">
        <f t="shared" si="3"/>
        <v>289484003.05715036</v>
      </c>
    </row>
    <row r="56" spans="1:14" x14ac:dyDescent="0.3">
      <c r="A56" s="346"/>
      <c r="B56" s="256" t="s">
        <v>232</v>
      </c>
      <c r="C56" s="262">
        <v>100000</v>
      </c>
      <c r="D56" s="262">
        <v>400000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23797598.583967183</v>
      </c>
      <c r="J56" s="264">
        <v>8.0000000000000002E-3</v>
      </c>
      <c r="K56" s="153">
        <f t="shared" si="7"/>
        <v>76591681.304164603</v>
      </c>
      <c r="L56" s="264">
        <v>1.7999999999999999E-2</v>
      </c>
      <c r="M56" s="290">
        <f t="shared" si="2"/>
        <v>100389279.88813178</v>
      </c>
      <c r="N56" s="286">
        <f t="shared" si="3"/>
        <v>292649279.8881318</v>
      </c>
    </row>
    <row r="57" spans="1:14" x14ac:dyDescent="0.3">
      <c r="A57" s="346"/>
      <c r="B57" s="256" t="s">
        <v>233</v>
      </c>
      <c r="C57" s="262">
        <v>100000</v>
      </c>
      <c r="D57" s="262">
        <v>400000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24087979.372638918</v>
      </c>
      <c r="J57" s="264">
        <v>8.0000000000000002E-3</v>
      </c>
      <c r="K57" s="153">
        <f t="shared" si="7"/>
        <v>78370331.56763956</v>
      </c>
      <c r="L57" s="264">
        <v>1.7999999999999999E-2</v>
      </c>
      <c r="M57" s="290">
        <f t="shared" si="2"/>
        <v>102458310.94027847</v>
      </c>
      <c r="N57" s="286">
        <f t="shared" si="3"/>
        <v>295848310.94027847</v>
      </c>
    </row>
    <row r="58" spans="1:14" s="281" customFormat="1" x14ac:dyDescent="0.3">
      <c r="A58" s="346"/>
      <c r="B58" s="278" t="s">
        <v>234</v>
      </c>
      <c r="C58" s="92">
        <f xml:space="preserve"> 100000 + 3000000</f>
        <v>3100000</v>
      </c>
      <c r="D58" s="92">
        <f xml:space="preserve"> 400000 - 3000000 - 10000000</f>
        <v>-12600000</v>
      </c>
      <c r="E58" s="279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27380683.207620028</v>
      </c>
      <c r="J58" s="280">
        <v>8.0000000000000002E-3</v>
      </c>
      <c r="K58" s="153">
        <f t="shared" si="7"/>
        <v>67180997.535857067</v>
      </c>
      <c r="L58" s="280">
        <v>1.7999999999999999E-2</v>
      </c>
      <c r="M58" s="292">
        <f t="shared" si="2"/>
        <v>94561680.743477091</v>
      </c>
      <c r="N58" s="286">
        <f t="shared" si="3"/>
        <v>289081680.74347711</v>
      </c>
    </row>
    <row r="59" spans="1:14" x14ac:dyDescent="0.3">
      <c r="A59" s="346">
        <v>2030</v>
      </c>
      <c r="B59" s="256" t="s">
        <v>235</v>
      </c>
      <c r="C59" s="262">
        <v>100000</v>
      </c>
      <c r="D59" s="262">
        <v>400000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27699728.673280988</v>
      </c>
      <c r="J59" s="264">
        <v>8.0000000000000002E-3</v>
      </c>
      <c r="K59" s="153">
        <f t="shared" si="7"/>
        <v>68790255.491502494</v>
      </c>
      <c r="L59" s="264">
        <v>1.7999999999999999E-2</v>
      </c>
      <c r="M59" s="290">
        <f t="shared" si="2"/>
        <v>96489984.164783478</v>
      </c>
      <c r="N59" s="286">
        <f t="shared" si="3"/>
        <v>292139984.16478348</v>
      </c>
    </row>
    <row r="60" spans="1:14" x14ac:dyDescent="0.3">
      <c r="A60" s="346"/>
      <c r="B60" s="256" t="s">
        <v>236</v>
      </c>
      <c r="C60" s="262">
        <v>100000</v>
      </c>
      <c r="D60" s="262">
        <v>400000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28021326.502667237</v>
      </c>
      <c r="J60" s="264">
        <v>8.0000000000000002E-3</v>
      </c>
      <c r="K60" s="153">
        <f t="shared" si="7"/>
        <v>70428480.09034954</v>
      </c>
      <c r="L60" s="264">
        <v>1.7999999999999999E-2</v>
      </c>
      <c r="M60" s="290">
        <f t="shared" si="2"/>
        <v>98449806.593016773</v>
      </c>
      <c r="N60" s="286">
        <f t="shared" si="3"/>
        <v>295229806.59301674</v>
      </c>
    </row>
    <row r="61" spans="1:14" x14ac:dyDescent="0.3">
      <c r="A61" s="346"/>
      <c r="B61" s="256" t="s">
        <v>237</v>
      </c>
      <c r="C61" s="262">
        <v>100000</v>
      </c>
      <c r="D61" s="262">
        <v>400000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28345497.114688575</v>
      </c>
      <c r="J61" s="264">
        <v>8.0000000000000002E-3</v>
      </c>
      <c r="K61" s="153">
        <f t="shared" si="7"/>
        <v>72096192.731975839</v>
      </c>
      <c r="L61" s="264">
        <v>1.7999999999999999E-2</v>
      </c>
      <c r="M61" s="290">
        <f t="shared" si="2"/>
        <v>100441689.84666441</v>
      </c>
      <c r="N61" s="286">
        <f t="shared" si="3"/>
        <v>298351689.84666443</v>
      </c>
    </row>
    <row r="62" spans="1:14" x14ac:dyDescent="0.3">
      <c r="A62" s="346"/>
      <c r="B62" s="256" t="s">
        <v>238</v>
      </c>
      <c r="C62" s="262">
        <v>100000</v>
      </c>
      <c r="D62" s="262">
        <v>400000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28672261.091606084</v>
      </c>
      <c r="J62" s="264">
        <v>8.0000000000000002E-3</v>
      </c>
      <c r="K62" s="153">
        <f t="shared" si="7"/>
        <v>73793924.201151401</v>
      </c>
      <c r="L62" s="264">
        <v>1.7999999999999999E-2</v>
      </c>
      <c r="M62" s="290">
        <f t="shared" si="2"/>
        <v>102466185.29275748</v>
      </c>
      <c r="N62" s="286">
        <f t="shared" si="3"/>
        <v>301506185.29275751</v>
      </c>
    </row>
    <row r="63" spans="1:14" x14ac:dyDescent="0.3">
      <c r="A63" s="346"/>
      <c r="B63" s="256" t="s">
        <v>239</v>
      </c>
      <c r="C63" s="262">
        <v>100000</v>
      </c>
      <c r="D63" s="262">
        <v>400000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29001639.180338934</v>
      </c>
      <c r="J63" s="264">
        <v>8.0000000000000002E-3</v>
      </c>
      <c r="K63" s="153">
        <f t="shared" si="7"/>
        <v>75522214.836772129</v>
      </c>
      <c r="L63" s="264">
        <v>1.7999999999999999E-2</v>
      </c>
      <c r="M63" s="290">
        <f t="shared" si="2"/>
        <v>104523854.01711106</v>
      </c>
      <c r="N63" s="286">
        <f t="shared" si="3"/>
        <v>304693854.01711106</v>
      </c>
    </row>
    <row r="64" spans="1:14" x14ac:dyDescent="0.3">
      <c r="A64" s="346"/>
      <c r="B64" s="256" t="s">
        <v>226</v>
      </c>
      <c r="C64" s="262">
        <v>100000</v>
      </c>
      <c r="D64" s="262">
        <v>400000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29333652.293781646</v>
      </c>
      <c r="J64" s="264">
        <v>8.0000000000000002E-3</v>
      </c>
      <c r="K64" s="153">
        <f t="shared" si="7"/>
        <v>77281614.703834027</v>
      </c>
      <c r="L64" s="264">
        <v>1.7999999999999999E-2</v>
      </c>
      <c r="M64" s="290">
        <f t="shared" si="2"/>
        <v>106615266.99761567</v>
      </c>
      <c r="N64" s="286">
        <f t="shared" si="3"/>
        <v>307915266.99761569</v>
      </c>
    </row>
    <row r="65" spans="1:14" x14ac:dyDescent="0.3">
      <c r="A65" s="346"/>
      <c r="B65" s="256" t="s">
        <v>228</v>
      </c>
      <c r="C65" s="262">
        <v>100000</v>
      </c>
      <c r="D65" s="262">
        <v>400000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29668321.5121319</v>
      </c>
      <c r="J65" s="264">
        <v>8.0000000000000002E-3</v>
      </c>
      <c r="K65" s="153">
        <f t="shared" si="7"/>
        <v>79072683.76850304</v>
      </c>
      <c r="L65" s="264">
        <v>1.7999999999999999E-2</v>
      </c>
      <c r="M65" s="290">
        <f t="shared" si="2"/>
        <v>108741005.28063494</v>
      </c>
      <c r="N65" s="286">
        <f t="shared" si="3"/>
        <v>311171005.28063494</v>
      </c>
    </row>
    <row r="66" spans="1:14" x14ac:dyDescent="0.3">
      <c r="A66" s="346"/>
      <c r="B66" s="256" t="s">
        <v>230</v>
      </c>
      <c r="C66" s="262">
        <v>100000</v>
      </c>
      <c r="D66" s="262">
        <v>400000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30005668.084228955</v>
      </c>
      <c r="J66" s="264">
        <v>8.0000000000000002E-3</v>
      </c>
      <c r="K66" s="153">
        <f t="shared" si="7"/>
        <v>80895992.076336101</v>
      </c>
      <c r="L66" s="264">
        <v>1.7999999999999999E-2</v>
      </c>
      <c r="M66" s="290">
        <f t="shared" si="2"/>
        <v>110901660.16056505</v>
      </c>
      <c r="N66" s="286">
        <f t="shared" si="3"/>
        <v>314461660.16056502</v>
      </c>
    </row>
    <row r="67" spans="1:14" x14ac:dyDescent="0.3">
      <c r="A67" s="346"/>
      <c r="B67" s="256" t="s">
        <v>231</v>
      </c>
      <c r="C67" s="262">
        <v>100000</v>
      </c>
      <c r="D67" s="262">
        <v>400000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30345713.428902786</v>
      </c>
      <c r="J67" s="264">
        <v>8.0000000000000002E-3</v>
      </c>
      <c r="K67" s="153">
        <f t="shared" si="7"/>
        <v>82752119.933710158</v>
      </c>
      <c r="L67" s="264">
        <v>1.7999999999999999E-2</v>
      </c>
      <c r="M67" s="290">
        <f t="shared" si="2"/>
        <v>113097833.36261295</v>
      </c>
      <c r="N67" s="286">
        <f t="shared" si="3"/>
        <v>317787833.36261296</v>
      </c>
    </row>
    <row r="68" spans="1:14" x14ac:dyDescent="0.3">
      <c r="A68" s="346"/>
      <c r="B68" s="256" t="s">
        <v>232</v>
      </c>
      <c r="C68" s="262">
        <v>100000</v>
      </c>
      <c r="D68" s="262">
        <v>400000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30688479.136334009</v>
      </c>
      <c r="J68" s="264">
        <v>8.0000000000000002E-3</v>
      </c>
      <c r="K68" s="153">
        <f t="shared" si="7"/>
        <v>84641658.092516944</v>
      </c>
      <c r="L68" s="264">
        <v>1.7999999999999999E-2</v>
      </c>
      <c r="M68" s="290">
        <f t="shared" si="2"/>
        <v>115330137.22885096</v>
      </c>
      <c r="N68" s="286">
        <f t="shared" si="3"/>
        <v>321150137.22885096</v>
      </c>
    </row>
    <row r="69" spans="1:14" x14ac:dyDescent="0.3">
      <c r="A69" s="346"/>
      <c r="B69" s="256" t="s">
        <v>233</v>
      </c>
      <c r="C69" s="262">
        <v>100000</v>
      </c>
      <c r="D69" s="262">
        <v>400000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31033986.96942468</v>
      </c>
      <c r="J69" s="264">
        <v>8.0000000000000002E-3</v>
      </c>
      <c r="K69" s="153">
        <f t="shared" ref="K69:K100" si="9" xml:space="preserve">  K68 * L69 + D69 + K68</f>
        <v>86565207.93818225</v>
      </c>
      <c r="L69" s="264">
        <v>1.7999999999999999E-2</v>
      </c>
      <c r="M69" s="290">
        <f t="shared" si="2"/>
        <v>117599194.90760693</v>
      </c>
      <c r="N69" s="286">
        <f t="shared" si="3"/>
        <v>324549194.90760696</v>
      </c>
    </row>
    <row r="70" spans="1:14" s="281" customFormat="1" x14ac:dyDescent="0.3">
      <c r="A70" s="346"/>
      <c r="B70" s="278" t="s">
        <v>234</v>
      </c>
      <c r="C70" s="92">
        <f xml:space="preserve"> 100000 + 3000000</f>
        <v>3100000</v>
      </c>
      <c r="D70" s="92">
        <f xml:space="preserve"> 400000 - 3000000 -10000000</f>
        <v>-12600000</v>
      </c>
      <c r="E70" s="279">
        <v>0</v>
      </c>
      <c r="F70" s="131">
        <f xml:space="preserve"> F69 - 710000 - 15000000</f>
        <v>195560000</v>
      </c>
      <c r="G70" s="131">
        <v>380000000</v>
      </c>
      <c r="H70" s="92">
        <f t="shared" si="4"/>
        <v>38640000</v>
      </c>
      <c r="I70" s="153">
        <f t="shared" si="8"/>
        <v>34382258.865180075</v>
      </c>
      <c r="J70" s="280">
        <v>8.0000000000000002E-3</v>
      </c>
      <c r="K70" s="153">
        <f t="shared" si="9"/>
        <v>75523381.681069523</v>
      </c>
      <c r="L70" s="280">
        <v>1.7999999999999999E-2</v>
      </c>
      <c r="M70" s="292">
        <f t="shared" ref="M70:M130" si="10">I70 + K70</f>
        <v>109905640.5462496</v>
      </c>
      <c r="N70" s="286">
        <f t="shared" ref="N70:N130" si="11" xml:space="preserve"> M70 + H70 + G70 - F70 - E70</f>
        <v>332985640.54624963</v>
      </c>
    </row>
    <row r="71" spans="1:14" x14ac:dyDescent="0.3">
      <c r="A71" s="346">
        <v>2031</v>
      </c>
      <c r="B71" s="256" t="s">
        <v>235</v>
      </c>
      <c r="C71" s="262">
        <v>100000</v>
      </c>
      <c r="D71" s="262">
        <v>400000</v>
      </c>
      <c r="E71" s="8">
        <v>0</v>
      </c>
      <c r="F71" s="2">
        <f t="shared" si="5"/>
        <v>194850000</v>
      </c>
      <c r="G71" s="2">
        <v>380000000</v>
      </c>
      <c r="H71" s="92">
        <f t="shared" ref="H71:H130" si="12" xml:space="preserve"> H70 + 420000</f>
        <v>39060000</v>
      </c>
      <c r="I71" s="153">
        <f t="shared" si="8"/>
        <v>34757316.936101519</v>
      </c>
      <c r="J71" s="264">
        <v>8.0000000000000002E-3</v>
      </c>
      <c r="K71" s="153">
        <f t="shared" si="9"/>
        <v>77282802.551328778</v>
      </c>
      <c r="L71" s="264">
        <v>1.7999999999999999E-2</v>
      </c>
      <c r="M71" s="290">
        <f t="shared" si="10"/>
        <v>112040119.4874303</v>
      </c>
      <c r="N71" s="286">
        <f t="shared" si="11"/>
        <v>336250119.48743033</v>
      </c>
    </row>
    <row r="72" spans="1:14" x14ac:dyDescent="0.3">
      <c r="A72" s="346"/>
      <c r="B72" s="256" t="s">
        <v>236</v>
      </c>
      <c r="C72" s="262">
        <v>100000</v>
      </c>
      <c r="D72" s="262">
        <v>400000</v>
      </c>
      <c r="E72" s="8">
        <v>0</v>
      </c>
      <c r="F72" s="2">
        <f t="shared" si="5"/>
        <v>194140000</v>
      </c>
      <c r="G72" s="2">
        <v>380000000</v>
      </c>
      <c r="H72" s="92">
        <f t="shared" si="12"/>
        <v>39480000</v>
      </c>
      <c r="I72" s="153">
        <f t="shared" si="8"/>
        <v>35135375.471590333</v>
      </c>
      <c r="J72" s="264">
        <v>8.0000000000000002E-3</v>
      </c>
      <c r="K72" s="153">
        <f t="shared" si="9"/>
        <v>79073892.997252703</v>
      </c>
      <c r="L72" s="264">
        <v>1.7999999999999999E-2</v>
      </c>
      <c r="M72" s="290">
        <f t="shared" si="10"/>
        <v>114209268.46884304</v>
      </c>
      <c r="N72" s="286">
        <f t="shared" si="11"/>
        <v>339549268.46884304</v>
      </c>
    </row>
    <row r="73" spans="1:14" x14ac:dyDescent="0.3">
      <c r="A73" s="346"/>
      <c r="B73" s="256" t="s">
        <v>237</v>
      </c>
      <c r="C73" s="262">
        <v>100000</v>
      </c>
      <c r="D73" s="262">
        <v>400000</v>
      </c>
      <c r="E73" s="8">
        <v>0</v>
      </c>
      <c r="F73" s="2">
        <f t="shared" ref="F73:F129" si="13" xml:space="preserve"> F72 - 710000</f>
        <v>193430000</v>
      </c>
      <c r="G73" s="2">
        <v>380000000</v>
      </c>
      <c r="H73" s="92">
        <f t="shared" si="12"/>
        <v>39900000</v>
      </c>
      <c r="I73" s="153">
        <f t="shared" si="8"/>
        <v>35516458.475363053</v>
      </c>
      <c r="J73" s="264">
        <v>8.0000000000000002E-3</v>
      </c>
      <c r="K73" s="153">
        <f t="shared" si="9"/>
        <v>80897223.071203247</v>
      </c>
      <c r="L73" s="264">
        <v>1.7999999999999999E-2</v>
      </c>
      <c r="M73" s="290">
        <f t="shared" si="10"/>
        <v>116413681.54656631</v>
      </c>
      <c r="N73" s="286">
        <f t="shared" si="11"/>
        <v>342883681.54656631</v>
      </c>
    </row>
    <row r="74" spans="1:14" x14ac:dyDescent="0.3">
      <c r="A74" s="346"/>
      <c r="B74" s="256" t="s">
        <v>238</v>
      </c>
      <c r="C74" s="262">
        <v>100000</v>
      </c>
      <c r="D74" s="262">
        <v>400000</v>
      </c>
      <c r="E74" s="8">
        <v>0</v>
      </c>
      <c r="F74" s="2">
        <f t="shared" si="13"/>
        <v>192720000</v>
      </c>
      <c r="G74" s="2">
        <v>380000000</v>
      </c>
      <c r="H74" s="92">
        <f t="shared" si="12"/>
        <v>40320000</v>
      </c>
      <c r="I74" s="153">
        <f t="shared" si="8"/>
        <v>35900590.143165961</v>
      </c>
      <c r="J74" s="264">
        <v>8.0000000000000002E-3</v>
      </c>
      <c r="K74" s="153">
        <f t="shared" si="9"/>
        <v>82753373.086484909</v>
      </c>
      <c r="L74" s="264">
        <v>1.7999999999999999E-2</v>
      </c>
      <c r="M74" s="290">
        <f t="shared" si="10"/>
        <v>118653963.22965087</v>
      </c>
      <c r="N74" s="286">
        <f t="shared" si="11"/>
        <v>346253963.22965086</v>
      </c>
    </row>
    <row r="75" spans="1:14" x14ac:dyDescent="0.3">
      <c r="A75" s="346"/>
      <c r="B75" s="256" t="s">
        <v>239</v>
      </c>
      <c r="C75" s="262">
        <v>100000</v>
      </c>
      <c r="D75" s="262">
        <v>400000</v>
      </c>
      <c r="E75" s="8">
        <v>0</v>
      </c>
      <c r="F75" s="2">
        <f t="shared" si="13"/>
        <v>192010000</v>
      </c>
      <c r="G75" s="2">
        <v>380000000</v>
      </c>
      <c r="H75" s="92">
        <f t="shared" si="12"/>
        <v>40740000</v>
      </c>
      <c r="I75" s="153">
        <f t="shared" si="8"/>
        <v>36287794.864311285</v>
      </c>
      <c r="J75" s="264">
        <v>8.0000000000000002E-3</v>
      </c>
      <c r="K75" s="153">
        <f t="shared" si="9"/>
        <v>84642933.802041635</v>
      </c>
      <c r="L75" s="264">
        <v>1.7999999999999999E-2</v>
      </c>
      <c r="M75" s="290">
        <f t="shared" si="10"/>
        <v>120930728.66635293</v>
      </c>
      <c r="N75" s="286">
        <f t="shared" si="11"/>
        <v>349660728.66635299</v>
      </c>
    </row>
    <row r="76" spans="1:14" x14ac:dyDescent="0.3">
      <c r="A76" s="346"/>
      <c r="B76" s="256" t="s">
        <v>226</v>
      </c>
      <c r="C76" s="262">
        <v>100000</v>
      </c>
      <c r="D76" s="262">
        <v>400000</v>
      </c>
      <c r="E76" s="8">
        <v>0</v>
      </c>
      <c r="F76" s="2">
        <f t="shared" si="13"/>
        <v>191300000</v>
      </c>
      <c r="G76" s="2">
        <v>380000000</v>
      </c>
      <c r="H76" s="92">
        <f t="shared" si="12"/>
        <v>41160000</v>
      </c>
      <c r="I76" s="153">
        <f t="shared" si="8"/>
        <v>36678097.223225772</v>
      </c>
      <c r="J76" s="264">
        <v>8.0000000000000002E-3</v>
      </c>
      <c r="K76" s="153">
        <f t="shared" si="9"/>
        <v>86566506.610478386</v>
      </c>
      <c r="L76" s="264">
        <v>1.7999999999999999E-2</v>
      </c>
      <c r="M76" s="290">
        <f t="shared" si="10"/>
        <v>123244603.83370416</v>
      </c>
      <c r="N76" s="286">
        <f t="shared" si="11"/>
        <v>353104603.83370423</v>
      </c>
    </row>
    <row r="77" spans="1:14" x14ac:dyDescent="0.3">
      <c r="A77" s="346"/>
      <c r="B77" s="256" t="s">
        <v>228</v>
      </c>
      <c r="C77" s="262">
        <v>100000</v>
      </c>
      <c r="D77" s="262">
        <v>400000</v>
      </c>
      <c r="E77" s="8">
        <v>0</v>
      </c>
      <c r="F77" s="2">
        <f t="shared" si="13"/>
        <v>190590000</v>
      </c>
      <c r="G77" s="2">
        <v>380000000</v>
      </c>
      <c r="H77" s="92">
        <f t="shared" si="12"/>
        <v>41580000</v>
      </c>
      <c r="I77" s="153">
        <f t="shared" si="8"/>
        <v>37071522.00101158</v>
      </c>
      <c r="J77" s="264">
        <v>8.0000000000000002E-3</v>
      </c>
      <c r="K77" s="153">
        <f t="shared" si="9"/>
        <v>88524703.729467005</v>
      </c>
      <c r="L77" s="264">
        <v>1.7999999999999999E-2</v>
      </c>
      <c r="M77" s="290">
        <f t="shared" si="10"/>
        <v>125596225.73047858</v>
      </c>
      <c r="N77" s="286">
        <f t="shared" si="11"/>
        <v>356586225.73047853</v>
      </c>
    </row>
    <row r="78" spans="1:14" x14ac:dyDescent="0.3">
      <c r="A78" s="346"/>
      <c r="B78" s="256" t="s">
        <v>230</v>
      </c>
      <c r="C78" s="262">
        <v>100000</v>
      </c>
      <c r="D78" s="262">
        <v>400000</v>
      </c>
      <c r="E78" s="8">
        <v>0</v>
      </c>
      <c r="F78" s="2">
        <f t="shared" si="13"/>
        <v>189880000</v>
      </c>
      <c r="G78" s="2">
        <v>380000000</v>
      </c>
      <c r="H78" s="92">
        <f t="shared" si="12"/>
        <v>42000000</v>
      </c>
      <c r="I78" s="153">
        <f t="shared" si="8"/>
        <v>37468094.177019671</v>
      </c>
      <c r="J78" s="264">
        <v>8.0000000000000002E-3</v>
      </c>
      <c r="K78" s="153">
        <f t="shared" si="9"/>
        <v>90518148.396597415</v>
      </c>
      <c r="L78" s="264">
        <v>1.7999999999999999E-2</v>
      </c>
      <c r="M78" s="290">
        <f t="shared" si="10"/>
        <v>127986242.57361709</v>
      </c>
      <c r="N78" s="286">
        <f t="shared" si="11"/>
        <v>360106242.5736171</v>
      </c>
    </row>
    <row r="79" spans="1:14" x14ac:dyDescent="0.3">
      <c r="A79" s="346"/>
      <c r="B79" s="256" t="s">
        <v>231</v>
      </c>
      <c r="C79" s="262">
        <v>100000</v>
      </c>
      <c r="D79" s="262">
        <v>400000</v>
      </c>
      <c r="E79" s="8">
        <v>0</v>
      </c>
      <c r="F79" s="2">
        <f t="shared" si="13"/>
        <v>189170000</v>
      </c>
      <c r="G79" s="2">
        <v>380000000</v>
      </c>
      <c r="H79" s="92">
        <f t="shared" si="12"/>
        <v>42420000</v>
      </c>
      <c r="I79" s="153">
        <f t="shared" si="8"/>
        <v>37867838.930435829</v>
      </c>
      <c r="J79" s="264">
        <v>8.0000000000000002E-3</v>
      </c>
      <c r="K79" s="153">
        <f t="shared" si="9"/>
        <v>92547475.067736164</v>
      </c>
      <c r="L79" s="264">
        <v>1.7999999999999999E-2</v>
      </c>
      <c r="M79" s="290">
        <f t="shared" si="10"/>
        <v>130415313.99817199</v>
      </c>
      <c r="N79" s="286">
        <f t="shared" si="11"/>
        <v>363665313.99817204</v>
      </c>
    </row>
    <row r="80" spans="1:14" x14ac:dyDescent="0.3">
      <c r="A80" s="346"/>
      <c r="B80" s="256" t="s">
        <v>232</v>
      </c>
      <c r="C80" s="262">
        <v>100000</v>
      </c>
      <c r="D80" s="262">
        <v>400000</v>
      </c>
      <c r="E80" s="8">
        <v>0</v>
      </c>
      <c r="F80" s="2">
        <f t="shared" si="13"/>
        <v>188460000</v>
      </c>
      <c r="G80" s="2">
        <v>380000000</v>
      </c>
      <c r="H80" s="92">
        <f t="shared" si="12"/>
        <v>42840000</v>
      </c>
      <c r="I80" s="153">
        <f t="shared" si="8"/>
        <v>38270781.641879313</v>
      </c>
      <c r="J80" s="264">
        <v>8.0000000000000002E-3</v>
      </c>
      <c r="K80" s="153">
        <f t="shared" si="9"/>
        <v>94613329.618955418</v>
      </c>
      <c r="L80" s="264">
        <v>1.7999999999999999E-2</v>
      </c>
      <c r="M80" s="290">
        <f t="shared" si="10"/>
        <v>132884111.26083472</v>
      </c>
      <c r="N80" s="286">
        <f t="shared" si="11"/>
        <v>367264111.26083469</v>
      </c>
    </row>
    <row r="81" spans="1:14" x14ac:dyDescent="0.3">
      <c r="A81" s="346"/>
      <c r="B81" s="256" t="s">
        <v>233</v>
      </c>
      <c r="C81" s="262">
        <v>100000</v>
      </c>
      <c r="D81" s="262">
        <v>400000</v>
      </c>
      <c r="E81" s="8">
        <v>0</v>
      </c>
      <c r="F81" s="2">
        <f t="shared" si="13"/>
        <v>187750000</v>
      </c>
      <c r="G81" s="2">
        <v>380000000</v>
      </c>
      <c r="H81" s="92">
        <f t="shared" si="12"/>
        <v>43260000</v>
      </c>
      <c r="I81" s="153">
        <f t="shared" si="8"/>
        <v>38676947.895014346</v>
      </c>
      <c r="J81" s="264">
        <v>8.0000000000000002E-3</v>
      </c>
      <c r="K81" s="153">
        <f t="shared" si="9"/>
        <v>96716369.55209662</v>
      </c>
      <c r="L81" s="264">
        <v>1.7999999999999999E-2</v>
      </c>
      <c r="M81" s="290">
        <f t="shared" si="10"/>
        <v>135393317.44711095</v>
      </c>
      <c r="N81" s="286">
        <f t="shared" si="11"/>
        <v>370903317.44711089</v>
      </c>
    </row>
    <row r="82" spans="1:14" s="281" customFormat="1" x14ac:dyDescent="0.3">
      <c r="A82" s="346"/>
      <c r="B82" s="278" t="s">
        <v>234</v>
      </c>
      <c r="C82" s="92">
        <f xml:space="preserve"> 100000 + 3000000</f>
        <v>3100000</v>
      </c>
      <c r="D82" s="92">
        <f xml:space="preserve"> 400000 - 3000000 - 10000000</f>
        <v>-12600000</v>
      </c>
      <c r="E82" s="279">
        <v>0</v>
      </c>
      <c r="F82" s="131">
        <f xml:space="preserve"> F81 - 710000 - 15000000</f>
        <v>172040000</v>
      </c>
      <c r="G82" s="131">
        <v>380000000</v>
      </c>
      <c r="H82" s="92">
        <f t="shared" si="12"/>
        <v>43680000</v>
      </c>
      <c r="I82" s="153">
        <f t="shared" si="8"/>
        <v>42086363.478174463</v>
      </c>
      <c r="J82" s="280">
        <v>8.0000000000000002E-3</v>
      </c>
      <c r="K82" s="153">
        <f t="shared" si="9"/>
        <v>85857264.204034358</v>
      </c>
      <c r="L82" s="280">
        <v>1.7999999999999999E-2</v>
      </c>
      <c r="M82" s="292">
        <f t="shared" si="10"/>
        <v>127943627.68220882</v>
      </c>
      <c r="N82" s="286">
        <f t="shared" si="11"/>
        <v>379583627.68220878</v>
      </c>
    </row>
    <row r="83" spans="1:14" x14ac:dyDescent="0.3">
      <c r="A83" s="346">
        <v>2032</v>
      </c>
      <c r="B83" s="256" t="s">
        <v>235</v>
      </c>
      <c r="C83" s="262">
        <v>100000</v>
      </c>
      <c r="D83" s="262">
        <v>400000</v>
      </c>
      <c r="E83" s="8">
        <v>0</v>
      </c>
      <c r="F83" s="2">
        <f t="shared" si="13"/>
        <v>171330000</v>
      </c>
      <c r="G83" s="2">
        <v>380000000</v>
      </c>
      <c r="H83" s="92">
        <f t="shared" si="12"/>
        <v>44100000</v>
      </c>
      <c r="I83" s="153">
        <f t="shared" si="8"/>
        <v>42523054.385999858</v>
      </c>
      <c r="J83" s="264">
        <v>8.0000000000000002E-3</v>
      </c>
      <c r="K83" s="153">
        <f t="shared" si="9"/>
        <v>87802694.959706977</v>
      </c>
      <c r="L83" s="264">
        <v>1.7999999999999999E-2</v>
      </c>
      <c r="M83" s="290">
        <f t="shared" si="10"/>
        <v>130325749.34570684</v>
      </c>
      <c r="N83" s="286">
        <f t="shared" si="11"/>
        <v>383095749.34570682</v>
      </c>
    </row>
    <row r="84" spans="1:14" x14ac:dyDescent="0.3">
      <c r="A84" s="346"/>
      <c r="B84" s="256" t="s">
        <v>236</v>
      </c>
      <c r="C84" s="262">
        <v>100000</v>
      </c>
      <c r="D84" s="262">
        <v>400000</v>
      </c>
      <c r="E84" s="8">
        <v>0</v>
      </c>
      <c r="F84" s="2">
        <f t="shared" si="13"/>
        <v>170620000</v>
      </c>
      <c r="G84" s="2">
        <v>380000000</v>
      </c>
      <c r="H84" s="92">
        <f t="shared" si="12"/>
        <v>44520000</v>
      </c>
      <c r="I84" s="153">
        <f t="shared" si="8"/>
        <v>42963238.82108786</v>
      </c>
      <c r="J84" s="264">
        <v>8.0000000000000002E-3</v>
      </c>
      <c r="K84" s="153">
        <f t="shared" si="9"/>
        <v>89783143.468981698</v>
      </c>
      <c r="L84" s="264">
        <v>1.7999999999999999E-2</v>
      </c>
      <c r="M84" s="290">
        <f t="shared" si="10"/>
        <v>132746382.29006955</v>
      </c>
      <c r="N84" s="286">
        <f t="shared" si="11"/>
        <v>386646382.29006958</v>
      </c>
    </row>
    <row r="85" spans="1:14" x14ac:dyDescent="0.3">
      <c r="A85" s="346"/>
      <c r="B85" s="256" t="s">
        <v>237</v>
      </c>
      <c r="C85" s="262">
        <v>100000</v>
      </c>
      <c r="D85" s="262">
        <v>400000</v>
      </c>
      <c r="E85" s="8">
        <v>0</v>
      </c>
      <c r="F85" s="2">
        <f t="shared" si="13"/>
        <v>169910000</v>
      </c>
      <c r="G85" s="2">
        <v>380000000</v>
      </c>
      <c r="H85" s="92">
        <f t="shared" si="12"/>
        <v>44940000</v>
      </c>
      <c r="I85" s="153">
        <f t="shared" si="8"/>
        <v>43406944.731656559</v>
      </c>
      <c r="J85" s="264">
        <v>8.0000000000000002E-3</v>
      </c>
      <c r="K85" s="153">
        <f t="shared" si="9"/>
        <v>91799240.051423371</v>
      </c>
      <c r="L85" s="264">
        <v>1.7999999999999999E-2</v>
      </c>
      <c r="M85" s="290">
        <f t="shared" si="10"/>
        <v>135206184.78307992</v>
      </c>
      <c r="N85" s="286">
        <f t="shared" si="11"/>
        <v>390236184.78307986</v>
      </c>
    </row>
    <row r="86" spans="1:14" x14ac:dyDescent="0.3">
      <c r="A86" s="346"/>
      <c r="B86" s="256" t="s">
        <v>238</v>
      </c>
      <c r="C86" s="262">
        <v>100000</v>
      </c>
      <c r="D86" s="262">
        <v>400000</v>
      </c>
      <c r="E86" s="8">
        <v>0</v>
      </c>
      <c r="F86" s="2">
        <f t="shared" si="13"/>
        <v>169200000</v>
      </c>
      <c r="G86" s="2">
        <v>380000000</v>
      </c>
      <c r="H86" s="92">
        <f t="shared" si="12"/>
        <v>45360000</v>
      </c>
      <c r="I86" s="153">
        <f t="shared" si="8"/>
        <v>43854200.289509811</v>
      </c>
      <c r="J86" s="264">
        <v>8.0000000000000002E-3</v>
      </c>
      <c r="K86" s="153">
        <f t="shared" si="9"/>
        <v>93851626.372348994</v>
      </c>
      <c r="L86" s="264">
        <v>1.7999999999999999E-2</v>
      </c>
      <c r="M86" s="290">
        <f t="shared" si="10"/>
        <v>137705826.6618588</v>
      </c>
      <c r="N86" s="286">
        <f t="shared" si="11"/>
        <v>393865826.6618588</v>
      </c>
    </row>
    <row r="87" spans="1:14" x14ac:dyDescent="0.3">
      <c r="A87" s="346"/>
      <c r="B87" s="256" t="s">
        <v>239</v>
      </c>
      <c r="C87" s="262">
        <v>100000</v>
      </c>
      <c r="D87" s="262">
        <v>400000</v>
      </c>
      <c r="E87" s="8">
        <v>0</v>
      </c>
      <c r="F87" s="2">
        <f t="shared" si="13"/>
        <v>168490000</v>
      </c>
      <c r="G87" s="2">
        <v>380000000</v>
      </c>
      <c r="H87" s="92">
        <f t="shared" si="12"/>
        <v>45780000</v>
      </c>
      <c r="I87" s="153">
        <f t="shared" si="8"/>
        <v>44305033.891825892</v>
      </c>
      <c r="J87" s="264">
        <v>8.0000000000000002E-3</v>
      </c>
      <c r="K87" s="153">
        <f t="shared" si="9"/>
        <v>95940955.647051275</v>
      </c>
      <c r="L87" s="264">
        <v>1.7999999999999999E-2</v>
      </c>
      <c r="M87" s="290">
        <f t="shared" si="10"/>
        <v>140245989.53887716</v>
      </c>
      <c r="N87" s="286">
        <f t="shared" si="11"/>
        <v>397535989.53887713</v>
      </c>
    </row>
    <row r="88" spans="1:14" x14ac:dyDescent="0.3">
      <c r="A88" s="346"/>
      <c r="B88" s="256" t="s">
        <v>226</v>
      </c>
      <c r="C88" s="262">
        <v>100000</v>
      </c>
      <c r="D88" s="262">
        <v>400000</v>
      </c>
      <c r="E88" s="8">
        <v>0</v>
      </c>
      <c r="F88" s="2">
        <f t="shared" si="13"/>
        <v>167780000</v>
      </c>
      <c r="G88" s="2">
        <v>380000000</v>
      </c>
      <c r="H88" s="92">
        <f t="shared" si="12"/>
        <v>46200000</v>
      </c>
      <c r="I88" s="153">
        <f t="shared" si="8"/>
        <v>44759474.1629605</v>
      </c>
      <c r="J88" s="264">
        <v>8.0000000000000002E-3</v>
      </c>
      <c r="K88" s="153">
        <f t="shared" si="9"/>
        <v>98067892.848698199</v>
      </c>
      <c r="L88" s="264">
        <v>1.7999999999999999E-2</v>
      </c>
      <c r="M88" s="290">
        <f t="shared" si="10"/>
        <v>142827367.0116587</v>
      </c>
      <c r="N88" s="286">
        <f t="shared" si="11"/>
        <v>401247367.01165867</v>
      </c>
    </row>
    <row r="89" spans="1:14" x14ac:dyDescent="0.3">
      <c r="A89" s="346"/>
      <c r="B89" s="256" t="s">
        <v>228</v>
      </c>
      <c r="C89" s="262">
        <v>100000</v>
      </c>
      <c r="D89" s="262">
        <v>400000</v>
      </c>
      <c r="E89" s="8">
        <v>0</v>
      </c>
      <c r="F89" s="2">
        <f t="shared" si="13"/>
        <v>167070000</v>
      </c>
      <c r="G89" s="2">
        <v>380000000</v>
      </c>
      <c r="H89" s="92">
        <f t="shared" si="12"/>
        <v>46620000</v>
      </c>
      <c r="I89" s="153">
        <f t="shared" si="8"/>
        <v>45217549.956264183</v>
      </c>
      <c r="J89" s="264">
        <v>8.0000000000000002E-3</v>
      </c>
      <c r="K89" s="153">
        <f t="shared" si="9"/>
        <v>100233114.91997476</v>
      </c>
      <c r="L89" s="264">
        <v>1.7999999999999999E-2</v>
      </c>
      <c r="M89" s="290">
        <f t="shared" si="10"/>
        <v>145450664.87623894</v>
      </c>
      <c r="N89" s="286">
        <f t="shared" si="11"/>
        <v>405000664.87623894</v>
      </c>
    </row>
    <row r="90" spans="1:14" x14ac:dyDescent="0.3">
      <c r="A90" s="346"/>
      <c r="B90" s="256" t="s">
        <v>230</v>
      </c>
      <c r="C90" s="262">
        <v>100000</v>
      </c>
      <c r="D90" s="262">
        <v>400000</v>
      </c>
      <c r="E90" s="8">
        <v>0</v>
      </c>
      <c r="F90" s="2">
        <f t="shared" si="13"/>
        <v>166360000</v>
      </c>
      <c r="G90" s="2">
        <v>380000000</v>
      </c>
      <c r="H90" s="92">
        <f t="shared" si="12"/>
        <v>47040000</v>
      </c>
      <c r="I90" s="153">
        <f t="shared" si="8"/>
        <v>45679290.355914295</v>
      </c>
      <c r="J90" s="264">
        <v>8.0000000000000002E-3</v>
      </c>
      <c r="K90" s="153">
        <f t="shared" si="9"/>
        <v>102437310.9885343</v>
      </c>
      <c r="L90" s="264">
        <v>1.7999999999999999E-2</v>
      </c>
      <c r="M90" s="290">
        <f t="shared" si="10"/>
        <v>148116601.3444486</v>
      </c>
      <c r="N90" s="286">
        <f t="shared" si="11"/>
        <v>408796601.34444857</v>
      </c>
    </row>
    <row r="91" spans="1:14" x14ac:dyDescent="0.3">
      <c r="A91" s="346"/>
      <c r="B91" s="256" t="s">
        <v>231</v>
      </c>
      <c r="C91" s="262">
        <v>100000</v>
      </c>
      <c r="D91" s="262">
        <v>400000</v>
      </c>
      <c r="E91" s="8">
        <v>0</v>
      </c>
      <c r="F91" s="2">
        <f t="shared" si="13"/>
        <v>165650000</v>
      </c>
      <c r="G91" s="2">
        <v>380000000</v>
      </c>
      <c r="H91" s="92">
        <f t="shared" si="12"/>
        <v>47460000</v>
      </c>
      <c r="I91" s="153">
        <f t="shared" si="8"/>
        <v>46144724.678761609</v>
      </c>
      <c r="J91" s="264">
        <v>8.0000000000000002E-3</v>
      </c>
      <c r="K91" s="153">
        <f t="shared" si="9"/>
        <v>104681182.58632793</v>
      </c>
      <c r="L91" s="264">
        <v>1.7999999999999999E-2</v>
      </c>
      <c r="M91" s="290">
        <f t="shared" si="10"/>
        <v>150825907.26508954</v>
      </c>
      <c r="N91" s="286">
        <f t="shared" si="11"/>
        <v>412635907.26508951</v>
      </c>
    </row>
    <row r="92" spans="1:14" x14ac:dyDescent="0.3">
      <c r="A92" s="346"/>
      <c r="B92" s="256" t="s">
        <v>232</v>
      </c>
      <c r="C92" s="262">
        <v>100000</v>
      </c>
      <c r="D92" s="262">
        <v>400000</v>
      </c>
      <c r="E92" s="8">
        <v>0</v>
      </c>
      <c r="F92" s="2">
        <f t="shared" si="13"/>
        <v>164940000</v>
      </c>
      <c r="G92" s="2">
        <v>380000000</v>
      </c>
      <c r="H92" s="92">
        <f t="shared" si="12"/>
        <v>47880000</v>
      </c>
      <c r="I92" s="153">
        <f t="shared" si="8"/>
        <v>46613882.4761917</v>
      </c>
      <c r="J92" s="264">
        <v>8.0000000000000002E-3</v>
      </c>
      <c r="K92" s="153">
        <f t="shared" si="9"/>
        <v>106965443.87288183</v>
      </c>
      <c r="L92" s="264">
        <v>1.7999999999999999E-2</v>
      </c>
      <c r="M92" s="290">
        <f t="shared" si="10"/>
        <v>153579326.34907353</v>
      </c>
      <c r="N92" s="286">
        <f t="shared" si="11"/>
        <v>416519326.34907353</v>
      </c>
    </row>
    <row r="93" spans="1:14" x14ac:dyDescent="0.3">
      <c r="A93" s="346"/>
      <c r="B93" s="256" t="s">
        <v>233</v>
      </c>
      <c r="C93" s="262">
        <v>100000</v>
      </c>
      <c r="D93" s="262">
        <v>400000</v>
      </c>
      <c r="E93" s="8">
        <v>0</v>
      </c>
      <c r="F93" s="2">
        <f t="shared" si="13"/>
        <v>164230000</v>
      </c>
      <c r="G93" s="2">
        <v>380000000</v>
      </c>
      <c r="H93" s="92">
        <f t="shared" si="12"/>
        <v>48300000</v>
      </c>
      <c r="I93" s="153">
        <f t="shared" si="8"/>
        <v>47086793.536001235</v>
      </c>
      <c r="J93" s="264">
        <v>8.0000000000000002E-3</v>
      </c>
      <c r="K93" s="153">
        <f t="shared" si="9"/>
        <v>109290821.8625937</v>
      </c>
      <c r="L93" s="264">
        <v>1.7999999999999999E-2</v>
      </c>
      <c r="M93" s="290">
        <f t="shared" si="10"/>
        <v>156377615.39859492</v>
      </c>
      <c r="N93" s="286">
        <f t="shared" si="11"/>
        <v>420447615.39859486</v>
      </c>
    </row>
    <row r="94" spans="1:14" s="281" customFormat="1" x14ac:dyDescent="0.3">
      <c r="A94" s="346"/>
      <c r="B94" s="278" t="s">
        <v>234</v>
      </c>
      <c r="C94" s="92">
        <f xml:space="preserve"> 100000 + 3000000</f>
        <v>3100000</v>
      </c>
      <c r="D94" s="92">
        <f xml:space="preserve"> 400000 - 3000000 - 10000000</f>
        <v>-12600000</v>
      </c>
      <c r="E94" s="279">
        <v>0</v>
      </c>
      <c r="F94" s="131">
        <f xml:space="preserve"> F93 - 710000 - 15000000</f>
        <v>148520000</v>
      </c>
      <c r="G94" s="131">
        <v>380000000</v>
      </c>
      <c r="H94" s="92">
        <f t="shared" si="12"/>
        <v>48720000</v>
      </c>
      <c r="I94" s="153">
        <f t="shared" si="8"/>
        <v>50563487.884289242</v>
      </c>
      <c r="J94" s="280">
        <v>8.0000000000000002E-3</v>
      </c>
      <c r="K94" s="153">
        <f t="shared" si="9"/>
        <v>98658056.65612039</v>
      </c>
      <c r="L94" s="280">
        <v>1.7999999999999999E-2</v>
      </c>
      <c r="M94" s="292">
        <f t="shared" si="10"/>
        <v>149221544.54040962</v>
      </c>
      <c r="N94" s="286">
        <f t="shared" si="11"/>
        <v>429421544.54040956</v>
      </c>
    </row>
    <row r="95" spans="1:14" x14ac:dyDescent="0.3">
      <c r="A95" s="346">
        <v>2033</v>
      </c>
      <c r="B95" s="256" t="s">
        <v>235</v>
      </c>
      <c r="C95" s="262">
        <v>100000</v>
      </c>
      <c r="D95" s="262">
        <v>400000</v>
      </c>
      <c r="E95" s="8">
        <v>0</v>
      </c>
      <c r="F95" s="2">
        <f t="shared" si="13"/>
        <v>147810000</v>
      </c>
      <c r="G95" s="2">
        <v>380000000</v>
      </c>
      <c r="H95" s="92">
        <f t="shared" si="12"/>
        <v>49140000</v>
      </c>
      <c r="I95" s="153">
        <f t="shared" si="8"/>
        <v>51067995.787363559</v>
      </c>
      <c r="J95" s="264">
        <v>8.0000000000000002E-3</v>
      </c>
      <c r="K95" s="153">
        <f t="shared" si="9"/>
        <v>100833901.67593056</v>
      </c>
      <c r="L95" s="264">
        <v>1.7999999999999999E-2</v>
      </c>
      <c r="M95" s="290">
        <f t="shared" si="10"/>
        <v>151901897.46329412</v>
      </c>
      <c r="N95" s="286">
        <f t="shared" si="11"/>
        <v>433231897.46329415</v>
      </c>
    </row>
    <row r="96" spans="1:14" x14ac:dyDescent="0.3">
      <c r="A96" s="346"/>
      <c r="B96" s="256" t="s">
        <v>236</v>
      </c>
      <c r="C96" s="262">
        <v>100000</v>
      </c>
      <c r="D96" s="262">
        <v>400000</v>
      </c>
      <c r="E96" s="8">
        <v>0</v>
      </c>
      <c r="F96" s="2">
        <f t="shared" si="13"/>
        <v>147100000</v>
      </c>
      <c r="G96" s="2">
        <v>380000000</v>
      </c>
      <c r="H96" s="92">
        <f t="shared" si="12"/>
        <v>49560000</v>
      </c>
      <c r="I96" s="153">
        <f t="shared" si="8"/>
        <v>51576539.753662467</v>
      </c>
      <c r="J96" s="264">
        <v>8.0000000000000002E-3</v>
      </c>
      <c r="K96" s="153">
        <f t="shared" si="9"/>
        <v>103048911.90609731</v>
      </c>
      <c r="L96" s="264">
        <v>1.7999999999999999E-2</v>
      </c>
      <c r="M96" s="290">
        <f t="shared" si="10"/>
        <v>154625451.65975976</v>
      </c>
      <c r="N96" s="286">
        <f t="shared" si="11"/>
        <v>437085451.65975976</v>
      </c>
    </row>
    <row r="97" spans="1:14" x14ac:dyDescent="0.3">
      <c r="A97" s="346"/>
      <c r="B97" s="256" t="s">
        <v>237</v>
      </c>
      <c r="C97" s="262">
        <v>100000</v>
      </c>
      <c r="D97" s="262">
        <v>400000</v>
      </c>
      <c r="E97" s="8">
        <v>0</v>
      </c>
      <c r="F97" s="2">
        <f t="shared" si="13"/>
        <v>146390000</v>
      </c>
      <c r="G97" s="2">
        <v>380000000</v>
      </c>
      <c r="H97" s="92">
        <f t="shared" si="12"/>
        <v>49980000</v>
      </c>
      <c r="I97" s="153">
        <f t="shared" si="8"/>
        <v>52089152.071691766</v>
      </c>
      <c r="J97" s="264">
        <v>8.0000000000000002E-3</v>
      </c>
      <c r="K97" s="153">
        <f t="shared" si="9"/>
        <v>105303792.32040706</v>
      </c>
      <c r="L97" s="264">
        <v>1.7999999999999999E-2</v>
      </c>
      <c r="M97" s="290">
        <f t="shared" si="10"/>
        <v>157392944.39209884</v>
      </c>
      <c r="N97" s="286">
        <f t="shared" si="11"/>
        <v>440982944.3920989</v>
      </c>
    </row>
    <row r="98" spans="1:14" x14ac:dyDescent="0.3">
      <c r="A98" s="346"/>
      <c r="B98" s="256" t="s">
        <v>238</v>
      </c>
      <c r="C98" s="262">
        <v>100000</v>
      </c>
      <c r="D98" s="262">
        <v>400000</v>
      </c>
      <c r="E98" s="8">
        <v>0</v>
      </c>
      <c r="F98" s="2">
        <f t="shared" si="13"/>
        <v>145680000</v>
      </c>
      <c r="G98" s="2">
        <v>380000000</v>
      </c>
      <c r="H98" s="92">
        <f t="shared" si="12"/>
        <v>50400000</v>
      </c>
      <c r="I98" s="153">
        <f t="shared" si="8"/>
        <v>52605865.288265303</v>
      </c>
      <c r="J98" s="264">
        <v>8.0000000000000002E-3</v>
      </c>
      <c r="K98" s="153">
        <f t="shared" si="9"/>
        <v>107599260.58217439</v>
      </c>
      <c r="L98" s="264">
        <v>1.7999999999999999E-2</v>
      </c>
      <c r="M98" s="290">
        <f t="shared" si="10"/>
        <v>160205125.87043971</v>
      </c>
      <c r="N98" s="286">
        <f t="shared" si="11"/>
        <v>444925125.87043977</v>
      </c>
    </row>
    <row r="99" spans="1:14" x14ac:dyDescent="0.3">
      <c r="A99" s="346"/>
      <c r="B99" s="256" t="s">
        <v>239</v>
      </c>
      <c r="C99" s="262">
        <v>100000</v>
      </c>
      <c r="D99" s="262">
        <v>400000</v>
      </c>
      <c r="E99" s="8">
        <v>0</v>
      </c>
      <c r="F99" s="2">
        <f t="shared" si="13"/>
        <v>144970000</v>
      </c>
      <c r="G99" s="2">
        <v>380000000</v>
      </c>
      <c r="H99" s="92">
        <f t="shared" si="12"/>
        <v>50820000</v>
      </c>
      <c r="I99" s="153">
        <f t="shared" si="8"/>
        <v>53126712.210571423</v>
      </c>
      <c r="J99" s="264">
        <v>8.0000000000000002E-3</v>
      </c>
      <c r="K99" s="153">
        <f t="shared" si="9"/>
        <v>109936047.27265354</v>
      </c>
      <c r="L99" s="264">
        <v>1.7999999999999999E-2</v>
      </c>
      <c r="M99" s="290">
        <f t="shared" si="10"/>
        <v>163062759.48322496</v>
      </c>
      <c r="N99" s="286">
        <f t="shared" si="11"/>
        <v>448912759.48322499</v>
      </c>
    </row>
    <row r="100" spans="1:14" x14ac:dyDescent="0.3">
      <c r="A100" s="346"/>
      <c r="B100" s="256" t="s">
        <v>226</v>
      </c>
      <c r="C100" s="262">
        <v>100000</v>
      </c>
      <c r="D100" s="262">
        <v>400000</v>
      </c>
      <c r="E100" s="8">
        <v>0</v>
      </c>
      <c r="F100" s="2">
        <f t="shared" si="13"/>
        <v>144260000</v>
      </c>
      <c r="G100" s="2">
        <v>380000000</v>
      </c>
      <c r="H100" s="92">
        <f t="shared" si="12"/>
        <v>51240000</v>
      </c>
      <c r="I100" s="153">
        <f t="shared" si="8"/>
        <v>53651725.908255994</v>
      </c>
      <c r="J100" s="264">
        <v>8.0000000000000002E-3</v>
      </c>
      <c r="K100" s="153">
        <f t="shared" si="9"/>
        <v>112314896.12356129</v>
      </c>
      <c r="L100" s="264">
        <v>1.7999999999999999E-2</v>
      </c>
      <c r="M100" s="290">
        <f t="shared" si="10"/>
        <v>165966622.03181729</v>
      </c>
      <c r="N100" s="286">
        <f t="shared" si="11"/>
        <v>452946622.03181732</v>
      </c>
    </row>
    <row r="101" spans="1:14" x14ac:dyDescent="0.3">
      <c r="A101" s="346"/>
      <c r="B101" s="256" t="s">
        <v>228</v>
      </c>
      <c r="C101" s="262">
        <v>100000</v>
      </c>
      <c r="D101" s="262">
        <v>400000</v>
      </c>
      <c r="E101" s="8">
        <v>0</v>
      </c>
      <c r="F101" s="2">
        <f t="shared" si="13"/>
        <v>143550000</v>
      </c>
      <c r="G101" s="2">
        <v>380000000</v>
      </c>
      <c r="H101" s="92">
        <f t="shared" si="12"/>
        <v>51660000</v>
      </c>
      <c r="I101" s="153">
        <f t="shared" ref="I101:I130" si="14" xml:space="preserve"> (I100 * J101) + (I100 + C101)</f>
        <v>54180939.715522043</v>
      </c>
      <c r="J101" s="264">
        <v>8.0000000000000002E-3</v>
      </c>
      <c r="K101" s="153">
        <f t="shared" ref="K101:K132" si="15" xml:space="preserve">  K100 * L101 + D101 + K100</f>
        <v>114736564.2537854</v>
      </c>
      <c r="L101" s="264">
        <v>1.7999999999999999E-2</v>
      </c>
      <c r="M101" s="290">
        <f t="shared" si="10"/>
        <v>168917503.96930745</v>
      </c>
      <c r="N101" s="286">
        <f t="shared" si="11"/>
        <v>457027503.96930742</v>
      </c>
    </row>
    <row r="102" spans="1:14" x14ac:dyDescent="0.3">
      <c r="A102" s="346"/>
      <c r="B102" s="256" t="s">
        <v>230</v>
      </c>
      <c r="C102" s="262">
        <v>100000</v>
      </c>
      <c r="D102" s="262">
        <v>400000</v>
      </c>
      <c r="E102" s="8">
        <v>0</v>
      </c>
      <c r="F102" s="2">
        <f t="shared" si="13"/>
        <v>142840000</v>
      </c>
      <c r="G102" s="2">
        <v>380000000</v>
      </c>
      <c r="H102" s="92">
        <f t="shared" si="12"/>
        <v>52080000</v>
      </c>
      <c r="I102" s="153">
        <f t="shared" si="14"/>
        <v>54714387.233246222</v>
      </c>
      <c r="J102" s="264">
        <v>8.0000000000000002E-3</v>
      </c>
      <c r="K102" s="153">
        <f t="shared" si="15"/>
        <v>117201822.41035354</v>
      </c>
      <c r="L102" s="264">
        <v>1.7999999999999999E-2</v>
      </c>
      <c r="M102" s="290">
        <f t="shared" si="10"/>
        <v>171916209.64359975</v>
      </c>
      <c r="N102" s="286">
        <f t="shared" si="11"/>
        <v>461156209.64359975</v>
      </c>
    </row>
    <row r="103" spans="1:14" x14ac:dyDescent="0.3">
      <c r="A103" s="346"/>
      <c r="B103" s="256" t="s">
        <v>231</v>
      </c>
      <c r="C103" s="262">
        <v>100000</v>
      </c>
      <c r="D103" s="262">
        <v>400000</v>
      </c>
      <c r="E103" s="8">
        <v>0</v>
      </c>
      <c r="F103" s="2">
        <f t="shared" si="13"/>
        <v>142130000</v>
      </c>
      <c r="G103" s="2">
        <v>380000000</v>
      </c>
      <c r="H103" s="92">
        <f t="shared" si="12"/>
        <v>52500000</v>
      </c>
      <c r="I103" s="153">
        <f t="shared" si="14"/>
        <v>55252102.331112191</v>
      </c>
      <c r="J103" s="264">
        <v>8.0000000000000002E-3</v>
      </c>
      <c r="K103" s="153">
        <f t="shared" si="15"/>
        <v>119711455.2137399</v>
      </c>
      <c r="L103" s="264">
        <v>1.7999999999999999E-2</v>
      </c>
      <c r="M103" s="290">
        <f t="shared" si="10"/>
        <v>174963557.54485208</v>
      </c>
      <c r="N103" s="286">
        <f t="shared" si="11"/>
        <v>465333557.54485202</v>
      </c>
    </row>
    <row r="104" spans="1:14" x14ac:dyDescent="0.3">
      <c r="A104" s="346"/>
      <c r="B104" s="256" t="s">
        <v>232</v>
      </c>
      <c r="C104" s="262">
        <v>100000</v>
      </c>
      <c r="D104" s="262">
        <v>400000</v>
      </c>
      <c r="E104" s="8">
        <v>0</v>
      </c>
      <c r="F104" s="2">
        <f t="shared" si="13"/>
        <v>141420000</v>
      </c>
      <c r="G104" s="2">
        <v>380000000</v>
      </c>
      <c r="H104" s="92">
        <f t="shared" si="12"/>
        <v>52920000</v>
      </c>
      <c r="I104" s="153">
        <f t="shared" si="14"/>
        <v>55794119.149761088</v>
      </c>
      <c r="J104" s="264">
        <v>8.0000000000000002E-3</v>
      </c>
      <c r="K104" s="153">
        <f t="shared" si="15"/>
        <v>122266261.40758722</v>
      </c>
      <c r="L104" s="264">
        <v>1.7999999999999999E-2</v>
      </c>
      <c r="M104" s="290">
        <f t="shared" si="10"/>
        <v>178060380.55734831</v>
      </c>
      <c r="N104" s="286">
        <f t="shared" si="11"/>
        <v>469560380.55734825</v>
      </c>
    </row>
    <row r="105" spans="1:14" x14ac:dyDescent="0.3">
      <c r="A105" s="346"/>
      <c r="B105" s="256" t="s">
        <v>233</v>
      </c>
      <c r="C105" s="262">
        <v>100000</v>
      </c>
      <c r="D105" s="262">
        <v>400000</v>
      </c>
      <c r="E105" s="8">
        <v>0</v>
      </c>
      <c r="F105" s="2">
        <f t="shared" si="13"/>
        <v>140710000</v>
      </c>
      <c r="G105" s="2">
        <v>380000000</v>
      </c>
      <c r="H105" s="92">
        <f t="shared" si="12"/>
        <v>53340000</v>
      </c>
      <c r="I105" s="153">
        <f t="shared" si="14"/>
        <v>56340472.102959178</v>
      </c>
      <c r="J105" s="264">
        <v>8.0000000000000002E-3</v>
      </c>
      <c r="K105" s="153">
        <f t="shared" si="15"/>
        <v>124867054.11292379</v>
      </c>
      <c r="L105" s="264">
        <v>1.7999999999999999E-2</v>
      </c>
      <c r="M105" s="290">
        <f t="shared" si="10"/>
        <v>181207526.21588296</v>
      </c>
      <c r="N105" s="286">
        <f t="shared" si="11"/>
        <v>473837526.21588302</v>
      </c>
    </row>
    <row r="106" spans="1:14" s="281" customFormat="1" x14ac:dyDescent="0.3">
      <c r="A106" s="346"/>
      <c r="B106" s="278" t="s">
        <v>234</v>
      </c>
      <c r="C106" s="92">
        <f xml:space="preserve"> 100000 + 3000000</f>
        <v>3100000</v>
      </c>
      <c r="D106" s="92">
        <f xml:space="preserve"> 400000 - 3000000 - 10000000</f>
        <v>-12600000</v>
      </c>
      <c r="E106" s="279">
        <v>0</v>
      </c>
      <c r="F106" s="131">
        <f xml:space="preserve"> F105 - 710000 - 15000000</f>
        <v>125000000</v>
      </c>
      <c r="G106" s="131">
        <v>380000000</v>
      </c>
      <c r="H106" s="92">
        <f t="shared" si="12"/>
        <v>53760000</v>
      </c>
      <c r="I106" s="153">
        <f t="shared" si="14"/>
        <v>59891195.879782856</v>
      </c>
      <c r="J106" s="280">
        <v>8.0000000000000002E-3</v>
      </c>
      <c r="K106" s="153">
        <f t="shared" si="15"/>
        <v>114514661.08695641</v>
      </c>
      <c r="L106" s="280">
        <v>1.7999999999999999E-2</v>
      </c>
      <c r="M106" s="292">
        <f t="shared" si="10"/>
        <v>174405856.96673927</v>
      </c>
      <c r="N106" s="286">
        <f t="shared" si="11"/>
        <v>483165856.9667393</v>
      </c>
    </row>
    <row r="107" spans="1:14" x14ac:dyDescent="0.3">
      <c r="A107" s="346">
        <v>2034</v>
      </c>
      <c r="B107" s="256" t="s">
        <v>235</v>
      </c>
      <c r="C107" s="262">
        <v>100000</v>
      </c>
      <c r="D107" s="262">
        <v>400000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60470325.446821116</v>
      </c>
      <c r="J107" s="264">
        <v>8.0000000000000002E-3</v>
      </c>
      <c r="K107" s="153">
        <f t="shared" si="15"/>
        <v>116975924.98652163</v>
      </c>
      <c r="L107" s="264">
        <v>1.7999999999999999E-2</v>
      </c>
      <c r="M107" s="290">
        <f t="shared" si="10"/>
        <v>177446250.43334275</v>
      </c>
      <c r="N107" s="286">
        <f t="shared" si="11"/>
        <v>487336250.4333427</v>
      </c>
    </row>
    <row r="108" spans="1:14" x14ac:dyDescent="0.3">
      <c r="A108" s="346"/>
      <c r="B108" s="256" t="s">
        <v>236</v>
      </c>
      <c r="C108" s="262">
        <v>100000</v>
      </c>
      <c r="D108" s="262">
        <v>400000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61054088.050395682</v>
      </c>
      <c r="J108" s="264">
        <v>8.0000000000000002E-3</v>
      </c>
      <c r="K108" s="153">
        <f t="shared" si="15"/>
        <v>119481491.63627902</v>
      </c>
      <c r="L108" s="264">
        <v>1.7999999999999999E-2</v>
      </c>
      <c r="M108" s="290">
        <f t="shared" si="10"/>
        <v>180535579.68667471</v>
      </c>
      <c r="N108" s="286">
        <f t="shared" si="11"/>
        <v>491555579.68667471</v>
      </c>
    </row>
    <row r="109" spans="1:14" x14ac:dyDescent="0.3">
      <c r="A109" s="346"/>
      <c r="B109" s="256" t="s">
        <v>237</v>
      </c>
      <c r="C109" s="262">
        <v>100000</v>
      </c>
      <c r="D109" s="262">
        <v>400000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61642520.754798844</v>
      </c>
      <c r="J109" s="264">
        <v>8.0000000000000002E-3</v>
      </c>
      <c r="K109" s="153">
        <f t="shared" si="15"/>
        <v>122032158.48573203</v>
      </c>
      <c r="L109" s="264">
        <v>1.7999999999999999E-2</v>
      </c>
      <c r="M109" s="290">
        <f t="shared" si="10"/>
        <v>183674679.24053088</v>
      </c>
      <c r="N109" s="286">
        <f t="shared" si="11"/>
        <v>495824679.24053085</v>
      </c>
    </row>
    <row r="110" spans="1:14" x14ac:dyDescent="0.3">
      <c r="A110" s="346"/>
      <c r="B110" s="256" t="s">
        <v>238</v>
      </c>
      <c r="C110" s="262">
        <v>100000</v>
      </c>
      <c r="D110" s="262">
        <v>400000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62235660.920837238</v>
      </c>
      <c r="J110" s="264">
        <v>8.0000000000000002E-3</v>
      </c>
      <c r="K110" s="153">
        <f t="shared" si="15"/>
        <v>124628737.33847521</v>
      </c>
      <c r="L110" s="264">
        <v>1.7999999999999999E-2</v>
      </c>
      <c r="M110" s="290">
        <f t="shared" si="10"/>
        <v>186864398.25931245</v>
      </c>
      <c r="N110" s="286">
        <f t="shared" si="11"/>
        <v>500144398.25931239</v>
      </c>
    </row>
    <row r="111" spans="1:14" x14ac:dyDescent="0.3">
      <c r="A111" s="346"/>
      <c r="B111" s="256" t="s">
        <v>239</v>
      </c>
      <c r="C111" s="262">
        <v>100000</v>
      </c>
      <c r="D111" s="262">
        <v>400000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62833546.208203934</v>
      </c>
      <c r="J111" s="264">
        <v>8.0000000000000002E-3</v>
      </c>
      <c r="K111" s="153">
        <f t="shared" si="15"/>
        <v>127272054.61056776</v>
      </c>
      <c r="L111" s="264">
        <v>1.7999999999999999E-2</v>
      </c>
      <c r="M111" s="290">
        <f t="shared" si="10"/>
        <v>190105600.81877169</v>
      </c>
      <c r="N111" s="286">
        <f t="shared" si="11"/>
        <v>504515600.81877172</v>
      </c>
    </row>
    <row r="112" spans="1:14" x14ac:dyDescent="0.3">
      <c r="A112" s="346"/>
      <c r="B112" s="256" t="s">
        <v>226</v>
      </c>
      <c r="C112" s="262">
        <v>100000</v>
      </c>
      <c r="D112" s="262">
        <v>400000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63436214.577869564</v>
      </c>
      <c r="J112" s="264">
        <v>8.0000000000000002E-3</v>
      </c>
      <c r="K112" s="153">
        <f t="shared" si="15"/>
        <v>129962951.59355798</v>
      </c>
      <c r="L112" s="264">
        <v>1.7999999999999999E-2</v>
      </c>
      <c r="M112" s="290">
        <f t="shared" si="10"/>
        <v>193399166.17142755</v>
      </c>
      <c r="N112" s="286">
        <f t="shared" si="11"/>
        <v>508939166.17142749</v>
      </c>
    </row>
    <row r="113" spans="1:14" x14ac:dyDescent="0.3">
      <c r="A113" s="346"/>
      <c r="B113" s="256" t="s">
        <v>228</v>
      </c>
      <c r="C113" s="262">
        <v>100000</v>
      </c>
      <c r="D113" s="262">
        <v>400000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64043704.29449252</v>
      </c>
      <c r="J113" s="264">
        <v>8.0000000000000002E-3</v>
      </c>
      <c r="K113" s="153">
        <f t="shared" si="15"/>
        <v>132702284.72224203</v>
      </c>
      <c r="L113" s="264">
        <v>1.7999999999999999E-2</v>
      </c>
      <c r="M113" s="290">
        <f t="shared" si="10"/>
        <v>196745989.01673454</v>
      </c>
      <c r="N113" s="286">
        <f t="shared" si="11"/>
        <v>513415989.0167346</v>
      </c>
    </row>
    <row r="114" spans="1:14" x14ac:dyDescent="0.3">
      <c r="A114" s="346"/>
      <c r="B114" s="256" t="s">
        <v>230</v>
      </c>
      <c r="C114" s="262">
        <v>100000</v>
      </c>
      <c r="D114" s="262">
        <v>400000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64656053.92884846</v>
      </c>
      <c r="J114" s="264">
        <v>8.0000000000000002E-3</v>
      </c>
      <c r="K114" s="153">
        <f t="shared" si="15"/>
        <v>135490925.84724239</v>
      </c>
      <c r="L114" s="264">
        <v>1.7999999999999999E-2</v>
      </c>
      <c r="M114" s="290">
        <f t="shared" si="10"/>
        <v>200146979.77609086</v>
      </c>
      <c r="N114" s="286">
        <f t="shared" si="11"/>
        <v>517946979.77609086</v>
      </c>
    </row>
    <row r="115" spans="1:14" x14ac:dyDescent="0.3">
      <c r="A115" s="346"/>
      <c r="B115" s="256" t="s">
        <v>231</v>
      </c>
      <c r="C115" s="262">
        <v>100000</v>
      </c>
      <c r="D115" s="262">
        <v>400000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65273302.360279247</v>
      </c>
      <c r="J115" s="264">
        <v>8.0000000000000002E-3</v>
      </c>
      <c r="K115" s="153">
        <f t="shared" si="15"/>
        <v>138329762.51249275</v>
      </c>
      <c r="L115" s="264">
        <v>1.7999999999999999E-2</v>
      </c>
      <c r="M115" s="290">
        <f t="shared" si="10"/>
        <v>203603064.87277198</v>
      </c>
      <c r="N115" s="286">
        <f t="shared" si="11"/>
        <v>522533064.87277198</v>
      </c>
    </row>
    <row r="116" spans="1:14" x14ac:dyDescent="0.3">
      <c r="A116" s="346"/>
      <c r="B116" s="256" t="s">
        <v>232</v>
      </c>
      <c r="C116" s="262">
        <v>100000</v>
      </c>
      <c r="D116" s="262">
        <v>400000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65895488.779161483</v>
      </c>
      <c r="J116" s="264">
        <v>8.0000000000000002E-3</v>
      </c>
      <c r="K116" s="153">
        <f t="shared" si="15"/>
        <v>141219698.23771763</v>
      </c>
      <c r="L116" s="264">
        <v>1.7999999999999999E-2</v>
      </c>
      <c r="M116" s="290">
        <f t="shared" si="10"/>
        <v>207115187.01687911</v>
      </c>
      <c r="N116" s="286">
        <f t="shared" si="11"/>
        <v>527175187.01687908</v>
      </c>
    </row>
    <row r="117" spans="1:14" x14ac:dyDescent="0.3">
      <c r="A117" s="346"/>
      <c r="B117" s="256" t="s">
        <v>233</v>
      </c>
      <c r="C117" s="262">
        <v>100000</v>
      </c>
      <c r="D117" s="262">
        <v>400000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66522652.689394772</v>
      </c>
      <c r="J117" s="264">
        <v>8.0000000000000002E-3</v>
      </c>
      <c r="K117" s="153">
        <f t="shared" si="15"/>
        <v>144161652.80599654</v>
      </c>
      <c r="L117" s="264">
        <v>1.7999999999999999E-2</v>
      </c>
      <c r="M117" s="290">
        <f t="shared" si="10"/>
        <v>210684305.49539131</v>
      </c>
      <c r="N117" s="286">
        <f t="shared" si="11"/>
        <v>531874305.49539137</v>
      </c>
    </row>
    <row r="118" spans="1:14" s="281" customFormat="1" x14ac:dyDescent="0.3">
      <c r="A118" s="346"/>
      <c r="B118" s="278" t="s">
        <v>234</v>
      </c>
      <c r="C118" s="92">
        <f xml:space="preserve"> 100000 + 3000000</f>
        <v>3100000</v>
      </c>
      <c r="D118" s="92">
        <f xml:space="preserve"> 400000 - 3000000 - 10000000</f>
        <v>-12600000</v>
      </c>
      <c r="E118" s="279">
        <v>0</v>
      </c>
      <c r="F118" s="131">
        <f xml:space="preserve"> F117 - 710000 - 15000000</f>
        <v>101480000</v>
      </c>
      <c r="G118" s="131">
        <v>380000000</v>
      </c>
      <c r="H118" s="92">
        <f t="shared" si="12"/>
        <v>58800000</v>
      </c>
      <c r="I118" s="153">
        <f t="shared" si="14"/>
        <v>70154833.910909936</v>
      </c>
      <c r="J118" s="280">
        <v>8.0000000000000002E-3</v>
      </c>
      <c r="K118" s="153">
        <f t="shared" si="15"/>
        <v>134156562.55650447</v>
      </c>
      <c r="L118" s="280">
        <v>1.7999999999999999E-2</v>
      </c>
      <c r="M118" s="292">
        <f t="shared" si="10"/>
        <v>204311396.46741441</v>
      </c>
      <c r="N118" s="286">
        <f t="shared" si="11"/>
        <v>541631396.46741438</v>
      </c>
    </row>
    <row r="119" spans="1:14" x14ac:dyDescent="0.3">
      <c r="A119" s="346">
        <v>2035</v>
      </c>
      <c r="B119" s="256" t="s">
        <v>235</v>
      </c>
      <c r="C119" s="262">
        <v>100000</v>
      </c>
      <c r="D119" s="262">
        <v>400000</v>
      </c>
      <c r="E119" s="8">
        <v>0</v>
      </c>
      <c r="F119" s="2">
        <f t="shared" si="13"/>
        <v>100770000</v>
      </c>
      <c r="G119" s="2">
        <v>380000000</v>
      </c>
      <c r="H119" s="92">
        <f t="shared" si="12"/>
        <v>59220000</v>
      </c>
      <c r="I119" s="153">
        <f t="shared" si="14"/>
        <v>70816072.582197219</v>
      </c>
      <c r="J119" s="264">
        <v>8.0000000000000002E-3</v>
      </c>
      <c r="K119" s="153">
        <f t="shared" si="15"/>
        <v>136971380.68252155</v>
      </c>
      <c r="L119" s="264">
        <v>1.7999999999999999E-2</v>
      </c>
      <c r="M119" s="290">
        <f t="shared" si="10"/>
        <v>207787453.26471877</v>
      </c>
      <c r="N119" s="286">
        <f t="shared" si="11"/>
        <v>546237453.26471877</v>
      </c>
    </row>
    <row r="120" spans="1:14" x14ac:dyDescent="0.3">
      <c r="A120" s="346"/>
      <c r="B120" s="256" t="s">
        <v>236</v>
      </c>
      <c r="C120" s="262">
        <v>100000</v>
      </c>
      <c r="D120" s="262">
        <v>400000</v>
      </c>
      <c r="E120" s="8">
        <v>0</v>
      </c>
      <c r="F120" s="2">
        <f t="shared" si="13"/>
        <v>100060000</v>
      </c>
      <c r="G120" s="2">
        <v>380000000</v>
      </c>
      <c r="H120" s="92">
        <f t="shared" si="12"/>
        <v>59640000</v>
      </c>
      <c r="I120" s="153">
        <f t="shared" si="14"/>
        <v>71482601.162854791</v>
      </c>
      <c r="J120" s="264">
        <v>8.0000000000000002E-3</v>
      </c>
      <c r="K120" s="153">
        <f t="shared" si="15"/>
        <v>139836865.53480694</v>
      </c>
      <c r="L120" s="264">
        <v>1.7999999999999999E-2</v>
      </c>
      <c r="M120" s="290">
        <f t="shared" si="10"/>
        <v>211319466.69766173</v>
      </c>
      <c r="N120" s="286">
        <f t="shared" si="11"/>
        <v>550899466.69766176</v>
      </c>
    </row>
    <row r="121" spans="1:14" x14ac:dyDescent="0.3">
      <c r="A121" s="346"/>
      <c r="B121" s="256" t="s">
        <v>237</v>
      </c>
      <c r="C121" s="262">
        <v>100000</v>
      </c>
      <c r="D121" s="262">
        <v>400000</v>
      </c>
      <c r="E121" s="8">
        <v>0</v>
      </c>
      <c r="F121" s="2">
        <f t="shared" si="13"/>
        <v>99350000</v>
      </c>
      <c r="G121" s="2">
        <v>380000000</v>
      </c>
      <c r="H121" s="92">
        <f t="shared" si="12"/>
        <v>60060000</v>
      </c>
      <c r="I121" s="153">
        <f t="shared" si="14"/>
        <v>72154461.972157627</v>
      </c>
      <c r="J121" s="264">
        <v>8.0000000000000002E-3</v>
      </c>
      <c r="K121" s="153">
        <f t="shared" si="15"/>
        <v>142753929.11443347</v>
      </c>
      <c r="L121" s="264">
        <v>1.7999999999999999E-2</v>
      </c>
      <c r="M121" s="290">
        <f t="shared" si="10"/>
        <v>214908391.08659109</v>
      </c>
      <c r="N121" s="286">
        <f t="shared" si="11"/>
        <v>555618391.08659112</v>
      </c>
    </row>
    <row r="122" spans="1:14" x14ac:dyDescent="0.3">
      <c r="A122" s="346"/>
      <c r="B122" s="256" t="s">
        <v>238</v>
      </c>
      <c r="C122" s="262">
        <v>100000</v>
      </c>
      <c r="D122" s="262">
        <v>400000</v>
      </c>
      <c r="E122" s="8">
        <v>0</v>
      </c>
      <c r="F122" s="2">
        <f t="shared" si="13"/>
        <v>98640000</v>
      </c>
      <c r="G122" s="2">
        <v>380000000</v>
      </c>
      <c r="H122" s="92">
        <f t="shared" si="12"/>
        <v>60480000</v>
      </c>
      <c r="I122" s="153">
        <f t="shared" si="14"/>
        <v>72831697.667934895</v>
      </c>
      <c r="J122" s="264">
        <v>8.0000000000000002E-3</v>
      </c>
      <c r="K122" s="153">
        <f t="shared" si="15"/>
        <v>145723499.83849326</v>
      </c>
      <c r="L122" s="264">
        <v>1.7999999999999999E-2</v>
      </c>
      <c r="M122" s="290">
        <f t="shared" si="10"/>
        <v>218555197.50642815</v>
      </c>
      <c r="N122" s="286">
        <f t="shared" si="11"/>
        <v>560395197.50642812</v>
      </c>
    </row>
    <row r="123" spans="1:14" x14ac:dyDescent="0.3">
      <c r="A123" s="346"/>
      <c r="B123" s="256" t="s">
        <v>239</v>
      </c>
      <c r="C123" s="262">
        <v>100000</v>
      </c>
      <c r="D123" s="262">
        <v>400000</v>
      </c>
      <c r="E123" s="8">
        <v>0</v>
      </c>
      <c r="F123" s="2">
        <f t="shared" si="13"/>
        <v>97930000</v>
      </c>
      <c r="G123" s="2">
        <v>380000000</v>
      </c>
      <c r="H123" s="92">
        <f t="shared" si="12"/>
        <v>60900000</v>
      </c>
      <c r="I123" s="153">
        <f t="shared" si="14"/>
        <v>73514351.249278367</v>
      </c>
      <c r="J123" s="264">
        <v>8.0000000000000002E-3</v>
      </c>
      <c r="K123" s="153">
        <f t="shared" si="15"/>
        <v>148746522.83558613</v>
      </c>
      <c r="L123" s="264">
        <v>1.7999999999999999E-2</v>
      </c>
      <c r="M123" s="290">
        <f t="shared" si="10"/>
        <v>222260874.0848645</v>
      </c>
      <c r="N123" s="286">
        <f t="shared" si="11"/>
        <v>565230874.0848645</v>
      </c>
    </row>
    <row r="124" spans="1:14" x14ac:dyDescent="0.3">
      <c r="A124" s="346"/>
      <c r="B124" s="256" t="s">
        <v>226</v>
      </c>
      <c r="C124" s="262">
        <v>100000</v>
      </c>
      <c r="D124" s="262">
        <v>400000</v>
      </c>
      <c r="E124" s="8">
        <v>0</v>
      </c>
      <c r="F124" s="2">
        <f t="shared" si="13"/>
        <v>97220000</v>
      </c>
      <c r="G124" s="2">
        <v>380000000</v>
      </c>
      <c r="H124" s="92">
        <f t="shared" si="12"/>
        <v>61320000</v>
      </c>
      <c r="I124" s="153">
        <f t="shared" si="14"/>
        <v>74202466.059272587</v>
      </c>
      <c r="J124" s="264">
        <v>8.0000000000000002E-3</v>
      </c>
      <c r="K124" s="153">
        <f t="shared" si="15"/>
        <v>151823960.24662668</v>
      </c>
      <c r="L124" s="264">
        <v>1.7999999999999999E-2</v>
      </c>
      <c r="M124" s="290">
        <f t="shared" si="10"/>
        <v>226026426.30589926</v>
      </c>
      <c r="N124" s="286">
        <f t="shared" si="11"/>
        <v>570126426.30589926</v>
      </c>
    </row>
    <row r="125" spans="1:14" x14ac:dyDescent="0.3">
      <c r="A125" s="346"/>
      <c r="B125" s="256" t="s">
        <v>228</v>
      </c>
      <c r="C125" s="262">
        <v>100000</v>
      </c>
      <c r="D125" s="262">
        <v>400000</v>
      </c>
      <c r="E125" s="8">
        <v>0</v>
      </c>
      <c r="F125" s="2">
        <f t="shared" si="13"/>
        <v>96510000</v>
      </c>
      <c r="G125" s="2">
        <v>380000000</v>
      </c>
      <c r="H125" s="92">
        <f t="shared" si="12"/>
        <v>61740000</v>
      </c>
      <c r="I125" s="153">
        <f t="shared" si="14"/>
        <v>74896085.787746772</v>
      </c>
      <c r="J125" s="264">
        <v>8.0000000000000002E-3</v>
      </c>
      <c r="K125" s="153">
        <f t="shared" si="15"/>
        <v>154956791.53106594</v>
      </c>
      <c r="L125" s="264">
        <v>1.7999999999999999E-2</v>
      </c>
      <c r="M125" s="290">
        <f t="shared" si="10"/>
        <v>229852877.31881273</v>
      </c>
      <c r="N125" s="286">
        <f t="shared" si="11"/>
        <v>575082877.31881273</v>
      </c>
    </row>
    <row r="126" spans="1:14" x14ac:dyDescent="0.3">
      <c r="A126" s="346"/>
      <c r="B126" s="256" t="s">
        <v>230</v>
      </c>
      <c r="C126" s="262">
        <v>100000</v>
      </c>
      <c r="D126" s="262">
        <v>400000</v>
      </c>
      <c r="E126" s="8">
        <v>0</v>
      </c>
      <c r="F126" s="2">
        <f t="shared" si="13"/>
        <v>95800000</v>
      </c>
      <c r="G126" s="2">
        <v>380000000</v>
      </c>
      <c r="H126" s="92">
        <f t="shared" si="12"/>
        <v>62160000</v>
      </c>
      <c r="I126" s="153">
        <f t="shared" si="14"/>
        <v>75595254.474048749</v>
      </c>
      <c r="J126" s="264">
        <v>8.0000000000000002E-3</v>
      </c>
      <c r="K126" s="153">
        <f t="shared" si="15"/>
        <v>158146013.77862513</v>
      </c>
      <c r="L126" s="264">
        <v>1.7999999999999999E-2</v>
      </c>
      <c r="M126" s="290">
        <f t="shared" si="10"/>
        <v>233741268.25267386</v>
      </c>
      <c r="N126" s="286">
        <f t="shared" si="11"/>
        <v>580101268.25267386</v>
      </c>
    </row>
    <row r="127" spans="1:14" x14ac:dyDescent="0.3">
      <c r="A127" s="346"/>
      <c r="B127" s="256" t="s">
        <v>231</v>
      </c>
      <c r="C127" s="262">
        <v>100000</v>
      </c>
      <c r="D127" s="262">
        <v>400000</v>
      </c>
      <c r="E127" s="8">
        <v>0</v>
      </c>
      <c r="F127" s="2">
        <f t="shared" si="13"/>
        <v>95090000</v>
      </c>
      <c r="G127" s="2">
        <v>380000000</v>
      </c>
      <c r="H127" s="92">
        <f t="shared" si="12"/>
        <v>62580000</v>
      </c>
      <c r="I127" s="153">
        <f t="shared" si="14"/>
        <v>76300016.509841144</v>
      </c>
      <c r="J127" s="264">
        <v>8.0000000000000002E-3</v>
      </c>
      <c r="K127" s="153">
        <f t="shared" si="15"/>
        <v>161392642.02664039</v>
      </c>
      <c r="L127" s="264">
        <v>1.7999999999999999E-2</v>
      </c>
      <c r="M127" s="290">
        <f t="shared" si="10"/>
        <v>237692658.53648153</v>
      </c>
      <c r="N127" s="286">
        <f t="shared" si="11"/>
        <v>585182658.5364815</v>
      </c>
    </row>
    <row r="128" spans="1:14" x14ac:dyDescent="0.3">
      <c r="A128" s="346"/>
      <c r="B128" s="256" t="s">
        <v>232</v>
      </c>
      <c r="C128" s="262">
        <v>100000</v>
      </c>
      <c r="D128" s="262">
        <v>400000</v>
      </c>
      <c r="E128" s="8">
        <v>0</v>
      </c>
      <c r="F128" s="2">
        <f t="shared" si="13"/>
        <v>94380000</v>
      </c>
      <c r="G128" s="2">
        <v>380000000</v>
      </c>
      <c r="H128" s="92">
        <f t="shared" si="12"/>
        <v>63000000</v>
      </c>
      <c r="I128" s="153">
        <f t="shared" si="14"/>
        <v>77010416.641919866</v>
      </c>
      <c r="J128" s="264">
        <v>8.0000000000000002E-3</v>
      </c>
      <c r="K128" s="153">
        <f t="shared" si="15"/>
        <v>164697709.5831199</v>
      </c>
      <c r="L128" s="264">
        <v>1.7999999999999999E-2</v>
      </c>
      <c r="M128" s="290">
        <f t="shared" si="10"/>
        <v>241708126.22503978</v>
      </c>
      <c r="N128" s="286">
        <f t="shared" si="11"/>
        <v>590328126.22503972</v>
      </c>
    </row>
    <row r="129" spans="1:16" x14ac:dyDescent="0.3">
      <c r="A129" s="346"/>
      <c r="B129" s="256" t="s">
        <v>233</v>
      </c>
      <c r="C129" s="262">
        <v>100000</v>
      </c>
      <c r="D129" s="262">
        <v>400000</v>
      </c>
      <c r="E129" s="8">
        <v>0</v>
      </c>
      <c r="F129" s="2">
        <f t="shared" si="13"/>
        <v>93670000</v>
      </c>
      <c r="G129" s="2">
        <v>380000000</v>
      </c>
      <c r="H129" s="92">
        <f t="shared" si="12"/>
        <v>63420000</v>
      </c>
      <c r="I129" s="153">
        <f t="shared" si="14"/>
        <v>77726499.975055218</v>
      </c>
      <c r="J129" s="264">
        <v>8.0000000000000002E-3</v>
      </c>
      <c r="K129" s="153">
        <f t="shared" si="15"/>
        <v>168062268.35561606</v>
      </c>
      <c r="L129" s="264">
        <v>1.7999999999999999E-2</v>
      </c>
      <c r="M129" s="290">
        <f t="shared" si="10"/>
        <v>245788768.33067128</v>
      </c>
      <c r="N129" s="286">
        <f t="shared" si="11"/>
        <v>595538768.33067131</v>
      </c>
    </row>
    <row r="130" spans="1:16" s="301" customFormat="1" x14ac:dyDescent="0.3">
      <c r="A130" s="346"/>
      <c r="B130" s="295" t="s">
        <v>234</v>
      </c>
      <c r="C130" s="296">
        <f xml:space="preserve"> 100000 + 3000000</f>
        <v>3100000</v>
      </c>
      <c r="D130" s="296">
        <f xml:space="preserve"> 400000 - 3000000 - 10000000</f>
        <v>-12600000</v>
      </c>
      <c r="E130" s="297">
        <v>0</v>
      </c>
      <c r="F130" s="225">
        <f xml:space="preserve"> F129 - 710000 - 15000000</f>
        <v>77960000</v>
      </c>
      <c r="G130" s="225">
        <v>380000000</v>
      </c>
      <c r="H130" s="296">
        <f t="shared" si="12"/>
        <v>63840000</v>
      </c>
      <c r="I130" s="298">
        <f t="shared" si="14"/>
        <v>81448311.974855661</v>
      </c>
      <c r="J130" s="299">
        <v>8.0000000000000002E-3</v>
      </c>
      <c r="K130" s="298">
        <f t="shared" si="15"/>
        <v>158487389.18601716</v>
      </c>
      <c r="L130" s="299">
        <v>1.7999999999999999E-2</v>
      </c>
      <c r="M130" s="300">
        <f t="shared" si="10"/>
        <v>239935701.16087282</v>
      </c>
      <c r="N130" s="298">
        <f t="shared" si="11"/>
        <v>605815701.16087282</v>
      </c>
      <c r="P130" s="301" t="s">
        <v>249</v>
      </c>
    </row>
    <row r="131" spans="1:16" x14ac:dyDescent="0.3">
      <c r="A131" s="347" t="s">
        <v>252</v>
      </c>
      <c r="B131" s="256" t="s">
        <v>235</v>
      </c>
      <c r="C131" s="262">
        <v>0</v>
      </c>
      <c r="D131" s="262">
        <v>68000000</v>
      </c>
      <c r="E131" s="2">
        <v>0</v>
      </c>
      <c r="F131" s="2">
        <v>0</v>
      </c>
      <c r="G131" s="2">
        <v>380000000</v>
      </c>
      <c r="H131" s="262">
        <v>0</v>
      </c>
      <c r="I131" s="262">
        <v>0</v>
      </c>
      <c r="J131" s="264">
        <v>8.0000000000000002E-3</v>
      </c>
      <c r="K131" s="153">
        <f t="shared" si="15"/>
        <v>229340162.19136548</v>
      </c>
      <c r="L131" s="264">
        <v>1.7999999999999999E-2</v>
      </c>
      <c r="M131" s="290">
        <f t="shared" ref="M131:M142" si="16">I131 + K131</f>
        <v>229340162.19136548</v>
      </c>
      <c r="N131" s="286">
        <f t="shared" ref="N131:N142" si="17" xml:space="preserve"> M131 + H131 + G131 - F131 - E131</f>
        <v>609340162.19136548</v>
      </c>
      <c r="O131" s="302">
        <f xml:space="preserve"> H130 + I130</f>
        <v>145288311.97485566</v>
      </c>
      <c r="P131" s="303">
        <f xml:space="preserve"> O131 - F131</f>
        <v>145288311.97485566</v>
      </c>
    </row>
    <row r="132" spans="1:16" x14ac:dyDescent="0.3">
      <c r="A132" s="346"/>
      <c r="B132" s="256" t="s">
        <v>236</v>
      </c>
      <c r="C132" s="262">
        <v>0</v>
      </c>
      <c r="D132" s="262">
        <v>0</v>
      </c>
      <c r="E132" s="2">
        <v>0</v>
      </c>
      <c r="F132" s="2">
        <v>0</v>
      </c>
      <c r="G132" s="2">
        <v>380000000</v>
      </c>
      <c r="H132" s="262">
        <v>0</v>
      </c>
      <c r="I132" s="262">
        <v>0</v>
      </c>
      <c r="J132" s="264">
        <v>8.0000000000000002E-3</v>
      </c>
      <c r="K132" s="153">
        <f t="shared" si="15"/>
        <v>233468285.11081007</v>
      </c>
      <c r="L132" s="264">
        <v>1.7999999999999999E-2</v>
      </c>
      <c r="M132" s="290">
        <f t="shared" si="16"/>
        <v>233468285.11081007</v>
      </c>
      <c r="N132" s="286">
        <f t="shared" si="17"/>
        <v>613468285.11081004</v>
      </c>
    </row>
    <row r="133" spans="1:16" x14ac:dyDescent="0.3">
      <c r="A133" s="346"/>
      <c r="B133" s="256" t="s">
        <v>237</v>
      </c>
      <c r="C133" s="262">
        <v>0</v>
      </c>
      <c r="D133" s="262">
        <v>0</v>
      </c>
      <c r="E133" s="2">
        <v>0</v>
      </c>
      <c r="F133" s="2">
        <v>0</v>
      </c>
      <c r="G133" s="2">
        <v>380000000</v>
      </c>
      <c r="H133" s="262">
        <v>0</v>
      </c>
      <c r="I133" s="262">
        <v>0</v>
      </c>
      <c r="J133" s="264">
        <v>8.0000000000000002E-3</v>
      </c>
      <c r="K133" s="153">
        <f t="shared" ref="K133:K142" si="18" xml:space="preserve">  K132 * L133 + D133 + K132</f>
        <v>237670714.24280465</v>
      </c>
      <c r="L133" s="264">
        <v>1.7999999999999999E-2</v>
      </c>
      <c r="M133" s="290">
        <f t="shared" si="16"/>
        <v>237670714.24280465</v>
      </c>
      <c r="N133" s="286">
        <f t="shared" si="17"/>
        <v>617670714.24280465</v>
      </c>
    </row>
    <row r="134" spans="1:16" x14ac:dyDescent="0.3">
      <c r="A134" s="346"/>
      <c r="B134" s="256" t="s">
        <v>238</v>
      </c>
      <c r="C134" s="262">
        <v>0</v>
      </c>
      <c r="D134" s="262">
        <v>0</v>
      </c>
      <c r="E134" s="2">
        <v>0</v>
      </c>
      <c r="F134" s="2">
        <v>0</v>
      </c>
      <c r="G134" s="2">
        <v>380000000</v>
      </c>
      <c r="H134" s="262">
        <v>0</v>
      </c>
      <c r="I134" s="262">
        <v>0</v>
      </c>
      <c r="J134" s="264">
        <v>8.0000000000000002E-3</v>
      </c>
      <c r="K134" s="153">
        <f t="shared" si="18"/>
        <v>241948787.09917513</v>
      </c>
      <c r="L134" s="264">
        <v>1.7999999999999999E-2</v>
      </c>
      <c r="M134" s="290">
        <f t="shared" si="16"/>
        <v>241948787.09917513</v>
      </c>
      <c r="N134" s="286">
        <f t="shared" si="17"/>
        <v>621948787.0991751</v>
      </c>
    </row>
    <row r="135" spans="1:16" x14ac:dyDescent="0.3">
      <c r="A135" s="346"/>
      <c r="B135" s="256" t="s">
        <v>239</v>
      </c>
      <c r="C135" s="262">
        <v>0</v>
      </c>
      <c r="D135" s="262">
        <v>0</v>
      </c>
      <c r="E135" s="2">
        <v>0</v>
      </c>
      <c r="F135" s="2">
        <v>0</v>
      </c>
      <c r="G135" s="2">
        <v>380000000</v>
      </c>
      <c r="H135" s="262">
        <v>0</v>
      </c>
      <c r="I135" s="262">
        <v>0</v>
      </c>
      <c r="J135" s="264">
        <v>8.0000000000000002E-3</v>
      </c>
      <c r="K135" s="153">
        <f t="shared" si="18"/>
        <v>246303865.26696026</v>
      </c>
      <c r="L135" s="264">
        <v>1.7999999999999999E-2</v>
      </c>
      <c r="M135" s="290">
        <f t="shared" si="16"/>
        <v>246303865.26696026</v>
      </c>
      <c r="N135" s="286">
        <f t="shared" si="17"/>
        <v>626303865.26696026</v>
      </c>
    </row>
    <row r="136" spans="1:16" x14ac:dyDescent="0.3">
      <c r="A136" s="346"/>
      <c r="B136" s="256" t="s">
        <v>226</v>
      </c>
      <c r="C136" s="262">
        <v>0</v>
      </c>
      <c r="D136" s="262">
        <v>0</v>
      </c>
      <c r="E136" s="2">
        <v>0</v>
      </c>
      <c r="F136" s="2">
        <v>0</v>
      </c>
      <c r="G136" s="2">
        <v>380000000</v>
      </c>
      <c r="H136" s="262">
        <v>0</v>
      </c>
      <c r="I136" s="262">
        <v>0</v>
      </c>
      <c r="J136" s="264">
        <v>8.0000000000000002E-3</v>
      </c>
      <c r="K136" s="153">
        <f t="shared" si="18"/>
        <v>250737334.84176555</v>
      </c>
      <c r="L136" s="264">
        <v>1.7999999999999999E-2</v>
      </c>
      <c r="M136" s="290">
        <f t="shared" si="16"/>
        <v>250737334.84176555</v>
      </c>
      <c r="N136" s="286">
        <f t="shared" si="17"/>
        <v>630737334.84176552</v>
      </c>
    </row>
    <row r="137" spans="1:16" x14ac:dyDescent="0.3">
      <c r="A137" s="346"/>
      <c r="B137" s="256" t="s">
        <v>228</v>
      </c>
      <c r="C137" s="262">
        <v>0</v>
      </c>
      <c r="D137" s="262">
        <v>0</v>
      </c>
      <c r="E137" s="2">
        <v>0</v>
      </c>
      <c r="F137" s="2">
        <v>0</v>
      </c>
      <c r="G137" s="2">
        <v>380000000</v>
      </c>
      <c r="H137" s="262">
        <v>0</v>
      </c>
      <c r="I137" s="262">
        <v>0</v>
      </c>
      <c r="J137" s="264">
        <v>8.0000000000000002E-3</v>
      </c>
      <c r="K137" s="153">
        <f t="shared" si="18"/>
        <v>255250606.86891735</v>
      </c>
      <c r="L137" s="264">
        <v>1.7999999999999999E-2</v>
      </c>
      <c r="M137" s="290">
        <f t="shared" si="16"/>
        <v>255250606.86891735</v>
      </c>
      <c r="N137" s="286">
        <f t="shared" si="17"/>
        <v>635250606.86891735</v>
      </c>
    </row>
    <row r="138" spans="1:16" x14ac:dyDescent="0.3">
      <c r="A138" s="346"/>
      <c r="B138" s="256" t="s">
        <v>230</v>
      </c>
      <c r="C138" s="262">
        <v>0</v>
      </c>
      <c r="D138" s="262">
        <v>0</v>
      </c>
      <c r="E138" s="2">
        <v>0</v>
      </c>
      <c r="F138" s="2">
        <v>0</v>
      </c>
      <c r="G138" s="2">
        <v>380000000</v>
      </c>
      <c r="H138" s="262">
        <v>0</v>
      </c>
      <c r="I138" s="262">
        <v>0</v>
      </c>
      <c r="J138" s="264">
        <v>8.0000000000000002E-3</v>
      </c>
      <c r="K138" s="153">
        <f t="shared" si="18"/>
        <v>259845117.79255787</v>
      </c>
      <c r="L138" s="264">
        <v>1.7999999999999999E-2</v>
      </c>
      <c r="M138" s="290">
        <f t="shared" si="16"/>
        <v>259845117.79255787</v>
      </c>
      <c r="N138" s="286">
        <f t="shared" si="17"/>
        <v>639845117.79255784</v>
      </c>
    </row>
    <row r="139" spans="1:16" x14ac:dyDescent="0.3">
      <c r="A139" s="346"/>
      <c r="B139" s="256" t="s">
        <v>231</v>
      </c>
      <c r="C139" s="262">
        <v>0</v>
      </c>
      <c r="D139" s="262">
        <v>0</v>
      </c>
      <c r="E139" s="2">
        <v>0</v>
      </c>
      <c r="F139" s="2">
        <v>0</v>
      </c>
      <c r="G139" s="2">
        <v>380000000</v>
      </c>
      <c r="H139" s="262">
        <v>0</v>
      </c>
      <c r="I139" s="262">
        <v>0</v>
      </c>
      <c r="J139" s="264">
        <v>8.0000000000000002E-3</v>
      </c>
      <c r="K139" s="153">
        <f t="shared" si="18"/>
        <v>264522329.91282392</v>
      </c>
      <c r="L139" s="264">
        <v>1.7999999999999999E-2</v>
      </c>
      <c r="M139" s="290">
        <f t="shared" si="16"/>
        <v>264522329.91282392</v>
      </c>
      <c r="N139" s="286">
        <f t="shared" si="17"/>
        <v>644522329.91282392</v>
      </c>
    </row>
    <row r="140" spans="1:16" x14ac:dyDescent="0.3">
      <c r="A140" s="346"/>
      <c r="B140" s="256" t="s">
        <v>232</v>
      </c>
      <c r="C140" s="262">
        <v>0</v>
      </c>
      <c r="D140" s="262">
        <v>0</v>
      </c>
      <c r="E140" s="2">
        <v>0</v>
      </c>
      <c r="F140" s="2">
        <v>0</v>
      </c>
      <c r="G140" s="2">
        <v>380000000</v>
      </c>
      <c r="H140" s="262">
        <v>0</v>
      </c>
      <c r="I140" s="262">
        <v>0</v>
      </c>
      <c r="J140" s="264">
        <v>8.0000000000000002E-3</v>
      </c>
      <c r="K140" s="153">
        <f t="shared" si="18"/>
        <v>269283731.85125476</v>
      </c>
      <c r="L140" s="264">
        <v>1.7999999999999999E-2</v>
      </c>
      <c r="M140" s="290">
        <f t="shared" si="16"/>
        <v>269283731.85125476</v>
      </c>
      <c r="N140" s="286">
        <f t="shared" si="17"/>
        <v>649283731.8512547</v>
      </c>
    </row>
    <row r="141" spans="1:16" x14ac:dyDescent="0.3">
      <c r="A141" s="346"/>
      <c r="B141" s="256" t="s">
        <v>233</v>
      </c>
      <c r="C141" s="262">
        <v>0</v>
      </c>
      <c r="D141" s="262">
        <v>0</v>
      </c>
      <c r="E141" s="2">
        <v>0</v>
      </c>
      <c r="F141" s="2">
        <v>0</v>
      </c>
      <c r="G141" s="2">
        <v>380000000</v>
      </c>
      <c r="H141" s="262">
        <v>0</v>
      </c>
      <c r="I141" s="262">
        <v>0</v>
      </c>
      <c r="J141" s="264">
        <v>8.0000000000000002E-3</v>
      </c>
      <c r="K141" s="153">
        <f t="shared" si="18"/>
        <v>274130839.02457732</v>
      </c>
      <c r="L141" s="264">
        <v>1.7999999999999999E-2</v>
      </c>
      <c r="M141" s="290">
        <f t="shared" si="16"/>
        <v>274130839.02457732</v>
      </c>
      <c r="N141" s="286">
        <f t="shared" si="17"/>
        <v>654130839.02457738</v>
      </c>
    </row>
    <row r="142" spans="1:16" x14ac:dyDescent="0.3">
      <c r="A142" s="346"/>
      <c r="B142" s="278" t="s">
        <v>234</v>
      </c>
      <c r="C142" s="262">
        <v>0</v>
      </c>
      <c r="D142" s="262">
        <v>0</v>
      </c>
      <c r="E142" s="2">
        <v>0</v>
      </c>
      <c r="F142" s="2">
        <v>0</v>
      </c>
      <c r="G142" s="225">
        <v>380000000</v>
      </c>
      <c r="H142" s="262">
        <v>0</v>
      </c>
      <c r="I142" s="262">
        <v>0</v>
      </c>
      <c r="J142" s="299">
        <v>8.0000000000000002E-3</v>
      </c>
      <c r="K142" s="298">
        <f t="shared" si="18"/>
        <v>279065194.1270197</v>
      </c>
      <c r="L142" s="299">
        <v>1.7999999999999999E-2</v>
      </c>
      <c r="M142" s="300">
        <f t="shared" si="16"/>
        <v>279065194.1270197</v>
      </c>
      <c r="N142" s="298">
        <f t="shared" si="17"/>
        <v>659065194.12701964</v>
      </c>
    </row>
  </sheetData>
  <mergeCells count="18">
    <mergeCell ref="C2:D2"/>
    <mergeCell ref="A4:A10"/>
    <mergeCell ref="A11:A22"/>
    <mergeCell ref="A23:A34"/>
    <mergeCell ref="A35:A46"/>
    <mergeCell ref="A47:A58"/>
    <mergeCell ref="A131:A142"/>
    <mergeCell ref="A59:A70"/>
    <mergeCell ref="A71:A82"/>
    <mergeCell ref="A83:A94"/>
    <mergeCell ref="A95:A106"/>
    <mergeCell ref="A107:A118"/>
    <mergeCell ref="A119:A130"/>
    <mergeCell ref="E2:F2"/>
    <mergeCell ref="M2:M3"/>
    <mergeCell ref="G2:H2"/>
    <mergeCell ref="I2:L2"/>
    <mergeCell ref="N2:N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58"/>
      <c r="B1" s="358"/>
      <c r="C1" s="358"/>
      <c r="D1" s="397" t="s">
        <v>84</v>
      </c>
      <c r="E1" s="398"/>
      <c r="F1" s="398"/>
      <c r="G1" s="398"/>
      <c r="H1" s="339" t="s">
        <v>169</v>
      </c>
      <c r="I1" s="339"/>
      <c r="J1" s="399" t="s">
        <v>161</v>
      </c>
      <c r="K1" s="400"/>
      <c r="L1" s="401"/>
      <c r="M1" s="393" t="s">
        <v>162</v>
      </c>
      <c r="N1" s="394"/>
      <c r="O1" s="394"/>
      <c r="P1" s="395"/>
      <c r="Q1" s="390" t="s">
        <v>172</v>
      </c>
      <c r="R1" s="391" t="s">
        <v>173</v>
      </c>
    </row>
    <row r="2" spans="1:19" ht="33" x14ac:dyDescent="0.3">
      <c r="A2" s="358"/>
      <c r="B2" s="358"/>
      <c r="C2" s="358"/>
      <c r="D2" s="130" t="s">
        <v>159</v>
      </c>
      <c r="E2" s="125" t="s">
        <v>158</v>
      </c>
      <c r="F2" s="87" t="s">
        <v>163</v>
      </c>
      <c r="G2" s="114" t="s">
        <v>225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90"/>
      <c r="R2" s="391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6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6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6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6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6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6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6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6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6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6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6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6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89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89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89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89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89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89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89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89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89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89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89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89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92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89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89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89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89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89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89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89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89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89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89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89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89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89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89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89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89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89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89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89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89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89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89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1" customFormat="1" ht="17.25" thickBot="1" x14ac:dyDescent="0.35">
      <c r="A51" s="242"/>
      <c r="B51" s="389"/>
      <c r="C51" s="243">
        <v>12</v>
      </c>
      <c r="D51" s="244">
        <v>0</v>
      </c>
      <c r="E51" s="244">
        <v>0</v>
      </c>
      <c r="F51" s="244">
        <v>0</v>
      </c>
      <c r="G51" s="245">
        <v>0</v>
      </c>
      <c r="H51" s="246">
        <v>0</v>
      </c>
      <c r="I51" s="246">
        <f t="shared" si="9"/>
        <v>253200000</v>
      </c>
      <c r="J51" s="246">
        <v>380000000</v>
      </c>
      <c r="K51" s="247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49">
        <v>0.02</v>
      </c>
      <c r="P51" s="248">
        <f t="shared" si="2"/>
        <v>40726371.060872331</v>
      </c>
      <c r="Q51" s="246">
        <f t="shared" si="4"/>
        <v>253200000</v>
      </c>
      <c r="R51" s="246" t="e">
        <f xml:space="preserve"> J51 +#REF!</f>
        <v>#REF!</v>
      </c>
      <c r="S51" s="250"/>
    </row>
    <row r="52" spans="1:19" s="25" customFormat="1" x14ac:dyDescent="0.3">
      <c r="A52" s="25">
        <v>4</v>
      </c>
      <c r="B52" s="389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89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89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89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89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89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89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89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89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89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89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1" customFormat="1" ht="17.25" thickBot="1" x14ac:dyDescent="0.35">
      <c r="A63" s="242"/>
      <c r="B63" s="389"/>
      <c r="C63" s="243">
        <v>12</v>
      </c>
      <c r="D63" s="244">
        <v>500000</v>
      </c>
      <c r="E63" s="244">
        <v>0</v>
      </c>
      <c r="F63" s="244">
        <v>0</v>
      </c>
      <c r="G63" s="245">
        <v>0</v>
      </c>
      <c r="H63" s="246">
        <v>0</v>
      </c>
      <c r="I63" s="246">
        <f t="shared" si="9"/>
        <v>244800000</v>
      </c>
      <c r="J63" s="246">
        <v>380000000</v>
      </c>
      <c r="K63" s="247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49">
        <v>0.02</v>
      </c>
      <c r="P63" s="248">
        <f t="shared" si="13"/>
        <v>56720655.837492958</v>
      </c>
      <c r="Q63" s="246">
        <f t="shared" si="19"/>
        <v>244800000</v>
      </c>
      <c r="R63" s="246" t="e">
        <f xml:space="preserve"> J63 +#REF!</f>
        <v>#REF!</v>
      </c>
      <c r="S63" s="250"/>
    </row>
    <row r="64" spans="1:19" s="25" customFormat="1" x14ac:dyDescent="0.3">
      <c r="A64" s="25">
        <v>6</v>
      </c>
      <c r="B64" s="389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89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89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89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89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89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89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89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89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89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89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1" customFormat="1" ht="17.25" thickBot="1" x14ac:dyDescent="0.35">
      <c r="A75" s="242"/>
      <c r="B75" s="389"/>
      <c r="C75" s="243">
        <v>12</v>
      </c>
      <c r="D75" s="244">
        <v>500000</v>
      </c>
      <c r="E75" s="244">
        <v>10000000</v>
      </c>
      <c r="F75" s="244">
        <v>0</v>
      </c>
      <c r="G75" s="245">
        <v>0</v>
      </c>
      <c r="H75" s="246">
        <v>0</v>
      </c>
      <c r="I75" s="246">
        <f t="shared" si="9"/>
        <v>236400000</v>
      </c>
      <c r="J75" s="246">
        <v>380000000</v>
      </c>
      <c r="K75" s="247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49">
        <v>0.02</v>
      </c>
      <c r="P75" s="248">
        <f t="shared" si="13"/>
        <v>66805276.265338689</v>
      </c>
      <c r="Q75" s="246">
        <f t="shared" si="19"/>
        <v>236400000</v>
      </c>
      <c r="R75" s="246" t="e">
        <f xml:space="preserve"> J75 +#REF!</f>
        <v>#REF!</v>
      </c>
      <c r="S75" s="250"/>
    </row>
    <row r="76" spans="1:19" s="25" customFormat="1" x14ac:dyDescent="0.3">
      <c r="A76" s="25">
        <v>7</v>
      </c>
      <c r="B76" s="389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89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89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89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89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89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89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89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89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89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89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89"/>
      <c r="C87" s="243">
        <v>12</v>
      </c>
      <c r="D87" s="244">
        <v>500000</v>
      </c>
      <c r="E87" s="244">
        <v>0</v>
      </c>
      <c r="F87" s="244">
        <v>0</v>
      </c>
      <c r="G87" s="245">
        <v>0</v>
      </c>
      <c r="H87" s="246">
        <v>0</v>
      </c>
      <c r="I87" s="246">
        <f t="shared" si="9"/>
        <v>228000000</v>
      </c>
      <c r="J87" s="246">
        <v>380000000</v>
      </c>
      <c r="K87" s="247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49">
        <v>0.02</v>
      </c>
      <c r="P87" s="248">
        <f t="shared" si="47"/>
        <v>89795013.374231875</v>
      </c>
      <c r="Q87" s="246">
        <f t="shared" si="19"/>
        <v>228000000</v>
      </c>
      <c r="R87" s="246" t="e">
        <f xml:space="preserve"> J87 +#REF!</f>
        <v>#REF!</v>
      </c>
      <c r="S87" s="252"/>
    </row>
    <row r="88" spans="1:19" s="18" customFormat="1" x14ac:dyDescent="0.3">
      <c r="A88" s="18">
        <v>8</v>
      </c>
      <c r="B88" s="389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89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89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89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89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89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89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89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89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89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89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89"/>
      <c r="C99" s="243">
        <v>12</v>
      </c>
      <c r="D99" s="244">
        <v>500000</v>
      </c>
      <c r="E99" s="244">
        <v>10000000</v>
      </c>
      <c r="F99" s="244">
        <v>0</v>
      </c>
      <c r="G99" s="245">
        <v>0</v>
      </c>
      <c r="H99" s="246">
        <v>0</v>
      </c>
      <c r="I99" s="246">
        <f xml:space="preserve"> I98 - 700000 - 25000000</f>
        <v>194600000</v>
      </c>
      <c r="J99" s="246">
        <v>380000000</v>
      </c>
      <c r="K99" s="247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49">
        <v>0.02</v>
      </c>
      <c r="P99" s="248">
        <f t="shared" si="47"/>
        <v>108751558.8217357</v>
      </c>
      <c r="Q99" s="246">
        <f t="shared" si="54"/>
        <v>194600000</v>
      </c>
      <c r="R99" s="246" t="e">
        <f xml:space="preserve"> J99 +#REF!</f>
        <v>#REF!</v>
      </c>
      <c r="S99" s="252"/>
    </row>
    <row r="100" spans="1:19" s="18" customFormat="1" x14ac:dyDescent="0.3">
      <c r="A100" s="18">
        <v>9</v>
      </c>
      <c r="B100" s="389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89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89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89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89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89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89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89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89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89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89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89"/>
      <c r="C111" s="243">
        <v>12</v>
      </c>
      <c r="D111" s="244">
        <v>500000</v>
      </c>
      <c r="E111" s="244">
        <v>0</v>
      </c>
      <c r="F111" s="244">
        <v>0</v>
      </c>
      <c r="G111" s="245">
        <v>0</v>
      </c>
      <c r="H111" s="246">
        <v>0</v>
      </c>
      <c r="I111" s="246">
        <f t="shared" si="9"/>
        <v>186200000</v>
      </c>
      <c r="J111" s="246">
        <v>380000000</v>
      </c>
      <c r="K111" s="247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49">
        <v>0.02</v>
      </c>
      <c r="P111" s="248">
        <f t="shared" si="47"/>
        <v>142993042.03878441</v>
      </c>
      <c r="Q111" s="246">
        <f t="shared" si="54"/>
        <v>186200000</v>
      </c>
      <c r="R111" s="246" t="e">
        <f xml:space="preserve"> J111 +#REF!</f>
        <v>#REF!</v>
      </c>
      <c r="S111" s="252"/>
    </row>
    <row r="112" spans="1:19" s="18" customFormat="1" x14ac:dyDescent="0.3">
      <c r="A112" s="18">
        <v>10</v>
      </c>
      <c r="B112" s="389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89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89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89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89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89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89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89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89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89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89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89"/>
      <c r="C123" s="243">
        <v>12</v>
      </c>
      <c r="D123" s="244">
        <v>500000</v>
      </c>
      <c r="E123" s="244">
        <v>30000000</v>
      </c>
      <c r="F123" s="244">
        <v>0</v>
      </c>
      <c r="G123" s="245">
        <v>0</v>
      </c>
      <c r="H123" s="246">
        <v>0</v>
      </c>
      <c r="I123" s="246">
        <f xml:space="preserve"> I122 - 700000 - 40000000</f>
        <v>137800000</v>
      </c>
      <c r="J123" s="246">
        <v>380000000</v>
      </c>
      <c r="K123" s="247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49">
        <v>0.02</v>
      </c>
      <c r="P123" s="248">
        <f t="shared" si="83"/>
        <v>155819522.16245756</v>
      </c>
      <c r="Q123" s="246">
        <f t="shared" si="89"/>
        <v>137800000</v>
      </c>
      <c r="R123" s="246" t="e">
        <f xml:space="preserve"> J123 +#REF!</f>
        <v>#REF!</v>
      </c>
      <c r="S123" s="252"/>
    </row>
    <row r="124" spans="1:19" s="18" customFormat="1" x14ac:dyDescent="0.3">
      <c r="A124" s="18">
        <v>11</v>
      </c>
      <c r="B124" s="389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89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89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89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89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89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89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89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89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89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89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89"/>
      <c r="C135" s="243">
        <v>12</v>
      </c>
      <c r="D135" s="244">
        <v>500000</v>
      </c>
      <c r="E135" s="244">
        <v>30000000</v>
      </c>
      <c r="F135" s="244">
        <v>0</v>
      </c>
      <c r="G135" s="245">
        <v>0</v>
      </c>
      <c r="H135" s="246">
        <v>0</v>
      </c>
      <c r="I135" s="246">
        <f xml:space="preserve"> I134 - 700000 - 40000000</f>
        <v>89400000</v>
      </c>
      <c r="J135" s="246">
        <v>380000000</v>
      </c>
      <c r="K135" s="247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49">
        <v>0.02</v>
      </c>
      <c r="P135" s="248">
        <f t="shared" si="83"/>
        <v>172086600.33242556</v>
      </c>
      <c r="Q135" s="246">
        <f t="shared" si="89"/>
        <v>89400000</v>
      </c>
      <c r="R135" s="246" t="e">
        <f xml:space="preserve"> J135 +#REF!</f>
        <v>#REF!</v>
      </c>
      <c r="S135" s="252"/>
    </row>
    <row r="136" spans="1:19" s="35" customFormat="1" x14ac:dyDescent="0.3">
      <c r="A136" s="30">
        <v>12</v>
      </c>
      <c r="B136" s="389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89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89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89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89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89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89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89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89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89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89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3" customFormat="1" ht="17.25" thickBot="1" x14ac:dyDescent="0.35">
      <c r="A147" s="184"/>
      <c r="B147" s="389"/>
      <c r="C147" s="243">
        <v>12</v>
      </c>
      <c r="D147" s="244">
        <v>500000</v>
      </c>
      <c r="E147" s="244">
        <v>30000000</v>
      </c>
      <c r="F147" s="244">
        <v>0</v>
      </c>
      <c r="G147" s="245">
        <v>0</v>
      </c>
      <c r="H147" s="246">
        <v>0</v>
      </c>
      <c r="I147" s="246">
        <f xml:space="preserve"> I146 - 700000 - 40000000</f>
        <v>41000000</v>
      </c>
      <c r="J147" s="246">
        <v>380000000</v>
      </c>
      <c r="K147" s="247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49">
        <v>0.02</v>
      </c>
      <c r="P147" s="248">
        <f t="shared" si="83"/>
        <v>192717188.74299505</v>
      </c>
      <c r="Q147" s="246">
        <f t="shared" si="89"/>
        <v>41000000</v>
      </c>
      <c r="R147" s="246" t="e">
        <f xml:space="preserve"> J147 +#REF!</f>
        <v>#REF!</v>
      </c>
    </row>
    <row r="148" spans="1:18" x14ac:dyDescent="0.3">
      <c r="A148" s="30">
        <v>13</v>
      </c>
      <c r="B148" s="389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89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89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89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89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89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89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89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89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89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89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3" customFormat="1" ht="17.25" thickBot="1" x14ac:dyDescent="0.35">
      <c r="A159" s="184"/>
      <c r="B159" s="389"/>
      <c r="C159" s="243">
        <v>12</v>
      </c>
      <c r="D159" s="244">
        <v>500000</v>
      </c>
      <c r="E159" s="244">
        <v>32600000</v>
      </c>
      <c r="F159" s="244">
        <v>0</v>
      </c>
      <c r="G159" s="245">
        <v>0</v>
      </c>
      <c r="H159" s="246">
        <v>0</v>
      </c>
      <c r="I159" s="246">
        <f xml:space="preserve"> I158 - 700000 -32600000</f>
        <v>0</v>
      </c>
      <c r="J159" s="246">
        <v>380000000</v>
      </c>
      <c r="K159" s="247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49">
        <v>0.02</v>
      </c>
      <c r="P159" s="248">
        <f t="shared" si="118"/>
        <v>216229763.21169692</v>
      </c>
      <c r="Q159" s="246">
        <f t="shared" si="124"/>
        <v>0</v>
      </c>
      <c r="R159" s="246" t="e">
        <f xml:space="preserve"> J159 +#REF!</f>
        <v>#REF!</v>
      </c>
    </row>
    <row r="160" spans="1:18" x14ac:dyDescent="0.3">
      <c r="A160" s="30">
        <v>13</v>
      </c>
      <c r="B160" s="389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89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89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89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89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89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89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89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89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89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89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3" customFormat="1" ht="17.25" thickBot="1" x14ac:dyDescent="0.35">
      <c r="A171" s="184"/>
      <c r="B171" s="389"/>
      <c r="C171" s="243">
        <v>12</v>
      </c>
      <c r="D171" s="244">
        <v>500000</v>
      </c>
      <c r="E171" s="244"/>
      <c r="F171" s="244">
        <v>0</v>
      </c>
      <c r="G171" s="245">
        <v>0</v>
      </c>
      <c r="H171" s="246">
        <v>0</v>
      </c>
      <c r="I171" s="246">
        <v>0</v>
      </c>
      <c r="J171" s="246">
        <v>380000000</v>
      </c>
      <c r="K171" s="247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49">
        <v>0.02</v>
      </c>
      <c r="P171" s="248">
        <f t="shared" si="118"/>
        <v>279301392.85066891</v>
      </c>
      <c r="Q171" s="246">
        <f t="shared" si="124"/>
        <v>0</v>
      </c>
      <c r="R171" s="246" t="e">
        <f xml:space="preserve"> J171 +#REF!</f>
        <v>#REF!</v>
      </c>
    </row>
  </sheetData>
  <mergeCells count="21"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58"/>
  <sheetViews>
    <sheetView topLeftCell="I19" zoomScale="110" zoomScaleNormal="110" workbookViewId="0">
      <selection activeCell="D34" sqref="D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51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51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51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51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51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51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51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51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51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51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51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51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51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51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51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51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51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51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51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51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51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51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51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51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51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51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51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51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51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51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51"/>
      <c r="B33" s="1" t="s">
        <v>78</v>
      </c>
      <c r="C33" s="138">
        <f t="shared" si="4"/>
        <v>96557000</v>
      </c>
      <c r="D33" s="139">
        <v>40000000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92137000</v>
      </c>
      <c r="V33" s="172"/>
    </row>
    <row r="34" spans="1:22" s="224" customFormat="1" x14ac:dyDescent="0.3">
      <c r="A34" s="351"/>
      <c r="B34" s="224" t="s">
        <v>79</v>
      </c>
      <c r="C34" s="225">
        <f t="shared" si="4"/>
        <v>99727000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15000000</v>
      </c>
      <c r="R34" s="225">
        <v>304000000</v>
      </c>
      <c r="S34" s="225">
        <v>50300000</v>
      </c>
      <c r="T34" s="225">
        <f t="shared" si="0"/>
        <v>373720000</v>
      </c>
      <c r="U34" s="226">
        <f t="shared" si="3"/>
        <v>3807000</v>
      </c>
      <c r="V34" s="224" t="s">
        <v>224</v>
      </c>
    </row>
    <row r="35" spans="1:22" s="142" customFormat="1" ht="17.25" customHeight="1" x14ac:dyDescent="0.3">
      <c r="A35" s="351"/>
      <c r="B35" s="142" t="s">
        <v>80</v>
      </c>
      <c r="C35" s="138">
        <f t="shared" ref="C35:C42" si="5" xml:space="preserve"> U34 + 7590000</f>
        <v>11397000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50000</v>
      </c>
      <c r="T35" s="143">
        <f t="shared" ref="T35:T66" si="6">SUM(E35:S35)</f>
        <v>6220000</v>
      </c>
      <c r="U35" s="191">
        <f t="shared" si="3"/>
        <v>5177000</v>
      </c>
    </row>
    <row r="36" spans="1:22" s="75" customFormat="1" x14ac:dyDescent="0.3">
      <c r="A36" s="351"/>
      <c r="B36" s="75" t="s">
        <v>81</v>
      </c>
      <c r="C36" s="140">
        <f t="shared" si="5"/>
        <v>12767000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50000</v>
      </c>
      <c r="T36" s="140">
        <f t="shared" si="6"/>
        <v>7220000</v>
      </c>
      <c r="U36" s="203">
        <f t="shared" si="3"/>
        <v>5547000</v>
      </c>
    </row>
    <row r="37" spans="1:22" x14ac:dyDescent="0.3">
      <c r="A37" s="351"/>
      <c r="B37" s="1" t="s">
        <v>82</v>
      </c>
      <c r="C37" s="138">
        <f t="shared" si="5"/>
        <v>13137000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50000</v>
      </c>
      <c r="T37" s="2">
        <f t="shared" si="6"/>
        <v>6220000</v>
      </c>
      <c r="U37" s="191">
        <f t="shared" si="3"/>
        <v>6917000</v>
      </c>
    </row>
    <row r="38" spans="1:22" s="274" customFormat="1" ht="17.25" thickBot="1" x14ac:dyDescent="0.35">
      <c r="A38" s="351"/>
      <c r="B38" s="271" t="s">
        <v>83</v>
      </c>
      <c r="C38" s="272">
        <f t="shared" si="5"/>
        <v>14507000</v>
      </c>
      <c r="D38" s="268">
        <v>0</v>
      </c>
      <c r="E38" s="273">
        <v>0</v>
      </c>
      <c r="F38" s="268">
        <v>0</v>
      </c>
      <c r="G38" s="273">
        <v>420000</v>
      </c>
      <c r="H38" s="268">
        <v>1400000</v>
      </c>
      <c r="I38" s="272">
        <v>0</v>
      </c>
      <c r="J38" s="2">
        <v>1200000</v>
      </c>
      <c r="K38" s="268">
        <v>500000</v>
      </c>
      <c r="L38" s="268">
        <v>150000</v>
      </c>
      <c r="M38" s="273">
        <v>0</v>
      </c>
      <c r="N38" s="272">
        <v>500000</v>
      </c>
      <c r="O38" s="272">
        <v>0</v>
      </c>
      <c r="P38" s="272">
        <v>1500000</v>
      </c>
      <c r="Q38" s="268">
        <v>0</v>
      </c>
      <c r="R38" s="272">
        <v>0</v>
      </c>
      <c r="S38" s="268">
        <v>10050000</v>
      </c>
      <c r="T38" s="273">
        <f t="shared" si="6"/>
        <v>15720000</v>
      </c>
      <c r="U38" s="273">
        <f t="shared" si="3"/>
        <v>-1213000</v>
      </c>
    </row>
    <row r="39" spans="1:22" s="158" customFormat="1" x14ac:dyDescent="0.3">
      <c r="A39" s="351">
        <v>2026</v>
      </c>
      <c r="B39" s="161" t="s">
        <v>72</v>
      </c>
      <c r="C39" s="159">
        <f t="shared" si="5"/>
        <v>6377000</v>
      </c>
      <c r="D39" s="139">
        <v>0</v>
      </c>
      <c r="E39" s="2">
        <v>1500000</v>
      </c>
      <c r="F39" s="139">
        <v>500000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7670000</v>
      </c>
      <c r="U39" s="191">
        <f t="shared" si="3"/>
        <v>-1293000</v>
      </c>
    </row>
    <row r="40" spans="1:22" s="75" customFormat="1" x14ac:dyDescent="0.3">
      <c r="A40" s="351"/>
      <c r="B40" s="75" t="s">
        <v>73</v>
      </c>
      <c r="C40" s="140">
        <f t="shared" si="5"/>
        <v>6297000</v>
      </c>
      <c r="D40" s="139">
        <v>0</v>
      </c>
      <c r="E40" s="139">
        <v>0</v>
      </c>
      <c r="F40" s="139">
        <v>500000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6670000</v>
      </c>
      <c r="U40" s="191">
        <f t="shared" si="3"/>
        <v>-373000</v>
      </c>
    </row>
    <row r="41" spans="1:22" s="144" customFormat="1" x14ac:dyDescent="0.3">
      <c r="A41" s="351"/>
      <c r="B41" s="144" t="s">
        <v>74</v>
      </c>
      <c r="C41" s="138">
        <f t="shared" si="5"/>
        <v>7217000</v>
      </c>
      <c r="D41" s="139">
        <v>0</v>
      </c>
      <c r="E41" s="139">
        <v>0</v>
      </c>
      <c r="F41" s="139">
        <v>500000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6170000</v>
      </c>
      <c r="U41" s="191">
        <f t="shared" si="3"/>
        <v>1047000</v>
      </c>
    </row>
    <row r="42" spans="1:22" s="144" customFormat="1" x14ac:dyDescent="0.3">
      <c r="A42" s="351"/>
      <c r="B42" s="144" t="s">
        <v>75</v>
      </c>
      <c r="C42" s="138">
        <f t="shared" si="5"/>
        <v>8637000</v>
      </c>
      <c r="D42" s="139">
        <v>0</v>
      </c>
      <c r="E42" s="2">
        <v>1500000</v>
      </c>
      <c r="F42" s="139">
        <v>500000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7670000</v>
      </c>
      <c r="U42" s="191">
        <f t="shared" si="3"/>
        <v>967000</v>
      </c>
    </row>
    <row r="43" spans="1:22" s="144" customFormat="1" x14ac:dyDescent="0.3">
      <c r="A43" s="351"/>
      <c r="B43" s="144" t="s">
        <v>76</v>
      </c>
      <c r="C43" s="138">
        <f t="shared" ref="C43:C106" si="7" xml:space="preserve"> U42 + 7590000</f>
        <v>8557000</v>
      </c>
      <c r="D43" s="139">
        <v>0</v>
      </c>
      <c r="E43" s="139">
        <v>2000000</v>
      </c>
      <c r="F43" s="139">
        <v>500000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8170000</v>
      </c>
      <c r="U43" s="191">
        <f t="shared" si="3"/>
        <v>387000</v>
      </c>
    </row>
    <row r="44" spans="1:22" s="144" customFormat="1" x14ac:dyDescent="0.3">
      <c r="A44" s="351"/>
      <c r="B44" s="144" t="s">
        <v>77</v>
      </c>
      <c r="C44" s="138">
        <f t="shared" si="7"/>
        <v>7977000</v>
      </c>
      <c r="D44" s="139">
        <v>0</v>
      </c>
      <c r="E44" s="139">
        <v>0</v>
      </c>
      <c r="F44" s="139">
        <v>500000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6670000</v>
      </c>
      <c r="U44" s="191">
        <f t="shared" si="3"/>
        <v>1307000</v>
      </c>
    </row>
    <row r="45" spans="1:22" s="144" customFormat="1" x14ac:dyDescent="0.3">
      <c r="A45" s="351"/>
      <c r="B45" s="144" t="s">
        <v>78</v>
      </c>
      <c r="C45" s="138">
        <f t="shared" si="7"/>
        <v>8897000</v>
      </c>
      <c r="D45" s="139">
        <v>0</v>
      </c>
      <c r="E45" s="2">
        <v>1500000</v>
      </c>
      <c r="F45" s="139">
        <v>500000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7670000</v>
      </c>
      <c r="U45" s="191">
        <f t="shared" si="3"/>
        <v>1227000</v>
      </c>
    </row>
    <row r="46" spans="1:22" s="144" customFormat="1" x14ac:dyDescent="0.3">
      <c r="A46" s="351"/>
      <c r="B46" s="144" t="s">
        <v>79</v>
      </c>
      <c r="C46" s="138">
        <f t="shared" si="7"/>
        <v>8817000</v>
      </c>
      <c r="D46" s="139">
        <v>0</v>
      </c>
      <c r="E46" s="139">
        <v>0</v>
      </c>
      <c r="F46" s="139">
        <v>500000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6670000</v>
      </c>
      <c r="U46" s="191">
        <f t="shared" si="3"/>
        <v>2147000</v>
      </c>
    </row>
    <row r="47" spans="1:22" s="144" customFormat="1" x14ac:dyDescent="0.3">
      <c r="A47" s="351"/>
      <c r="B47" s="144" t="s">
        <v>80</v>
      </c>
      <c r="C47" s="138">
        <f t="shared" si="7"/>
        <v>9737000</v>
      </c>
      <c r="D47" s="139">
        <v>0</v>
      </c>
      <c r="E47" s="139">
        <v>0</v>
      </c>
      <c r="F47" s="139">
        <v>500000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6170000</v>
      </c>
      <c r="U47" s="191">
        <f t="shared" si="3"/>
        <v>3567000</v>
      </c>
    </row>
    <row r="48" spans="1:22" s="144" customFormat="1" x14ac:dyDescent="0.3">
      <c r="A48" s="351"/>
      <c r="B48" s="144" t="s">
        <v>81</v>
      </c>
      <c r="C48" s="138">
        <f t="shared" si="7"/>
        <v>11157000</v>
      </c>
      <c r="D48" s="139">
        <v>0</v>
      </c>
      <c r="E48" s="185">
        <v>1500000</v>
      </c>
      <c r="F48" s="139">
        <v>500000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7670000</v>
      </c>
      <c r="U48" s="191">
        <f t="shared" si="3"/>
        <v>3487000</v>
      </c>
    </row>
    <row r="49" spans="1:22" s="144" customFormat="1" x14ac:dyDescent="0.3">
      <c r="A49" s="351"/>
      <c r="B49" s="144" t="s">
        <v>82</v>
      </c>
      <c r="C49" s="138">
        <f t="shared" si="7"/>
        <v>11077000</v>
      </c>
      <c r="D49" s="139">
        <v>0</v>
      </c>
      <c r="E49" s="139">
        <v>0</v>
      </c>
      <c r="F49" s="139">
        <v>500000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6670000</v>
      </c>
      <c r="U49" s="191">
        <f t="shared" si="3"/>
        <v>4407000</v>
      </c>
    </row>
    <row r="50" spans="1:22" s="211" customFormat="1" ht="17.25" thickBot="1" x14ac:dyDescent="0.35">
      <c r="A50" s="351"/>
      <c r="B50" s="206" t="s">
        <v>83</v>
      </c>
      <c r="C50" s="207">
        <f t="shared" si="7"/>
        <v>11997000</v>
      </c>
      <c r="D50" s="207">
        <v>0</v>
      </c>
      <c r="E50" s="208">
        <v>500000</v>
      </c>
      <c r="F50" s="139">
        <v>500000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6670000</v>
      </c>
      <c r="U50" s="209">
        <f t="shared" si="3"/>
        <v>5327000</v>
      </c>
      <c r="V50" s="210"/>
    </row>
    <row r="51" spans="1:22" s="158" customFormat="1" x14ac:dyDescent="0.3">
      <c r="A51" s="349">
        <v>2027</v>
      </c>
      <c r="B51" s="161" t="s">
        <v>72</v>
      </c>
      <c r="C51" s="138">
        <f t="shared" si="7"/>
        <v>12917000</v>
      </c>
      <c r="D51" s="139">
        <v>0</v>
      </c>
      <c r="E51" s="2">
        <v>1500000</v>
      </c>
      <c r="F51" s="139">
        <v>500000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7670000</v>
      </c>
      <c r="U51" s="191">
        <f t="shared" si="3"/>
        <v>5247000</v>
      </c>
    </row>
    <row r="52" spans="1:22" s="144" customFormat="1" x14ac:dyDescent="0.3">
      <c r="A52" s="349"/>
      <c r="B52" s="144" t="s">
        <v>73</v>
      </c>
      <c r="C52" s="138">
        <f t="shared" si="7"/>
        <v>12837000</v>
      </c>
      <c r="D52" s="139">
        <v>0</v>
      </c>
      <c r="E52" s="139">
        <v>0</v>
      </c>
      <c r="F52" s="139">
        <v>500000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6170000</v>
      </c>
      <c r="U52" s="191">
        <f t="shared" si="3"/>
        <v>6667000</v>
      </c>
    </row>
    <row r="53" spans="1:22" s="144" customFormat="1" x14ac:dyDescent="0.3">
      <c r="A53" s="349"/>
      <c r="B53" s="144" t="s">
        <v>74</v>
      </c>
      <c r="C53" s="138">
        <f t="shared" si="7"/>
        <v>14257000</v>
      </c>
      <c r="D53" s="139">
        <v>0</v>
      </c>
      <c r="E53" s="139">
        <v>0</v>
      </c>
      <c r="F53" s="139">
        <v>500000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6670000</v>
      </c>
      <c r="U53" s="191">
        <f t="shared" si="3"/>
        <v>7587000</v>
      </c>
    </row>
    <row r="54" spans="1:22" s="144" customFormat="1" x14ac:dyDescent="0.3">
      <c r="A54" s="349"/>
      <c r="B54" s="144" t="s">
        <v>75</v>
      </c>
      <c r="C54" s="138">
        <f t="shared" si="7"/>
        <v>15177000</v>
      </c>
      <c r="D54" s="139">
        <v>0</v>
      </c>
      <c r="E54" s="2">
        <v>1500000</v>
      </c>
      <c r="F54" s="139">
        <v>500000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7670000</v>
      </c>
      <c r="U54" s="191">
        <f t="shared" si="3"/>
        <v>7507000</v>
      </c>
    </row>
    <row r="55" spans="1:22" s="144" customFormat="1" x14ac:dyDescent="0.3">
      <c r="A55" s="349"/>
      <c r="B55" s="144" t="s">
        <v>76</v>
      </c>
      <c r="C55" s="138">
        <f t="shared" si="7"/>
        <v>15097000</v>
      </c>
      <c r="D55" s="139">
        <v>0</v>
      </c>
      <c r="E55" s="139">
        <v>2000000</v>
      </c>
      <c r="F55" s="139">
        <v>500000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8670000</v>
      </c>
      <c r="U55" s="191">
        <f t="shared" si="3"/>
        <v>6427000</v>
      </c>
    </row>
    <row r="56" spans="1:22" s="144" customFormat="1" x14ac:dyDescent="0.3">
      <c r="A56" s="349"/>
      <c r="B56" s="144" t="s">
        <v>77</v>
      </c>
      <c r="C56" s="138">
        <f t="shared" si="7"/>
        <v>14017000</v>
      </c>
      <c r="D56" s="139">
        <v>0</v>
      </c>
      <c r="E56" s="139">
        <v>0</v>
      </c>
      <c r="F56" s="139">
        <v>500000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6170000</v>
      </c>
      <c r="U56" s="191">
        <f t="shared" si="3"/>
        <v>7847000</v>
      </c>
    </row>
    <row r="57" spans="1:22" s="144" customFormat="1" x14ac:dyDescent="0.3">
      <c r="A57" s="349"/>
      <c r="B57" s="144" t="s">
        <v>78</v>
      </c>
      <c r="C57" s="138">
        <f t="shared" si="7"/>
        <v>15437000</v>
      </c>
      <c r="D57" s="139">
        <v>0</v>
      </c>
      <c r="E57" s="2">
        <v>1500000</v>
      </c>
      <c r="F57" s="139">
        <v>500000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7670000</v>
      </c>
      <c r="U57" s="191">
        <f t="shared" si="3"/>
        <v>7767000</v>
      </c>
    </row>
    <row r="58" spans="1:22" s="144" customFormat="1" x14ac:dyDescent="0.3">
      <c r="A58" s="349"/>
      <c r="B58" s="144" t="s">
        <v>79</v>
      </c>
      <c r="C58" s="138">
        <f t="shared" si="7"/>
        <v>15357000</v>
      </c>
      <c r="D58" s="139">
        <v>0</v>
      </c>
      <c r="E58" s="139">
        <v>0</v>
      </c>
      <c r="F58" s="139">
        <v>500000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6670000</v>
      </c>
      <c r="U58" s="191">
        <f t="shared" ref="U58:U89" si="8" xml:space="preserve"> (C58+D58) - T58</f>
        <v>8687000</v>
      </c>
    </row>
    <row r="59" spans="1:22" s="144" customFormat="1" x14ac:dyDescent="0.3">
      <c r="A59" s="349"/>
      <c r="B59" s="144" t="s">
        <v>80</v>
      </c>
      <c r="C59" s="138">
        <f t="shared" si="7"/>
        <v>16277000</v>
      </c>
      <c r="D59" s="139">
        <v>0</v>
      </c>
      <c r="E59" s="139">
        <v>0</v>
      </c>
      <c r="F59" s="139">
        <v>500000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6170000</v>
      </c>
      <c r="U59" s="191">
        <f t="shared" si="8"/>
        <v>10107000</v>
      </c>
    </row>
    <row r="60" spans="1:22" s="144" customFormat="1" x14ac:dyDescent="0.3">
      <c r="A60" s="349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500000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7670000</v>
      </c>
      <c r="U60" s="191">
        <f t="shared" si="8"/>
        <v>10027000</v>
      </c>
    </row>
    <row r="61" spans="1:22" s="144" customFormat="1" x14ac:dyDescent="0.3">
      <c r="A61" s="349"/>
      <c r="B61" s="144" t="s">
        <v>82</v>
      </c>
      <c r="C61" s="138">
        <f t="shared" si="7"/>
        <v>17617000</v>
      </c>
      <c r="D61" s="139">
        <v>0</v>
      </c>
      <c r="E61" s="139">
        <v>0</v>
      </c>
      <c r="F61" s="139">
        <v>500000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6170000</v>
      </c>
      <c r="U61" s="191">
        <f t="shared" si="8"/>
        <v>11447000</v>
      </c>
    </row>
    <row r="62" spans="1:22" s="75" customFormat="1" x14ac:dyDescent="0.3">
      <c r="A62" s="349"/>
      <c r="B62" s="75" t="s">
        <v>83</v>
      </c>
      <c r="C62" s="143">
        <f t="shared" si="7"/>
        <v>19037000</v>
      </c>
      <c r="D62" s="140">
        <v>10000000</v>
      </c>
      <c r="E62" s="294">
        <v>500000</v>
      </c>
      <c r="F62" s="143">
        <v>500000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27170000</v>
      </c>
      <c r="U62" s="294">
        <f t="shared" si="8"/>
        <v>1867000</v>
      </c>
      <c r="V62" s="75" t="s">
        <v>216</v>
      </c>
    </row>
    <row r="63" spans="1:22" s="144" customFormat="1" x14ac:dyDescent="0.3">
      <c r="A63" s="349">
        <v>2028</v>
      </c>
      <c r="B63" s="144" t="s">
        <v>72</v>
      </c>
      <c r="C63" s="138">
        <f t="shared" si="7"/>
        <v>9457000</v>
      </c>
      <c r="D63" s="139">
        <v>0</v>
      </c>
      <c r="E63" s="2">
        <v>1500000</v>
      </c>
      <c r="F63" s="139">
        <v>500000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7670000</v>
      </c>
      <c r="U63" s="191">
        <f t="shared" si="8"/>
        <v>1787000</v>
      </c>
    </row>
    <row r="64" spans="1:22" s="144" customFormat="1" x14ac:dyDescent="0.3">
      <c r="A64" s="349"/>
      <c r="B64" s="144" t="s">
        <v>73</v>
      </c>
      <c r="C64" s="138">
        <f t="shared" si="7"/>
        <v>9377000</v>
      </c>
      <c r="D64" s="139">
        <v>0</v>
      </c>
      <c r="E64" s="139">
        <v>0</v>
      </c>
      <c r="F64" s="139">
        <v>500000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6670000</v>
      </c>
      <c r="U64" s="191">
        <f t="shared" si="8"/>
        <v>2707000</v>
      </c>
    </row>
    <row r="65" spans="1:22" s="144" customFormat="1" x14ac:dyDescent="0.3">
      <c r="A65" s="349"/>
      <c r="B65" s="144" t="s">
        <v>74</v>
      </c>
      <c r="C65" s="138">
        <f t="shared" si="7"/>
        <v>10297000</v>
      </c>
      <c r="D65" s="139">
        <v>0</v>
      </c>
      <c r="E65" s="139">
        <v>0</v>
      </c>
      <c r="F65" s="139">
        <v>500000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6170000</v>
      </c>
      <c r="U65" s="191">
        <f t="shared" si="8"/>
        <v>4127000</v>
      </c>
    </row>
    <row r="66" spans="1:22" s="144" customFormat="1" x14ac:dyDescent="0.3">
      <c r="A66" s="349"/>
      <c r="B66" s="144" t="s">
        <v>75</v>
      </c>
      <c r="C66" s="138">
        <f t="shared" si="7"/>
        <v>11717000</v>
      </c>
      <c r="D66" s="139">
        <v>0</v>
      </c>
      <c r="E66" s="2">
        <v>1500000</v>
      </c>
      <c r="F66" s="139">
        <v>500000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7670000</v>
      </c>
      <c r="U66" s="191">
        <f t="shared" si="8"/>
        <v>4047000</v>
      </c>
    </row>
    <row r="67" spans="1:22" s="144" customFormat="1" x14ac:dyDescent="0.3">
      <c r="A67" s="349"/>
      <c r="B67" s="144" t="s">
        <v>76</v>
      </c>
      <c r="C67" s="138">
        <f t="shared" si="7"/>
        <v>11637000</v>
      </c>
      <c r="D67" s="139">
        <v>0</v>
      </c>
      <c r="E67" s="139">
        <v>2000000</v>
      </c>
      <c r="F67" s="139">
        <v>500000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8670000</v>
      </c>
      <c r="U67" s="191">
        <f t="shared" si="8"/>
        <v>2967000</v>
      </c>
    </row>
    <row r="68" spans="1:22" s="144" customFormat="1" x14ac:dyDescent="0.3">
      <c r="A68" s="349"/>
      <c r="B68" s="144" t="s">
        <v>77</v>
      </c>
      <c r="C68" s="138">
        <f t="shared" si="7"/>
        <v>10557000</v>
      </c>
      <c r="D68" s="139">
        <v>0</v>
      </c>
      <c r="E68" s="139">
        <v>0</v>
      </c>
      <c r="F68" s="139">
        <v>500000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6170000</v>
      </c>
      <c r="U68" s="191">
        <f t="shared" si="8"/>
        <v>4387000</v>
      </c>
    </row>
    <row r="69" spans="1:22" s="144" customFormat="1" x14ac:dyDescent="0.3">
      <c r="A69" s="349"/>
      <c r="B69" s="144" t="s">
        <v>78</v>
      </c>
      <c r="C69" s="138">
        <f t="shared" si="7"/>
        <v>11977000</v>
      </c>
      <c r="D69" s="139">
        <v>0</v>
      </c>
      <c r="E69" s="2">
        <v>1500000</v>
      </c>
      <c r="F69" s="139">
        <v>500000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7670000</v>
      </c>
      <c r="U69" s="191">
        <f t="shared" si="8"/>
        <v>4307000</v>
      </c>
    </row>
    <row r="70" spans="1:22" s="144" customFormat="1" x14ac:dyDescent="0.3">
      <c r="A70" s="349"/>
      <c r="B70" s="144" t="s">
        <v>79</v>
      </c>
      <c r="C70" s="138">
        <f t="shared" si="7"/>
        <v>11897000</v>
      </c>
      <c r="D70" s="139">
        <v>0</v>
      </c>
      <c r="E70" s="139">
        <v>0</v>
      </c>
      <c r="F70" s="139">
        <v>500000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6170000</v>
      </c>
      <c r="U70" s="191">
        <f t="shared" si="8"/>
        <v>5727000</v>
      </c>
    </row>
    <row r="71" spans="1:22" s="144" customFormat="1" x14ac:dyDescent="0.3">
      <c r="A71" s="349"/>
      <c r="B71" s="144" t="s">
        <v>80</v>
      </c>
      <c r="C71" s="138">
        <f t="shared" si="7"/>
        <v>13317000</v>
      </c>
      <c r="D71" s="139">
        <v>0</v>
      </c>
      <c r="E71" s="139">
        <v>0</v>
      </c>
      <c r="F71" s="139">
        <v>500000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6670000</v>
      </c>
      <c r="U71" s="191">
        <f t="shared" si="8"/>
        <v>6647000</v>
      </c>
    </row>
    <row r="72" spans="1:22" s="144" customFormat="1" x14ac:dyDescent="0.3">
      <c r="A72" s="349"/>
      <c r="B72" s="144" t="s">
        <v>81</v>
      </c>
      <c r="C72" s="138">
        <f t="shared" si="7"/>
        <v>14237000</v>
      </c>
      <c r="D72" s="139">
        <v>0</v>
      </c>
      <c r="E72" s="185">
        <v>1500000</v>
      </c>
      <c r="F72" s="139">
        <v>500000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7670000</v>
      </c>
      <c r="U72" s="191">
        <f t="shared" si="8"/>
        <v>6567000</v>
      </c>
    </row>
    <row r="73" spans="1:22" s="144" customFormat="1" x14ac:dyDescent="0.3">
      <c r="A73" s="349"/>
      <c r="B73" s="144" t="s">
        <v>82</v>
      </c>
      <c r="C73" s="138">
        <f t="shared" si="7"/>
        <v>14157000</v>
      </c>
      <c r="D73" s="139">
        <v>0</v>
      </c>
      <c r="E73" s="139">
        <v>0</v>
      </c>
      <c r="F73" s="139">
        <v>500000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6670000</v>
      </c>
      <c r="U73" s="191">
        <f t="shared" si="8"/>
        <v>7487000</v>
      </c>
    </row>
    <row r="74" spans="1:22" s="212" customFormat="1" x14ac:dyDescent="0.3">
      <c r="A74" s="349"/>
      <c r="B74" s="212" t="s">
        <v>83</v>
      </c>
      <c r="C74" s="283">
        <f t="shared" si="7"/>
        <v>15077000</v>
      </c>
      <c r="D74" s="139">
        <v>0</v>
      </c>
      <c r="E74" s="284">
        <v>500000</v>
      </c>
      <c r="F74" s="283">
        <v>500000</v>
      </c>
      <c r="G74" s="283">
        <v>420000</v>
      </c>
      <c r="H74" s="283">
        <v>1400000</v>
      </c>
      <c r="I74" s="283">
        <v>0</v>
      </c>
      <c r="J74" s="185">
        <v>1200000</v>
      </c>
      <c r="K74" s="283">
        <v>500000</v>
      </c>
      <c r="L74" s="283">
        <v>150000</v>
      </c>
      <c r="M74" s="283">
        <v>0</v>
      </c>
      <c r="N74" s="283">
        <v>500000</v>
      </c>
      <c r="O74" s="283">
        <v>0</v>
      </c>
      <c r="P74" s="283">
        <v>1500000</v>
      </c>
      <c r="Q74" s="283">
        <v>0</v>
      </c>
      <c r="R74" s="283">
        <v>0</v>
      </c>
      <c r="S74" s="2">
        <v>0</v>
      </c>
      <c r="T74" s="283">
        <f t="shared" si="9"/>
        <v>6670000</v>
      </c>
      <c r="U74" s="284">
        <f t="shared" si="8"/>
        <v>8407000</v>
      </c>
      <c r="V74" s="285"/>
    </row>
    <row r="75" spans="1:22" s="144" customFormat="1" x14ac:dyDescent="0.3">
      <c r="A75" s="349">
        <v>2029</v>
      </c>
      <c r="B75" s="144" t="s">
        <v>72</v>
      </c>
      <c r="C75" s="138">
        <f t="shared" si="7"/>
        <v>15997000</v>
      </c>
      <c r="D75" s="139">
        <v>0</v>
      </c>
      <c r="E75" s="2">
        <v>1500000</v>
      </c>
      <c r="F75" s="139">
        <v>500000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7670000</v>
      </c>
      <c r="U75" s="191">
        <f t="shared" si="8"/>
        <v>8327000</v>
      </c>
    </row>
    <row r="76" spans="1:22" s="144" customFormat="1" x14ac:dyDescent="0.3">
      <c r="A76" s="349"/>
      <c r="B76" s="144" t="s">
        <v>73</v>
      </c>
      <c r="C76" s="138">
        <f t="shared" si="7"/>
        <v>15917000</v>
      </c>
      <c r="D76" s="139">
        <v>0</v>
      </c>
      <c r="E76" s="139">
        <v>0</v>
      </c>
      <c r="F76" s="139">
        <v>500000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6670000</v>
      </c>
      <c r="U76" s="191">
        <f t="shared" si="8"/>
        <v>9247000</v>
      </c>
    </row>
    <row r="77" spans="1:22" s="144" customFormat="1" x14ac:dyDescent="0.3">
      <c r="A77" s="349"/>
      <c r="B77" s="144" t="s">
        <v>74</v>
      </c>
      <c r="C77" s="138">
        <f t="shared" si="7"/>
        <v>16837000</v>
      </c>
      <c r="D77" s="139">
        <v>0</v>
      </c>
      <c r="E77" s="139">
        <v>0</v>
      </c>
      <c r="F77" s="139">
        <v>500000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6170000</v>
      </c>
      <c r="U77" s="191">
        <f t="shared" si="8"/>
        <v>10667000</v>
      </c>
    </row>
    <row r="78" spans="1:22" s="144" customFormat="1" x14ac:dyDescent="0.3">
      <c r="A78" s="349"/>
      <c r="B78" s="144" t="s">
        <v>75</v>
      </c>
      <c r="C78" s="138">
        <f t="shared" si="7"/>
        <v>18257000</v>
      </c>
      <c r="D78" s="139">
        <v>0</v>
      </c>
      <c r="E78" s="2">
        <v>1500000</v>
      </c>
      <c r="F78" s="139">
        <v>500000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7670000</v>
      </c>
      <c r="U78" s="191">
        <f t="shared" si="8"/>
        <v>10587000</v>
      </c>
    </row>
    <row r="79" spans="1:22" s="144" customFormat="1" x14ac:dyDescent="0.3">
      <c r="A79" s="349"/>
      <c r="B79" s="144" t="s">
        <v>76</v>
      </c>
      <c r="C79" s="138">
        <f t="shared" si="7"/>
        <v>18177000</v>
      </c>
      <c r="D79" s="139">
        <v>0</v>
      </c>
      <c r="E79" s="139">
        <v>2000000</v>
      </c>
      <c r="F79" s="139">
        <v>500000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8170000</v>
      </c>
      <c r="U79" s="191">
        <f t="shared" si="8"/>
        <v>10007000</v>
      </c>
    </row>
    <row r="80" spans="1:22" s="144" customFormat="1" x14ac:dyDescent="0.3">
      <c r="A80" s="349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500000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6670000</v>
      </c>
      <c r="U80" s="191">
        <f t="shared" si="8"/>
        <v>10927000</v>
      </c>
    </row>
    <row r="81" spans="1:21" s="144" customFormat="1" x14ac:dyDescent="0.3">
      <c r="A81" s="349"/>
      <c r="B81" s="144" t="s">
        <v>78</v>
      </c>
      <c r="C81" s="138">
        <f t="shared" si="7"/>
        <v>18517000</v>
      </c>
      <c r="D81" s="139">
        <v>0</v>
      </c>
      <c r="E81" s="2">
        <v>1500000</v>
      </c>
      <c r="F81" s="139">
        <v>500000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7670000</v>
      </c>
      <c r="U81" s="191">
        <f t="shared" si="8"/>
        <v>10847000</v>
      </c>
    </row>
    <row r="82" spans="1:21" s="144" customFormat="1" x14ac:dyDescent="0.3">
      <c r="A82" s="349"/>
      <c r="B82" s="144" t="s">
        <v>79</v>
      </c>
      <c r="C82" s="138">
        <f t="shared" si="7"/>
        <v>18437000</v>
      </c>
      <c r="D82" s="139">
        <v>0</v>
      </c>
      <c r="E82" s="139">
        <v>0</v>
      </c>
      <c r="F82" s="139">
        <v>500000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6670000</v>
      </c>
      <c r="U82" s="191">
        <f t="shared" si="8"/>
        <v>11767000</v>
      </c>
    </row>
    <row r="83" spans="1:21" s="144" customFormat="1" x14ac:dyDescent="0.3">
      <c r="A83" s="349"/>
      <c r="B83" s="144" t="s">
        <v>80</v>
      </c>
      <c r="C83" s="138">
        <f t="shared" si="7"/>
        <v>19357000</v>
      </c>
      <c r="D83" s="139">
        <v>0</v>
      </c>
      <c r="E83" s="139">
        <v>0</v>
      </c>
      <c r="F83" s="139">
        <v>500000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6170000</v>
      </c>
      <c r="U83" s="191">
        <f t="shared" si="8"/>
        <v>13187000</v>
      </c>
    </row>
    <row r="84" spans="1:21" s="144" customFormat="1" x14ac:dyDescent="0.3">
      <c r="A84" s="349"/>
      <c r="B84" s="144" t="s">
        <v>81</v>
      </c>
      <c r="C84" s="138">
        <f t="shared" si="7"/>
        <v>20777000</v>
      </c>
      <c r="D84" s="139">
        <v>0</v>
      </c>
      <c r="E84" s="185">
        <v>1500000</v>
      </c>
      <c r="F84" s="139">
        <v>500000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7670000</v>
      </c>
      <c r="U84" s="191">
        <f t="shared" si="8"/>
        <v>13107000</v>
      </c>
    </row>
    <row r="85" spans="1:21" s="144" customFormat="1" x14ac:dyDescent="0.3">
      <c r="A85" s="349"/>
      <c r="B85" s="144" t="s">
        <v>82</v>
      </c>
      <c r="C85" s="138">
        <f t="shared" si="7"/>
        <v>20697000</v>
      </c>
      <c r="D85" s="139">
        <v>0</v>
      </c>
      <c r="E85" s="139">
        <v>0</v>
      </c>
      <c r="F85" s="139">
        <v>500000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6670000</v>
      </c>
      <c r="U85" s="191">
        <f t="shared" si="8"/>
        <v>14027000</v>
      </c>
    </row>
    <row r="86" spans="1:21" s="285" customFormat="1" x14ac:dyDescent="0.3">
      <c r="A86" s="349"/>
      <c r="B86" s="285" t="s">
        <v>83</v>
      </c>
      <c r="C86" s="283">
        <f t="shared" si="7"/>
        <v>21617000</v>
      </c>
      <c r="D86" s="139">
        <v>0</v>
      </c>
      <c r="E86" s="284">
        <v>500000</v>
      </c>
      <c r="F86" s="283">
        <v>500000</v>
      </c>
      <c r="G86" s="283">
        <v>420000</v>
      </c>
      <c r="H86" s="283">
        <v>1400000</v>
      </c>
      <c r="I86" s="283">
        <v>0</v>
      </c>
      <c r="J86" s="283">
        <v>1200000</v>
      </c>
      <c r="K86" s="283">
        <v>500000</v>
      </c>
      <c r="L86" s="283">
        <v>150000</v>
      </c>
      <c r="M86" s="283">
        <v>0</v>
      </c>
      <c r="N86" s="283">
        <v>500000</v>
      </c>
      <c r="O86" s="283">
        <v>0</v>
      </c>
      <c r="P86" s="283">
        <v>1500000</v>
      </c>
      <c r="Q86" s="283">
        <v>0</v>
      </c>
      <c r="R86" s="283">
        <v>0</v>
      </c>
      <c r="S86" s="2">
        <v>0</v>
      </c>
      <c r="T86" s="283">
        <f t="shared" si="9"/>
        <v>6670000</v>
      </c>
      <c r="U86" s="284">
        <f t="shared" si="8"/>
        <v>14947000</v>
      </c>
    </row>
    <row r="87" spans="1:21" s="144" customFormat="1" x14ac:dyDescent="0.3">
      <c r="A87" s="349">
        <v>2030</v>
      </c>
      <c r="B87" s="144" t="s">
        <v>72</v>
      </c>
      <c r="C87" s="138">
        <f t="shared" si="7"/>
        <v>22537000</v>
      </c>
      <c r="D87" s="139">
        <v>0</v>
      </c>
      <c r="E87" s="2">
        <v>1500000</v>
      </c>
      <c r="F87" s="139">
        <v>500000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7670000</v>
      </c>
      <c r="U87" s="191">
        <f t="shared" si="8"/>
        <v>14867000</v>
      </c>
    </row>
    <row r="88" spans="1:21" s="144" customFormat="1" x14ac:dyDescent="0.3">
      <c r="A88" s="349"/>
      <c r="B88" s="144" t="s">
        <v>73</v>
      </c>
      <c r="C88" s="138">
        <f t="shared" si="7"/>
        <v>22457000</v>
      </c>
      <c r="D88" s="139">
        <v>0</v>
      </c>
      <c r="E88" s="139">
        <v>0</v>
      </c>
      <c r="F88" s="139">
        <v>500000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6170000</v>
      </c>
      <c r="U88" s="191">
        <f t="shared" si="8"/>
        <v>16287000</v>
      </c>
    </row>
    <row r="89" spans="1:21" s="144" customFormat="1" x14ac:dyDescent="0.3">
      <c r="A89" s="349"/>
      <c r="B89" s="144" t="s">
        <v>74</v>
      </c>
      <c r="C89" s="138">
        <f t="shared" si="7"/>
        <v>23877000</v>
      </c>
      <c r="D89" s="139">
        <v>0</v>
      </c>
      <c r="E89" s="139">
        <v>0</v>
      </c>
      <c r="F89" s="139">
        <v>500000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6670000</v>
      </c>
      <c r="U89" s="191">
        <f t="shared" si="8"/>
        <v>17207000</v>
      </c>
    </row>
    <row r="90" spans="1:21" s="144" customFormat="1" x14ac:dyDescent="0.3">
      <c r="A90" s="349"/>
      <c r="B90" s="144" t="s">
        <v>75</v>
      </c>
      <c r="C90" s="138">
        <f t="shared" si="7"/>
        <v>24797000</v>
      </c>
      <c r="D90" s="139">
        <v>0</v>
      </c>
      <c r="E90" s="2">
        <v>1500000</v>
      </c>
      <c r="F90" s="139">
        <v>500000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7670000</v>
      </c>
      <c r="U90" s="191">
        <f t="shared" ref="U90:U121" si="10" xml:space="preserve"> (C90+D90) - T90</f>
        <v>17127000</v>
      </c>
    </row>
    <row r="91" spans="1:21" s="144" customFormat="1" x14ac:dyDescent="0.3">
      <c r="A91" s="349"/>
      <c r="B91" s="144" t="s">
        <v>76</v>
      </c>
      <c r="C91" s="138">
        <f t="shared" si="7"/>
        <v>24717000</v>
      </c>
      <c r="D91" s="139">
        <v>0</v>
      </c>
      <c r="E91" s="139">
        <v>2000000</v>
      </c>
      <c r="F91" s="139">
        <v>500000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8670000</v>
      </c>
      <c r="U91" s="191">
        <f t="shared" si="10"/>
        <v>16047000</v>
      </c>
    </row>
    <row r="92" spans="1:21" s="144" customFormat="1" x14ac:dyDescent="0.3">
      <c r="A92" s="349"/>
      <c r="B92" s="144" t="s">
        <v>77</v>
      </c>
      <c r="C92" s="138">
        <f t="shared" si="7"/>
        <v>23637000</v>
      </c>
      <c r="D92" s="139">
        <v>0</v>
      </c>
      <c r="E92" s="139">
        <v>0</v>
      </c>
      <c r="F92" s="139">
        <v>500000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6170000</v>
      </c>
      <c r="U92" s="191">
        <f t="shared" si="10"/>
        <v>17467000</v>
      </c>
    </row>
    <row r="93" spans="1:21" s="144" customFormat="1" x14ac:dyDescent="0.3">
      <c r="A93" s="349"/>
      <c r="B93" s="144" t="s">
        <v>78</v>
      </c>
      <c r="C93" s="138">
        <f t="shared" si="7"/>
        <v>25057000</v>
      </c>
      <c r="D93" s="139">
        <v>0</v>
      </c>
      <c r="E93" s="2">
        <v>1500000</v>
      </c>
      <c r="F93" s="139">
        <v>500000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7670000</v>
      </c>
      <c r="U93" s="191">
        <f t="shared" si="10"/>
        <v>17387000</v>
      </c>
    </row>
    <row r="94" spans="1:21" s="144" customFormat="1" x14ac:dyDescent="0.3">
      <c r="A94" s="349"/>
      <c r="B94" s="144" t="s">
        <v>79</v>
      </c>
      <c r="C94" s="138">
        <f t="shared" si="7"/>
        <v>24977000</v>
      </c>
      <c r="D94" s="139">
        <v>0</v>
      </c>
      <c r="E94" s="139">
        <v>0</v>
      </c>
      <c r="F94" s="139">
        <v>500000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6670000</v>
      </c>
      <c r="U94" s="191">
        <f t="shared" si="10"/>
        <v>18307000</v>
      </c>
    </row>
    <row r="95" spans="1:21" s="144" customFormat="1" x14ac:dyDescent="0.3">
      <c r="A95" s="349"/>
      <c r="B95" s="144" t="s">
        <v>80</v>
      </c>
      <c r="C95" s="138">
        <f t="shared" si="7"/>
        <v>25897000</v>
      </c>
      <c r="D95" s="139">
        <v>0</v>
      </c>
      <c r="E95" s="139">
        <v>0</v>
      </c>
      <c r="F95" s="139">
        <v>500000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6170000</v>
      </c>
      <c r="U95" s="191">
        <f t="shared" si="10"/>
        <v>19727000</v>
      </c>
    </row>
    <row r="96" spans="1:21" s="144" customFormat="1" x14ac:dyDescent="0.3">
      <c r="A96" s="349"/>
      <c r="B96" s="144" t="s">
        <v>81</v>
      </c>
      <c r="C96" s="138">
        <f t="shared" si="7"/>
        <v>27317000</v>
      </c>
      <c r="D96" s="139">
        <v>0</v>
      </c>
      <c r="E96" s="185">
        <v>1500000</v>
      </c>
      <c r="F96" s="139">
        <v>500000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7670000</v>
      </c>
      <c r="U96" s="191">
        <f t="shared" si="10"/>
        <v>19647000</v>
      </c>
    </row>
    <row r="97" spans="1:22" s="144" customFormat="1" x14ac:dyDescent="0.3">
      <c r="A97" s="349"/>
      <c r="B97" s="144" t="s">
        <v>82</v>
      </c>
      <c r="C97" s="138">
        <f t="shared" si="7"/>
        <v>27237000</v>
      </c>
      <c r="D97" s="139">
        <v>0</v>
      </c>
      <c r="E97" s="139">
        <v>0</v>
      </c>
      <c r="F97" s="139">
        <v>500000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6170000</v>
      </c>
      <c r="U97" s="191">
        <f t="shared" si="10"/>
        <v>21067000</v>
      </c>
    </row>
    <row r="98" spans="1:22" s="212" customFormat="1" x14ac:dyDescent="0.3">
      <c r="A98" s="349"/>
      <c r="B98" s="212" t="s">
        <v>83</v>
      </c>
      <c r="C98" s="283">
        <f t="shared" si="7"/>
        <v>28657000</v>
      </c>
      <c r="D98" s="283">
        <v>10000000</v>
      </c>
      <c r="E98" s="284">
        <v>500000</v>
      </c>
      <c r="F98" s="283">
        <v>500000</v>
      </c>
      <c r="G98" s="283">
        <v>420000</v>
      </c>
      <c r="H98" s="283">
        <v>1400000</v>
      </c>
      <c r="I98" s="283">
        <v>0</v>
      </c>
      <c r="J98" s="283">
        <v>1200000</v>
      </c>
      <c r="K98" s="283">
        <v>500000</v>
      </c>
      <c r="L98" s="283">
        <v>150000</v>
      </c>
      <c r="M98" s="283">
        <v>0</v>
      </c>
      <c r="N98" s="283">
        <v>500000</v>
      </c>
      <c r="O98" s="283">
        <v>0</v>
      </c>
      <c r="P98" s="283">
        <v>1500000</v>
      </c>
      <c r="Q98" s="283">
        <v>500000</v>
      </c>
      <c r="R98" s="283">
        <v>0</v>
      </c>
      <c r="S98" s="283">
        <v>15000000</v>
      </c>
      <c r="T98" s="283">
        <f t="shared" si="9"/>
        <v>22170000</v>
      </c>
      <c r="U98" s="284">
        <f t="shared" si="10"/>
        <v>16487000</v>
      </c>
      <c r="V98" s="285" t="s">
        <v>218</v>
      </c>
    </row>
    <row r="99" spans="1:22" s="144" customFormat="1" x14ac:dyDescent="0.3">
      <c r="A99" s="349">
        <v>2031</v>
      </c>
      <c r="B99" s="144" t="s">
        <v>72</v>
      </c>
      <c r="C99" s="138">
        <f t="shared" si="7"/>
        <v>24077000</v>
      </c>
      <c r="D99" s="139">
        <v>0</v>
      </c>
      <c r="E99" s="2">
        <v>1500000</v>
      </c>
      <c r="F99" s="139">
        <v>500000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7670000</v>
      </c>
      <c r="U99" s="191">
        <f t="shared" si="10"/>
        <v>16407000</v>
      </c>
    </row>
    <row r="100" spans="1:22" s="144" customFormat="1" x14ac:dyDescent="0.3">
      <c r="A100" s="349"/>
      <c r="B100" s="144" t="s">
        <v>73</v>
      </c>
      <c r="C100" s="138">
        <f t="shared" si="7"/>
        <v>23997000</v>
      </c>
      <c r="D100" s="139">
        <v>0</v>
      </c>
      <c r="E100" s="139">
        <v>0</v>
      </c>
      <c r="F100" s="139">
        <v>500000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6170000</v>
      </c>
      <c r="U100" s="191">
        <f t="shared" si="10"/>
        <v>17827000</v>
      </c>
    </row>
    <row r="101" spans="1:22" s="144" customFormat="1" x14ac:dyDescent="0.3">
      <c r="A101" s="349"/>
      <c r="B101" s="144" t="s">
        <v>74</v>
      </c>
      <c r="C101" s="138">
        <f t="shared" si="7"/>
        <v>25417000</v>
      </c>
      <c r="D101" s="139">
        <v>0</v>
      </c>
      <c r="E101" s="139">
        <v>0</v>
      </c>
      <c r="F101" s="139">
        <v>500000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6670000</v>
      </c>
      <c r="U101" s="191">
        <f t="shared" si="10"/>
        <v>18747000</v>
      </c>
    </row>
    <row r="102" spans="1:22" s="144" customFormat="1" x14ac:dyDescent="0.3">
      <c r="A102" s="349"/>
      <c r="B102" s="144" t="s">
        <v>75</v>
      </c>
      <c r="C102" s="138">
        <f t="shared" si="7"/>
        <v>26337000</v>
      </c>
      <c r="D102" s="139">
        <v>0</v>
      </c>
      <c r="E102" s="2">
        <v>1500000</v>
      </c>
      <c r="F102" s="139">
        <v>500000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7670000</v>
      </c>
      <c r="U102" s="191">
        <f t="shared" si="10"/>
        <v>18667000</v>
      </c>
    </row>
    <row r="103" spans="1:22" s="144" customFormat="1" x14ac:dyDescent="0.3">
      <c r="A103" s="349"/>
      <c r="B103" s="144" t="s">
        <v>76</v>
      </c>
      <c r="C103" s="138">
        <f t="shared" si="7"/>
        <v>26257000</v>
      </c>
      <c r="D103" s="139">
        <v>0</v>
      </c>
      <c r="E103" s="139">
        <v>2000000</v>
      </c>
      <c r="F103" s="139">
        <v>500000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8670000</v>
      </c>
      <c r="U103" s="191">
        <f t="shared" si="10"/>
        <v>17587000</v>
      </c>
    </row>
    <row r="104" spans="1:22" s="144" customFormat="1" x14ac:dyDescent="0.3">
      <c r="A104" s="349"/>
      <c r="B104" s="144" t="s">
        <v>77</v>
      </c>
      <c r="C104" s="138">
        <f t="shared" si="7"/>
        <v>25177000</v>
      </c>
      <c r="D104" s="139">
        <v>0</v>
      </c>
      <c r="E104" s="139">
        <v>0</v>
      </c>
      <c r="F104" s="139">
        <v>500000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6170000</v>
      </c>
      <c r="U104" s="191">
        <f t="shared" si="10"/>
        <v>19007000</v>
      </c>
    </row>
    <row r="105" spans="1:22" s="144" customFormat="1" x14ac:dyDescent="0.3">
      <c r="A105" s="349"/>
      <c r="B105" s="144" t="s">
        <v>78</v>
      </c>
      <c r="C105" s="138">
        <f t="shared" si="7"/>
        <v>26597000</v>
      </c>
      <c r="D105" s="139">
        <v>0</v>
      </c>
      <c r="E105" s="2">
        <v>1500000</v>
      </c>
      <c r="F105" s="139">
        <v>500000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7670000</v>
      </c>
      <c r="U105" s="191">
        <f t="shared" si="10"/>
        <v>18927000</v>
      </c>
    </row>
    <row r="106" spans="1:22" s="144" customFormat="1" x14ac:dyDescent="0.3">
      <c r="A106" s="349"/>
      <c r="B106" s="144" t="s">
        <v>79</v>
      </c>
      <c r="C106" s="138">
        <f t="shared" si="7"/>
        <v>26517000</v>
      </c>
      <c r="D106" s="139">
        <v>0</v>
      </c>
      <c r="E106" s="139">
        <v>0</v>
      </c>
      <c r="F106" s="139">
        <v>500000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6670000</v>
      </c>
      <c r="U106" s="191">
        <f t="shared" si="10"/>
        <v>19847000</v>
      </c>
    </row>
    <row r="107" spans="1:22" s="144" customFormat="1" x14ac:dyDescent="0.3">
      <c r="A107" s="349"/>
      <c r="B107" s="144" t="s">
        <v>80</v>
      </c>
      <c r="C107" s="138">
        <f t="shared" ref="C107:C122" si="12" xml:space="preserve"> U106 + 7590000</f>
        <v>27437000</v>
      </c>
      <c r="D107" s="139">
        <v>0</v>
      </c>
      <c r="E107" s="139">
        <v>0</v>
      </c>
      <c r="F107" s="139">
        <v>500000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6170000</v>
      </c>
      <c r="U107" s="191">
        <f t="shared" si="10"/>
        <v>21267000</v>
      </c>
    </row>
    <row r="108" spans="1:22" s="144" customFormat="1" x14ac:dyDescent="0.3">
      <c r="A108" s="349"/>
      <c r="B108" s="144" t="s">
        <v>81</v>
      </c>
      <c r="C108" s="138">
        <f t="shared" si="12"/>
        <v>28857000</v>
      </c>
      <c r="D108" s="139">
        <v>0</v>
      </c>
      <c r="E108" s="185">
        <v>1500000</v>
      </c>
      <c r="F108" s="139">
        <v>500000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7670000</v>
      </c>
      <c r="U108" s="191">
        <f t="shared" si="10"/>
        <v>21187000</v>
      </c>
    </row>
    <row r="109" spans="1:22" s="144" customFormat="1" x14ac:dyDescent="0.3">
      <c r="A109" s="349"/>
      <c r="B109" s="144" t="s">
        <v>82</v>
      </c>
      <c r="C109" s="138">
        <f t="shared" si="12"/>
        <v>28777000</v>
      </c>
      <c r="D109" s="139">
        <v>0</v>
      </c>
      <c r="E109" s="139">
        <v>0</v>
      </c>
      <c r="F109" s="139">
        <v>500000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6170000</v>
      </c>
      <c r="U109" s="191">
        <f t="shared" si="10"/>
        <v>22607000</v>
      </c>
    </row>
    <row r="110" spans="1:22" s="212" customFormat="1" x14ac:dyDescent="0.3">
      <c r="A110" s="349"/>
      <c r="B110" s="212" t="s">
        <v>83</v>
      </c>
      <c r="C110" s="185">
        <f t="shared" si="12"/>
        <v>30197000</v>
      </c>
      <c r="D110" s="185">
        <v>10000000</v>
      </c>
      <c r="E110" s="282">
        <v>500000</v>
      </c>
      <c r="F110" s="185">
        <v>500000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3">
        <v>500000</v>
      </c>
      <c r="R110" s="185">
        <v>0</v>
      </c>
      <c r="S110" s="283">
        <v>15000000</v>
      </c>
      <c r="T110" s="185">
        <f t="shared" si="11"/>
        <v>22170000</v>
      </c>
      <c r="U110" s="239">
        <f t="shared" si="10"/>
        <v>18027000</v>
      </c>
      <c r="V110" s="212" t="s">
        <v>218</v>
      </c>
    </row>
    <row r="111" spans="1:22" s="144" customFormat="1" x14ac:dyDescent="0.3">
      <c r="A111" s="349">
        <v>2032</v>
      </c>
      <c r="B111" s="144" t="s">
        <v>72</v>
      </c>
      <c r="C111" s="138">
        <f t="shared" si="12"/>
        <v>25617000</v>
      </c>
      <c r="D111" s="139">
        <v>0</v>
      </c>
      <c r="E111" s="2">
        <v>1500000</v>
      </c>
      <c r="F111" s="139">
        <v>500000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7670000</v>
      </c>
      <c r="U111" s="191">
        <f t="shared" si="10"/>
        <v>17947000</v>
      </c>
    </row>
    <row r="112" spans="1:22" s="144" customFormat="1" x14ac:dyDescent="0.3">
      <c r="A112" s="349"/>
      <c r="B112" s="144" t="s">
        <v>73</v>
      </c>
      <c r="C112" s="138">
        <f t="shared" si="12"/>
        <v>25537000</v>
      </c>
      <c r="D112" s="139">
        <v>0</v>
      </c>
      <c r="E112" s="139">
        <v>0</v>
      </c>
      <c r="F112" s="139">
        <v>500000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6170000</v>
      </c>
      <c r="U112" s="191">
        <f t="shared" si="10"/>
        <v>19367000</v>
      </c>
    </row>
    <row r="113" spans="1:22" s="144" customFormat="1" x14ac:dyDescent="0.3">
      <c r="A113" s="349"/>
      <c r="B113" s="144" t="s">
        <v>74</v>
      </c>
      <c r="C113" s="138">
        <f t="shared" si="12"/>
        <v>26957000</v>
      </c>
      <c r="D113" s="139">
        <v>0</v>
      </c>
      <c r="E113" s="139">
        <v>0</v>
      </c>
      <c r="F113" s="139">
        <v>500000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6670000</v>
      </c>
      <c r="U113" s="191">
        <f t="shared" si="10"/>
        <v>20287000</v>
      </c>
    </row>
    <row r="114" spans="1:22" s="144" customFormat="1" x14ac:dyDescent="0.3">
      <c r="A114" s="349"/>
      <c r="B114" s="144" t="s">
        <v>75</v>
      </c>
      <c r="C114" s="138">
        <f t="shared" si="12"/>
        <v>27877000</v>
      </c>
      <c r="D114" s="139">
        <v>0</v>
      </c>
      <c r="E114" s="2">
        <v>1500000</v>
      </c>
      <c r="F114" s="139">
        <v>500000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7670000</v>
      </c>
      <c r="U114" s="191">
        <f t="shared" si="10"/>
        <v>20207000</v>
      </c>
    </row>
    <row r="115" spans="1:22" s="144" customFormat="1" x14ac:dyDescent="0.3">
      <c r="A115" s="349"/>
      <c r="B115" s="144" t="s">
        <v>76</v>
      </c>
      <c r="C115" s="138">
        <f t="shared" si="12"/>
        <v>27797000</v>
      </c>
      <c r="D115" s="139">
        <v>0</v>
      </c>
      <c r="E115" s="139">
        <v>2000000</v>
      </c>
      <c r="F115" s="139">
        <v>500000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8670000</v>
      </c>
      <c r="U115" s="191">
        <f t="shared" si="10"/>
        <v>19127000</v>
      </c>
    </row>
    <row r="116" spans="1:22" s="144" customFormat="1" x14ac:dyDescent="0.3">
      <c r="A116" s="349"/>
      <c r="B116" s="144" t="s">
        <v>77</v>
      </c>
      <c r="C116" s="138">
        <f t="shared" si="12"/>
        <v>26717000</v>
      </c>
      <c r="D116" s="139">
        <v>0</v>
      </c>
      <c r="E116" s="139">
        <v>0</v>
      </c>
      <c r="F116" s="139">
        <v>500000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6170000</v>
      </c>
      <c r="U116" s="191">
        <f t="shared" si="10"/>
        <v>20547000</v>
      </c>
    </row>
    <row r="117" spans="1:22" s="144" customFormat="1" x14ac:dyDescent="0.3">
      <c r="A117" s="349"/>
      <c r="B117" s="144" t="s">
        <v>78</v>
      </c>
      <c r="C117" s="138">
        <f t="shared" si="12"/>
        <v>28137000</v>
      </c>
      <c r="D117" s="139">
        <v>0</v>
      </c>
      <c r="E117" s="2">
        <v>1500000</v>
      </c>
      <c r="F117" s="139">
        <v>500000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7670000</v>
      </c>
      <c r="U117" s="191">
        <f t="shared" si="10"/>
        <v>20467000</v>
      </c>
    </row>
    <row r="118" spans="1:22" s="144" customFormat="1" x14ac:dyDescent="0.3">
      <c r="A118" s="349"/>
      <c r="B118" s="144" t="s">
        <v>79</v>
      </c>
      <c r="C118" s="138">
        <f t="shared" si="12"/>
        <v>28057000</v>
      </c>
      <c r="D118" s="139">
        <v>0</v>
      </c>
      <c r="E118" s="139">
        <v>0</v>
      </c>
      <c r="F118" s="139">
        <v>500000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6670000</v>
      </c>
      <c r="U118" s="191">
        <f t="shared" si="10"/>
        <v>21387000</v>
      </c>
    </row>
    <row r="119" spans="1:22" s="144" customFormat="1" x14ac:dyDescent="0.3">
      <c r="A119" s="349"/>
      <c r="B119" s="144" t="s">
        <v>80</v>
      </c>
      <c r="C119" s="138">
        <f t="shared" si="12"/>
        <v>28977000</v>
      </c>
      <c r="D119" s="139">
        <v>0</v>
      </c>
      <c r="E119" s="139">
        <v>0</v>
      </c>
      <c r="F119" s="139">
        <v>500000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6170000</v>
      </c>
      <c r="U119" s="191">
        <f t="shared" si="10"/>
        <v>22807000</v>
      </c>
    </row>
    <row r="120" spans="1:22" s="144" customFormat="1" x14ac:dyDescent="0.3">
      <c r="A120" s="349"/>
      <c r="B120" s="144" t="s">
        <v>81</v>
      </c>
      <c r="C120" s="138">
        <f t="shared" si="12"/>
        <v>30397000</v>
      </c>
      <c r="D120" s="139">
        <v>0</v>
      </c>
      <c r="E120" s="185">
        <v>1500000</v>
      </c>
      <c r="F120" s="139">
        <v>500000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7670000</v>
      </c>
      <c r="U120" s="191">
        <f t="shared" si="10"/>
        <v>22727000</v>
      </c>
    </row>
    <row r="121" spans="1:22" s="144" customFormat="1" x14ac:dyDescent="0.3">
      <c r="A121" s="349"/>
      <c r="B121" s="144" t="s">
        <v>82</v>
      </c>
      <c r="C121" s="138">
        <f t="shared" si="12"/>
        <v>30317000</v>
      </c>
      <c r="D121" s="139">
        <v>0</v>
      </c>
      <c r="E121" s="139">
        <v>0</v>
      </c>
      <c r="F121" s="139">
        <v>500000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6170000</v>
      </c>
      <c r="U121" s="191">
        <f t="shared" si="10"/>
        <v>24147000</v>
      </c>
    </row>
    <row r="122" spans="1:22" s="285" customFormat="1" x14ac:dyDescent="0.3">
      <c r="A122" s="349"/>
      <c r="B122" s="285" t="s">
        <v>83</v>
      </c>
      <c r="C122" s="283">
        <f t="shared" si="12"/>
        <v>31737000</v>
      </c>
      <c r="D122" s="283">
        <v>10000000</v>
      </c>
      <c r="E122" s="284">
        <v>500000</v>
      </c>
      <c r="F122" s="283">
        <v>500000</v>
      </c>
      <c r="G122" s="283">
        <v>420000</v>
      </c>
      <c r="H122" s="283">
        <v>1400000</v>
      </c>
      <c r="I122" s="283">
        <v>0</v>
      </c>
      <c r="J122" s="283">
        <v>1200000</v>
      </c>
      <c r="K122" s="283">
        <v>500000</v>
      </c>
      <c r="L122" s="283">
        <v>150000</v>
      </c>
      <c r="M122" s="283">
        <v>0</v>
      </c>
      <c r="N122" s="283">
        <v>500000</v>
      </c>
      <c r="O122" s="283">
        <v>0</v>
      </c>
      <c r="P122" s="283">
        <v>1500000</v>
      </c>
      <c r="Q122" s="283">
        <v>500000</v>
      </c>
      <c r="R122" s="283">
        <v>0</v>
      </c>
      <c r="S122" s="283">
        <v>15000000</v>
      </c>
      <c r="T122" s="283">
        <f t="shared" si="11"/>
        <v>22170000</v>
      </c>
      <c r="U122" s="284">
        <f t="shared" ref="U122:U133" si="13" xml:space="preserve"> (C122+D122) - T122</f>
        <v>19567000</v>
      </c>
      <c r="V122" s="285" t="s">
        <v>218</v>
      </c>
    </row>
    <row r="123" spans="1:22" s="144" customFormat="1" x14ac:dyDescent="0.3">
      <c r="A123" s="349">
        <v>2033</v>
      </c>
      <c r="B123" s="144" t="s">
        <v>72</v>
      </c>
      <c r="C123" s="138">
        <f t="shared" ref="C123:C134" si="14" xml:space="preserve"> U122 + 7590000</f>
        <v>27157000</v>
      </c>
      <c r="D123" s="139">
        <v>0</v>
      </c>
      <c r="E123" s="2">
        <v>1500000</v>
      </c>
      <c r="F123" s="139">
        <v>500000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7670000</v>
      </c>
      <c r="U123" s="191">
        <f t="shared" si="13"/>
        <v>19487000</v>
      </c>
    </row>
    <row r="124" spans="1:22" s="144" customFormat="1" x14ac:dyDescent="0.3">
      <c r="A124" s="349"/>
      <c r="B124" s="144" t="s">
        <v>73</v>
      </c>
      <c r="C124" s="138">
        <f t="shared" si="14"/>
        <v>27077000</v>
      </c>
      <c r="D124" s="139">
        <v>0</v>
      </c>
      <c r="E124" s="139">
        <v>0</v>
      </c>
      <c r="F124" s="139">
        <v>500000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6170000</v>
      </c>
      <c r="U124" s="191">
        <f t="shared" si="13"/>
        <v>20907000</v>
      </c>
    </row>
    <row r="125" spans="1:22" s="144" customFormat="1" x14ac:dyDescent="0.3">
      <c r="A125" s="349"/>
      <c r="B125" s="144" t="s">
        <v>74</v>
      </c>
      <c r="C125" s="138">
        <f t="shared" si="14"/>
        <v>28497000</v>
      </c>
      <c r="D125" s="139">
        <v>0</v>
      </c>
      <c r="E125" s="139">
        <v>0</v>
      </c>
      <c r="F125" s="139">
        <v>500000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6670000</v>
      </c>
      <c r="U125" s="191">
        <f t="shared" si="13"/>
        <v>21827000</v>
      </c>
    </row>
    <row r="126" spans="1:22" s="144" customFormat="1" x14ac:dyDescent="0.3">
      <c r="A126" s="349"/>
      <c r="B126" s="144" t="s">
        <v>75</v>
      </c>
      <c r="C126" s="138">
        <f t="shared" si="14"/>
        <v>29417000</v>
      </c>
      <c r="D126" s="139">
        <v>0</v>
      </c>
      <c r="E126" s="2">
        <v>1500000</v>
      </c>
      <c r="F126" s="139">
        <v>500000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7670000</v>
      </c>
      <c r="U126" s="191">
        <f t="shared" si="13"/>
        <v>21747000</v>
      </c>
    </row>
    <row r="127" spans="1:22" s="144" customFormat="1" x14ac:dyDescent="0.3">
      <c r="A127" s="349"/>
      <c r="B127" s="144" t="s">
        <v>76</v>
      </c>
      <c r="C127" s="138">
        <f t="shared" si="14"/>
        <v>29337000</v>
      </c>
      <c r="D127" s="139">
        <v>0</v>
      </c>
      <c r="E127" s="139">
        <v>2000000</v>
      </c>
      <c r="F127" s="139">
        <v>500000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8670000</v>
      </c>
      <c r="U127" s="191">
        <f t="shared" si="13"/>
        <v>20667000</v>
      </c>
    </row>
    <row r="128" spans="1:22" s="144" customFormat="1" x14ac:dyDescent="0.3">
      <c r="A128" s="349"/>
      <c r="B128" s="144" t="s">
        <v>77</v>
      </c>
      <c r="C128" s="138">
        <f t="shared" si="14"/>
        <v>28257000</v>
      </c>
      <c r="D128" s="139">
        <v>0</v>
      </c>
      <c r="E128" s="139">
        <v>0</v>
      </c>
      <c r="F128" s="139">
        <v>500000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6170000</v>
      </c>
      <c r="U128" s="191">
        <f t="shared" si="13"/>
        <v>22087000</v>
      </c>
    </row>
    <row r="129" spans="1:22" s="144" customFormat="1" x14ac:dyDescent="0.3">
      <c r="A129" s="349"/>
      <c r="B129" s="144" t="s">
        <v>78</v>
      </c>
      <c r="C129" s="138">
        <f t="shared" si="14"/>
        <v>29677000</v>
      </c>
      <c r="D129" s="139">
        <v>0</v>
      </c>
      <c r="E129" s="2">
        <v>1500000</v>
      </c>
      <c r="F129" s="139">
        <v>500000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7670000</v>
      </c>
      <c r="U129" s="191">
        <f t="shared" si="13"/>
        <v>22007000</v>
      </c>
    </row>
    <row r="130" spans="1:22" s="144" customFormat="1" x14ac:dyDescent="0.3">
      <c r="A130" s="349"/>
      <c r="B130" s="144" t="s">
        <v>79</v>
      </c>
      <c r="C130" s="138">
        <f t="shared" si="14"/>
        <v>29597000</v>
      </c>
      <c r="D130" s="139">
        <v>0</v>
      </c>
      <c r="E130" s="139">
        <v>0</v>
      </c>
      <c r="F130" s="139">
        <v>500000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6670000</v>
      </c>
      <c r="U130" s="191">
        <f t="shared" si="13"/>
        <v>22927000</v>
      </c>
    </row>
    <row r="131" spans="1:22" s="144" customFormat="1" x14ac:dyDescent="0.3">
      <c r="A131" s="349"/>
      <c r="B131" s="144" t="s">
        <v>80</v>
      </c>
      <c r="C131" s="138">
        <f t="shared" si="14"/>
        <v>30517000</v>
      </c>
      <c r="D131" s="139">
        <v>0</v>
      </c>
      <c r="E131" s="139">
        <v>0</v>
      </c>
      <c r="F131" s="139">
        <v>500000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6170000</v>
      </c>
      <c r="U131" s="191">
        <f t="shared" si="13"/>
        <v>24347000</v>
      </c>
    </row>
    <row r="132" spans="1:22" s="144" customFormat="1" x14ac:dyDescent="0.3">
      <c r="A132" s="349"/>
      <c r="B132" s="144" t="s">
        <v>81</v>
      </c>
      <c r="C132" s="138">
        <f t="shared" si="14"/>
        <v>31937000</v>
      </c>
      <c r="D132" s="139">
        <v>0</v>
      </c>
      <c r="E132" s="185">
        <v>1500000</v>
      </c>
      <c r="F132" s="139">
        <v>500000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7670000</v>
      </c>
      <c r="U132" s="191">
        <f t="shared" si="13"/>
        <v>24267000</v>
      </c>
    </row>
    <row r="133" spans="1:22" s="144" customFormat="1" x14ac:dyDescent="0.3">
      <c r="A133" s="349"/>
      <c r="B133" s="144" t="s">
        <v>82</v>
      </c>
      <c r="C133" s="138">
        <f t="shared" si="14"/>
        <v>31857000</v>
      </c>
      <c r="D133" s="139">
        <v>0</v>
      </c>
      <c r="E133" s="139">
        <v>0</v>
      </c>
      <c r="F133" s="139">
        <v>500000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6170000</v>
      </c>
      <c r="U133" s="191">
        <f t="shared" si="13"/>
        <v>25687000</v>
      </c>
    </row>
    <row r="134" spans="1:22" s="285" customFormat="1" x14ac:dyDescent="0.3">
      <c r="A134" s="349"/>
      <c r="B134" s="285" t="s">
        <v>83</v>
      </c>
      <c r="C134" s="283">
        <f t="shared" si="14"/>
        <v>33277000</v>
      </c>
      <c r="D134" s="283">
        <v>10000000</v>
      </c>
      <c r="E134" s="284">
        <v>500000</v>
      </c>
      <c r="F134" s="283">
        <v>500000</v>
      </c>
      <c r="G134" s="283">
        <v>420000</v>
      </c>
      <c r="H134" s="283">
        <v>1400000</v>
      </c>
      <c r="I134" s="283">
        <v>0</v>
      </c>
      <c r="J134" s="283">
        <v>1200000</v>
      </c>
      <c r="K134" s="283">
        <v>500000</v>
      </c>
      <c r="L134" s="283">
        <v>150000</v>
      </c>
      <c r="M134" s="283">
        <v>0</v>
      </c>
      <c r="N134" s="283">
        <v>500000</v>
      </c>
      <c r="O134" s="283">
        <v>0</v>
      </c>
      <c r="P134" s="283">
        <v>1500000</v>
      </c>
      <c r="Q134" s="283">
        <v>500000</v>
      </c>
      <c r="R134" s="283">
        <v>0</v>
      </c>
      <c r="S134" s="283">
        <v>15000000</v>
      </c>
      <c r="T134" s="283">
        <f t="shared" si="15"/>
        <v>22170000</v>
      </c>
      <c r="U134" s="284">
        <f t="shared" ref="U134:U145" si="16" xml:space="preserve"> (C134+D134) - T134</f>
        <v>21107000</v>
      </c>
      <c r="V134" s="285" t="s">
        <v>218</v>
      </c>
    </row>
    <row r="135" spans="1:22" s="144" customFormat="1" x14ac:dyDescent="0.3">
      <c r="A135" s="349">
        <v>2034</v>
      </c>
      <c r="B135" s="144" t="s">
        <v>72</v>
      </c>
      <c r="C135" s="138">
        <f t="shared" ref="C135:C146" si="17" xml:space="preserve"> U134 + 7590000</f>
        <v>28697000</v>
      </c>
      <c r="D135" s="139">
        <v>0</v>
      </c>
      <c r="E135" s="2">
        <v>1500000</v>
      </c>
      <c r="F135" s="139">
        <v>500000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7670000</v>
      </c>
      <c r="U135" s="191">
        <f t="shared" si="16"/>
        <v>21027000</v>
      </c>
    </row>
    <row r="136" spans="1:22" s="144" customFormat="1" x14ac:dyDescent="0.3">
      <c r="A136" s="349"/>
      <c r="B136" s="144" t="s">
        <v>73</v>
      </c>
      <c r="C136" s="138">
        <f t="shared" si="17"/>
        <v>28617000</v>
      </c>
      <c r="D136" s="139">
        <v>0</v>
      </c>
      <c r="E136" s="139">
        <v>0</v>
      </c>
      <c r="F136" s="139">
        <v>500000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6170000</v>
      </c>
      <c r="U136" s="191">
        <f t="shared" si="16"/>
        <v>22447000</v>
      </c>
    </row>
    <row r="137" spans="1:22" s="144" customFormat="1" x14ac:dyDescent="0.3">
      <c r="A137" s="349"/>
      <c r="B137" s="144" t="s">
        <v>74</v>
      </c>
      <c r="C137" s="138">
        <f t="shared" si="17"/>
        <v>30037000</v>
      </c>
      <c r="D137" s="139">
        <v>0</v>
      </c>
      <c r="E137" s="139">
        <v>0</v>
      </c>
      <c r="F137" s="139">
        <v>500000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6670000</v>
      </c>
      <c r="U137" s="191">
        <f t="shared" si="16"/>
        <v>23367000</v>
      </c>
    </row>
    <row r="138" spans="1:22" s="144" customFormat="1" x14ac:dyDescent="0.3">
      <c r="A138" s="349"/>
      <c r="B138" s="144" t="s">
        <v>75</v>
      </c>
      <c r="C138" s="138">
        <f t="shared" si="17"/>
        <v>30957000</v>
      </c>
      <c r="D138" s="139">
        <v>0</v>
      </c>
      <c r="E138" s="2">
        <v>1500000</v>
      </c>
      <c r="F138" s="139">
        <v>500000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7670000</v>
      </c>
      <c r="U138" s="191">
        <f t="shared" si="16"/>
        <v>23287000</v>
      </c>
    </row>
    <row r="139" spans="1:22" s="144" customFormat="1" x14ac:dyDescent="0.3">
      <c r="A139" s="349"/>
      <c r="B139" s="144" t="s">
        <v>76</v>
      </c>
      <c r="C139" s="138">
        <f t="shared" si="17"/>
        <v>30877000</v>
      </c>
      <c r="D139" s="139">
        <v>0</v>
      </c>
      <c r="E139" s="139">
        <v>2000000</v>
      </c>
      <c r="F139" s="139">
        <v>500000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8670000</v>
      </c>
      <c r="U139" s="191">
        <f t="shared" si="16"/>
        <v>22207000</v>
      </c>
    </row>
    <row r="140" spans="1:22" s="144" customFormat="1" x14ac:dyDescent="0.3">
      <c r="A140" s="349"/>
      <c r="B140" s="144" t="s">
        <v>77</v>
      </c>
      <c r="C140" s="138">
        <f t="shared" si="17"/>
        <v>29797000</v>
      </c>
      <c r="D140" s="139">
        <v>0</v>
      </c>
      <c r="E140" s="139">
        <v>0</v>
      </c>
      <c r="F140" s="139">
        <v>500000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6170000</v>
      </c>
      <c r="U140" s="191">
        <f t="shared" si="16"/>
        <v>23627000</v>
      </c>
    </row>
    <row r="141" spans="1:22" s="144" customFormat="1" x14ac:dyDescent="0.3">
      <c r="A141" s="349"/>
      <c r="B141" s="144" t="s">
        <v>78</v>
      </c>
      <c r="C141" s="138">
        <f t="shared" si="17"/>
        <v>31217000</v>
      </c>
      <c r="D141" s="139">
        <v>0</v>
      </c>
      <c r="E141" s="2">
        <v>1500000</v>
      </c>
      <c r="F141" s="139">
        <v>500000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7670000</v>
      </c>
      <c r="U141" s="191">
        <f t="shared" si="16"/>
        <v>23547000</v>
      </c>
    </row>
    <row r="142" spans="1:22" s="144" customFormat="1" x14ac:dyDescent="0.3">
      <c r="A142" s="349"/>
      <c r="B142" s="144" t="s">
        <v>79</v>
      </c>
      <c r="C142" s="138">
        <f t="shared" si="17"/>
        <v>31137000</v>
      </c>
      <c r="D142" s="139">
        <v>0</v>
      </c>
      <c r="E142" s="139">
        <v>0</v>
      </c>
      <c r="F142" s="139">
        <v>500000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6670000</v>
      </c>
      <c r="U142" s="191">
        <f t="shared" si="16"/>
        <v>24467000</v>
      </c>
    </row>
    <row r="143" spans="1:22" s="144" customFormat="1" x14ac:dyDescent="0.3">
      <c r="A143" s="349"/>
      <c r="B143" s="144" t="s">
        <v>80</v>
      </c>
      <c r="C143" s="138">
        <f t="shared" si="17"/>
        <v>32057000</v>
      </c>
      <c r="D143" s="139">
        <v>0</v>
      </c>
      <c r="E143" s="139">
        <v>0</v>
      </c>
      <c r="F143" s="139">
        <v>500000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6170000</v>
      </c>
      <c r="U143" s="191">
        <f t="shared" si="16"/>
        <v>25887000</v>
      </c>
    </row>
    <row r="144" spans="1:22" s="144" customFormat="1" x14ac:dyDescent="0.3">
      <c r="A144" s="349"/>
      <c r="B144" s="144" t="s">
        <v>81</v>
      </c>
      <c r="C144" s="138">
        <f t="shared" si="17"/>
        <v>33477000</v>
      </c>
      <c r="D144" s="139">
        <v>0</v>
      </c>
      <c r="E144" s="185">
        <v>1500000</v>
      </c>
      <c r="F144" s="139">
        <v>500000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7670000</v>
      </c>
      <c r="U144" s="191">
        <f t="shared" si="16"/>
        <v>25807000</v>
      </c>
    </row>
    <row r="145" spans="1:22" s="144" customFormat="1" x14ac:dyDescent="0.3">
      <c r="A145" s="349"/>
      <c r="B145" s="144" t="s">
        <v>82</v>
      </c>
      <c r="C145" s="138">
        <f t="shared" si="17"/>
        <v>33397000</v>
      </c>
      <c r="D145" s="139">
        <v>0</v>
      </c>
      <c r="E145" s="139">
        <v>0</v>
      </c>
      <c r="F145" s="139">
        <v>500000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6170000</v>
      </c>
      <c r="U145" s="191">
        <f t="shared" si="16"/>
        <v>27227000</v>
      </c>
    </row>
    <row r="146" spans="1:22" s="285" customFormat="1" x14ac:dyDescent="0.3">
      <c r="A146" s="349"/>
      <c r="B146" s="285" t="s">
        <v>83</v>
      </c>
      <c r="C146" s="283">
        <f t="shared" si="17"/>
        <v>34817000</v>
      </c>
      <c r="D146" s="283">
        <v>10000000</v>
      </c>
      <c r="E146" s="284">
        <v>500000</v>
      </c>
      <c r="F146" s="283">
        <v>500000</v>
      </c>
      <c r="G146" s="283">
        <v>420000</v>
      </c>
      <c r="H146" s="283">
        <v>1400000</v>
      </c>
      <c r="I146" s="283">
        <v>0</v>
      </c>
      <c r="J146" s="283">
        <v>1200000</v>
      </c>
      <c r="K146" s="283">
        <v>500000</v>
      </c>
      <c r="L146" s="283">
        <v>150000</v>
      </c>
      <c r="M146" s="283">
        <v>0</v>
      </c>
      <c r="N146" s="283">
        <v>500000</v>
      </c>
      <c r="O146" s="283">
        <v>0</v>
      </c>
      <c r="P146" s="283">
        <v>1500000</v>
      </c>
      <c r="Q146" s="283">
        <v>500000</v>
      </c>
      <c r="R146" s="283">
        <v>0</v>
      </c>
      <c r="S146" s="283">
        <v>15000000</v>
      </c>
      <c r="T146" s="283">
        <f t="shared" si="18"/>
        <v>22170000</v>
      </c>
      <c r="U146" s="284">
        <f t="shared" ref="U146:U157" si="19" xml:space="preserve"> (C146+D146) - T146</f>
        <v>22647000</v>
      </c>
      <c r="V146" s="285" t="s">
        <v>218</v>
      </c>
    </row>
    <row r="147" spans="1:22" s="144" customFormat="1" x14ac:dyDescent="0.3">
      <c r="A147" s="350" t="s">
        <v>250</v>
      </c>
      <c r="B147" s="144" t="s">
        <v>72</v>
      </c>
      <c r="C147" s="138">
        <f xml:space="preserve"> U146</f>
        <v>22647000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1200000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3850000</v>
      </c>
      <c r="U147" s="191">
        <f t="shared" si="19"/>
        <v>18797000</v>
      </c>
      <c r="V147" s="144" t="s">
        <v>251</v>
      </c>
    </row>
    <row r="148" spans="1:22" s="144" customFormat="1" x14ac:dyDescent="0.3">
      <c r="A148" s="349"/>
      <c r="B148" s="144" t="s">
        <v>73</v>
      </c>
      <c r="C148" s="138">
        <f xml:space="preserve"> U147</f>
        <v>18797000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1200000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3850000</v>
      </c>
      <c r="U148" s="191">
        <f t="shared" si="19"/>
        <v>14947000</v>
      </c>
    </row>
    <row r="149" spans="1:22" s="144" customFormat="1" x14ac:dyDescent="0.3">
      <c r="A149" s="349"/>
      <c r="B149" s="144" t="s">
        <v>74</v>
      </c>
      <c r="C149" s="138">
        <f t="shared" ref="C149:C158" si="21" xml:space="preserve"> U148</f>
        <v>14947000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1200000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4350000</v>
      </c>
      <c r="U149" s="191">
        <f t="shared" si="19"/>
        <v>10597000</v>
      </c>
    </row>
    <row r="150" spans="1:22" s="144" customFormat="1" x14ac:dyDescent="0.3">
      <c r="A150" s="349"/>
      <c r="B150" s="144" t="s">
        <v>75</v>
      </c>
      <c r="C150" s="138">
        <f t="shared" si="21"/>
        <v>10597000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1200000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3850000</v>
      </c>
      <c r="U150" s="191">
        <f t="shared" si="19"/>
        <v>6747000</v>
      </c>
    </row>
    <row r="151" spans="1:22" s="144" customFormat="1" x14ac:dyDescent="0.3">
      <c r="A151" s="349"/>
      <c r="B151" s="144" t="s">
        <v>76</v>
      </c>
      <c r="C151" s="138">
        <f t="shared" si="21"/>
        <v>6747000</v>
      </c>
      <c r="D151" s="139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1200000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4350000</v>
      </c>
      <c r="U151" s="191">
        <f t="shared" si="19"/>
        <v>2397000</v>
      </c>
    </row>
    <row r="152" spans="1:22" s="144" customFormat="1" x14ac:dyDescent="0.3">
      <c r="A152" s="349"/>
      <c r="B152" s="144" t="s">
        <v>77</v>
      </c>
      <c r="C152" s="138">
        <f t="shared" si="21"/>
        <v>2397000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1200000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3850000</v>
      </c>
      <c r="U152" s="191">
        <f t="shared" si="19"/>
        <v>-1453000</v>
      </c>
    </row>
    <row r="153" spans="1:22" s="144" customFormat="1" x14ac:dyDescent="0.3">
      <c r="A153" s="349"/>
      <c r="B153" s="144" t="s">
        <v>78</v>
      </c>
      <c r="C153" s="138">
        <f t="shared" si="21"/>
        <v>-1453000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1200000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3850000</v>
      </c>
      <c r="U153" s="191">
        <f t="shared" si="19"/>
        <v>-5303000</v>
      </c>
    </row>
    <row r="154" spans="1:22" s="144" customFormat="1" x14ac:dyDescent="0.3">
      <c r="A154" s="349"/>
      <c r="B154" s="144" t="s">
        <v>79</v>
      </c>
      <c r="C154" s="138">
        <f t="shared" si="21"/>
        <v>-5303000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1200000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4350000</v>
      </c>
      <c r="U154" s="191">
        <f t="shared" si="19"/>
        <v>-9653000</v>
      </c>
    </row>
    <row r="155" spans="1:22" s="144" customFormat="1" x14ac:dyDescent="0.3">
      <c r="A155" s="349"/>
      <c r="B155" s="144" t="s">
        <v>80</v>
      </c>
      <c r="C155" s="138">
        <f t="shared" si="21"/>
        <v>-9653000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1200000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3850000</v>
      </c>
      <c r="U155" s="191">
        <f t="shared" si="19"/>
        <v>-13503000</v>
      </c>
    </row>
    <row r="156" spans="1:22" s="144" customFormat="1" x14ac:dyDescent="0.3">
      <c r="A156" s="349"/>
      <c r="B156" s="144" t="s">
        <v>81</v>
      </c>
      <c r="C156" s="138">
        <f t="shared" si="21"/>
        <v>-13503000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1200000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3850000</v>
      </c>
      <c r="U156" s="191">
        <f t="shared" si="19"/>
        <v>-17353000</v>
      </c>
    </row>
    <row r="157" spans="1:22" s="144" customFormat="1" x14ac:dyDescent="0.3">
      <c r="A157" s="349"/>
      <c r="B157" s="144" t="s">
        <v>82</v>
      </c>
      <c r="C157" s="138">
        <f t="shared" si="21"/>
        <v>-17353000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1200000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3850000</v>
      </c>
      <c r="U157" s="191">
        <f t="shared" si="19"/>
        <v>-21203000</v>
      </c>
    </row>
    <row r="158" spans="1:22" s="212" customFormat="1" x14ac:dyDescent="0.3">
      <c r="A158" s="349"/>
      <c r="B158" s="212" t="s">
        <v>83</v>
      </c>
      <c r="C158" s="138">
        <f t="shared" si="21"/>
        <v>-21203000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3">
        <v>0</v>
      </c>
      <c r="J158" s="283">
        <v>1200000</v>
      </c>
      <c r="K158" s="283">
        <v>500000</v>
      </c>
      <c r="L158" s="283">
        <v>150000</v>
      </c>
      <c r="M158" s="283">
        <v>0</v>
      </c>
      <c r="N158" s="283">
        <v>500000</v>
      </c>
      <c r="O158" s="283">
        <v>0</v>
      </c>
      <c r="P158" s="283">
        <v>1500000</v>
      </c>
      <c r="Q158" s="283">
        <v>500000</v>
      </c>
      <c r="R158" s="283">
        <v>0</v>
      </c>
      <c r="S158" s="283">
        <v>15000000</v>
      </c>
      <c r="T158" s="283">
        <f t="shared" si="20"/>
        <v>19350000</v>
      </c>
      <c r="U158" s="284">
        <f t="shared" ref="U158" si="22" xml:space="preserve"> (C158+D158) - T158</f>
        <v>-40553000</v>
      </c>
      <c r="V158" s="285"/>
    </row>
  </sheetData>
  <mergeCells count="13"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9"/>
  <sheetViews>
    <sheetView workbookViewId="0">
      <selection sqref="A1:XFD1048576"/>
    </sheetView>
  </sheetViews>
  <sheetFormatPr defaultRowHeight="16.5" x14ac:dyDescent="0.3"/>
  <cols>
    <col min="1" max="1" width="10.75" style="332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331" t="s">
        <v>219</v>
      </c>
      <c r="C2" s="331"/>
      <c r="D2" s="331" t="s">
        <v>220</v>
      </c>
      <c r="E2" s="331"/>
      <c r="F2" s="331" t="s">
        <v>221</v>
      </c>
      <c r="G2" s="331"/>
      <c r="H2" s="331" t="s">
        <v>222</v>
      </c>
      <c r="I2" s="331"/>
      <c r="J2" s="331" t="s">
        <v>87</v>
      </c>
      <c r="K2" s="304"/>
      <c r="L2" s="304" t="s">
        <v>9</v>
      </c>
      <c r="M2" s="304" t="s">
        <v>263</v>
      </c>
    </row>
    <row r="3" spans="1:13" s="316" customFormat="1" x14ac:dyDescent="0.3">
      <c r="A3" s="314" t="s">
        <v>223</v>
      </c>
      <c r="B3" s="315">
        <v>7300000</v>
      </c>
      <c r="C3" s="315"/>
      <c r="D3" s="315">
        <v>7300000</v>
      </c>
      <c r="E3" s="315"/>
      <c r="F3" s="315">
        <v>7300000</v>
      </c>
      <c r="G3" s="315"/>
      <c r="H3" s="315">
        <v>7300000</v>
      </c>
      <c r="I3" s="315"/>
      <c r="J3" s="315">
        <v>7300000</v>
      </c>
      <c r="K3" s="315"/>
      <c r="L3" s="315">
        <f xml:space="preserve"> SUM(B3,D3,F3,H3,J3)</f>
        <v>36500000</v>
      </c>
    </row>
    <row r="4" spans="1:13" x14ac:dyDescent="0.3">
      <c r="A4" s="332" t="s">
        <v>255</v>
      </c>
      <c r="B4" s="309">
        <f xml:space="preserve"> B5</f>
        <v>7590145</v>
      </c>
      <c r="C4" s="310">
        <f xml:space="preserve"> B4 / L4 * 100</f>
        <v>20.823835554870403</v>
      </c>
      <c r="D4" s="305">
        <f xml:space="preserve"> D5+D6+D7+D8+D9</f>
        <v>7983320</v>
      </c>
      <c r="E4" s="306">
        <f xml:space="preserve"> D4 / L4 * 100</f>
        <v>21.902525295881432</v>
      </c>
      <c r="F4" s="307">
        <f xml:space="preserve"> F5+F6+F7</f>
        <v>7246781</v>
      </c>
      <c r="G4" s="308">
        <f xml:space="preserve">  F4 / L4 * 100</f>
        <v>19.881804082288191</v>
      </c>
      <c r="H4" s="309">
        <f xml:space="preserve"> H5</f>
        <v>7329067</v>
      </c>
      <c r="I4" s="310">
        <f xml:space="preserve"> H4 / L4 * 100</f>
        <v>20.107558680186919</v>
      </c>
      <c r="J4" s="311">
        <f xml:space="preserve"> J5 + J6+ J7</f>
        <v>6300000</v>
      </c>
      <c r="K4" s="312">
        <f xml:space="preserve"> J4 / L4 * 100</f>
        <v>17.284276386773051</v>
      </c>
      <c r="L4" s="241">
        <f>SUM(B4,D4,F4,H4,J4)</f>
        <v>36449313</v>
      </c>
      <c r="M4" s="193">
        <v>0</v>
      </c>
    </row>
    <row r="5" spans="1:13" x14ac:dyDescent="0.3">
      <c r="B5" s="309">
        <v>7590145</v>
      </c>
      <c r="C5" s="335" t="s">
        <v>253</v>
      </c>
      <c r="D5" s="305">
        <v>1148000</v>
      </c>
      <c r="E5" s="336" t="s">
        <v>254</v>
      </c>
      <c r="F5" s="307">
        <v>4950210</v>
      </c>
      <c r="G5" s="337" t="s">
        <v>258</v>
      </c>
      <c r="H5" s="309">
        <v>7329067</v>
      </c>
      <c r="I5" s="335" t="s">
        <v>260</v>
      </c>
      <c r="J5" s="311">
        <v>2600000</v>
      </c>
      <c r="K5" s="338" t="s">
        <v>261</v>
      </c>
      <c r="L5" s="332"/>
    </row>
    <row r="6" spans="1:13" x14ac:dyDescent="0.3">
      <c r="B6" s="313"/>
      <c r="C6" s="313"/>
      <c r="D6" s="305">
        <v>2018000</v>
      </c>
      <c r="E6" s="336" t="s">
        <v>256</v>
      </c>
      <c r="F6" s="307">
        <v>0</v>
      </c>
      <c r="G6" s="337" t="s">
        <v>114</v>
      </c>
      <c r="H6" s="313"/>
      <c r="I6" s="313"/>
      <c r="J6" s="311">
        <v>0</v>
      </c>
      <c r="K6" s="338" t="s">
        <v>262</v>
      </c>
      <c r="L6" s="332"/>
    </row>
    <row r="7" spans="1:13" x14ac:dyDescent="0.3">
      <c r="B7" s="313"/>
      <c r="C7" s="313"/>
      <c r="D7" s="305">
        <v>2479320</v>
      </c>
      <c r="E7" s="336" t="s">
        <v>257</v>
      </c>
      <c r="F7" s="307">
        <v>2296571</v>
      </c>
      <c r="G7" s="337" t="s">
        <v>259</v>
      </c>
      <c r="H7" s="313"/>
      <c r="I7" s="313"/>
      <c r="J7" s="311">
        <v>3700000</v>
      </c>
      <c r="K7" s="338" t="s">
        <v>302</v>
      </c>
      <c r="L7" s="332"/>
    </row>
    <row r="8" spans="1:13" x14ac:dyDescent="0.3">
      <c r="D8" s="305">
        <v>1290000</v>
      </c>
      <c r="E8" s="336" t="s">
        <v>289</v>
      </c>
    </row>
    <row r="9" spans="1:13" x14ac:dyDescent="0.3">
      <c r="D9" s="305">
        <v>1048000</v>
      </c>
      <c r="E9" s="336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A1:H52"/>
  <sheetViews>
    <sheetView tabSelected="1" topLeftCell="G34" workbookViewId="0">
      <selection activeCell="G53" sqref="G53"/>
    </sheetView>
  </sheetViews>
  <sheetFormatPr defaultRowHeight="16.5" x14ac:dyDescent="0.3"/>
  <cols>
    <col min="2" max="2" width="16.625" style="3" customWidth="1"/>
    <col min="3" max="3" width="12.125" style="317" customWidth="1"/>
    <col min="4" max="4" width="10.875" customWidth="1"/>
    <col min="5" max="5" width="19.375" customWidth="1"/>
    <col min="6" max="6" width="13.75" bestFit="1" customWidth="1"/>
    <col min="7" max="7" width="52.375" bestFit="1" customWidth="1"/>
  </cols>
  <sheetData>
    <row r="1" spans="1:7" s="73" customFormat="1" x14ac:dyDescent="0.3">
      <c r="B1" s="41" t="s">
        <v>286</v>
      </c>
      <c r="C1" s="318" t="s">
        <v>284</v>
      </c>
      <c r="D1" s="41" t="s">
        <v>276</v>
      </c>
      <c r="E1" s="41" t="s">
        <v>269</v>
      </c>
      <c r="F1" s="41" t="s">
        <v>270</v>
      </c>
    </row>
    <row r="2" spans="1:7" x14ac:dyDescent="0.3">
      <c r="B2" s="330" t="s">
        <v>264</v>
      </c>
      <c r="C2" s="262">
        <v>2350000</v>
      </c>
      <c r="D2" s="1" t="s">
        <v>265</v>
      </c>
      <c r="E2" s="2">
        <v>830000</v>
      </c>
      <c r="F2" s="262">
        <v>1520000</v>
      </c>
    </row>
    <row r="3" spans="1:7" x14ac:dyDescent="0.3">
      <c r="B3" s="330" t="s">
        <v>266</v>
      </c>
      <c r="C3" s="262">
        <v>1400000</v>
      </c>
      <c r="D3" s="1" t="s">
        <v>268</v>
      </c>
      <c r="E3" s="2">
        <v>100000</v>
      </c>
      <c r="F3" s="262">
        <v>1300000</v>
      </c>
    </row>
    <row r="4" spans="1:7" x14ac:dyDescent="0.3">
      <c r="B4" s="330" t="s">
        <v>267</v>
      </c>
      <c r="C4" s="262">
        <v>500000</v>
      </c>
      <c r="D4" s="1" t="s">
        <v>268</v>
      </c>
      <c r="E4" s="2">
        <v>0</v>
      </c>
      <c r="F4" s="262">
        <v>500000</v>
      </c>
    </row>
    <row r="5" spans="1:7" x14ac:dyDescent="0.3">
      <c r="B5" s="330" t="s">
        <v>271</v>
      </c>
      <c r="C5" s="262">
        <v>310000</v>
      </c>
      <c r="D5" s="1" t="s">
        <v>272</v>
      </c>
      <c r="E5" s="2">
        <v>60000</v>
      </c>
      <c r="F5" s="262">
        <v>250000</v>
      </c>
      <c r="G5" s="319" t="s">
        <v>287</v>
      </c>
    </row>
    <row r="6" spans="1:7" x14ac:dyDescent="0.3">
      <c r="B6" s="330" t="s">
        <v>273</v>
      </c>
      <c r="C6" s="262">
        <v>2000000</v>
      </c>
      <c r="D6" s="1" t="s">
        <v>272</v>
      </c>
      <c r="E6" s="2">
        <v>0</v>
      </c>
      <c r="F6" s="262">
        <v>2000000</v>
      </c>
    </row>
    <row r="7" spans="1:7" x14ac:dyDescent="0.3">
      <c r="B7" s="330" t="s">
        <v>274</v>
      </c>
      <c r="C7" s="262">
        <v>500000</v>
      </c>
      <c r="D7" s="1" t="s">
        <v>272</v>
      </c>
      <c r="E7" s="2">
        <v>0</v>
      </c>
      <c r="F7" s="262">
        <v>500000</v>
      </c>
    </row>
    <row r="8" spans="1:7" x14ac:dyDescent="0.3">
      <c r="B8" s="330" t="s">
        <v>275</v>
      </c>
      <c r="C8" s="262">
        <v>1600000</v>
      </c>
      <c r="D8" s="1" t="s">
        <v>272</v>
      </c>
      <c r="E8" s="2">
        <v>0</v>
      </c>
      <c r="F8" s="262">
        <v>1600000</v>
      </c>
    </row>
    <row r="9" spans="1:7" x14ac:dyDescent="0.3">
      <c r="B9" s="330" t="s">
        <v>277</v>
      </c>
      <c r="C9" s="262">
        <v>870000</v>
      </c>
      <c r="D9" s="1" t="s">
        <v>278</v>
      </c>
      <c r="E9" s="2">
        <v>0</v>
      </c>
      <c r="F9" s="262">
        <v>870000</v>
      </c>
      <c r="G9" t="s">
        <v>292</v>
      </c>
    </row>
    <row r="10" spans="1:7" s="328" customFormat="1" ht="82.5" x14ac:dyDescent="0.3">
      <c r="B10" s="324" t="s">
        <v>279</v>
      </c>
      <c r="C10" s="325">
        <v>1000000</v>
      </c>
      <c r="D10" s="326" t="s">
        <v>268</v>
      </c>
      <c r="E10" s="327">
        <v>0</v>
      </c>
      <c r="F10" s="325">
        <v>1000000</v>
      </c>
      <c r="G10" s="333" t="s">
        <v>293</v>
      </c>
    </row>
    <row r="11" spans="1:7" s="328" customFormat="1" x14ac:dyDescent="0.3">
      <c r="B11" s="334" t="s">
        <v>294</v>
      </c>
      <c r="C11" s="325">
        <v>1800000</v>
      </c>
      <c r="D11" s="1" t="s">
        <v>295</v>
      </c>
      <c r="E11" s="327"/>
      <c r="F11" s="325">
        <v>1800000</v>
      </c>
      <c r="G11" s="328" t="s">
        <v>291</v>
      </c>
    </row>
    <row r="12" spans="1:7" s="328" customFormat="1" x14ac:dyDescent="0.3">
      <c r="B12" s="334" t="s">
        <v>296</v>
      </c>
      <c r="C12" s="325">
        <v>900000</v>
      </c>
      <c r="D12" s="326" t="s">
        <v>297</v>
      </c>
      <c r="E12" s="327"/>
      <c r="F12" s="325">
        <v>1000000</v>
      </c>
      <c r="G12" s="328" t="s">
        <v>291</v>
      </c>
    </row>
    <row r="13" spans="1:7" s="328" customFormat="1" x14ac:dyDescent="0.3">
      <c r="B13" s="334" t="s">
        <v>288</v>
      </c>
      <c r="C13" s="325">
        <v>500000</v>
      </c>
      <c r="D13" s="326" t="s">
        <v>297</v>
      </c>
      <c r="E13" s="327"/>
      <c r="F13" s="325">
        <v>500000</v>
      </c>
      <c r="G13" s="328" t="s">
        <v>291</v>
      </c>
    </row>
    <row r="14" spans="1:7" s="328" customFormat="1" x14ac:dyDescent="0.3">
      <c r="B14" s="334" t="s">
        <v>298</v>
      </c>
      <c r="C14" s="325">
        <v>800000</v>
      </c>
      <c r="D14" s="326" t="s">
        <v>299</v>
      </c>
      <c r="E14" s="327"/>
      <c r="F14" s="325">
        <v>800000</v>
      </c>
    </row>
    <row r="15" spans="1:7" x14ac:dyDescent="0.3">
      <c r="A15" s="328"/>
      <c r="B15" s="324" t="s">
        <v>280</v>
      </c>
      <c r="C15" s="325">
        <v>150000</v>
      </c>
      <c r="D15" s="326" t="s">
        <v>297</v>
      </c>
      <c r="E15" s="327">
        <v>0</v>
      </c>
      <c r="F15" s="325">
        <v>150000</v>
      </c>
      <c r="G15" s="329" t="s">
        <v>281</v>
      </c>
    </row>
    <row r="16" spans="1:7" x14ac:dyDescent="0.3">
      <c r="A16" s="328"/>
      <c r="B16" s="324" t="s">
        <v>282</v>
      </c>
      <c r="C16" s="325">
        <v>400000</v>
      </c>
      <c r="D16" s="326" t="s">
        <v>297</v>
      </c>
      <c r="E16" s="327">
        <v>0</v>
      </c>
      <c r="F16" s="325">
        <v>400000</v>
      </c>
      <c r="G16" s="329" t="s">
        <v>283</v>
      </c>
    </row>
    <row r="17" spans="1:7" ht="82.5" x14ac:dyDescent="0.3">
      <c r="A17" s="328"/>
      <c r="B17" s="324" t="s">
        <v>300</v>
      </c>
      <c r="C17" s="325">
        <v>300000</v>
      </c>
      <c r="D17" s="326" t="s">
        <v>297</v>
      </c>
      <c r="E17" s="327"/>
      <c r="F17" s="325">
        <v>300000</v>
      </c>
      <c r="G17" s="333" t="s">
        <v>301</v>
      </c>
    </row>
    <row r="18" spans="1:7" x14ac:dyDescent="0.3">
      <c r="B18" s="330" t="s">
        <v>285</v>
      </c>
      <c r="C18" s="172">
        <f>SUM(C2:C17)</f>
        <v>15380000</v>
      </c>
      <c r="D18" s="1"/>
      <c r="E18" s="2">
        <f>SUM(E2:E16)</f>
        <v>990000</v>
      </c>
      <c r="F18" s="262">
        <f>SUM(F2:F17)</f>
        <v>14490000</v>
      </c>
      <c r="G18" s="12"/>
    </row>
    <row r="22" spans="1:7" x14ac:dyDescent="0.3">
      <c r="B22" s="3" t="s">
        <v>303</v>
      </c>
      <c r="G22" t="s">
        <v>313</v>
      </c>
    </row>
    <row r="23" spans="1:7" x14ac:dyDescent="0.3">
      <c r="B23" s="3" t="s">
        <v>304</v>
      </c>
      <c r="G23" t="s">
        <v>314</v>
      </c>
    </row>
    <row r="25" spans="1:7" x14ac:dyDescent="0.3">
      <c r="B25" s="3" t="s">
        <v>305</v>
      </c>
      <c r="G25" t="s">
        <v>315</v>
      </c>
    </row>
    <row r="26" spans="1:7" x14ac:dyDescent="0.3">
      <c r="B26" s="3" t="s">
        <v>306</v>
      </c>
      <c r="G26" s="402">
        <v>40000000</v>
      </c>
    </row>
    <row r="27" spans="1:7" x14ac:dyDescent="0.3">
      <c r="G27" t="s">
        <v>316</v>
      </c>
    </row>
    <row r="28" spans="1:7" x14ac:dyDescent="0.3">
      <c r="B28" s="3" t="s">
        <v>307</v>
      </c>
      <c r="C28" s="317" t="s">
        <v>308</v>
      </c>
    </row>
    <row r="29" spans="1:7" x14ac:dyDescent="0.3">
      <c r="G29" t="s">
        <v>317</v>
      </c>
    </row>
    <row r="30" spans="1:7" x14ac:dyDescent="0.3">
      <c r="B30" s="3" t="s">
        <v>309</v>
      </c>
      <c r="G30" t="s">
        <v>318</v>
      </c>
    </row>
    <row r="31" spans="1:7" x14ac:dyDescent="0.3">
      <c r="B31" s="3" t="s">
        <v>310</v>
      </c>
    </row>
    <row r="32" spans="1:7" x14ac:dyDescent="0.3">
      <c r="G32" t="s">
        <v>319</v>
      </c>
    </row>
    <row r="33" spans="2:8" x14ac:dyDescent="0.3">
      <c r="G33" t="s">
        <v>320</v>
      </c>
    </row>
    <row r="34" spans="2:8" x14ac:dyDescent="0.3">
      <c r="B34" s="3" t="s">
        <v>311</v>
      </c>
    </row>
    <row r="35" spans="2:8" x14ac:dyDescent="0.3">
      <c r="G35" t="s">
        <v>321</v>
      </c>
    </row>
    <row r="36" spans="2:8" x14ac:dyDescent="0.3">
      <c r="G36" t="s">
        <v>322</v>
      </c>
    </row>
    <row r="37" spans="2:8" x14ac:dyDescent="0.3">
      <c r="B37" s="3" t="s">
        <v>312</v>
      </c>
    </row>
    <row r="38" spans="2:8" x14ac:dyDescent="0.3">
      <c r="G38" t="s">
        <v>323</v>
      </c>
    </row>
    <row r="39" spans="2:8" x14ac:dyDescent="0.3">
      <c r="G39" s="402">
        <v>-304000000</v>
      </c>
    </row>
    <row r="40" spans="2:8" x14ac:dyDescent="0.3">
      <c r="H40" s="402">
        <v>-5000000</v>
      </c>
    </row>
    <row r="41" spans="2:8" x14ac:dyDescent="0.3">
      <c r="H41" s="402">
        <v>-250000</v>
      </c>
    </row>
    <row r="42" spans="2:8" x14ac:dyDescent="0.3">
      <c r="G42" t="s">
        <v>324</v>
      </c>
    </row>
    <row r="43" spans="2:8" x14ac:dyDescent="0.3">
      <c r="H43" t="s">
        <v>325</v>
      </c>
    </row>
    <row r="44" spans="2:8" x14ac:dyDescent="0.3">
      <c r="G44" t="s">
        <v>326</v>
      </c>
      <c r="H44" t="s">
        <v>325</v>
      </c>
    </row>
    <row r="45" spans="2:8" x14ac:dyDescent="0.3">
      <c r="G45" s="402">
        <v>-1300000</v>
      </c>
    </row>
    <row r="46" spans="2:8" x14ac:dyDescent="0.3">
      <c r="H46" s="402">
        <v>-500000</v>
      </c>
    </row>
    <row r="47" spans="2:8" x14ac:dyDescent="0.3">
      <c r="G47" t="s">
        <v>327</v>
      </c>
    </row>
    <row r="48" spans="2:8" x14ac:dyDescent="0.3">
      <c r="H48" t="s">
        <v>325</v>
      </c>
    </row>
    <row r="49" spans="7:7" x14ac:dyDescent="0.3">
      <c r="G49" t="s">
        <v>328</v>
      </c>
    </row>
    <row r="51" spans="7:7" x14ac:dyDescent="0.3">
      <c r="G51" t="s">
        <v>329</v>
      </c>
    </row>
    <row r="52" spans="7:7" x14ac:dyDescent="0.3">
      <c r="G52" t="s">
        <v>330</v>
      </c>
    </row>
  </sheetData>
  <phoneticPr fontId="1" type="noConversion"/>
  <hyperlinks>
    <hyperlink ref="G15" r:id="rId1" xr:uid="{2DCE9B62-D840-4DD8-A987-663D0BA4F193}"/>
    <hyperlink ref="G16" r:id="rId2" xr:uid="{CDF5E499-6E88-46B3-B30A-97EE9D0DE892}"/>
    <hyperlink ref="G10" r:id="rId3" xr:uid="{D026DD74-7EB7-4B4F-AADF-E7615F61BE68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7"/>
      <c r="C1" s="357"/>
    </row>
    <row r="2" spans="2:18" x14ac:dyDescent="0.3">
      <c r="B2" s="346" t="s">
        <v>71</v>
      </c>
      <c r="C2" s="346"/>
      <c r="E2" s="354" t="s">
        <v>71</v>
      </c>
      <c r="F2" s="355"/>
      <c r="G2" s="355"/>
      <c r="H2" s="356"/>
      <c r="J2" s="354" t="s">
        <v>94</v>
      </c>
      <c r="K2" s="355"/>
      <c r="L2" s="355"/>
      <c r="M2" s="356"/>
      <c r="O2" s="354" t="s">
        <v>95</v>
      </c>
      <c r="P2" s="355"/>
      <c r="Q2" s="355"/>
      <c r="R2" s="35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4" t="s">
        <v>188</v>
      </c>
      <c r="F16" s="355"/>
      <c r="G16" s="355"/>
      <c r="H16" s="356"/>
      <c r="J16" s="354" t="s">
        <v>192</v>
      </c>
      <c r="K16" s="355"/>
      <c r="L16" s="355"/>
      <c r="M16" s="356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52">
        <v>70500000</v>
      </c>
      <c r="G29" s="353"/>
      <c r="H29" s="194">
        <f xml:space="preserve"> (((F29 + G28) / F29) - 1) * 100</f>
        <v>3.0254751773049593</v>
      </c>
      <c r="J29" s="4" t="s">
        <v>191</v>
      </c>
      <c r="K29" s="352">
        <v>70500000</v>
      </c>
      <c r="L29" s="353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58" t="s">
        <v>36</v>
      </c>
      <c r="E3" s="358"/>
      <c r="F3" s="358"/>
      <c r="G3" s="358"/>
      <c r="H3" s="358"/>
      <c r="I3" s="358"/>
      <c r="J3" s="358"/>
      <c r="K3" s="358"/>
      <c r="L3" s="358"/>
      <c r="M3" s="358"/>
      <c r="N3" s="358"/>
    </row>
    <row r="4" spans="3:14" x14ac:dyDescent="0.3"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9">
        <f xml:space="preserve"> D22 + E22 + F22 + G22</f>
        <v>18921448</v>
      </c>
      <c r="E23" s="351"/>
      <c r="F23" s="351"/>
      <c r="G23" s="351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60">
        <f xml:space="preserve"> D23 / I23 * 100</f>
        <v>84.996483606996279</v>
      </c>
      <c r="E24" s="361"/>
      <c r="F24" s="361"/>
      <c r="G24" s="362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68" t="s">
        <v>100</v>
      </c>
      <c r="C27" s="372" t="s">
        <v>115</v>
      </c>
      <c r="D27" s="363" t="s">
        <v>98</v>
      </c>
      <c r="E27" s="364"/>
      <c r="F27" s="365"/>
      <c r="G27" s="368" t="s">
        <v>102</v>
      </c>
      <c r="H27" s="366" t="s">
        <v>118</v>
      </c>
      <c r="I27" s="369" t="s">
        <v>96</v>
      </c>
      <c r="J27" s="368" t="s">
        <v>105</v>
      </c>
      <c r="K27" s="368" t="s">
        <v>116</v>
      </c>
    </row>
    <row r="28" spans="2:12" ht="17.25" thickBot="1" x14ac:dyDescent="0.35">
      <c r="B28" s="367"/>
      <c r="C28" s="373"/>
      <c r="D28" s="368" t="s">
        <v>97</v>
      </c>
      <c r="E28" s="366" t="s">
        <v>101</v>
      </c>
      <c r="F28" s="374" t="s">
        <v>104</v>
      </c>
      <c r="G28" s="367"/>
      <c r="H28" s="367"/>
      <c r="I28" s="370"/>
      <c r="J28" s="367"/>
      <c r="K28" s="367"/>
    </row>
    <row r="29" spans="2:12" ht="37.5" customHeight="1" thickBot="1" x14ac:dyDescent="0.35">
      <c r="B29" s="367"/>
      <c r="C29" s="373"/>
      <c r="D29" s="367"/>
      <c r="E29" s="367"/>
      <c r="F29" s="375"/>
      <c r="G29" s="367"/>
      <c r="H29" s="367"/>
      <c r="I29" s="46" t="s">
        <v>99</v>
      </c>
      <c r="J29" s="371"/>
      <c r="K29" s="371"/>
    </row>
    <row r="30" spans="2:12" x14ac:dyDescent="0.3">
      <c r="B30" s="380" t="s">
        <v>114</v>
      </c>
      <c r="C30" s="382">
        <v>1845434000</v>
      </c>
      <c r="D30" s="49">
        <v>1845434000</v>
      </c>
      <c r="E30" s="48">
        <v>0</v>
      </c>
      <c r="F30" s="50">
        <v>10.81</v>
      </c>
      <c r="G30" s="376">
        <f xml:space="preserve"> C30 + D31</f>
        <v>0</v>
      </c>
      <c r="H30" s="382">
        <v>934126897</v>
      </c>
      <c r="I30" s="384">
        <f xml:space="preserve"> G30 / H30</f>
        <v>0</v>
      </c>
      <c r="J30" s="378" t="s">
        <v>103</v>
      </c>
      <c r="K30" s="376">
        <f xml:space="preserve"> D30 / H30</f>
        <v>1.9755709914003259</v>
      </c>
    </row>
    <row r="31" spans="2:12" ht="17.25" thickBot="1" x14ac:dyDescent="0.35">
      <c r="B31" s="381"/>
      <c r="C31" s="383"/>
      <c r="D31" s="386">
        <f xml:space="preserve"> (D30 * (E30 - F30)) / F30</f>
        <v>-1845434000</v>
      </c>
      <c r="E31" s="387"/>
      <c r="F31" s="388"/>
      <c r="G31" s="381"/>
      <c r="H31" s="383"/>
      <c r="I31" s="385"/>
      <c r="J31" s="379"/>
      <c r="K31" s="37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51" t="s">
        <v>143</v>
      </c>
      <c r="B29" s="351"/>
      <c r="C29" s="351"/>
    </row>
    <row r="30" spans="1:11" x14ac:dyDescent="0.3">
      <c r="A30" s="1">
        <v>1</v>
      </c>
      <c r="B30" s="351" t="s">
        <v>144</v>
      </c>
      <c r="C30" s="1" t="s">
        <v>145</v>
      </c>
    </row>
    <row r="31" spans="1:11" x14ac:dyDescent="0.3">
      <c r="A31" s="1">
        <v>2</v>
      </c>
      <c r="B31" s="351"/>
      <c r="C31" s="1" t="s">
        <v>146</v>
      </c>
    </row>
    <row r="32" spans="1:11" x14ac:dyDescent="0.3">
      <c r="A32" s="1">
        <v>3</v>
      </c>
      <c r="B32" s="351"/>
      <c r="C32" s="1" t="s">
        <v>147</v>
      </c>
    </row>
    <row r="33" spans="1:3" x14ac:dyDescent="0.3">
      <c r="A33" s="1">
        <v>4</v>
      </c>
      <c r="B33" s="351"/>
      <c r="C33" s="1" t="s">
        <v>148</v>
      </c>
    </row>
    <row r="34" spans="1:3" x14ac:dyDescent="0.3">
      <c r="A34" s="1">
        <v>5</v>
      </c>
      <c r="B34" s="351" t="s">
        <v>152</v>
      </c>
      <c r="C34" s="1" t="s">
        <v>149</v>
      </c>
    </row>
    <row r="35" spans="1:3" x14ac:dyDescent="0.3">
      <c r="A35" s="1">
        <v>6</v>
      </c>
      <c r="B35" s="351"/>
      <c r="C35" s="1" t="s">
        <v>150</v>
      </c>
    </row>
    <row r="36" spans="1:3" x14ac:dyDescent="0.3">
      <c r="A36" s="1">
        <v>7</v>
      </c>
      <c r="B36" s="351"/>
      <c r="C36" s="1" t="s">
        <v>151</v>
      </c>
    </row>
    <row r="37" spans="1:3" x14ac:dyDescent="0.3">
      <c r="A37" s="1">
        <v>8</v>
      </c>
      <c r="B37" s="351" t="s">
        <v>153</v>
      </c>
      <c r="C37" s="1" t="s">
        <v>154</v>
      </c>
    </row>
    <row r="38" spans="1:3" x14ac:dyDescent="0.3">
      <c r="A38" s="1">
        <v>9</v>
      </c>
      <c r="B38" s="35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46" t="s">
        <v>66</v>
      </c>
      <c r="C2" s="346"/>
      <c r="E2" s="346" t="s">
        <v>67</v>
      </c>
      <c r="F2" s="346"/>
      <c r="H2" s="346" t="s">
        <v>68</v>
      </c>
      <c r="I2" s="346"/>
      <c r="K2" s="346" t="s">
        <v>69</v>
      </c>
      <c r="L2" s="346"/>
      <c r="N2" s="346" t="s">
        <v>70</v>
      </c>
      <c r="O2" s="346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2025-07-03T01:18:28Z</dcterms:modified>
</cp:coreProperties>
</file>